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chartsheets/sheet18.xml" ContentType="application/vnd.openxmlformats-officedocument.spreadsheetml.chartsheet+xml"/>
  <Override PartName="/xl/chartsheets/sheet19.xml" ContentType="application/vnd.openxmlformats-officedocument.spreadsheetml.chartsheet+xml"/>
  <Override PartName="/xl/chartsheets/sheet20.xml" ContentType="application/vnd.openxmlformats-officedocument.spreadsheetml.chartsheet+xml"/>
  <Override PartName="/xl/chartsheets/sheet21.xml" ContentType="application/vnd.openxmlformats-officedocument.spreadsheetml.chartsheet+xml"/>
  <Override PartName="/xl/chartsheets/sheet22.xml" ContentType="application/vnd.openxmlformats-officedocument.spreadsheetml.chartsheet+xml"/>
  <Override PartName="/xl/chartsheets/sheet23.xml" ContentType="application/vnd.openxmlformats-officedocument.spreadsheetml.chartsheet+xml"/>
  <Override PartName="/xl/chartsheets/sheet24.xml" ContentType="application/vnd.openxmlformats-officedocument.spreadsheetml.chartsheet+xml"/>
  <Override PartName="/xl/chartsheets/sheet25.xml" ContentType="application/vnd.openxmlformats-officedocument.spreadsheetml.chartsheet+xml"/>
  <Override PartName="/xl/chartsheets/sheet26.xml" ContentType="application/vnd.openxmlformats-officedocument.spreadsheetml.chartsheet+xml"/>
  <Override PartName="/xl/chartsheets/sheet27.xml" ContentType="application/vnd.openxmlformats-officedocument.spreadsheetml.chartsheet+xml"/>
  <Override PartName="/xl/chartsheets/sheet28.xml" ContentType="application/vnd.openxmlformats-officedocument.spreadsheetml.chartsheet+xml"/>
  <Override PartName="/xl/chartsheets/sheet29.xml" ContentType="application/vnd.openxmlformats-officedocument.spreadsheetml.chartsheet+xml"/>
  <Override PartName="/xl/chartsheets/sheet30.xml" ContentType="application/vnd.openxmlformats-officedocument.spreadsheetml.chartsheet+xml"/>
  <Override PartName="/xl/chartsheets/sheet31.xml" ContentType="application/vnd.openxmlformats-officedocument.spreadsheetml.chartsheet+xml"/>
  <Override PartName="/xl/chartsheets/sheet32.xml" ContentType="application/vnd.openxmlformats-officedocument.spreadsheetml.chartsheet+xml"/>
  <Override PartName="/xl/chartsheets/sheet33.xml" ContentType="application/vnd.openxmlformats-officedocument.spreadsheetml.chartsheet+xml"/>
  <Override PartName="/xl/chartsheets/sheet34.xml" ContentType="application/vnd.openxmlformats-officedocument.spreadsheetml.chartsheet+xml"/>
  <Override PartName="/xl/chartsheets/sheet35.xml" ContentType="application/vnd.openxmlformats-officedocument.spreadsheetml.chartsheet+xml"/>
  <Override PartName="/xl/chartsheets/sheet36.xml" ContentType="application/vnd.openxmlformats-officedocument.spreadsheetml.chartsheet+xml"/>
  <Override PartName="/xl/chartsheets/sheet37.xml" ContentType="application/vnd.openxmlformats-officedocument.spreadsheetml.chartsheet+xml"/>
  <Override PartName="/xl/chartsheets/sheet38.xml" ContentType="application/vnd.openxmlformats-officedocument.spreadsheetml.chartsheet+xml"/>
  <Override PartName="/xl/chartsheets/sheet39.xml" ContentType="application/vnd.openxmlformats-officedocument.spreadsheetml.chartsheet+xml"/>
  <Override PartName="/xl/chartsheets/sheet40.xml" ContentType="application/vnd.openxmlformats-officedocument.spreadsheetml.chartsheet+xml"/>
  <Override PartName="/xl/chartsheets/sheet41.xml" ContentType="application/vnd.openxmlformats-officedocument.spreadsheetml.chartsheet+xml"/>
  <Override PartName="/xl/chartsheets/sheet42.xml" ContentType="application/vnd.openxmlformats-officedocument.spreadsheetml.chartsheet+xml"/>
  <Override PartName="/xl/chartsheets/sheet43.xml" ContentType="application/vnd.openxmlformats-officedocument.spreadsheetml.chartsheet+xml"/>
  <Override PartName="/xl/chartsheets/sheet44.xml" ContentType="application/vnd.openxmlformats-officedocument.spreadsheetml.chartsheet+xml"/>
  <Override PartName="/xl/chartsheets/sheet45.xml" ContentType="application/vnd.openxmlformats-officedocument.spreadsheetml.chartsheet+xml"/>
  <Override PartName="/xl/chartsheets/sheet46.xml" ContentType="application/vnd.openxmlformats-officedocument.spreadsheetml.chartsheet+xml"/>
  <Override PartName="/xl/chartsheets/sheet47.xml" ContentType="application/vnd.openxmlformats-officedocument.spreadsheetml.chartsheet+xml"/>
  <Override PartName="/xl/chartsheets/sheet48.xml" ContentType="application/vnd.openxmlformats-officedocument.spreadsheetml.chartsheet+xml"/>
  <Override PartName="/xl/chartsheets/sheet49.xml" ContentType="application/vnd.openxmlformats-officedocument.spreadsheetml.chartsheet+xml"/>
  <Override PartName="/xl/chartsheets/sheet50.xml" ContentType="application/vnd.openxmlformats-officedocument.spreadsheetml.chartsheet+xml"/>
  <Override PartName="/xl/chartsheets/sheet51.xml" ContentType="application/vnd.openxmlformats-officedocument.spreadsheetml.chartsheet+xml"/>
  <Override PartName="/xl/chartsheets/sheet52.xml" ContentType="application/vnd.openxmlformats-officedocument.spreadsheetml.chartsheet+xml"/>
  <Override PartName="/xl/chartsheets/sheet53.xml" ContentType="application/vnd.openxmlformats-officedocument.spreadsheetml.chartsheet+xml"/>
  <Override PartName="/xl/chartsheets/sheet54.xml" ContentType="application/vnd.openxmlformats-officedocument.spreadsheetml.chartsheet+xml"/>
  <Override PartName="/xl/chartsheets/sheet55.xml" ContentType="application/vnd.openxmlformats-officedocument.spreadsheetml.chartsheet+xml"/>
  <Override PartName="/xl/chartsheets/sheet56.xml" ContentType="application/vnd.openxmlformats-officedocument.spreadsheetml.chartsheet+xml"/>
  <Override PartName="/xl/chartsheets/sheet57.xml" ContentType="application/vnd.openxmlformats-officedocument.spreadsheetml.chartsheet+xml"/>
  <Override PartName="/xl/chartsheets/sheet58.xml" ContentType="application/vnd.openxmlformats-officedocument.spreadsheetml.chartsheet+xml"/>
  <Override PartName="/xl/chartsheets/sheet59.xml" ContentType="application/vnd.openxmlformats-officedocument.spreadsheetml.chartsheet+xml"/>
  <Override PartName="/xl/chartsheets/sheet60.xml" ContentType="application/vnd.openxmlformats-officedocument.spreadsheetml.chartsheet+xml"/>
  <Override PartName="/xl/chartsheets/sheet61.xml" ContentType="application/vnd.openxmlformats-officedocument.spreadsheetml.chartsheet+xml"/>
  <Override PartName="/xl/chartsheets/sheet62.xml" ContentType="application/vnd.openxmlformats-officedocument.spreadsheetml.chartsheet+xml"/>
  <Override PartName="/xl/chartsheets/sheet63.xml" ContentType="application/vnd.openxmlformats-officedocument.spreadsheetml.chartsheet+xml"/>
  <Override PartName="/xl/chartsheets/sheet64.xml" ContentType="application/vnd.openxmlformats-officedocument.spreadsheetml.chartsheet+xml"/>
  <Override PartName="/xl/chartsheets/sheet65.xml" ContentType="application/vnd.openxmlformats-officedocument.spreadsheetml.chartsheet+xml"/>
  <Override PartName="/xl/chartsheets/sheet66.xml" ContentType="application/vnd.openxmlformats-officedocument.spreadsheetml.chartsheet+xml"/>
  <Override PartName="/xl/chartsheets/sheet67.xml" ContentType="application/vnd.openxmlformats-officedocument.spreadsheetml.chartsheet+xml"/>
  <Override PartName="/xl/chartsheets/sheet68.xml" ContentType="application/vnd.openxmlformats-officedocument.spreadsheetml.chartsheet+xml"/>
  <Override PartName="/xl/chartsheets/sheet69.xml" ContentType="application/vnd.openxmlformats-officedocument.spreadsheetml.chartsheet+xml"/>
  <Override PartName="/xl/chartsheets/sheet70.xml" ContentType="application/vnd.openxmlformats-officedocument.spreadsheetml.chartsheet+xml"/>
  <Override PartName="/xl/chartsheets/sheet71.xml" ContentType="application/vnd.openxmlformats-officedocument.spreadsheetml.chartsheet+xml"/>
  <Override PartName="/xl/chartsheets/sheet72.xml" ContentType="application/vnd.openxmlformats-officedocument.spreadsheetml.chartsheet+xml"/>
  <Override PartName="/xl/chartsheets/sheet73.xml" ContentType="application/vnd.openxmlformats-officedocument.spreadsheetml.chartsheet+xml"/>
  <Override PartName="/xl/chartsheets/sheet74.xml" ContentType="application/vnd.openxmlformats-officedocument.spreadsheetml.chartsheet+xml"/>
  <Override PartName="/xl/chartsheets/sheet75.xml" ContentType="application/vnd.openxmlformats-officedocument.spreadsheetml.chartsheet+xml"/>
  <Override PartName="/xl/chartsheets/sheet76.xml" ContentType="application/vnd.openxmlformats-officedocument.spreadsheetml.chartsheet+xml"/>
  <Override PartName="/xl/chartsheets/sheet77.xml" ContentType="application/vnd.openxmlformats-officedocument.spreadsheetml.chartsheet+xml"/>
  <Override PartName="/xl/chartsheets/sheet78.xml" ContentType="application/vnd.openxmlformats-officedocument.spreadsheetml.chartsheet+xml"/>
  <Override PartName="/xl/chartsheets/sheet79.xml" ContentType="application/vnd.openxmlformats-officedocument.spreadsheetml.chartsheet+xml"/>
  <Override PartName="/xl/chartsheets/sheet80.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7.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drawings/drawing16.xml" ContentType="application/vnd.openxmlformats-officedocument.drawing+xml"/>
  <Override PartName="/xl/charts/chart14.xml" ContentType="application/vnd.openxmlformats-officedocument.drawingml.chart+xml"/>
  <Override PartName="/xl/drawings/drawing17.xml" ContentType="application/vnd.openxmlformats-officedocument.drawing+xml"/>
  <Override PartName="/xl/charts/chart15.xml" ContentType="application/vnd.openxmlformats-officedocument.drawingml.chart+xml"/>
  <Override PartName="/xl/drawings/drawing18.xml" ContentType="application/vnd.openxmlformats-officedocument.drawing+xml"/>
  <Override PartName="/xl/charts/chart16.xml" ContentType="application/vnd.openxmlformats-officedocument.drawingml.chart+xml"/>
  <Override PartName="/xl/drawings/drawing19.xml" ContentType="application/vnd.openxmlformats-officedocument.drawing+xml"/>
  <Override PartName="/xl/charts/chart17.xml" ContentType="application/vnd.openxmlformats-officedocument.drawingml.chart+xml"/>
  <Override PartName="/xl/drawings/drawing20.xml" ContentType="application/vnd.openxmlformats-officedocument.drawing+xml"/>
  <Override PartName="/xl/charts/chart18.xml" ContentType="application/vnd.openxmlformats-officedocument.drawingml.chart+xml"/>
  <Override PartName="/xl/drawings/drawing21.xml" ContentType="application/vnd.openxmlformats-officedocument.drawing+xml"/>
  <Override PartName="/xl/charts/chart19.xml" ContentType="application/vnd.openxmlformats-officedocument.drawingml.chart+xml"/>
  <Override PartName="/xl/drawings/drawing22.xml" ContentType="application/vnd.openxmlformats-officedocument.drawing+xml"/>
  <Override PartName="/xl/charts/chart20.xml" ContentType="application/vnd.openxmlformats-officedocument.drawingml.chart+xml"/>
  <Override PartName="/xl/drawings/drawing23.xml" ContentType="application/vnd.openxmlformats-officedocument.drawing+xml"/>
  <Override PartName="/xl/charts/chart21.xml" ContentType="application/vnd.openxmlformats-officedocument.drawingml.chart+xml"/>
  <Override PartName="/xl/drawings/drawing24.xml" ContentType="application/vnd.openxmlformats-officedocument.drawing+xml"/>
  <Override PartName="/xl/charts/chart22.xml" ContentType="application/vnd.openxmlformats-officedocument.drawingml.chart+xml"/>
  <Override PartName="/xl/drawings/drawing25.xml" ContentType="application/vnd.openxmlformats-officedocument.drawing+xml"/>
  <Override PartName="/xl/charts/chart23.xml" ContentType="application/vnd.openxmlformats-officedocument.drawingml.chart+xml"/>
  <Override PartName="/xl/drawings/drawing26.xml" ContentType="application/vnd.openxmlformats-officedocument.drawing+xml"/>
  <Override PartName="/xl/charts/chart24.xml" ContentType="application/vnd.openxmlformats-officedocument.drawingml.chart+xml"/>
  <Override PartName="/xl/drawings/drawing27.xml" ContentType="application/vnd.openxmlformats-officedocument.drawing+xml"/>
  <Override PartName="/xl/charts/chart25.xml" ContentType="application/vnd.openxmlformats-officedocument.drawingml.chart+xml"/>
  <Override PartName="/xl/drawings/drawing28.xml" ContentType="application/vnd.openxmlformats-officedocument.drawing+xml"/>
  <Override PartName="/xl/charts/chart26.xml" ContentType="application/vnd.openxmlformats-officedocument.drawingml.chart+xml"/>
  <Override PartName="/xl/drawings/drawing29.xml" ContentType="application/vnd.openxmlformats-officedocument.drawing+xml"/>
  <Override PartName="/xl/charts/chart27.xml" ContentType="application/vnd.openxmlformats-officedocument.drawingml.chart+xml"/>
  <Override PartName="/xl/drawings/drawing30.xml" ContentType="application/vnd.openxmlformats-officedocument.drawing+xml"/>
  <Override PartName="/xl/charts/chart28.xml" ContentType="application/vnd.openxmlformats-officedocument.drawingml.chart+xml"/>
  <Override PartName="/xl/drawings/drawing31.xml" ContentType="application/vnd.openxmlformats-officedocument.drawing+xml"/>
  <Override PartName="/xl/charts/chart29.xml" ContentType="application/vnd.openxmlformats-officedocument.drawingml.chart+xml"/>
  <Override PartName="/xl/drawings/drawing32.xml" ContentType="application/vnd.openxmlformats-officedocument.drawing+xml"/>
  <Override PartName="/xl/charts/chart30.xml" ContentType="application/vnd.openxmlformats-officedocument.drawingml.chart+xml"/>
  <Override PartName="/xl/drawings/drawing33.xml" ContentType="application/vnd.openxmlformats-officedocument.drawing+xml"/>
  <Override PartName="/xl/charts/chart31.xml" ContentType="application/vnd.openxmlformats-officedocument.drawingml.chart+xml"/>
  <Override PartName="/xl/drawings/drawing34.xml" ContentType="application/vnd.openxmlformats-officedocument.drawing+xml"/>
  <Override PartName="/xl/charts/chart32.xml" ContentType="application/vnd.openxmlformats-officedocument.drawingml.chart+xml"/>
  <Override PartName="/xl/drawings/drawing35.xml" ContentType="application/vnd.openxmlformats-officedocument.drawing+xml"/>
  <Override PartName="/xl/charts/chart33.xml" ContentType="application/vnd.openxmlformats-officedocument.drawingml.chart+xml"/>
  <Override PartName="/xl/drawings/drawing36.xml" ContentType="application/vnd.openxmlformats-officedocument.drawing+xml"/>
  <Override PartName="/xl/charts/chart34.xml" ContentType="application/vnd.openxmlformats-officedocument.drawingml.chart+xml"/>
  <Override PartName="/xl/drawings/drawing37.xml" ContentType="application/vnd.openxmlformats-officedocument.drawing+xml"/>
  <Override PartName="/xl/charts/chart35.xml" ContentType="application/vnd.openxmlformats-officedocument.drawingml.chart+xml"/>
  <Override PartName="/xl/drawings/drawing38.xml" ContentType="application/vnd.openxmlformats-officedocument.drawing+xml"/>
  <Override PartName="/xl/charts/chart36.xml" ContentType="application/vnd.openxmlformats-officedocument.drawingml.chart+xml"/>
  <Override PartName="/xl/drawings/drawing39.xml" ContentType="application/vnd.openxmlformats-officedocument.drawing+xml"/>
  <Override PartName="/xl/charts/chart37.xml" ContentType="application/vnd.openxmlformats-officedocument.drawingml.chart+xml"/>
  <Override PartName="/xl/drawings/drawing40.xml" ContentType="application/vnd.openxmlformats-officedocument.drawing+xml"/>
  <Override PartName="/xl/charts/chart38.xml" ContentType="application/vnd.openxmlformats-officedocument.drawingml.chart+xml"/>
  <Override PartName="/xl/drawings/drawing41.xml" ContentType="application/vnd.openxmlformats-officedocument.drawing+xml"/>
  <Override PartName="/xl/charts/chart39.xml" ContentType="application/vnd.openxmlformats-officedocument.drawingml.chart+xml"/>
  <Override PartName="/xl/drawings/drawing42.xml" ContentType="application/vnd.openxmlformats-officedocument.drawing+xml"/>
  <Override PartName="/xl/charts/chart40.xml" ContentType="application/vnd.openxmlformats-officedocument.drawingml.chart+xml"/>
  <Override PartName="/xl/drawings/drawing43.xml" ContentType="application/vnd.openxmlformats-officedocument.drawing+xml"/>
  <Override PartName="/xl/charts/chart41.xml" ContentType="application/vnd.openxmlformats-officedocument.drawingml.chart+xml"/>
  <Override PartName="/xl/drawings/drawing44.xml" ContentType="application/vnd.openxmlformats-officedocument.drawing+xml"/>
  <Override PartName="/xl/charts/chart42.xml" ContentType="application/vnd.openxmlformats-officedocument.drawingml.chart+xml"/>
  <Override PartName="/xl/drawings/drawing45.xml" ContentType="application/vnd.openxmlformats-officedocument.drawing+xml"/>
  <Override PartName="/xl/charts/chart43.xml" ContentType="application/vnd.openxmlformats-officedocument.drawingml.chart+xml"/>
  <Override PartName="/xl/drawings/drawing46.xml" ContentType="application/vnd.openxmlformats-officedocument.drawing+xml"/>
  <Override PartName="/xl/charts/chart44.xml" ContentType="application/vnd.openxmlformats-officedocument.drawingml.chart+xml"/>
  <Override PartName="/xl/drawings/drawing47.xml" ContentType="application/vnd.openxmlformats-officedocument.drawing+xml"/>
  <Override PartName="/xl/charts/chart45.xml" ContentType="application/vnd.openxmlformats-officedocument.drawingml.chart+xml"/>
  <Override PartName="/xl/drawings/drawing48.xml" ContentType="application/vnd.openxmlformats-officedocument.drawing+xml"/>
  <Override PartName="/xl/charts/chart46.xml" ContentType="application/vnd.openxmlformats-officedocument.drawingml.chart+xml"/>
  <Override PartName="/xl/drawings/drawing49.xml" ContentType="application/vnd.openxmlformats-officedocument.drawing+xml"/>
  <Override PartName="/xl/charts/chart47.xml" ContentType="application/vnd.openxmlformats-officedocument.drawingml.chart+xml"/>
  <Override PartName="/xl/drawings/drawing50.xml" ContentType="application/vnd.openxmlformats-officedocument.drawing+xml"/>
  <Override PartName="/xl/charts/chart48.xml" ContentType="application/vnd.openxmlformats-officedocument.drawingml.chart+xml"/>
  <Override PartName="/xl/drawings/drawing51.xml" ContentType="application/vnd.openxmlformats-officedocument.drawing+xml"/>
  <Override PartName="/xl/charts/chart49.xml" ContentType="application/vnd.openxmlformats-officedocument.drawingml.chart+xml"/>
  <Override PartName="/xl/drawings/drawing52.xml" ContentType="application/vnd.openxmlformats-officedocument.drawing+xml"/>
  <Override PartName="/xl/charts/chart50.xml" ContentType="application/vnd.openxmlformats-officedocument.drawingml.chart+xml"/>
  <Override PartName="/xl/drawings/drawing53.xml" ContentType="application/vnd.openxmlformats-officedocument.drawing+xml"/>
  <Override PartName="/xl/charts/chart51.xml" ContentType="application/vnd.openxmlformats-officedocument.drawingml.chart+xml"/>
  <Override PartName="/xl/drawings/drawing54.xml" ContentType="application/vnd.openxmlformats-officedocument.drawing+xml"/>
  <Override PartName="/xl/charts/chart52.xml" ContentType="application/vnd.openxmlformats-officedocument.drawingml.chart+xml"/>
  <Override PartName="/xl/drawings/drawing55.xml" ContentType="application/vnd.openxmlformats-officedocument.drawing+xml"/>
  <Override PartName="/xl/charts/chart53.xml" ContentType="application/vnd.openxmlformats-officedocument.drawingml.chart+xml"/>
  <Override PartName="/xl/drawings/drawing56.xml" ContentType="application/vnd.openxmlformats-officedocument.drawing+xml"/>
  <Override PartName="/xl/charts/chart54.xml" ContentType="application/vnd.openxmlformats-officedocument.drawingml.chart+xml"/>
  <Override PartName="/xl/drawings/drawing57.xml" ContentType="application/vnd.openxmlformats-officedocument.drawing+xml"/>
  <Override PartName="/xl/charts/chart55.xml" ContentType="application/vnd.openxmlformats-officedocument.drawingml.chart+xml"/>
  <Override PartName="/xl/drawings/drawing58.xml" ContentType="application/vnd.openxmlformats-officedocument.drawing+xml"/>
  <Override PartName="/xl/charts/chart56.xml" ContentType="application/vnd.openxmlformats-officedocument.drawingml.chart+xml"/>
  <Override PartName="/xl/drawings/drawing59.xml" ContentType="application/vnd.openxmlformats-officedocument.drawing+xml"/>
  <Override PartName="/xl/charts/chart57.xml" ContentType="application/vnd.openxmlformats-officedocument.drawingml.chart+xml"/>
  <Override PartName="/xl/drawings/drawing60.xml" ContentType="application/vnd.openxmlformats-officedocument.drawing+xml"/>
  <Override PartName="/xl/charts/chart58.xml" ContentType="application/vnd.openxmlformats-officedocument.drawingml.chart+xml"/>
  <Override PartName="/xl/drawings/drawing61.xml" ContentType="application/vnd.openxmlformats-officedocument.drawing+xml"/>
  <Override PartName="/xl/charts/chart59.xml" ContentType="application/vnd.openxmlformats-officedocument.drawingml.chart+xml"/>
  <Override PartName="/xl/drawings/drawing62.xml" ContentType="application/vnd.openxmlformats-officedocument.drawing+xml"/>
  <Override PartName="/xl/charts/chart60.xml" ContentType="application/vnd.openxmlformats-officedocument.drawingml.chart+xml"/>
  <Override PartName="/xl/drawings/drawing63.xml" ContentType="application/vnd.openxmlformats-officedocument.drawing+xml"/>
  <Override PartName="/xl/charts/chart61.xml" ContentType="application/vnd.openxmlformats-officedocument.drawingml.chart+xml"/>
  <Override PartName="/xl/drawings/drawing64.xml" ContentType="application/vnd.openxmlformats-officedocument.drawing+xml"/>
  <Override PartName="/xl/charts/chart62.xml" ContentType="application/vnd.openxmlformats-officedocument.drawingml.chart+xml"/>
  <Override PartName="/xl/drawings/drawing65.xml" ContentType="application/vnd.openxmlformats-officedocument.drawing+xml"/>
  <Override PartName="/xl/charts/chart63.xml" ContentType="application/vnd.openxmlformats-officedocument.drawingml.chart+xml"/>
  <Override PartName="/xl/drawings/drawing66.xml" ContentType="application/vnd.openxmlformats-officedocument.drawing+xml"/>
  <Override PartName="/xl/charts/chart64.xml" ContentType="application/vnd.openxmlformats-officedocument.drawingml.chart+xml"/>
  <Override PartName="/xl/drawings/drawing67.xml" ContentType="application/vnd.openxmlformats-officedocument.drawing+xml"/>
  <Override PartName="/xl/charts/chart65.xml" ContentType="application/vnd.openxmlformats-officedocument.drawingml.chart+xml"/>
  <Override PartName="/xl/drawings/drawing68.xml" ContentType="application/vnd.openxmlformats-officedocument.drawing+xml"/>
  <Override PartName="/xl/charts/chart66.xml" ContentType="application/vnd.openxmlformats-officedocument.drawingml.chart+xml"/>
  <Override PartName="/xl/drawings/drawing69.xml" ContentType="application/vnd.openxmlformats-officedocument.drawing+xml"/>
  <Override PartName="/xl/charts/chart67.xml" ContentType="application/vnd.openxmlformats-officedocument.drawingml.chart+xml"/>
  <Override PartName="/xl/drawings/drawing70.xml" ContentType="application/vnd.openxmlformats-officedocument.drawing+xml"/>
  <Override PartName="/xl/charts/chart68.xml" ContentType="application/vnd.openxmlformats-officedocument.drawingml.chart+xml"/>
  <Override PartName="/xl/drawings/drawing71.xml" ContentType="application/vnd.openxmlformats-officedocument.drawing+xml"/>
  <Override PartName="/xl/charts/chart69.xml" ContentType="application/vnd.openxmlformats-officedocument.drawingml.chart+xml"/>
  <Override PartName="/xl/drawings/drawing72.xml" ContentType="application/vnd.openxmlformats-officedocument.drawing+xml"/>
  <Override PartName="/xl/charts/chart70.xml" ContentType="application/vnd.openxmlformats-officedocument.drawingml.chart+xml"/>
  <Override PartName="/xl/drawings/drawing73.xml" ContentType="application/vnd.openxmlformats-officedocument.drawing+xml"/>
  <Override PartName="/xl/charts/chart71.xml" ContentType="application/vnd.openxmlformats-officedocument.drawingml.chart+xml"/>
  <Override PartName="/xl/drawings/drawing74.xml" ContentType="application/vnd.openxmlformats-officedocument.drawing+xml"/>
  <Override PartName="/xl/charts/chart72.xml" ContentType="application/vnd.openxmlformats-officedocument.drawingml.chart+xml"/>
  <Override PartName="/xl/drawings/drawing75.xml" ContentType="application/vnd.openxmlformats-officedocument.drawingml.chartshapes+xml"/>
  <Override PartName="/xl/drawings/drawing76.xml" ContentType="application/vnd.openxmlformats-officedocument.drawing+xml"/>
  <Override PartName="/xl/charts/chart73.xml" ContentType="application/vnd.openxmlformats-officedocument.drawingml.chart+xml"/>
  <Override PartName="/xl/drawings/drawing77.xml" ContentType="application/vnd.openxmlformats-officedocument.drawing+xml"/>
  <Override PartName="/xl/charts/chart74.xml" ContentType="application/vnd.openxmlformats-officedocument.drawingml.chart+xml"/>
  <Override PartName="/xl/drawings/drawing78.xml" ContentType="application/vnd.openxmlformats-officedocument.drawing+xml"/>
  <Override PartName="/xl/charts/chart75.xml" ContentType="application/vnd.openxmlformats-officedocument.drawingml.chart+xml"/>
  <Override PartName="/xl/drawings/drawing79.xml" ContentType="application/vnd.openxmlformats-officedocument.drawing+xml"/>
  <Override PartName="/xl/charts/chart76.xml" ContentType="application/vnd.openxmlformats-officedocument.drawingml.chart+xml"/>
  <Override PartName="/xl/drawings/drawing80.xml" ContentType="application/vnd.openxmlformats-officedocument.drawing+xml"/>
  <Override PartName="/xl/charts/chart77.xml" ContentType="application/vnd.openxmlformats-officedocument.drawingml.chart+xml"/>
  <Override PartName="/xl/drawings/drawing81.xml" ContentType="application/vnd.openxmlformats-officedocument.drawing+xml"/>
  <Override PartName="/xl/charts/chart78.xml" ContentType="application/vnd.openxmlformats-officedocument.drawingml.chart+xml"/>
  <Override PartName="/xl/drawings/drawing82.xml" ContentType="application/vnd.openxmlformats-officedocument.drawing+xml"/>
  <Override PartName="/xl/charts/chart79.xml" ContentType="application/vnd.openxmlformats-officedocument.drawingml.chart+xml"/>
  <Override PartName="/xl/drawings/drawing83.xml" ContentType="application/vnd.openxmlformats-officedocument.drawing+xml"/>
  <Override PartName="/xl/charts/chart80.xml" ContentType="application/vnd.openxmlformats-officedocument.drawingml.chart+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codeName="{372AB895-14C1-FC20-EB20-F1B4BCFD95AE}"/>
  <workbookPr saveExternalLinkValues="0" codeName="ThisWorkbook"/>
  <mc:AlternateContent xmlns:mc="http://schemas.openxmlformats.org/markup-compatibility/2006">
    <mc:Choice Requires="x15">
      <x15ac:absPath xmlns:x15ac="http://schemas.microsoft.com/office/spreadsheetml/2010/11/ac" url="https://usdagcc-my.sharepoint.com/personal/pamela_bennett_usda_gov/Documents/Documents/Acting 4-22-24/0572-0032/"/>
    </mc:Choice>
  </mc:AlternateContent>
  <xr:revisionPtr revIDLastSave="0" documentId="8_{5CB0EDC0-6C88-44C9-896F-5445BF8B7B8E}" xr6:coauthVersionLast="47" xr6:coauthVersionMax="47" xr10:uidLastSave="{00000000-0000-0000-0000-000000000000}"/>
  <bookViews>
    <workbookView xWindow="28680" yWindow="60" windowWidth="29040" windowHeight="15720" tabRatio="938" xr2:uid="{00000000-000D-0000-FFFF-FFFF00000000}"/>
  </bookViews>
  <sheets>
    <sheet name="Burden Statement" sheetId="122" r:id="rId1"/>
    <sheet name="Forecast Menu" sheetId="103" r:id="rId2"/>
    <sheet name="a &amp; b" sheetId="25" r:id="rId3"/>
    <sheet name="c &amp; d" sheetId="24" r:id="rId4"/>
    <sheet name="e - Sales" sheetId="1" r:id="rId5"/>
    <sheet name="f - Rev" sheetId="3" r:id="rId6"/>
    <sheet name="General Funds Calculation" sheetId="104" state="hidden" r:id="rId7"/>
    <sheet name="g - Plant" sheetId="105" r:id="rId8"/>
    <sheet name="h1 - 2%&amp;5%" sheetId="13" r:id="rId9"/>
    <sheet name="h2(a) - Debt RUS" sheetId="12" r:id="rId10"/>
    <sheet name="h2(b) - Debt RUS" sheetId="106" r:id="rId11"/>
    <sheet name="h3(a) - Debt Guar" sheetId="20" r:id="rId12"/>
    <sheet name="h3(b) - Debt Guar" sheetId="107" r:id="rId13"/>
    <sheet name="i1(a) - Debt Other" sheetId="16" r:id="rId14"/>
    <sheet name="i1(b) - Debt Other" sheetId="108" r:id="rId15"/>
    <sheet name="h4 - New RUS" sheetId="19" r:id="rId16"/>
    <sheet name="h5 - New Guar" sheetId="17" r:id="rId17"/>
    <sheet name="i2 - New Other" sheetId="15" r:id="rId18"/>
    <sheet name="j - Debt Sum" sheetId="21" r:id="rId19"/>
    <sheet name="k - Exp" sheetId="22" r:id="rId20"/>
    <sheet name="Input" sheetId="2" r:id="rId21"/>
    <sheet name="Summary" sheetId="23" r:id="rId22"/>
    <sheet name="Narrative Assumptions" sheetId="110" r:id="rId23"/>
    <sheet name="Est PC" sheetId="121" r:id="rId24"/>
    <sheet name="Blank Worksheet" sheetId="102" r:id="rId25"/>
    <sheet name="Historic Data" sheetId="27" r:id="rId26"/>
    <sheet name="Cumul Rate Incr" sheetId="29" r:id="rId27"/>
    <sheet name="KWH Sales &amp; Pur ALL" sheetId="30" r:id="rId28"/>
    <sheet name="Gen Funds ($)" sheetId="31" r:id="rId29"/>
    <sheet name="Gen Funds~TUP" sheetId="32" r:id="rId30"/>
    <sheet name="TIER" sheetId="33" r:id="rId31"/>
    <sheet name="TIER (ALL)" sheetId="34" r:id="rId32"/>
    <sheet name="Equity" sheetId="35" r:id="rId33"/>
    <sheet name="Equity (ALL)" sheetId="36" r:id="rId34"/>
    <sheet name="TUP ~ kWH" sheetId="37" r:id="rId35"/>
    <sheet name="TUP ~ MWH (ALL)" sheetId="38" r:id="rId36"/>
    <sheet name="A&amp;G ($)" sheetId="39" r:id="rId37"/>
    <sheet name="A&amp;G Ratio" sheetId="40" r:id="rId38"/>
    <sheet name="A&amp;G ($) (ALL)" sheetId="41" r:id="rId39"/>
    <sheet name="A&amp;G Ratio (ALL)" sheetId="42" r:id="rId40"/>
    <sheet name="Cons Acct ($)" sheetId="43" r:id="rId41"/>
    <sheet name="Cons Acct Ratio" sheetId="44" r:id="rId42"/>
    <sheet name="Cons Acct $ (ALL)" sheetId="45" r:id="rId43"/>
    <sheet name="Cons Acct Ratio (ALL)" sheetId="46" r:id="rId44"/>
    <sheet name="O&amp;M ($)" sheetId="47" r:id="rId45"/>
    <sheet name="O&amp;M Ratio" sheetId="48" r:id="rId46"/>
    <sheet name="O&amp;M $ (ALL)" sheetId="49" r:id="rId47"/>
    <sheet name="O&amp;M Ratio (ALL)" sheetId="50" r:id="rId48"/>
    <sheet name="Taxes ($)" sheetId="51" r:id="rId49"/>
    <sheet name="Tax Ratio" sheetId="52" r:id="rId50"/>
    <sheet name="Taxes $ (ALL)" sheetId="53" r:id="rId51"/>
    <sheet name="Tax Ratio (ALL)" sheetId="54" r:id="rId52"/>
    <sheet name="Power Cost ($)" sheetId="55" r:id="rId53"/>
    <sheet name="Power Cost ~ MWH" sheetId="56" r:id="rId54"/>
    <sheet name="Power Cost $ (ALL)" sheetId="57" r:id="rId55"/>
    <sheet name="Power Cost ~ MWH (ALL)" sheetId="58" r:id="rId56"/>
    <sheet name="Plant Additions ($)" sheetId="59" r:id="rId57"/>
    <sheet name="Total Utility Plant" sheetId="60" r:id="rId58"/>
    <sheet name="Deprec ($)" sheetId="61" r:id="rId59"/>
    <sheet name="Deprec Ratio" sheetId="62" r:id="rId60"/>
    <sheet name="Deprec $ (ALL)" sheetId="63" r:id="rId61"/>
    <sheet name="Deprec Ratio (ALL)" sheetId="64" r:id="rId62"/>
    <sheet name="Accum Deprec ~ TUP" sheetId="65" r:id="rId63"/>
    <sheet name="Interest Exp ($)" sheetId="66" r:id="rId64"/>
    <sheet name="Interest Exp (ALL)" sheetId="67" r:id="rId65"/>
    <sheet name="Consumers (#-1)" sheetId="68" r:id="rId66"/>
    <sheet name="Consumers (#-2)" sheetId="69" r:id="rId67"/>
    <sheet name="Consumers (Total)" sheetId="70" r:id="rId68"/>
    <sheet name="Consumers (ALL)" sheetId="71" r:id="rId69"/>
    <sheet name="Debt Balance" sheetId="72" r:id="rId70"/>
    <sheet name="Debt Balance (ALL)" sheetId="73" r:id="rId71"/>
    <sheet name="Assets - Liabil." sheetId="74" r:id="rId72"/>
    <sheet name="DSC" sheetId="75" r:id="rId73"/>
    <sheet name="DSC (ALL)" sheetId="76" r:id="rId74"/>
    <sheet name="Cap Credit Retirements" sheetId="77" r:id="rId75"/>
    <sheet name="KWH Sales (#1)" sheetId="78" r:id="rId76"/>
    <sheet name="KWH Sales #1 (ALL)" sheetId="79" r:id="rId77"/>
    <sheet name="KWh Sales (#2)" sheetId="80" r:id="rId78"/>
    <sheet name="KWH Sales #2 (ALL)" sheetId="81" r:id="rId79"/>
    <sheet name="KWH Sales - Purch." sheetId="82" r:id="rId80"/>
    <sheet name="Margins - GF Invest." sheetId="83" r:id="rId81"/>
    <sheet name="Margins" sheetId="84" r:id="rId82"/>
    <sheet name="Non-Op Margins" sheetId="85" r:id="rId83"/>
    <sheet name="Rate of Return" sheetId="86" r:id="rId84"/>
    <sheet name="Rev Residential" sheetId="87" r:id="rId85"/>
    <sheet name="Rev Seasonal" sheetId="88" r:id="rId86"/>
    <sheet name="Rev Irrigation" sheetId="89" r:id="rId87"/>
    <sheet name="Rev Small Comm." sheetId="90" r:id="rId88"/>
    <sheet name="Rev Large Comm." sheetId="91" r:id="rId89"/>
    <sheet name="Rev Total" sheetId="92" r:id="rId90"/>
    <sheet name="G&amp;T CC Earned" sheetId="93" r:id="rId91"/>
    <sheet name="G&amp;T CC Earned (ALL)" sheetId="94" r:id="rId92"/>
    <sheet name="Rev Total (ALL)" sheetId="95" r:id="rId93"/>
    <sheet name="Rev - Power (ALL)" sheetId="96" r:id="rId94"/>
    <sheet name="Rev - Power ~ KWH (ALL)" sheetId="97" r:id="rId95"/>
    <sheet name="Avg. Rev" sheetId="98" r:id="rId96"/>
    <sheet name="Capital Budget" sheetId="99" r:id="rId97"/>
    <sheet name="Approved &amp; Advanced Loans" sheetId="100" r:id="rId98"/>
    <sheet name="Return on Eq" sheetId="111" r:id="rId99"/>
    <sheet name="Return on Eq (ALL)" sheetId="112" r:id="rId100"/>
    <sheet name="Plant Turnover" sheetId="113" r:id="rId101"/>
    <sheet name="Plant Tunrover (ALL)" sheetId="114" r:id="rId102"/>
    <sheet name="PRR" sheetId="115" r:id="rId103"/>
    <sheet name="PRR (ALL)" sheetId="116" r:id="rId104"/>
    <sheet name="EBITA" sheetId="119" r:id="rId105"/>
    <sheet name="EBITA (ALL)" sheetId="120" r:id="rId106"/>
  </sheets>
  <definedNames>
    <definedName name="_xlnm.Print_Area" localSheetId="2">'a &amp; b'!$A$1:$N$67</definedName>
    <definedName name="_xlnm.Print_Area" localSheetId="3">'c &amp; d'!$A$1:$M$58</definedName>
    <definedName name="_xlnm.Print_Area" localSheetId="4">'e - Sales'!$A$1:$P$62</definedName>
    <definedName name="_xlnm.Print_Area" localSheetId="5">'f - Rev'!$A$1:$P$167</definedName>
    <definedName name="_xlnm.Print_Area" localSheetId="1" xml:space="preserve">          'Forecast Menu'!$A$1:$N$34</definedName>
    <definedName name="_xlnm.Print_Area" localSheetId="7">'g - Plant'!$A$1:$Q$65</definedName>
    <definedName name="_xlnm.Print_Area" localSheetId="8">'h1 - 2%&amp;5%'!$A$1:$P$52</definedName>
    <definedName name="_xlnm.Print_Area" localSheetId="9">'h2(a) - Debt RUS'!$A$3:$M$306</definedName>
    <definedName name="_xlnm.Print_Area" localSheetId="10">'h2(b) - Debt RUS'!$A$3:$M$306</definedName>
    <definedName name="_xlnm.Print_Area" localSheetId="11">'h3(a) - Debt Guar'!$A$3:$M$327</definedName>
    <definedName name="_xlnm.Print_Area" localSheetId="12">'h3(b) - Debt Guar'!$A$3:$M$327</definedName>
    <definedName name="_xlnm.Print_Area" localSheetId="13">'i1(a) - Debt Other'!$A$3:$M$315</definedName>
    <definedName name="_xlnm.Print_Area" localSheetId="14">'i1(b) - Debt Other'!$A$3:$M$315</definedName>
    <definedName name="_xlnm.Print_Area" localSheetId="17">'i2 - New Other'!$A$1:$M$139</definedName>
    <definedName name="_xlnm.Print_Area" localSheetId="18" xml:space="preserve">                                                                                                                                                                                                                                                        'j - Debt Sum'!$A$1:$M$70</definedName>
    <definedName name="_xlnm.Print_Area" localSheetId="22">'Narrative Assumptions'!$A$1:$N$147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H55" i="27" l="1"/>
  <c r="CY55" i="27"/>
  <c r="CH55" i="27"/>
  <c r="CE55" i="27"/>
  <c r="CD55" i="27"/>
  <c r="CC55" i="27"/>
  <c r="CB55" i="27"/>
  <c r="BY55" i="27"/>
  <c r="CJ55" i="27" s="1"/>
  <c r="BT55" i="27"/>
  <c r="BS55" i="27"/>
  <c r="BR55" i="27"/>
  <c r="BO55" i="27"/>
  <c r="CO55" i="27" s="1"/>
  <c r="BN55" i="27"/>
  <c r="CN55" i="27" s="1"/>
  <c r="BM55" i="27"/>
  <c r="CL55" i="27" s="1"/>
  <c r="BL55" i="27"/>
  <c r="BK55" i="27"/>
  <c r="DM55" i="27" s="1"/>
  <c r="BH55" i="27"/>
  <c r="DD55" i="27" s="1"/>
  <c r="BG55" i="27"/>
  <c r="DC55" i="27" s="1"/>
  <c r="BF55" i="27"/>
  <c r="DF55" i="27" s="1"/>
  <c r="BE55" i="27"/>
  <c r="CK55" i="27" s="1"/>
  <c r="BD55" i="27"/>
  <c r="BA55" i="27"/>
  <c r="AZ55" i="27"/>
  <c r="AY55" i="27"/>
  <c r="AX55" i="27"/>
  <c r="AU55" i="27"/>
  <c r="AT55" i="27"/>
  <c r="AS55" i="27"/>
  <c r="AP55" i="27"/>
  <c r="CW55" i="27" s="1"/>
  <c r="AO55" i="27"/>
  <c r="CV55" i="27" s="1"/>
  <c r="AN55" i="27"/>
  <c r="AM55" i="27"/>
  <c r="CX55" i="27" s="1"/>
  <c r="AL55" i="27"/>
  <c r="AK55" i="27"/>
  <c r="CT55" i="27" s="1"/>
  <c r="AJ55" i="27"/>
  <c r="AI55" i="27"/>
  <c r="CS55" i="27" s="1"/>
  <c r="AH55" i="27"/>
  <c r="DK55" i="27" s="1"/>
  <c r="AF55" i="27"/>
  <c r="DU55" i="27" s="1"/>
  <c r="AA55" i="27"/>
  <c r="Y55" i="27"/>
  <c r="V55" i="27"/>
  <c r="Q55" i="27"/>
  <c r="P55" i="27"/>
  <c r="DL55" i="27" s="1"/>
  <c r="O55" i="27"/>
  <c r="DV55" i="27" s="1"/>
  <c r="A58" i="27"/>
  <c r="A59" i="27" s="1"/>
  <c r="A60" i="27" s="1"/>
  <c r="A61" i="27" s="1"/>
  <c r="A62" i="27" s="1"/>
  <c r="A63" i="27" s="1"/>
  <c r="A64" i="27" s="1"/>
  <c r="A65" i="27" s="1"/>
  <c r="A57" i="27"/>
  <c r="A56" i="27"/>
  <c r="C55" i="27"/>
  <c r="C56" i="27" s="1"/>
  <c r="C57" i="27" s="1"/>
  <c r="C58" i="27" s="1"/>
  <c r="C59" i="27" s="1"/>
  <c r="C60" i="27" s="1"/>
  <c r="C61" i="27" s="1"/>
  <c r="C62" i="27" s="1"/>
  <c r="C63" i="27" s="1"/>
  <c r="C64" i="27" s="1"/>
  <c r="C65" i="27" s="1"/>
  <c r="B55" i="27"/>
  <c r="B56" i="27" s="1"/>
  <c r="B57" i="27" s="1"/>
  <c r="B58" i="27" s="1"/>
  <c r="B59" i="27" s="1"/>
  <c r="B60" i="27" s="1"/>
  <c r="B61" i="27" s="1"/>
  <c r="B62" i="27" s="1"/>
  <c r="B63" i="27" s="1"/>
  <c r="B64" i="27" s="1"/>
  <c r="B65" i="27" s="1"/>
  <c r="A55" i="27"/>
  <c r="P56" i="105"/>
  <c r="O56" i="105"/>
  <c r="N56" i="105"/>
  <c r="M56" i="105"/>
  <c r="L56" i="105"/>
  <c r="K56" i="105"/>
  <c r="J56" i="105"/>
  <c r="I56" i="105"/>
  <c r="I55" i="105" s="1"/>
  <c r="H56" i="105"/>
  <c r="P55" i="105"/>
  <c r="O55" i="105"/>
  <c r="N55" i="105"/>
  <c r="J55" i="105"/>
  <c r="P50" i="105"/>
  <c r="O50" i="105"/>
  <c r="N50" i="105"/>
  <c r="M50" i="105"/>
  <c r="M55" i="105" s="1"/>
  <c r="L50" i="105"/>
  <c r="L55" i="105" s="1"/>
  <c r="K50" i="105"/>
  <c r="K55" i="105" s="1"/>
  <c r="J50" i="105"/>
  <c r="I50" i="105"/>
  <c r="P31" i="105"/>
  <c r="O31" i="105"/>
  <c r="N31" i="105"/>
  <c r="M31" i="105"/>
  <c r="L31" i="105"/>
  <c r="K31" i="105"/>
  <c r="J31" i="105"/>
  <c r="I31" i="105"/>
  <c r="H31" i="105"/>
  <c r="H50" i="105" s="1"/>
  <c r="P28" i="105"/>
  <c r="O28" i="105"/>
  <c r="N28" i="105"/>
  <c r="M28" i="105"/>
  <c r="L28" i="105"/>
  <c r="K28" i="105"/>
  <c r="J28" i="105"/>
  <c r="I28" i="105"/>
  <c r="H28" i="105"/>
  <c r="O161" i="3"/>
  <c r="O160" i="3"/>
  <c r="N160" i="3"/>
  <c r="M160" i="3"/>
  <c r="M161" i="3" s="1"/>
  <c r="L160" i="3"/>
  <c r="K160" i="3"/>
  <c r="J160" i="3"/>
  <c r="I160" i="3"/>
  <c r="H160" i="3"/>
  <c r="G160" i="3"/>
  <c r="O157" i="3"/>
  <c r="N157" i="3"/>
  <c r="N161" i="3" s="1"/>
  <c r="M157" i="3"/>
  <c r="L157" i="3"/>
  <c r="L161" i="3" s="1"/>
  <c r="K157" i="3"/>
  <c r="K161" i="3" s="1"/>
  <c r="J157" i="3"/>
  <c r="J161" i="3" s="1"/>
  <c r="I157" i="3"/>
  <c r="I161" i="3" s="1"/>
  <c r="H157" i="3"/>
  <c r="H161" i="3" s="1"/>
  <c r="G157" i="3"/>
  <c r="G161" i="3" s="1"/>
  <c r="O151" i="3"/>
  <c r="N151" i="3"/>
  <c r="M151" i="3"/>
  <c r="J151" i="3"/>
  <c r="I151" i="3"/>
  <c r="N150" i="3"/>
  <c r="N152" i="3" s="1"/>
  <c r="L150" i="3"/>
  <c r="J150" i="3"/>
  <c r="J152" i="3" s="1"/>
  <c r="O149" i="3"/>
  <c r="N149" i="3"/>
  <c r="M149" i="3"/>
  <c r="L149" i="3"/>
  <c r="K149" i="3"/>
  <c r="J149" i="3"/>
  <c r="I149" i="3"/>
  <c r="H149" i="3"/>
  <c r="G149" i="3"/>
  <c r="O146" i="3"/>
  <c r="O150" i="3" s="1"/>
  <c r="O152" i="3" s="1"/>
  <c r="N146" i="3"/>
  <c r="M146" i="3"/>
  <c r="M150" i="3" s="1"/>
  <c r="M152" i="3" s="1"/>
  <c r="L146" i="3"/>
  <c r="L151" i="3" s="1"/>
  <c r="K146" i="3"/>
  <c r="K151" i="3" s="1"/>
  <c r="J146" i="3"/>
  <c r="I146" i="3"/>
  <c r="I150" i="3" s="1"/>
  <c r="I152" i="3" s="1"/>
  <c r="H146" i="3"/>
  <c r="H150" i="3" s="1"/>
  <c r="G146" i="3"/>
  <c r="G150" i="3" s="1"/>
  <c r="N142" i="3"/>
  <c r="L142" i="3"/>
  <c r="K142" i="3"/>
  <c r="J142" i="3"/>
  <c r="G142" i="3"/>
  <c r="K141" i="3"/>
  <c r="K143" i="3" s="1"/>
  <c r="I141" i="3"/>
  <c r="I143" i="3" s="1"/>
  <c r="G141" i="3"/>
  <c r="G143" i="3" s="1"/>
  <c r="O140" i="3"/>
  <c r="N140" i="3"/>
  <c r="M140" i="3"/>
  <c r="L140" i="3"/>
  <c r="K140" i="3"/>
  <c r="J140" i="3"/>
  <c r="I140" i="3"/>
  <c r="H140" i="3"/>
  <c r="G140" i="3"/>
  <c r="O137" i="3"/>
  <c r="O141" i="3" s="1"/>
  <c r="N137" i="3"/>
  <c r="N141" i="3" s="1"/>
  <c r="N143" i="3" s="1"/>
  <c r="M137" i="3"/>
  <c r="M141" i="3" s="1"/>
  <c r="L137" i="3"/>
  <c r="L141" i="3" s="1"/>
  <c r="L143" i="3" s="1"/>
  <c r="K137" i="3"/>
  <c r="J137" i="3"/>
  <c r="J141" i="3" s="1"/>
  <c r="J143" i="3" s="1"/>
  <c r="I137" i="3"/>
  <c r="I142" i="3" s="1"/>
  <c r="H137" i="3"/>
  <c r="H142" i="3" s="1"/>
  <c r="G137" i="3"/>
  <c r="L134" i="3"/>
  <c r="O133" i="3"/>
  <c r="N133" i="3"/>
  <c r="M133" i="3"/>
  <c r="L133" i="3"/>
  <c r="K133" i="3"/>
  <c r="J133" i="3"/>
  <c r="I133" i="3"/>
  <c r="H133" i="3"/>
  <c r="G133" i="3"/>
  <c r="L132" i="3"/>
  <c r="K132" i="3"/>
  <c r="K134" i="3" s="1"/>
  <c r="H132" i="3"/>
  <c r="H134" i="3" s="1"/>
  <c r="G132" i="3"/>
  <c r="G134" i="3" s="1"/>
  <c r="O131" i="3"/>
  <c r="O132" i="3" s="1"/>
  <c r="O134" i="3" s="1"/>
  <c r="N131" i="3"/>
  <c r="N132" i="3" s="1"/>
  <c r="N134" i="3" s="1"/>
  <c r="M131" i="3"/>
  <c r="M132" i="3" s="1"/>
  <c r="M134" i="3" s="1"/>
  <c r="L131" i="3"/>
  <c r="K131" i="3"/>
  <c r="J131" i="3"/>
  <c r="J132" i="3" s="1"/>
  <c r="J134" i="3" s="1"/>
  <c r="I131" i="3"/>
  <c r="I132" i="3" s="1"/>
  <c r="I134" i="3" s="1"/>
  <c r="H131" i="3"/>
  <c r="G131" i="3"/>
  <c r="O109" i="3"/>
  <c r="N109" i="3"/>
  <c r="M109" i="3"/>
  <c r="O108" i="3"/>
  <c r="O110" i="3" s="1"/>
  <c r="N108" i="3"/>
  <c r="K108" i="3"/>
  <c r="J108" i="3"/>
  <c r="O107" i="3"/>
  <c r="N107" i="3"/>
  <c r="M107" i="3"/>
  <c r="M108" i="3" s="1"/>
  <c r="L107" i="3"/>
  <c r="L108" i="3" s="1"/>
  <c r="L110" i="3" s="1"/>
  <c r="K107" i="3"/>
  <c r="J107" i="3"/>
  <c r="I107" i="3"/>
  <c r="H107" i="3"/>
  <c r="G107" i="3"/>
  <c r="O104" i="3"/>
  <c r="N104" i="3"/>
  <c r="M104" i="3"/>
  <c r="L104" i="3"/>
  <c r="L109" i="3" s="1"/>
  <c r="K104" i="3"/>
  <c r="K109" i="3" s="1"/>
  <c r="J104" i="3"/>
  <c r="J109" i="3" s="1"/>
  <c r="I104" i="3"/>
  <c r="I108" i="3" s="1"/>
  <c r="H104" i="3"/>
  <c r="H108" i="3" s="1"/>
  <c r="G104" i="3"/>
  <c r="G108" i="3" s="1"/>
  <c r="L100" i="3"/>
  <c r="K100" i="3"/>
  <c r="J100" i="3"/>
  <c r="H100" i="3"/>
  <c r="L99" i="3"/>
  <c r="L101" i="3" s="1"/>
  <c r="H99" i="3"/>
  <c r="G99" i="3"/>
  <c r="O98" i="3"/>
  <c r="N98" i="3"/>
  <c r="M98" i="3"/>
  <c r="L98" i="3"/>
  <c r="K98" i="3"/>
  <c r="J98" i="3"/>
  <c r="J99" i="3" s="1"/>
  <c r="I98" i="3"/>
  <c r="I99" i="3" s="1"/>
  <c r="H98" i="3"/>
  <c r="G98" i="3"/>
  <c r="O95" i="3"/>
  <c r="O99" i="3" s="1"/>
  <c r="N95" i="3"/>
  <c r="N99" i="3" s="1"/>
  <c r="M95" i="3"/>
  <c r="M99" i="3" s="1"/>
  <c r="L95" i="3"/>
  <c r="K95" i="3"/>
  <c r="K99" i="3" s="1"/>
  <c r="J95" i="3"/>
  <c r="I95" i="3"/>
  <c r="I100" i="3" s="1"/>
  <c r="H95" i="3"/>
  <c r="G95" i="3"/>
  <c r="G100" i="3" s="1"/>
  <c r="I91" i="3"/>
  <c r="H91" i="3"/>
  <c r="G91" i="3"/>
  <c r="I90" i="3"/>
  <c r="I92" i="3" s="1"/>
  <c r="O89" i="3"/>
  <c r="N89" i="3"/>
  <c r="N90" i="3" s="1"/>
  <c r="M89" i="3"/>
  <c r="L89" i="3"/>
  <c r="K89" i="3"/>
  <c r="J89" i="3"/>
  <c r="I89" i="3"/>
  <c r="H89" i="3"/>
  <c r="G89" i="3"/>
  <c r="G90" i="3" s="1"/>
  <c r="G92" i="3" s="1"/>
  <c r="O86" i="3"/>
  <c r="O90" i="3" s="1"/>
  <c r="N86" i="3"/>
  <c r="N91" i="3" s="1"/>
  <c r="M86" i="3"/>
  <c r="M90" i="3" s="1"/>
  <c r="L86" i="3"/>
  <c r="L90" i="3" s="1"/>
  <c r="K86" i="3"/>
  <c r="K90" i="3" s="1"/>
  <c r="J86" i="3"/>
  <c r="J90" i="3" s="1"/>
  <c r="I86" i="3"/>
  <c r="H86" i="3"/>
  <c r="H90" i="3" s="1"/>
  <c r="G86" i="3"/>
  <c r="N82" i="3"/>
  <c r="N81" i="3"/>
  <c r="N83" i="3" s="1"/>
  <c r="M81" i="3"/>
  <c r="O80" i="3"/>
  <c r="O81" i="3" s="1"/>
  <c r="N80" i="3"/>
  <c r="M80" i="3"/>
  <c r="L80" i="3"/>
  <c r="K80" i="3"/>
  <c r="K81" i="3" s="1"/>
  <c r="J80" i="3"/>
  <c r="I80" i="3"/>
  <c r="H80" i="3"/>
  <c r="G80" i="3"/>
  <c r="O77" i="3"/>
  <c r="O82" i="3" s="1"/>
  <c r="N77" i="3"/>
  <c r="M77" i="3"/>
  <c r="M82" i="3" s="1"/>
  <c r="L77" i="3"/>
  <c r="L81" i="3" s="1"/>
  <c r="K77" i="3"/>
  <c r="K82" i="3" s="1"/>
  <c r="J77" i="3"/>
  <c r="J81" i="3" s="1"/>
  <c r="I77" i="3"/>
  <c r="I81" i="3" s="1"/>
  <c r="H77" i="3"/>
  <c r="H81" i="3" s="1"/>
  <c r="G77" i="3"/>
  <c r="G81" i="3" s="1"/>
  <c r="O73" i="3"/>
  <c r="N73" i="3"/>
  <c r="N74" i="3" s="1"/>
  <c r="M73" i="3"/>
  <c r="L73" i="3"/>
  <c r="K73" i="3"/>
  <c r="J73" i="3"/>
  <c r="I73" i="3"/>
  <c r="H73" i="3"/>
  <c r="G73" i="3"/>
  <c r="O72" i="3"/>
  <c r="N72" i="3"/>
  <c r="K72" i="3"/>
  <c r="J72" i="3"/>
  <c r="O71" i="3"/>
  <c r="N71" i="3"/>
  <c r="M71" i="3"/>
  <c r="M72" i="3" s="1"/>
  <c r="M74" i="3" s="1"/>
  <c r="L71" i="3"/>
  <c r="L72" i="3" s="1"/>
  <c r="L74" i="3" s="1"/>
  <c r="K71" i="3"/>
  <c r="J71" i="3"/>
  <c r="I71" i="3"/>
  <c r="I72" i="3" s="1"/>
  <c r="H71" i="3"/>
  <c r="H72" i="3" s="1"/>
  <c r="H74" i="3" s="1"/>
  <c r="G71" i="3"/>
  <c r="G72" i="3" s="1"/>
  <c r="O50" i="3"/>
  <c r="N50" i="3"/>
  <c r="M50" i="3"/>
  <c r="O49" i="3"/>
  <c r="O51" i="3" s="1"/>
  <c r="M49" i="3"/>
  <c r="L49" i="3"/>
  <c r="K49" i="3"/>
  <c r="J49" i="3"/>
  <c r="O48" i="3"/>
  <c r="N48" i="3"/>
  <c r="M48" i="3"/>
  <c r="L48" i="3"/>
  <c r="K48" i="3"/>
  <c r="J48" i="3"/>
  <c r="I48" i="3"/>
  <c r="H48" i="3"/>
  <c r="G48" i="3"/>
  <c r="O45" i="3"/>
  <c r="N45" i="3"/>
  <c r="N49" i="3" s="1"/>
  <c r="N51" i="3" s="1"/>
  <c r="M45" i="3"/>
  <c r="L45" i="3"/>
  <c r="L50" i="3" s="1"/>
  <c r="K45" i="3"/>
  <c r="K50" i="3" s="1"/>
  <c r="J45" i="3"/>
  <c r="J50" i="3" s="1"/>
  <c r="I45" i="3"/>
  <c r="I49" i="3" s="1"/>
  <c r="H45" i="3"/>
  <c r="H49" i="3" s="1"/>
  <c r="G45" i="3"/>
  <c r="G49" i="3" s="1"/>
  <c r="L41" i="3"/>
  <c r="K41" i="3"/>
  <c r="J41" i="3"/>
  <c r="H41" i="3"/>
  <c r="L40" i="3"/>
  <c r="J40" i="3"/>
  <c r="J42" i="3" s="1"/>
  <c r="I40" i="3"/>
  <c r="I42" i="3" s="1"/>
  <c r="H40" i="3"/>
  <c r="H42" i="3" s="1"/>
  <c r="G40" i="3"/>
  <c r="G42" i="3" s="1"/>
  <c r="O39" i="3"/>
  <c r="N39" i="3"/>
  <c r="M39" i="3"/>
  <c r="L39" i="3"/>
  <c r="K39" i="3"/>
  <c r="J39" i="3"/>
  <c r="I39" i="3"/>
  <c r="H39" i="3"/>
  <c r="G39" i="3"/>
  <c r="O36" i="3"/>
  <c r="O40" i="3" s="1"/>
  <c r="N36" i="3"/>
  <c r="N40" i="3" s="1"/>
  <c r="M36" i="3"/>
  <c r="M40" i="3" s="1"/>
  <c r="L36" i="3"/>
  <c r="K36" i="3"/>
  <c r="K40" i="3" s="1"/>
  <c r="J36" i="3"/>
  <c r="I36" i="3"/>
  <c r="I41" i="3" s="1"/>
  <c r="H36" i="3"/>
  <c r="G36" i="3"/>
  <c r="G41" i="3" s="1"/>
  <c r="I32" i="3"/>
  <c r="H32" i="3"/>
  <c r="G32" i="3"/>
  <c r="I31" i="3"/>
  <c r="I33" i="3" s="1"/>
  <c r="G31" i="3"/>
  <c r="O30" i="3"/>
  <c r="N30" i="3"/>
  <c r="N31" i="3" s="1"/>
  <c r="M30" i="3"/>
  <c r="L30" i="3"/>
  <c r="K30" i="3"/>
  <c r="J30" i="3"/>
  <c r="I30" i="3"/>
  <c r="H30" i="3"/>
  <c r="G30" i="3"/>
  <c r="O27" i="3"/>
  <c r="O31" i="3" s="1"/>
  <c r="N27" i="3"/>
  <c r="N32" i="3" s="1"/>
  <c r="M27" i="3"/>
  <c r="M31" i="3" s="1"/>
  <c r="L27" i="3"/>
  <c r="L31" i="3" s="1"/>
  <c r="K27" i="3"/>
  <c r="K31" i="3" s="1"/>
  <c r="J27" i="3"/>
  <c r="J31" i="3" s="1"/>
  <c r="I27" i="3"/>
  <c r="H27" i="3"/>
  <c r="H31" i="3" s="1"/>
  <c r="H33" i="3" s="1"/>
  <c r="G27" i="3"/>
  <c r="N23" i="3"/>
  <c r="O22" i="3"/>
  <c r="N22" i="3"/>
  <c r="N24" i="3" s="1"/>
  <c r="M22" i="3"/>
  <c r="O21" i="3"/>
  <c r="N21" i="3"/>
  <c r="M21" i="3"/>
  <c r="L21" i="3"/>
  <c r="K21" i="3"/>
  <c r="K22" i="3" s="1"/>
  <c r="J21" i="3"/>
  <c r="I21" i="3"/>
  <c r="H21" i="3"/>
  <c r="G21" i="3"/>
  <c r="O18" i="3"/>
  <c r="O23" i="3" s="1"/>
  <c r="N18" i="3"/>
  <c r="M18" i="3"/>
  <c r="M23" i="3" s="1"/>
  <c r="L18" i="3"/>
  <c r="L22" i="3" s="1"/>
  <c r="K18" i="3"/>
  <c r="K23" i="3" s="1"/>
  <c r="J18" i="3"/>
  <c r="J22" i="3" s="1"/>
  <c r="I18" i="3"/>
  <c r="I22" i="3" s="1"/>
  <c r="H18" i="3"/>
  <c r="H22" i="3" s="1"/>
  <c r="G18" i="3"/>
  <c r="G22" i="3" s="1"/>
  <c r="O14" i="3"/>
  <c r="N14" i="3"/>
  <c r="M14" i="3"/>
  <c r="L14" i="3"/>
  <c r="K14" i="3"/>
  <c r="J14" i="3"/>
  <c r="I14" i="3"/>
  <c r="H14" i="3"/>
  <c r="O13" i="3"/>
  <c r="M13" i="3"/>
  <c r="L13" i="3"/>
  <c r="L15" i="3" s="1"/>
  <c r="K13" i="3"/>
  <c r="K15" i="3" s="1"/>
  <c r="J13" i="3"/>
  <c r="O12" i="3"/>
  <c r="N12" i="3"/>
  <c r="N13" i="3" s="1"/>
  <c r="M12" i="3"/>
  <c r="L12" i="3"/>
  <c r="K12" i="3"/>
  <c r="J12" i="3"/>
  <c r="I12" i="3"/>
  <c r="I13" i="3" s="1"/>
  <c r="I15" i="3" s="1"/>
  <c r="H12" i="3"/>
  <c r="H13" i="3" s="1"/>
  <c r="G12" i="3"/>
  <c r="E164" i="3"/>
  <c r="D164" i="3"/>
  <c r="E161" i="3"/>
  <c r="E160" i="3"/>
  <c r="D160" i="3"/>
  <c r="E157" i="3"/>
  <c r="D157" i="3"/>
  <c r="D161" i="3" s="1"/>
  <c r="E149" i="3"/>
  <c r="D149" i="3"/>
  <c r="E146" i="3"/>
  <c r="E151" i="3" s="1"/>
  <c r="E150" i="3" s="1"/>
  <c r="E147" i="3" s="1"/>
  <c r="D146" i="3"/>
  <c r="D151" i="3" s="1"/>
  <c r="D150" i="3" s="1"/>
  <c r="D147" i="3" s="1"/>
  <c r="D142" i="3"/>
  <c r="D141" i="3" s="1"/>
  <c r="D138" i="3" s="1"/>
  <c r="E140" i="3"/>
  <c r="D140" i="3"/>
  <c r="E137" i="3"/>
  <c r="E142" i="3" s="1"/>
  <c r="E141" i="3" s="1"/>
  <c r="E138" i="3" s="1"/>
  <c r="D137" i="3"/>
  <c r="E133" i="3"/>
  <c r="E132" i="3" s="1"/>
  <c r="D133" i="3"/>
  <c r="D132" i="3"/>
  <c r="E131" i="3"/>
  <c r="D131" i="3"/>
  <c r="E107" i="3"/>
  <c r="D107" i="3"/>
  <c r="E104" i="3"/>
  <c r="E109" i="3" s="1"/>
  <c r="E108" i="3" s="1"/>
  <c r="E105" i="3" s="1"/>
  <c r="D104" i="3"/>
  <c r="D109" i="3" s="1"/>
  <c r="D108" i="3" s="1"/>
  <c r="D105" i="3" s="1"/>
  <c r="E100" i="3"/>
  <c r="E99" i="3" s="1"/>
  <c r="E96" i="3" s="1"/>
  <c r="D100" i="3"/>
  <c r="D99" i="3" s="1"/>
  <c r="D96" i="3" s="1"/>
  <c r="E98" i="3"/>
  <c r="D98" i="3"/>
  <c r="E95" i="3"/>
  <c r="D95" i="3"/>
  <c r="E91" i="3"/>
  <c r="E90" i="3" s="1"/>
  <c r="E87" i="3" s="1"/>
  <c r="E89" i="3"/>
  <c r="D89" i="3"/>
  <c r="E86" i="3"/>
  <c r="D86" i="3"/>
  <c r="D91" i="3" s="1"/>
  <c r="D90" i="3" s="1"/>
  <c r="D87" i="3" s="1"/>
  <c r="E82" i="3"/>
  <c r="E81" i="3" s="1"/>
  <c r="E78" i="3" s="1"/>
  <c r="D82" i="3"/>
  <c r="D81" i="3" s="1"/>
  <c r="D78" i="3" s="1"/>
  <c r="E80" i="3"/>
  <c r="D80" i="3"/>
  <c r="E77" i="3"/>
  <c r="D77" i="3"/>
  <c r="E73" i="3"/>
  <c r="D73" i="3"/>
  <c r="D72" i="3" s="1"/>
  <c r="E72" i="3"/>
  <c r="E71" i="3"/>
  <c r="D71" i="3"/>
  <c r="E48" i="3"/>
  <c r="D48" i="3"/>
  <c r="E45" i="3"/>
  <c r="E50" i="3" s="1"/>
  <c r="E49" i="3" s="1"/>
  <c r="E46" i="3" s="1"/>
  <c r="D45" i="3"/>
  <c r="D50" i="3" s="1"/>
  <c r="D49" i="3" s="1"/>
  <c r="D46" i="3" s="1"/>
  <c r="E41" i="3"/>
  <c r="E40" i="3" s="1"/>
  <c r="E37" i="3" s="1"/>
  <c r="D41" i="3"/>
  <c r="D40" i="3" s="1"/>
  <c r="D37" i="3" s="1"/>
  <c r="E39" i="3"/>
  <c r="D39" i="3"/>
  <c r="E36" i="3"/>
  <c r="D36" i="3"/>
  <c r="E32" i="3"/>
  <c r="E31" i="3" s="1"/>
  <c r="E28" i="3" s="1"/>
  <c r="D32" i="3"/>
  <c r="D31" i="3" s="1"/>
  <c r="D28" i="3" s="1"/>
  <c r="E30" i="3"/>
  <c r="D30" i="3"/>
  <c r="E27" i="3"/>
  <c r="D27" i="3"/>
  <c r="E23" i="3"/>
  <c r="D23" i="3"/>
  <c r="D22" i="3" s="1"/>
  <c r="D19" i="3" s="1"/>
  <c r="E22" i="3"/>
  <c r="E19" i="3" s="1"/>
  <c r="E21" i="3"/>
  <c r="D21" i="3"/>
  <c r="E18" i="3"/>
  <c r="D18" i="3"/>
  <c r="E14" i="3"/>
  <c r="E13" i="3" s="1"/>
  <c r="D14" i="3"/>
  <c r="D13" i="3" s="1"/>
  <c r="E12" i="3"/>
  <c r="D12" i="3"/>
  <c r="I63" i="2"/>
  <c r="J63" i="2" s="1"/>
  <c r="K63" i="2" s="1"/>
  <c r="L63" i="2" s="1"/>
  <c r="M63" i="2" s="1"/>
  <c r="N63" i="2" s="1"/>
  <c r="O63" i="2" s="1"/>
  <c r="P63" i="2" s="1"/>
  <c r="I64" i="2"/>
  <c r="J64" i="2" s="1"/>
  <c r="K64" i="2" s="1"/>
  <c r="L64" i="2" s="1"/>
  <c r="M64" i="2" s="1"/>
  <c r="N64" i="2" s="1"/>
  <c r="O64" i="2" s="1"/>
  <c r="P64" i="2" s="1"/>
  <c r="DH56" i="27"/>
  <c r="CE56" i="27"/>
  <c r="CD56" i="27"/>
  <c r="CB56" i="27"/>
  <c r="BT56" i="27"/>
  <c r="BS56" i="27"/>
  <c r="BR56" i="27"/>
  <c r="BO56" i="27"/>
  <c r="BN56" i="27"/>
  <c r="BM56" i="27"/>
  <c r="BL56" i="27"/>
  <c r="BH56" i="27"/>
  <c r="BG56" i="27"/>
  <c r="CM56" i="27" s="1"/>
  <c r="BF56" i="27"/>
  <c r="BE56" i="27"/>
  <c r="DA56" i="27" s="1"/>
  <c r="BA56" i="27"/>
  <c r="AZ56" i="27"/>
  <c r="AY56" i="27"/>
  <c r="AX56" i="27"/>
  <c r="AU56" i="27"/>
  <c r="CY56" i="27" s="1"/>
  <c r="AT56" i="27"/>
  <c r="AS56" i="27"/>
  <c r="AH56" i="27"/>
  <c r="DK56" i="27" s="1"/>
  <c r="AF56" i="27"/>
  <c r="AA56" i="27"/>
  <c r="Y56" i="27"/>
  <c r="Q56" i="27"/>
  <c r="P56" i="27"/>
  <c r="DH57" i="27"/>
  <c r="CE57" i="27"/>
  <c r="CD57" i="27"/>
  <c r="CB57" i="27"/>
  <c r="BT57" i="27"/>
  <c r="BS57" i="27"/>
  <c r="BR57" i="27"/>
  <c r="BO57" i="27"/>
  <c r="BN57" i="27"/>
  <c r="BM57" i="27"/>
  <c r="BL57" i="27"/>
  <c r="BH57" i="27"/>
  <c r="BG57" i="27"/>
  <c r="BF57" i="27"/>
  <c r="BE57" i="27"/>
  <c r="BA57" i="27"/>
  <c r="AZ57" i="27"/>
  <c r="AY57" i="27"/>
  <c r="AX57" i="27"/>
  <c r="AU57" i="27"/>
  <c r="AT57" i="27"/>
  <c r="AS57" i="27"/>
  <c r="AH57" i="27"/>
  <c r="DK57" i="27" s="1"/>
  <c r="AF57" i="27"/>
  <c r="CI57" i="27" s="1"/>
  <c r="AA57" i="27"/>
  <c r="Y57" i="27"/>
  <c r="Q57" i="27"/>
  <c r="P57" i="27"/>
  <c r="DH58" i="27"/>
  <c r="CE58" i="27"/>
  <c r="CD58" i="27"/>
  <c r="CB58" i="27"/>
  <c r="BT58" i="27"/>
  <c r="BS58" i="27"/>
  <c r="BR58" i="27"/>
  <c r="BO58" i="27"/>
  <c r="BN58" i="27"/>
  <c r="BM58" i="27"/>
  <c r="BL58" i="27"/>
  <c r="BH58" i="27"/>
  <c r="BG58" i="27"/>
  <c r="BF58" i="27"/>
  <c r="BE58" i="27"/>
  <c r="BA58" i="27"/>
  <c r="AZ58" i="27"/>
  <c r="AY58" i="27"/>
  <c r="AX58" i="27"/>
  <c r="AU58" i="27"/>
  <c r="CY58" i="27" s="1"/>
  <c r="AT58" i="27"/>
  <c r="AS58" i="27"/>
  <c r="AH58" i="27"/>
  <c r="AF58" i="27"/>
  <c r="AA58" i="27"/>
  <c r="Y58" i="27"/>
  <c r="Q58" i="27"/>
  <c r="P58" i="27"/>
  <c r="H55" i="105" l="1"/>
  <c r="CM55" i="27"/>
  <c r="CZ55" i="27"/>
  <c r="DA55" i="27"/>
  <c r="CP55" i="27"/>
  <c r="DB55" i="27"/>
  <c r="DN55" i="27"/>
  <c r="CQ55" i="27"/>
  <c r="CR55" i="27"/>
  <c r="DP55" i="27"/>
  <c r="DR55" i="27" s="1"/>
  <c r="DE55" i="27"/>
  <c r="DQ55" i="27"/>
  <c r="DS55" i="27" s="1"/>
  <c r="CI55" i="27"/>
  <c r="DO55" i="27" s="1"/>
  <c r="CU55" i="27"/>
  <c r="DT55" i="27"/>
  <c r="DI55" i="27"/>
  <c r="DJ55" i="27"/>
  <c r="DB56" i="27"/>
  <c r="DC56" i="27"/>
  <c r="CI58" i="27"/>
  <c r="DF56" i="27"/>
  <c r="L152" i="3"/>
  <c r="H152" i="3"/>
  <c r="M143" i="3"/>
  <c r="G33" i="3"/>
  <c r="I74" i="3"/>
  <c r="N110" i="3"/>
  <c r="H141" i="3"/>
  <c r="H143" i="3" s="1"/>
  <c r="K150" i="3"/>
  <c r="K152" i="3" s="1"/>
  <c r="M142" i="3"/>
  <c r="J101" i="3"/>
  <c r="L42" i="3"/>
  <c r="N15" i="3"/>
  <c r="O142" i="3"/>
  <c r="O143" i="3" s="1"/>
  <c r="M51" i="3"/>
  <c r="G151" i="3"/>
  <c r="G152" i="3" s="1"/>
  <c r="J15" i="3"/>
  <c r="H92" i="3"/>
  <c r="H151" i="3"/>
  <c r="J74" i="3"/>
  <c r="K101" i="3"/>
  <c r="M110" i="3"/>
  <c r="K74" i="3"/>
  <c r="M15" i="3"/>
  <c r="K42" i="3"/>
  <c r="K83" i="3"/>
  <c r="N92" i="3"/>
  <c r="G101" i="3"/>
  <c r="H15" i="3"/>
  <c r="H164" i="3" s="1"/>
  <c r="O15" i="3"/>
  <c r="N33" i="3"/>
  <c r="G74" i="3"/>
  <c r="O74" i="3"/>
  <c r="H101" i="3"/>
  <c r="J110" i="3"/>
  <c r="M92" i="3"/>
  <c r="O101" i="3"/>
  <c r="K110" i="3"/>
  <c r="H110" i="3"/>
  <c r="O83" i="3"/>
  <c r="L92" i="3"/>
  <c r="M83" i="3"/>
  <c r="I101" i="3"/>
  <c r="G82" i="3"/>
  <c r="G83" i="3" s="1"/>
  <c r="J91" i="3"/>
  <c r="J92" i="3" s="1"/>
  <c r="M100" i="3"/>
  <c r="M101" i="3" s="1"/>
  <c r="H82" i="3"/>
  <c r="H83" i="3" s="1"/>
  <c r="K91" i="3"/>
  <c r="K92" i="3" s="1"/>
  <c r="N100" i="3"/>
  <c r="N101" i="3" s="1"/>
  <c r="I82" i="3"/>
  <c r="I83" i="3" s="1"/>
  <c r="L91" i="3"/>
  <c r="O100" i="3"/>
  <c r="J82" i="3"/>
  <c r="J83" i="3" s="1"/>
  <c r="M91" i="3"/>
  <c r="G109" i="3"/>
  <c r="G110" i="3" s="1"/>
  <c r="H109" i="3"/>
  <c r="L82" i="3"/>
  <c r="L83" i="3" s="1"/>
  <c r="O91" i="3"/>
  <c r="O92" i="3" s="1"/>
  <c r="I109" i="3"/>
  <c r="I110" i="3" s="1"/>
  <c r="I51" i="3"/>
  <c r="M24" i="3"/>
  <c r="J51" i="3"/>
  <c r="N42" i="3"/>
  <c r="K51" i="3"/>
  <c r="L51" i="3"/>
  <c r="O24" i="3"/>
  <c r="H24" i="3"/>
  <c r="K24" i="3"/>
  <c r="K164" i="3" s="1"/>
  <c r="G23" i="3"/>
  <c r="G24" i="3" s="1"/>
  <c r="J32" i="3"/>
  <c r="J33" i="3" s="1"/>
  <c r="M41" i="3"/>
  <c r="M42" i="3" s="1"/>
  <c r="H23" i="3"/>
  <c r="K32" i="3"/>
  <c r="K33" i="3" s="1"/>
  <c r="N41" i="3"/>
  <c r="I23" i="3"/>
  <c r="I24" i="3" s="1"/>
  <c r="L32" i="3"/>
  <c r="L33" i="3" s="1"/>
  <c r="O41" i="3"/>
  <c r="O42" i="3" s="1"/>
  <c r="J23" i="3"/>
  <c r="J24" i="3" s="1"/>
  <c r="M32" i="3"/>
  <c r="M33" i="3" s="1"/>
  <c r="G50" i="3"/>
  <c r="G51" i="3" s="1"/>
  <c r="H50" i="3"/>
  <c r="H51" i="3" s="1"/>
  <c r="L23" i="3"/>
  <c r="L24" i="3" s="1"/>
  <c r="L164" i="3" s="1"/>
  <c r="O32" i="3"/>
  <c r="O33" i="3" s="1"/>
  <c r="I50" i="3"/>
  <c r="CO57" i="27"/>
  <c r="CK56" i="27"/>
  <c r="CN56" i="27"/>
  <c r="CO56" i="27"/>
  <c r="DD56" i="27"/>
  <c r="DD58" i="27"/>
  <c r="CI56" i="27"/>
  <c r="CL56" i="27"/>
  <c r="DE56" i="27"/>
  <c r="CY57" i="27"/>
  <c r="CL58" i="27"/>
  <c r="DB57" i="27"/>
  <c r="CN57" i="27"/>
  <c r="CK57" i="27"/>
  <c r="DF57" i="27"/>
  <c r="CM58" i="27"/>
  <c r="DF58" i="27"/>
  <c r="DA57" i="27"/>
  <c r="DE57" i="27"/>
  <c r="DD57" i="27"/>
  <c r="CL57" i="27"/>
  <c r="CM57" i="27"/>
  <c r="DC57" i="27"/>
  <c r="CO58" i="27"/>
  <c r="DK58" i="27"/>
  <c r="DB58" i="27"/>
  <c r="CK58" i="27"/>
  <c r="CN58" i="27"/>
  <c r="DA58" i="27"/>
  <c r="DC58" i="27"/>
  <c r="DE58" i="27"/>
  <c r="DH59" i="27"/>
  <c r="CB59" i="27"/>
  <c r="BS59" i="27"/>
  <c r="BO59" i="27"/>
  <c r="BN59" i="27"/>
  <c r="BM59" i="27"/>
  <c r="BL59" i="27"/>
  <c r="BH59" i="27"/>
  <c r="BG59" i="27"/>
  <c r="BF59" i="27"/>
  <c r="BE59" i="27"/>
  <c r="BA59" i="27"/>
  <c r="AZ59" i="27"/>
  <c r="AY59" i="27"/>
  <c r="AX59" i="27"/>
  <c r="AU59" i="27"/>
  <c r="AT59" i="27"/>
  <c r="AS59" i="27"/>
  <c r="Q59" i="27"/>
  <c r="I164" i="3" l="1"/>
  <c r="J164" i="3"/>
  <c r="N164" i="3"/>
  <c r="M164" i="3"/>
  <c r="O164" i="3"/>
  <c r="DB59" i="27"/>
  <c r="DF59" i="27"/>
  <c r="DA59" i="27"/>
  <c r="CK59" i="27"/>
  <c r="DC59" i="27"/>
  <c r="DD59" i="27"/>
  <c r="CN59" i="27"/>
  <c r="CO59" i="27"/>
  <c r="CL59" i="27"/>
  <c r="CM59" i="27"/>
  <c r="DE59" i="27"/>
  <c r="B10" i="15"/>
  <c r="B10" i="17"/>
  <c r="B34" i="17" l="1"/>
  <c r="B34" i="15"/>
  <c r="B22" i="15"/>
  <c r="B22" i="17"/>
  <c r="B46" i="17" l="1"/>
  <c r="B46" i="15"/>
  <c r="DH54" i="27"/>
  <c r="B58" i="17" l="1"/>
  <c r="B58" i="15"/>
  <c r="CJ54" i="27"/>
  <c r="CK54" i="27"/>
  <c r="DM54" i="27"/>
  <c r="DD54" i="27"/>
  <c r="DC54" i="27"/>
  <c r="CY54" i="27"/>
  <c r="CR54" i="27"/>
  <c r="DK54" i="27"/>
  <c r="DG54" i="27"/>
  <c r="DL54" i="27"/>
  <c r="AS60" i="27"/>
  <c r="AX60" i="27"/>
  <c r="AY60" i="27"/>
  <c r="AZ60" i="27"/>
  <c r="BA60" i="27"/>
  <c r="BE60" i="27"/>
  <c r="BF60" i="27"/>
  <c r="BG60" i="27"/>
  <c r="BH60" i="27"/>
  <c r="BS60" i="27"/>
  <c r="B72" i="17" l="1"/>
  <c r="B74" i="15"/>
  <c r="DB54" i="27"/>
  <c r="DF54" i="27"/>
  <c r="DE54" i="27"/>
  <c r="CU54" i="27"/>
  <c r="CX54" i="27"/>
  <c r="CT54" i="27"/>
  <c r="DN54" i="27"/>
  <c r="CZ54" i="27"/>
  <c r="DI54" i="27"/>
  <c r="DJ54" i="27"/>
  <c r="DV54" i="27"/>
  <c r="CI54" i="27"/>
  <c r="DO54" i="27" s="1"/>
  <c r="DT54" i="27"/>
  <c r="DU54" i="27"/>
  <c r="DQ54" i="27"/>
  <c r="DS54" i="27" s="1"/>
  <c r="CV54" i="27"/>
  <c r="DP54" i="27"/>
  <c r="DR54" i="27" s="1"/>
  <c r="CL54" i="27"/>
  <c r="CN54" i="27"/>
  <c r="CW54" i="27"/>
  <c r="CM54" i="27"/>
  <c r="CQ54" i="27"/>
  <c r="CS54" i="27"/>
  <c r="CP54" i="27"/>
  <c r="DA54" i="27"/>
  <c r="CO54" i="27"/>
  <c r="CI45" i="27"/>
  <c r="CJ45" i="27"/>
  <c r="CK45" i="27"/>
  <c r="CL45" i="27"/>
  <c r="CM45" i="27"/>
  <c r="CN45" i="27"/>
  <c r="CO45" i="27"/>
  <c r="CP45" i="27"/>
  <c r="CQ45" i="27"/>
  <c r="CR45" i="27"/>
  <c r="CS45" i="27"/>
  <c r="CT45" i="27"/>
  <c r="CU45" i="27"/>
  <c r="CV45" i="27"/>
  <c r="CW45" i="27"/>
  <c r="CX45" i="27"/>
  <c r="CY45" i="27"/>
  <c r="CZ45" i="27"/>
  <c r="DA45" i="27"/>
  <c r="DB45" i="27"/>
  <c r="DC45" i="27"/>
  <c r="DD45" i="27"/>
  <c r="DE45" i="27"/>
  <c r="DF45" i="27"/>
  <c r="DG45" i="27"/>
  <c r="DH45" i="27"/>
  <c r="DI45" i="27"/>
  <c r="DJ45" i="27"/>
  <c r="DK45" i="27"/>
  <c r="DL45" i="27"/>
  <c r="DM45" i="27"/>
  <c r="DN45" i="27"/>
  <c r="DO45" i="27"/>
  <c r="DP45" i="27"/>
  <c r="DR45" i="27" s="1"/>
  <c r="DQ45" i="27"/>
  <c r="DS45" i="27" s="1"/>
  <c r="DT45" i="27"/>
  <c r="DU45" i="27"/>
  <c r="DV45" i="27"/>
  <c r="B86" i="15" l="1"/>
  <c r="B84" i="17"/>
  <c r="BM60" i="27"/>
  <c r="BO60" i="27"/>
  <c r="B98" i="15" l="1"/>
  <c r="B96" i="17"/>
  <c r="B108" i="17" l="1"/>
  <c r="B110" i="15"/>
  <c r="B10" i="110"/>
  <c r="CI44" i="27"/>
  <c r="DO44" i="27" s="1"/>
  <c r="CJ44" i="27"/>
  <c r="CK44" i="27"/>
  <c r="CL44" i="27"/>
  <c r="CM44" i="27"/>
  <c r="CN44" i="27"/>
  <c r="CO44" i="27"/>
  <c r="CP44" i="27"/>
  <c r="CQ44" i="27"/>
  <c r="CR44" i="27"/>
  <c r="CS44" i="27"/>
  <c r="CT44" i="27"/>
  <c r="CU44" i="27"/>
  <c r="CV44" i="27"/>
  <c r="CW44" i="27"/>
  <c r="CX44" i="27"/>
  <c r="CY44" i="27"/>
  <c r="CZ44" i="27"/>
  <c r="DA44" i="27"/>
  <c r="DB44" i="27"/>
  <c r="DC44" i="27"/>
  <c r="DD44" i="27"/>
  <c r="DE44" i="27"/>
  <c r="DF44" i="27"/>
  <c r="DG44" i="27"/>
  <c r="DH44" i="27"/>
  <c r="DI44" i="27"/>
  <c r="DJ44" i="27"/>
  <c r="DK44" i="27"/>
  <c r="DL44" i="27"/>
  <c r="DM44" i="27"/>
  <c r="DN44" i="27"/>
  <c r="DP44" i="27"/>
  <c r="DR44" i="27" s="1"/>
  <c r="DQ44" i="27"/>
  <c r="DS44" i="27" s="1"/>
  <c r="DT44" i="27"/>
  <c r="DU44" i="27"/>
  <c r="DV44" i="27"/>
  <c r="CI53" i="27"/>
  <c r="DO53" i="27" s="1"/>
  <c r="CJ53" i="27"/>
  <c r="CK53" i="27"/>
  <c r="CL53" i="27"/>
  <c r="CM53" i="27"/>
  <c r="CN53" i="27"/>
  <c r="CO53" i="27"/>
  <c r="CP53" i="27"/>
  <c r="CQ53" i="27"/>
  <c r="CR53" i="27"/>
  <c r="CS53" i="27"/>
  <c r="CT53" i="27"/>
  <c r="CU53" i="27"/>
  <c r="CV53" i="27"/>
  <c r="CW53" i="27"/>
  <c r="CX53" i="27"/>
  <c r="CY53" i="27"/>
  <c r="CZ53" i="27"/>
  <c r="DA53" i="27"/>
  <c r="DB53" i="27"/>
  <c r="DC53" i="27"/>
  <c r="DD53" i="27"/>
  <c r="DE53" i="27"/>
  <c r="DF53" i="27"/>
  <c r="DG53" i="27"/>
  <c r="DH53" i="27"/>
  <c r="DI53" i="27"/>
  <c r="DJ53" i="27"/>
  <c r="DK53" i="27"/>
  <c r="DL53" i="27"/>
  <c r="DM53" i="27"/>
  <c r="DN53" i="27"/>
  <c r="DP53" i="27"/>
  <c r="DR53" i="27" s="1"/>
  <c r="DQ53" i="27"/>
  <c r="DS53" i="27" s="1"/>
  <c r="DT53" i="27"/>
  <c r="DU53" i="27"/>
  <c r="DV53" i="27"/>
  <c r="B122" i="15" l="1"/>
  <c r="B120" i="17"/>
  <c r="DH41" i="27"/>
  <c r="DH42" i="27"/>
  <c r="DH43" i="27"/>
  <c r="CT43" i="27" l="1"/>
  <c r="CT42" i="27"/>
  <c r="CS43" i="27"/>
  <c r="CS42" i="27"/>
  <c r="CI43" i="27"/>
  <c r="DO43" i="27" s="1"/>
  <c r="CJ43" i="27"/>
  <c r="CK43" i="27"/>
  <c r="CL43" i="27"/>
  <c r="CM43" i="27"/>
  <c r="CN43" i="27"/>
  <c r="CO43" i="27"/>
  <c r="CP43" i="27"/>
  <c r="CQ43" i="27"/>
  <c r="CR43" i="27"/>
  <c r="CU43" i="27"/>
  <c r="CV43" i="27"/>
  <c r="CW43" i="27"/>
  <c r="CX43" i="27"/>
  <c r="CY43" i="27"/>
  <c r="CZ43" i="27"/>
  <c r="DA43" i="27"/>
  <c r="DB43" i="27"/>
  <c r="DC43" i="27"/>
  <c r="DD43" i="27"/>
  <c r="DE43" i="27"/>
  <c r="DF43" i="27"/>
  <c r="DG43" i="27"/>
  <c r="DI43" i="27"/>
  <c r="DJ43" i="27"/>
  <c r="DK43" i="27"/>
  <c r="DL43" i="27"/>
  <c r="DM43" i="27"/>
  <c r="DN43" i="27"/>
  <c r="DP43" i="27"/>
  <c r="DR43" i="27" s="1"/>
  <c r="DQ43" i="27"/>
  <c r="DS43" i="27" s="1"/>
  <c r="DT43" i="27"/>
  <c r="DU43" i="27"/>
  <c r="DV43" i="27"/>
  <c r="CI46" i="27"/>
  <c r="CJ46" i="27"/>
  <c r="CK46" i="27"/>
  <c r="CL46" i="27"/>
  <c r="CM46" i="27"/>
  <c r="CN46" i="27"/>
  <c r="CO46" i="27"/>
  <c r="CP46" i="27"/>
  <c r="CQ46" i="27"/>
  <c r="CR46" i="27"/>
  <c r="CS46" i="27"/>
  <c r="CT46" i="27"/>
  <c r="CU46" i="27"/>
  <c r="CV46" i="27"/>
  <c r="CW46" i="27"/>
  <c r="CX46" i="27"/>
  <c r="CY46" i="27"/>
  <c r="CZ46" i="27"/>
  <c r="DA46" i="27"/>
  <c r="DB46" i="27"/>
  <c r="DC46" i="27"/>
  <c r="DD46" i="27"/>
  <c r="DE46" i="27"/>
  <c r="DF46" i="27"/>
  <c r="DG46" i="27"/>
  <c r="DH46" i="27"/>
  <c r="DI46" i="27"/>
  <c r="DJ46" i="27"/>
  <c r="DK46" i="27"/>
  <c r="DL46" i="27"/>
  <c r="DM46" i="27"/>
  <c r="DN46" i="27"/>
  <c r="DO46" i="27"/>
  <c r="DP46" i="27"/>
  <c r="DR46" i="27" s="1"/>
  <c r="DQ46" i="27"/>
  <c r="DS46" i="27" s="1"/>
  <c r="DT46" i="27"/>
  <c r="DU46" i="27"/>
  <c r="DV46" i="27"/>
  <c r="CI47" i="27"/>
  <c r="DO47" i="27" s="1"/>
  <c r="CJ47" i="27"/>
  <c r="CK47" i="27"/>
  <c r="CL47" i="27"/>
  <c r="CM47" i="27"/>
  <c r="CN47" i="27"/>
  <c r="CO47" i="27"/>
  <c r="CP47" i="27"/>
  <c r="CQ47" i="27"/>
  <c r="CR47" i="27"/>
  <c r="CS47" i="27"/>
  <c r="CT47" i="27"/>
  <c r="CU47" i="27"/>
  <c r="CV47" i="27"/>
  <c r="CW47" i="27"/>
  <c r="CX47" i="27"/>
  <c r="CY47" i="27"/>
  <c r="CZ47" i="27"/>
  <c r="DA47" i="27"/>
  <c r="DB47" i="27"/>
  <c r="DC47" i="27"/>
  <c r="DD47" i="27"/>
  <c r="DE47" i="27"/>
  <c r="DF47" i="27"/>
  <c r="DG47" i="27"/>
  <c r="DH47" i="27"/>
  <c r="DI47" i="27"/>
  <c r="DJ47" i="27"/>
  <c r="DK47" i="27"/>
  <c r="DL47" i="27"/>
  <c r="DM47" i="27"/>
  <c r="DN47" i="27"/>
  <c r="DP47" i="27"/>
  <c r="DR47" i="27" s="1"/>
  <c r="DQ47" i="27"/>
  <c r="DS47" i="27" s="1"/>
  <c r="DT47" i="27"/>
  <c r="DU47" i="27"/>
  <c r="DV47" i="27"/>
  <c r="CI48" i="27"/>
  <c r="DO48" i="27" s="1"/>
  <c r="CJ48" i="27"/>
  <c r="CK48" i="27"/>
  <c r="CL48" i="27"/>
  <c r="CM48" i="27"/>
  <c r="CN48" i="27"/>
  <c r="CO48" i="27"/>
  <c r="CP48" i="27"/>
  <c r="CQ48" i="27"/>
  <c r="CR48" i="27"/>
  <c r="CS48" i="27"/>
  <c r="CT48" i="27"/>
  <c r="CU48" i="27"/>
  <c r="CV48" i="27"/>
  <c r="CW48" i="27"/>
  <c r="CX48" i="27"/>
  <c r="CY48" i="27"/>
  <c r="CZ48" i="27"/>
  <c r="DA48" i="27"/>
  <c r="DB48" i="27"/>
  <c r="DC48" i="27"/>
  <c r="DD48" i="27"/>
  <c r="DE48" i="27"/>
  <c r="DF48" i="27"/>
  <c r="DG48" i="27"/>
  <c r="DH48" i="27"/>
  <c r="DI48" i="27"/>
  <c r="DJ48" i="27"/>
  <c r="DK48" i="27"/>
  <c r="DL48" i="27"/>
  <c r="DM48" i="27"/>
  <c r="DN48" i="27"/>
  <c r="DP48" i="27"/>
  <c r="DR48" i="27" s="1"/>
  <c r="DQ48" i="27"/>
  <c r="DS48" i="27" s="1"/>
  <c r="DT48" i="27"/>
  <c r="DU48" i="27"/>
  <c r="DV48" i="27"/>
  <c r="CI49" i="27"/>
  <c r="DO49" i="27" s="1"/>
  <c r="CJ49" i="27"/>
  <c r="CK49" i="27"/>
  <c r="CL49" i="27"/>
  <c r="CM49" i="27"/>
  <c r="CN49" i="27"/>
  <c r="CO49" i="27"/>
  <c r="CP49" i="27"/>
  <c r="CQ49" i="27"/>
  <c r="CR49" i="27"/>
  <c r="CS49" i="27"/>
  <c r="CT49" i="27"/>
  <c r="CU49" i="27"/>
  <c r="CV49" i="27"/>
  <c r="CW49" i="27"/>
  <c r="CX49" i="27"/>
  <c r="CY49" i="27"/>
  <c r="CZ49" i="27"/>
  <c r="DA49" i="27"/>
  <c r="DB49" i="27"/>
  <c r="DC49" i="27"/>
  <c r="DD49" i="27"/>
  <c r="DE49" i="27"/>
  <c r="DF49" i="27"/>
  <c r="DG49" i="27"/>
  <c r="DH49" i="27"/>
  <c r="DI49" i="27"/>
  <c r="DJ49" i="27"/>
  <c r="DK49" i="27"/>
  <c r="DL49" i="27"/>
  <c r="DM49" i="27"/>
  <c r="DN49" i="27"/>
  <c r="DP49" i="27"/>
  <c r="DR49" i="27" s="1"/>
  <c r="DQ49" i="27"/>
  <c r="DS49" i="27" s="1"/>
  <c r="DT49" i="27"/>
  <c r="DU49" i="27"/>
  <c r="DV49" i="27"/>
  <c r="CI50" i="27"/>
  <c r="DO50" i="27" s="1"/>
  <c r="CJ50" i="27"/>
  <c r="CK50" i="27"/>
  <c r="CL50" i="27"/>
  <c r="CM50" i="27"/>
  <c r="CN50" i="27"/>
  <c r="CO50" i="27"/>
  <c r="CP50" i="27"/>
  <c r="CQ50" i="27"/>
  <c r="CR50" i="27"/>
  <c r="CS50" i="27"/>
  <c r="CT50" i="27"/>
  <c r="CU50" i="27"/>
  <c r="CV50" i="27"/>
  <c r="CW50" i="27"/>
  <c r="CX50" i="27"/>
  <c r="CY50" i="27"/>
  <c r="CZ50" i="27"/>
  <c r="DA50" i="27"/>
  <c r="DB50" i="27"/>
  <c r="DC50" i="27"/>
  <c r="DD50" i="27"/>
  <c r="DE50" i="27"/>
  <c r="DF50" i="27"/>
  <c r="DG50" i="27"/>
  <c r="DH50" i="27"/>
  <c r="DI50" i="27"/>
  <c r="DJ50" i="27"/>
  <c r="DK50" i="27"/>
  <c r="DL50" i="27"/>
  <c r="DM50" i="27"/>
  <c r="DN50" i="27"/>
  <c r="DP50" i="27"/>
  <c r="DR50" i="27" s="1"/>
  <c r="DQ50" i="27"/>
  <c r="DS50" i="27" s="1"/>
  <c r="DT50" i="27"/>
  <c r="DU50" i="27"/>
  <c r="DV50" i="27"/>
  <c r="CI51" i="27"/>
  <c r="DO51" i="27" s="1"/>
  <c r="CJ51" i="27"/>
  <c r="CK51" i="27"/>
  <c r="CL51" i="27"/>
  <c r="CM51" i="27"/>
  <c r="CN51" i="27"/>
  <c r="CO51" i="27"/>
  <c r="CP51" i="27"/>
  <c r="CQ51" i="27"/>
  <c r="CR51" i="27"/>
  <c r="CS51" i="27"/>
  <c r="CT51" i="27"/>
  <c r="CU51" i="27"/>
  <c r="CV51" i="27"/>
  <c r="CW51" i="27"/>
  <c r="CX51" i="27"/>
  <c r="CY51" i="27"/>
  <c r="CZ51" i="27"/>
  <c r="DA51" i="27"/>
  <c r="DB51" i="27"/>
  <c r="DC51" i="27"/>
  <c r="DD51" i="27"/>
  <c r="DE51" i="27"/>
  <c r="DF51" i="27"/>
  <c r="DG51" i="27"/>
  <c r="DH51" i="27"/>
  <c r="DI51" i="27"/>
  <c r="DJ51" i="27"/>
  <c r="DK51" i="27"/>
  <c r="DL51" i="27"/>
  <c r="DM51" i="27"/>
  <c r="DN51" i="27"/>
  <c r="DP51" i="27"/>
  <c r="DR51" i="27" s="1"/>
  <c r="DQ51" i="27"/>
  <c r="DS51" i="27" s="1"/>
  <c r="DT51" i="27"/>
  <c r="DU51" i="27"/>
  <c r="DV51" i="27"/>
  <c r="CI52" i="27"/>
  <c r="CJ52" i="27"/>
  <c r="CK52" i="27"/>
  <c r="CL52" i="27"/>
  <c r="CM52" i="27"/>
  <c r="CN52" i="27"/>
  <c r="CO52" i="27"/>
  <c r="CP52" i="27"/>
  <c r="CQ52" i="27"/>
  <c r="CR52" i="27"/>
  <c r="CS52" i="27"/>
  <c r="CT52" i="27"/>
  <c r="CU52" i="27"/>
  <c r="CV52" i="27"/>
  <c r="CW52" i="27"/>
  <c r="CX52" i="27"/>
  <c r="CY52" i="27"/>
  <c r="CZ52" i="27"/>
  <c r="DA52" i="27"/>
  <c r="DB52" i="27"/>
  <c r="DC52" i="27"/>
  <c r="DD52" i="27"/>
  <c r="DE52" i="27"/>
  <c r="DF52" i="27"/>
  <c r="DG52" i="27"/>
  <c r="DH52" i="27"/>
  <c r="DI52" i="27"/>
  <c r="DJ52" i="27"/>
  <c r="DK52" i="27"/>
  <c r="DL52" i="27"/>
  <c r="DM52" i="27"/>
  <c r="DN52" i="27"/>
  <c r="DO52" i="27"/>
  <c r="DP52" i="27"/>
  <c r="DR52" i="27" s="1"/>
  <c r="DQ52" i="27"/>
  <c r="DS52" i="27" s="1"/>
  <c r="DT52" i="27"/>
  <c r="DU52" i="27"/>
  <c r="DV52" i="27"/>
  <c r="DN42" i="27" l="1"/>
  <c r="DJ42" i="27"/>
  <c r="CP42" i="27"/>
  <c r="DF60" i="27" l="1"/>
  <c r="DE60" i="27"/>
  <c r="DA60" i="27"/>
  <c r="DB60" i="27"/>
  <c r="DC60" i="27"/>
  <c r="DD60" i="27"/>
  <c r="DT42" i="27" l="1"/>
  <c r="DL42" i="27"/>
  <c r="DG42" i="27"/>
  <c r="DF42" i="27"/>
  <c r="DC42" i="27"/>
  <c r="DB42" i="27"/>
  <c r="CX42" i="27"/>
  <c r="CQ42" i="27"/>
  <c r="CL42" i="27"/>
  <c r="CJ42" i="27"/>
  <c r="CO42" i="27"/>
  <c r="CM42" i="27"/>
  <c r="CN42" i="27"/>
  <c r="CK42" i="27"/>
  <c r="DM42" i="27"/>
  <c r="DD42" i="27"/>
  <c r="DE42" i="27"/>
  <c r="DA42" i="27"/>
  <c r="CW42" i="27"/>
  <c r="CV42" i="27"/>
  <c r="DK42" i="27"/>
  <c r="CY42" i="27"/>
  <c r="DV42" i="27"/>
  <c r="DU42" i="27" l="1"/>
  <c r="DP42" i="27"/>
  <c r="DR42" i="27" s="1"/>
  <c r="CI42" i="27"/>
  <c r="DO42" i="27" s="1"/>
  <c r="CU42" i="27"/>
  <c r="DQ42" i="27"/>
  <c r="DS42" i="27" s="1"/>
  <c r="CR42" i="27"/>
  <c r="CZ42" i="27"/>
  <c r="DI42" i="27"/>
  <c r="CT41" i="27"/>
  <c r="CS41" i="27"/>
  <c r="CP41" i="27"/>
  <c r="CZ41" i="27"/>
  <c r="DJ41" i="27"/>
  <c r="DN41" i="27"/>
  <c r="CO60" i="27" l="1"/>
  <c r="CL60" i="27"/>
  <c r="DI41" i="27"/>
  <c r="CW41" i="27"/>
  <c r="CR41" i="27"/>
  <c r="CO41" i="27"/>
  <c r="CJ41" i="27"/>
  <c r="DK41" i="27"/>
  <c r="CM41" i="27"/>
  <c r="CN41" i="27"/>
  <c r="CK41" i="27"/>
  <c r="DM41" i="27"/>
  <c r="DD41" i="27"/>
  <c r="DC41" i="27"/>
  <c r="DB41" i="27"/>
  <c r="DA41" i="27"/>
  <c r="DP41" i="27"/>
  <c r="DR41" i="27" s="1"/>
  <c r="CY41" i="27"/>
  <c r="DQ41" i="27"/>
  <c r="DS41" i="27" s="1"/>
  <c r="CV41" i="27"/>
  <c r="CU41" i="27"/>
  <c r="DU41" i="27"/>
  <c r="DG41" i="27"/>
  <c r="DL41" i="27"/>
  <c r="DV41" i="27"/>
  <c r="DE41" i="27" l="1"/>
  <c r="CX41" i="27"/>
  <c r="DF41" i="27"/>
  <c r="CI41" i="27"/>
  <c r="DO41" i="27" s="1"/>
  <c r="CQ41" i="27"/>
  <c r="CL41" i="27"/>
  <c r="DT41" i="27"/>
  <c r="CI7" i="27" l="1"/>
  <c r="DO7" i="27" s="1"/>
  <c r="CI8" i="27"/>
  <c r="DO8" i="27" s="1"/>
  <c r="CI9" i="27"/>
  <c r="DO9" i="27" s="1"/>
  <c r="CI10" i="27"/>
  <c r="DO10" i="27" s="1"/>
  <c r="CI11" i="27"/>
  <c r="DO11" i="27" s="1"/>
  <c r="CI12" i="27"/>
  <c r="DO12" i="27" s="1"/>
  <c r="CI13" i="27"/>
  <c r="DO13" i="27" s="1"/>
  <c r="CI14" i="27"/>
  <c r="DO14" i="27" s="1"/>
  <c r="CI15" i="27"/>
  <c r="DO15" i="27" s="1"/>
  <c r="CI16" i="27"/>
  <c r="DO16" i="27" s="1"/>
  <c r="CI17" i="27"/>
  <c r="DO17" i="27" s="1"/>
  <c r="CI18" i="27"/>
  <c r="DO18" i="27" s="1"/>
  <c r="CI19" i="27"/>
  <c r="DO19" i="27" s="1"/>
  <c r="CI20" i="27"/>
  <c r="DO20" i="27" s="1"/>
  <c r="CI21" i="27"/>
  <c r="DO21" i="27" s="1"/>
  <c r="CI22" i="27"/>
  <c r="DO22" i="27" s="1"/>
  <c r="CI23" i="27"/>
  <c r="DO23" i="27" s="1"/>
  <c r="CI24" i="27"/>
  <c r="DO24" i="27" s="1"/>
  <c r="CI25" i="27"/>
  <c r="DO25" i="27" s="1"/>
  <c r="CI26" i="27"/>
  <c r="DO26" i="27" s="1"/>
  <c r="CI27" i="27"/>
  <c r="DO27" i="27" s="1"/>
  <c r="CI28" i="27"/>
  <c r="DO28" i="27" s="1"/>
  <c r="CI29" i="27"/>
  <c r="DO29" i="27" s="1"/>
  <c r="CI30" i="27"/>
  <c r="DO30" i="27" s="1"/>
  <c r="CI31" i="27"/>
  <c r="DO31" i="27" s="1"/>
  <c r="CI32" i="27"/>
  <c r="DO32" i="27" s="1"/>
  <c r="CI33" i="27"/>
  <c r="DO33" i="27" s="1"/>
  <c r="CI34" i="27"/>
  <c r="DO34" i="27" s="1"/>
  <c r="CI35" i="27"/>
  <c r="DO35" i="27" s="1"/>
  <c r="CI36" i="27"/>
  <c r="DO36" i="27" s="1"/>
  <c r="J9" i="105"/>
  <c r="J13" i="105" s="1"/>
  <c r="E166" i="3"/>
  <c r="P41" i="105"/>
  <c r="M9" i="105"/>
  <c r="M13" i="105" s="1"/>
  <c r="I9" i="105"/>
  <c r="I13" i="105" s="1"/>
  <c r="D29" i="121"/>
  <c r="D31" i="121" s="1"/>
  <c r="D34" i="121" s="1"/>
  <c r="E50" i="121"/>
  <c r="F50" i="121"/>
  <c r="D50" i="121"/>
  <c r="F29" i="121"/>
  <c r="F31" i="121" s="1"/>
  <c r="F34" i="121" s="1"/>
  <c r="G29" i="121"/>
  <c r="G31" i="121" s="1"/>
  <c r="G35" i="121" s="1"/>
  <c r="H29" i="121"/>
  <c r="H31" i="121" s="1"/>
  <c r="H35" i="121" s="1"/>
  <c r="I29" i="121"/>
  <c r="I31" i="121" s="1"/>
  <c r="I35" i="121" s="1"/>
  <c r="J29" i="121"/>
  <c r="J31" i="121" s="1"/>
  <c r="J35" i="121" s="1"/>
  <c r="K29" i="121"/>
  <c r="K31" i="121" s="1"/>
  <c r="K35" i="121" s="1"/>
  <c r="L29" i="121"/>
  <c r="L31" i="121" s="1"/>
  <c r="L35" i="121" s="1"/>
  <c r="M29" i="121"/>
  <c r="M31" i="121" s="1"/>
  <c r="M35" i="121" s="1"/>
  <c r="N29" i="121"/>
  <c r="N31" i="121" s="1"/>
  <c r="N35" i="121" s="1"/>
  <c r="O29" i="121"/>
  <c r="O31" i="121" s="1"/>
  <c r="O35" i="121" s="1"/>
  <c r="P29" i="121"/>
  <c r="P31" i="121" s="1"/>
  <c r="P35" i="121" s="1"/>
  <c r="E29" i="121"/>
  <c r="E31" i="121" s="1"/>
  <c r="E34" i="121" s="1"/>
  <c r="E18" i="121"/>
  <c r="E20" i="121" s="1"/>
  <c r="E23" i="121" s="1"/>
  <c r="F18" i="121"/>
  <c r="F20" i="121" s="1"/>
  <c r="F23" i="121" s="1"/>
  <c r="G18" i="121"/>
  <c r="G20" i="121" s="1"/>
  <c r="G24" i="121" s="1"/>
  <c r="H18" i="121"/>
  <c r="H20" i="121" s="1"/>
  <c r="H24" i="121" s="1"/>
  <c r="I18" i="121"/>
  <c r="I20" i="121" s="1"/>
  <c r="I24" i="121" s="1"/>
  <c r="J18" i="121"/>
  <c r="J20" i="121" s="1"/>
  <c r="J24" i="121" s="1"/>
  <c r="K18" i="121"/>
  <c r="K20" i="121" s="1"/>
  <c r="K24" i="121" s="1"/>
  <c r="L18" i="121"/>
  <c r="L20" i="121" s="1"/>
  <c r="L24" i="121" s="1"/>
  <c r="M18" i="121"/>
  <c r="M20" i="121" s="1"/>
  <c r="M24" i="121" s="1"/>
  <c r="N18" i="121"/>
  <c r="N20" i="121" s="1"/>
  <c r="N24" i="121" s="1"/>
  <c r="O18" i="121"/>
  <c r="O20" i="121" s="1"/>
  <c r="O24" i="121" s="1"/>
  <c r="P18" i="121"/>
  <c r="P20" i="121" s="1"/>
  <c r="P24" i="121" s="1"/>
  <c r="E9" i="121"/>
  <c r="F9" i="121"/>
  <c r="D18" i="121"/>
  <c r="D20" i="121" s="1"/>
  <c r="D23" i="121" s="1"/>
  <c r="D9" i="121"/>
  <c r="G4" i="121"/>
  <c r="D166" i="3"/>
  <c r="F11" i="22"/>
  <c r="F19" i="22"/>
  <c r="D55" i="25"/>
  <c r="Y59" i="27" s="1"/>
  <c r="F27" i="22"/>
  <c r="D47" i="25"/>
  <c r="P59" i="27" s="1"/>
  <c r="D9" i="21"/>
  <c r="D57" i="25" s="1"/>
  <c r="F16" i="22"/>
  <c r="AM56" i="27" s="1"/>
  <c r="F22" i="22"/>
  <c r="F13" i="22"/>
  <c r="D49" i="25"/>
  <c r="D50" i="25"/>
  <c r="D51" i="25"/>
  <c r="D15" i="25"/>
  <c r="CE59" i="27" s="1"/>
  <c r="D17" i="25"/>
  <c r="CD59" i="27" s="1"/>
  <c r="D60" i="25"/>
  <c r="D65" i="23" s="1"/>
  <c r="E65" i="23" s="1"/>
  <c r="F65" i="23" s="1"/>
  <c r="G65" i="23" s="1"/>
  <c r="H65" i="23" s="1"/>
  <c r="I65" i="23" s="1"/>
  <c r="J65" i="23" s="1"/>
  <c r="K65" i="23" s="1"/>
  <c r="L65" i="23" s="1"/>
  <c r="M65" i="23" s="1"/>
  <c r="D63" i="25"/>
  <c r="D65" i="25"/>
  <c r="H10" i="105"/>
  <c r="D19" i="22"/>
  <c r="H41" i="105"/>
  <c r="H47" i="105" s="1"/>
  <c r="B11" i="15"/>
  <c r="D8" i="15" s="1"/>
  <c r="D11" i="15"/>
  <c r="D136" i="15" s="1"/>
  <c r="B11" i="17"/>
  <c r="D8" i="17" s="1"/>
  <c r="D11" i="17"/>
  <c r="D134" i="17" s="1"/>
  <c r="B11" i="19"/>
  <c r="D8" i="19" s="1"/>
  <c r="D11" i="19"/>
  <c r="D134" i="19" s="1"/>
  <c r="D5" i="16"/>
  <c r="E5" i="16" s="1"/>
  <c r="F5" i="16" s="1"/>
  <c r="F241" i="16" s="1"/>
  <c r="D5" i="108"/>
  <c r="E5" i="108" s="1"/>
  <c r="D5" i="20"/>
  <c r="E5" i="20" s="1"/>
  <c r="F5" i="20" s="1"/>
  <c r="G5" i="20" s="1"/>
  <c r="G80" i="20" s="1"/>
  <c r="D5" i="107"/>
  <c r="D8" i="107" s="1"/>
  <c r="D15" i="107" s="1"/>
  <c r="D5" i="12"/>
  <c r="D8" i="12" s="1"/>
  <c r="D5" i="106"/>
  <c r="D8" i="106" s="1"/>
  <c r="D15" i="106" s="1"/>
  <c r="D6" i="23"/>
  <c r="D20" i="24"/>
  <c r="AT60" i="27" s="1"/>
  <c r="D13" i="22"/>
  <c r="G8" i="22"/>
  <c r="G9" i="22"/>
  <c r="G9" i="3"/>
  <c r="G68" i="3"/>
  <c r="G128" i="3"/>
  <c r="D16" i="23"/>
  <c r="D13" i="21"/>
  <c r="D49" i="24"/>
  <c r="D50" i="24"/>
  <c r="D52" i="24"/>
  <c r="E13" i="21"/>
  <c r="E49" i="24"/>
  <c r="E50" i="24"/>
  <c r="E52" i="24"/>
  <c r="F13" i="21"/>
  <c r="F49" i="24"/>
  <c r="F50" i="24"/>
  <c r="F52" i="24"/>
  <c r="G13" i="21"/>
  <c r="G49" i="24"/>
  <c r="G50" i="24"/>
  <c r="G52" i="24"/>
  <c r="H13" i="21"/>
  <c r="H49" i="24"/>
  <c r="H50" i="24"/>
  <c r="H52" i="24"/>
  <c r="I13" i="21"/>
  <c r="I49" i="24"/>
  <c r="I50" i="24"/>
  <c r="I52" i="24"/>
  <c r="J13" i="21"/>
  <c r="J49" i="24"/>
  <c r="J50" i="24"/>
  <c r="J52" i="24"/>
  <c r="K13" i="21"/>
  <c r="K49" i="24"/>
  <c r="K50" i="24"/>
  <c r="K52" i="24"/>
  <c r="L13" i="21"/>
  <c r="L49" i="24"/>
  <c r="L50" i="24"/>
  <c r="L52" i="24"/>
  <c r="I10" i="105"/>
  <c r="J10" i="105"/>
  <c r="K9" i="105"/>
  <c r="K13" i="105" s="1"/>
  <c r="K10" i="105"/>
  <c r="L10" i="105"/>
  <c r="M10" i="105"/>
  <c r="N9" i="105"/>
  <c r="N13" i="105" s="1"/>
  <c r="N10" i="105"/>
  <c r="O9" i="105"/>
  <c r="O13" i="105" s="1"/>
  <c r="O10" i="105"/>
  <c r="P9" i="105"/>
  <c r="P13" i="105" s="1"/>
  <c r="P10" i="105"/>
  <c r="L36" i="23"/>
  <c r="L37" i="23"/>
  <c r="K36" i="23"/>
  <c r="K37" i="23"/>
  <c r="J36" i="23"/>
  <c r="J37" i="23"/>
  <c r="I36" i="23"/>
  <c r="I37" i="23"/>
  <c r="H36" i="23"/>
  <c r="H37" i="23"/>
  <c r="G36" i="23"/>
  <c r="G37" i="23"/>
  <c r="F36" i="23"/>
  <c r="F37" i="23"/>
  <c r="E36" i="23"/>
  <c r="E37" i="23"/>
  <c r="D36" i="23"/>
  <c r="D37" i="23"/>
  <c r="O9" i="3"/>
  <c r="O68" i="3"/>
  <c r="O128" i="3"/>
  <c r="N9" i="3"/>
  <c r="N68" i="3"/>
  <c r="N128" i="3"/>
  <c r="M9" i="3"/>
  <c r="M68" i="3"/>
  <c r="M128" i="3"/>
  <c r="L9" i="3"/>
  <c r="L68" i="3"/>
  <c r="L128" i="3"/>
  <c r="K9" i="3"/>
  <c r="K68" i="3"/>
  <c r="K128" i="3"/>
  <c r="J9" i="3"/>
  <c r="J68" i="3"/>
  <c r="J128" i="3"/>
  <c r="I9" i="3"/>
  <c r="I68" i="3"/>
  <c r="I128" i="3"/>
  <c r="H9" i="3"/>
  <c r="H68" i="3"/>
  <c r="H128" i="3"/>
  <c r="E128" i="3"/>
  <c r="D128" i="3"/>
  <c r="E68" i="3"/>
  <c r="D68" i="3"/>
  <c r="E9" i="3"/>
  <c r="D9" i="3"/>
  <c r="E28" i="105"/>
  <c r="E9" i="105" s="1"/>
  <c r="E13" i="105" s="1"/>
  <c r="E10" i="105"/>
  <c r="F28" i="105"/>
  <c r="F9" i="105" s="1"/>
  <c r="F13" i="105" s="1"/>
  <c r="F10" i="105"/>
  <c r="F54" i="1"/>
  <c r="F21" i="1"/>
  <c r="F24" i="1"/>
  <c r="G54" i="1"/>
  <c r="AU91" i="27"/>
  <c r="M6" i="23"/>
  <c r="D5" i="15"/>
  <c r="E5" i="15" s="1"/>
  <c r="B20" i="15" s="1"/>
  <c r="O41" i="105"/>
  <c r="N41" i="105"/>
  <c r="M41" i="105"/>
  <c r="L41" i="105"/>
  <c r="K41" i="105"/>
  <c r="J41" i="105"/>
  <c r="I41" i="105"/>
  <c r="E11" i="15"/>
  <c r="D5" i="17"/>
  <c r="E5" i="17" s="1"/>
  <c r="F5" i="17" s="1"/>
  <c r="E11" i="17"/>
  <c r="D5" i="19"/>
  <c r="E5" i="19" s="1"/>
  <c r="E11" i="19"/>
  <c r="M20" i="24"/>
  <c r="AT69" i="27" s="1"/>
  <c r="P8" i="22"/>
  <c r="P9" i="22"/>
  <c r="P59" i="1"/>
  <c r="P9" i="3"/>
  <c r="P14" i="3" s="1"/>
  <c r="P12" i="3"/>
  <c r="P18" i="3"/>
  <c r="P23" i="3" s="1"/>
  <c r="P21" i="3"/>
  <c r="P27" i="3"/>
  <c r="P32" i="3" s="1"/>
  <c r="P30" i="3"/>
  <c r="P36" i="3"/>
  <c r="P39" i="3"/>
  <c r="P45" i="3"/>
  <c r="P48" i="3"/>
  <c r="P68" i="3"/>
  <c r="P73" i="3" s="1"/>
  <c r="P71" i="3"/>
  <c r="P77" i="3"/>
  <c r="P82" i="3" s="1"/>
  <c r="P80" i="3"/>
  <c r="P86" i="3"/>
  <c r="P91" i="3" s="1"/>
  <c r="P89" i="3"/>
  <c r="P95" i="3"/>
  <c r="P100" i="3" s="1"/>
  <c r="P98" i="3"/>
  <c r="P104" i="3"/>
  <c r="P109" i="3" s="1"/>
  <c r="P107" i="3"/>
  <c r="P128" i="3"/>
  <c r="P131" i="3"/>
  <c r="P137" i="3"/>
  <c r="P140" i="3"/>
  <c r="P146" i="3"/>
  <c r="P149" i="3"/>
  <c r="M16" i="23"/>
  <c r="L6" i="23"/>
  <c r="L20" i="24"/>
  <c r="AT68" i="27" s="1"/>
  <c r="O8" i="22"/>
  <c r="O9" i="22"/>
  <c r="O54" i="1"/>
  <c r="O61" i="1" s="1"/>
  <c r="L16" i="23"/>
  <c r="K6" i="23"/>
  <c r="K20" i="24"/>
  <c r="AT67" i="27" s="1"/>
  <c r="N8" i="22"/>
  <c r="N9" i="22"/>
  <c r="N54" i="1"/>
  <c r="N61" i="1" s="1"/>
  <c r="N50" i="121" s="1"/>
  <c r="K16" i="23"/>
  <c r="J6" i="23"/>
  <c r="J20" i="24"/>
  <c r="AT66" i="27" s="1"/>
  <c r="M8" i="22"/>
  <c r="M9" i="22"/>
  <c r="M54" i="1"/>
  <c r="M61" i="1" s="1"/>
  <c r="M50" i="121" s="1"/>
  <c r="J16" i="23"/>
  <c r="I6" i="23"/>
  <c r="I20" i="24"/>
  <c r="AT65" i="27" s="1"/>
  <c r="L8" i="22"/>
  <c r="L9" i="22"/>
  <c r="L54" i="1"/>
  <c r="L7" i="121" s="1"/>
  <c r="I16" i="23"/>
  <c r="H6" i="23"/>
  <c r="H20" i="24"/>
  <c r="AT64" i="27" s="1"/>
  <c r="K8" i="22"/>
  <c r="K9" i="22"/>
  <c r="K54" i="1"/>
  <c r="K7" i="121" s="1"/>
  <c r="H16" i="23"/>
  <c r="G6" i="23"/>
  <c r="G20" i="24"/>
  <c r="AT63" i="27" s="1"/>
  <c r="J8" i="22"/>
  <c r="J9" i="22"/>
  <c r="J54" i="1"/>
  <c r="J7" i="121" s="1"/>
  <c r="G16" i="23"/>
  <c r="F6" i="23"/>
  <c r="F20" i="24"/>
  <c r="AT62" i="27" s="1"/>
  <c r="I8" i="22"/>
  <c r="I9" i="22"/>
  <c r="I54" i="1"/>
  <c r="I61" i="1" s="1"/>
  <c r="I50" i="121" s="1"/>
  <c r="F16" i="23"/>
  <c r="E6" i="23"/>
  <c r="E20" i="24"/>
  <c r="AT61" i="27" s="1"/>
  <c r="H8" i="22"/>
  <c r="H9" i="22"/>
  <c r="H54" i="1"/>
  <c r="H61" i="1" s="1"/>
  <c r="H50" i="121" s="1"/>
  <c r="E16" i="23"/>
  <c r="DV40" i="27"/>
  <c r="DV39" i="27"/>
  <c r="DV38" i="27"/>
  <c r="DV37" i="27"/>
  <c r="DV36" i="27"/>
  <c r="DV35" i="27"/>
  <c r="DV34" i="27"/>
  <c r="DV33" i="27"/>
  <c r="DV32" i="27"/>
  <c r="DV31" i="27"/>
  <c r="DV30" i="27"/>
  <c r="DV29" i="27"/>
  <c r="DV28" i="27"/>
  <c r="DV27" i="27"/>
  <c r="DV26" i="27"/>
  <c r="DV25" i="27"/>
  <c r="DV24" i="27"/>
  <c r="DV23" i="27"/>
  <c r="DV22" i="27"/>
  <c r="DV21" i="27"/>
  <c r="DV20" i="27"/>
  <c r="DV19" i="27"/>
  <c r="DV18" i="27"/>
  <c r="DV17" i="27"/>
  <c r="DV16" i="27"/>
  <c r="DV15" i="27"/>
  <c r="DV14" i="27"/>
  <c r="DV13" i="27"/>
  <c r="DV12" i="27"/>
  <c r="DV11" i="27"/>
  <c r="DV10" i="27"/>
  <c r="DV9" i="27"/>
  <c r="DV8" i="27"/>
  <c r="BN91" i="27"/>
  <c r="BG91" i="27"/>
  <c r="BF91" i="27"/>
  <c r="AZ91" i="27"/>
  <c r="AY91" i="27"/>
  <c r="M50" i="24"/>
  <c r="BG69" i="27"/>
  <c r="BG68" i="27"/>
  <c r="BG67" i="27"/>
  <c r="BG66" i="27"/>
  <c r="BG65" i="27"/>
  <c r="BG64" i="27"/>
  <c r="BG63" i="27"/>
  <c r="BG62" i="27"/>
  <c r="BG61" i="27"/>
  <c r="BF69" i="27"/>
  <c r="BF68" i="27"/>
  <c r="BF67" i="27"/>
  <c r="BF66" i="27"/>
  <c r="BF65" i="27"/>
  <c r="BF64" i="27"/>
  <c r="BF63" i="27"/>
  <c r="BF62" i="27"/>
  <c r="BF61" i="27"/>
  <c r="AZ69" i="27"/>
  <c r="AZ68" i="27"/>
  <c r="AZ67" i="27"/>
  <c r="AZ66" i="27"/>
  <c r="AZ65" i="27"/>
  <c r="AZ64" i="27"/>
  <c r="AZ63" i="27"/>
  <c r="AZ62" i="27"/>
  <c r="AZ61" i="27"/>
  <c r="AY69" i="27"/>
  <c r="AY68" i="27"/>
  <c r="AY67" i="27"/>
  <c r="AY66" i="27"/>
  <c r="AY65" i="27"/>
  <c r="AY64" i="27"/>
  <c r="AY63" i="27"/>
  <c r="AY62" i="27"/>
  <c r="AY61" i="27"/>
  <c r="E54" i="1"/>
  <c r="E60" i="1" s="1"/>
  <c r="E8" i="121" s="1"/>
  <c r="E41" i="121" s="1"/>
  <c r="D54" i="1"/>
  <c r="D60" i="1" s="1"/>
  <c r="F8" i="2"/>
  <c r="E8" i="2" s="1"/>
  <c r="E4" i="121" s="1"/>
  <c r="E12" i="25"/>
  <c r="F12" i="25" s="1"/>
  <c r="G12" i="25" s="1"/>
  <c r="H12" i="25" s="1"/>
  <c r="I12" i="25" s="1"/>
  <c r="J12" i="25" s="1"/>
  <c r="K12" i="25" s="1"/>
  <c r="L12" i="25" s="1"/>
  <c r="M12" i="25" s="1"/>
  <c r="N12" i="25" s="1"/>
  <c r="B140" i="110"/>
  <c r="H8" i="2"/>
  <c r="I8" i="2" s="1"/>
  <c r="I4" i="121" s="1"/>
  <c r="B128" i="110"/>
  <c r="B120" i="110"/>
  <c r="B119" i="110"/>
  <c r="D27" i="22"/>
  <c r="D21" i="1"/>
  <c r="D16" i="22"/>
  <c r="B97" i="110"/>
  <c r="F7" i="22"/>
  <c r="F50" i="2" s="1"/>
  <c r="H5" i="105"/>
  <c r="G5" i="3"/>
  <c r="H5" i="3" s="1"/>
  <c r="I5" i="3" s="1"/>
  <c r="J5" i="3" s="1"/>
  <c r="K5" i="3" s="1"/>
  <c r="L5" i="3" s="1"/>
  <c r="M5" i="3" s="1"/>
  <c r="N5" i="3" s="1"/>
  <c r="O5" i="3" s="1"/>
  <c r="P5" i="3" s="1"/>
  <c r="F95" i="3"/>
  <c r="F100" i="3" s="1"/>
  <c r="F99" i="3" s="1"/>
  <c r="F98" i="3"/>
  <c r="F36" i="3"/>
  <c r="F41" i="3" s="1"/>
  <c r="F40" i="3" s="1"/>
  <c r="F39" i="3"/>
  <c r="F27" i="3"/>
  <c r="F32" i="3" s="1"/>
  <c r="F31" i="3" s="1"/>
  <c r="F30" i="3"/>
  <c r="F9" i="3"/>
  <c r="F14" i="3" s="1"/>
  <c r="F13" i="3" s="1"/>
  <c r="F12" i="3"/>
  <c r="G5" i="1"/>
  <c r="F5" i="1" s="1"/>
  <c r="E5" i="1" s="1"/>
  <c r="D5" i="1" s="1"/>
  <c r="H32" i="1"/>
  <c r="I32" i="1"/>
  <c r="J32" i="1"/>
  <c r="K32" i="1"/>
  <c r="L32" i="1"/>
  <c r="M32" i="1"/>
  <c r="N32" i="1"/>
  <c r="O32" i="1"/>
  <c r="G32" i="1"/>
  <c r="F32" i="1"/>
  <c r="H27" i="1"/>
  <c r="I27" i="1"/>
  <c r="J27" i="1"/>
  <c r="K27" i="1"/>
  <c r="L27" i="1"/>
  <c r="M27" i="1"/>
  <c r="N27" i="1"/>
  <c r="O27" i="1"/>
  <c r="G27" i="1"/>
  <c r="F27" i="1"/>
  <c r="H26" i="1"/>
  <c r="I26" i="1"/>
  <c r="J26" i="1"/>
  <c r="K26" i="1"/>
  <c r="L26" i="1"/>
  <c r="M26" i="1"/>
  <c r="N26" i="1"/>
  <c r="O26" i="1"/>
  <c r="G26" i="1"/>
  <c r="F26" i="1"/>
  <c r="H24" i="1"/>
  <c r="CC61" i="27" s="1"/>
  <c r="I24" i="1"/>
  <c r="CC62" i="27" s="1"/>
  <c r="J24" i="1"/>
  <c r="CC63" i="27" s="1"/>
  <c r="K24" i="1"/>
  <c r="CC64" i="27" s="1"/>
  <c r="L24" i="1"/>
  <c r="CC65" i="27" s="1"/>
  <c r="M24" i="1"/>
  <c r="CC66" i="27" s="1"/>
  <c r="N24" i="1"/>
  <c r="CC67" i="27" s="1"/>
  <c r="O24" i="1"/>
  <c r="CC68" i="27" s="1"/>
  <c r="G24" i="1"/>
  <c r="CC60" i="27" s="1"/>
  <c r="B134" i="110"/>
  <c r="B103" i="110"/>
  <c r="B100" i="110"/>
  <c r="B94" i="110"/>
  <c r="B15" i="110"/>
  <c r="A67" i="110"/>
  <c r="A5" i="110"/>
  <c r="L1" i="110"/>
  <c r="G21" i="1"/>
  <c r="E13" i="22"/>
  <c r="E21" i="1"/>
  <c r="E29" i="22" s="1"/>
  <c r="E27" i="22"/>
  <c r="I21" i="1"/>
  <c r="I29" i="22" s="1"/>
  <c r="E16" i="22"/>
  <c r="E19" i="22"/>
  <c r="E22" i="22"/>
  <c r="D22" i="22"/>
  <c r="J21" i="1"/>
  <c r="BY63" i="27" s="1"/>
  <c r="CJ63" i="27" s="1"/>
  <c r="H21" i="1"/>
  <c r="H29" i="22" s="1"/>
  <c r="K21" i="1"/>
  <c r="K29" i="22" s="1"/>
  <c r="L21" i="1"/>
  <c r="L29" i="22" s="1"/>
  <c r="M21" i="1"/>
  <c r="BD66" i="27" s="1"/>
  <c r="N21" i="1"/>
  <c r="N29" i="22" s="1"/>
  <c r="O21" i="1"/>
  <c r="M49" i="24"/>
  <c r="M52" i="24"/>
  <c r="M13" i="21"/>
  <c r="C37" i="27"/>
  <c r="C38" i="27" s="1"/>
  <c r="C39" i="27" s="1"/>
  <c r="C40" i="27" s="1"/>
  <c r="C41" i="27" s="1"/>
  <c r="C42" i="27" s="1"/>
  <c r="C43" i="27" s="1"/>
  <c r="C44" i="27" s="1"/>
  <c r="C45" i="27" s="1"/>
  <c r="C46" i="27" s="1"/>
  <c r="C47" i="27" s="1"/>
  <c r="C48" i="27" s="1"/>
  <c r="C49" i="27" s="1"/>
  <c r="B8" i="27"/>
  <c r="B9" i="27" s="1"/>
  <c r="B10" i="27" s="1"/>
  <c r="B11" i="27" s="1"/>
  <c r="B12" i="27" s="1"/>
  <c r="B13" i="27" s="1"/>
  <c r="B14" i="27" s="1"/>
  <c r="B15" i="27" s="1"/>
  <c r="B16" i="27" s="1"/>
  <c r="B17" i="27" s="1"/>
  <c r="B18" i="27" s="1"/>
  <c r="B19" i="27" s="1"/>
  <c r="B20" i="27" s="1"/>
  <c r="B21" i="27" s="1"/>
  <c r="B22" i="27" s="1"/>
  <c r="B23" i="27" s="1"/>
  <c r="B24" i="27" s="1"/>
  <c r="B25" i="27" s="1"/>
  <c r="B26" i="27" s="1"/>
  <c r="B27" i="27" s="1"/>
  <c r="B28" i="27" s="1"/>
  <c r="B29" i="27" s="1"/>
  <c r="B30" i="27" s="1"/>
  <c r="B31" i="27" s="1"/>
  <c r="B32" i="27" s="1"/>
  <c r="B33" i="27" s="1"/>
  <c r="B34" i="27" s="1"/>
  <c r="B35" i="27" s="1"/>
  <c r="B36" i="27" s="1"/>
  <c r="B37" i="27" s="1"/>
  <c r="B38" i="27" s="1"/>
  <c r="B39" i="27" s="1"/>
  <c r="B40" i="27" s="1"/>
  <c r="B41" i="27" s="1"/>
  <c r="B42" i="27" s="1"/>
  <c r="B43" i="27" s="1"/>
  <c r="B44" i="27" s="1"/>
  <c r="B45" i="27" s="1"/>
  <c r="B46" i="27" s="1"/>
  <c r="B47" i="27" s="1"/>
  <c r="B48" i="27" s="1"/>
  <c r="B49" i="27" s="1"/>
  <c r="A8" i="27"/>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F149" i="3"/>
  <c r="F140" i="3"/>
  <c r="F131" i="3"/>
  <c r="F107" i="3"/>
  <c r="F89" i="3"/>
  <c r="F80" i="3"/>
  <c r="F71" i="3"/>
  <c r="F48" i="3"/>
  <c r="F146" i="3"/>
  <c r="F151" i="3" s="1"/>
  <c r="F150" i="3" s="1"/>
  <c r="F137" i="3"/>
  <c r="F142" i="3" s="1"/>
  <c r="F141" i="3" s="1"/>
  <c r="F128" i="3"/>
  <c r="F133" i="3" s="1"/>
  <c r="F132" i="3" s="1"/>
  <c r="F104" i="3"/>
  <c r="F109" i="3" s="1"/>
  <c r="F108" i="3" s="1"/>
  <c r="F86" i="3"/>
  <c r="F91" i="3" s="1"/>
  <c r="F90" i="3" s="1"/>
  <c r="F77" i="3"/>
  <c r="F82" i="3" s="1"/>
  <c r="F81" i="3" s="1"/>
  <c r="F68" i="3"/>
  <c r="F73" i="3" s="1"/>
  <c r="F72" i="3" s="1"/>
  <c r="F69" i="3" s="1"/>
  <c r="F45" i="3"/>
  <c r="F50" i="3" s="1"/>
  <c r="F49" i="3" s="1"/>
  <c r="P27" i="1"/>
  <c r="E27" i="1"/>
  <c r="D27" i="1"/>
  <c r="G35" i="1"/>
  <c r="F35" i="1"/>
  <c r="H35" i="1"/>
  <c r="I35" i="1"/>
  <c r="J35" i="1"/>
  <c r="K35" i="1"/>
  <c r="L35" i="1"/>
  <c r="M35" i="1"/>
  <c r="N35" i="1"/>
  <c r="O35" i="1"/>
  <c r="P54" i="1"/>
  <c r="P7" i="121" s="1"/>
  <c r="P21" i="1"/>
  <c r="P24" i="1"/>
  <c r="CC69" i="27" s="1"/>
  <c r="G25" i="1"/>
  <c r="H68" i="2"/>
  <c r="I68" i="2" s="1"/>
  <c r="J68" i="2" s="1"/>
  <c r="K68" i="2" s="1"/>
  <c r="L68" i="2" s="1"/>
  <c r="M68" i="2" s="1"/>
  <c r="N68" i="2" s="1"/>
  <c r="O68" i="2" s="1"/>
  <c r="P68" i="2" s="1"/>
  <c r="H69" i="2"/>
  <c r="I69" i="2" s="1"/>
  <c r="J69" i="2" s="1"/>
  <c r="K69" i="2" s="1"/>
  <c r="L69" i="2" s="1"/>
  <c r="M69" i="2" s="1"/>
  <c r="N69" i="2" s="1"/>
  <c r="O69" i="2" s="1"/>
  <c r="P69" i="2" s="1"/>
  <c r="H70" i="2"/>
  <c r="I70" i="2" s="1"/>
  <c r="J70" i="2" s="1"/>
  <c r="K70" i="2" s="1"/>
  <c r="L70" i="2" s="1"/>
  <c r="M70" i="2" s="1"/>
  <c r="N70" i="2" s="1"/>
  <c r="O70" i="2" s="1"/>
  <c r="P70" i="2" s="1"/>
  <c r="DP8" i="27"/>
  <c r="DR8" i="27" s="1"/>
  <c r="DQ8" i="27"/>
  <c r="DS8" i="27" s="1"/>
  <c r="DT8" i="27"/>
  <c r="DU8" i="27"/>
  <c r="DP9" i="27"/>
  <c r="DR9" i="27" s="1"/>
  <c r="DQ9" i="27"/>
  <c r="DS9" i="27" s="1"/>
  <c r="DT9" i="27"/>
  <c r="DU9" i="27"/>
  <c r="DP10" i="27"/>
  <c r="DR10" i="27" s="1"/>
  <c r="DQ10" i="27"/>
  <c r="DS10" i="27" s="1"/>
  <c r="DT10" i="27"/>
  <c r="DU10" i="27"/>
  <c r="DP11" i="27"/>
  <c r="DR11" i="27" s="1"/>
  <c r="DQ11" i="27"/>
  <c r="DS11" i="27" s="1"/>
  <c r="DT11" i="27"/>
  <c r="DU11" i="27"/>
  <c r="DP12" i="27"/>
  <c r="DR12" i="27" s="1"/>
  <c r="DQ12" i="27"/>
  <c r="DS12" i="27" s="1"/>
  <c r="DT12" i="27"/>
  <c r="DU12" i="27"/>
  <c r="DP13" i="27"/>
  <c r="DR13" i="27" s="1"/>
  <c r="DQ13" i="27"/>
  <c r="DS13" i="27" s="1"/>
  <c r="DT13" i="27"/>
  <c r="DU13" i="27"/>
  <c r="DP14" i="27"/>
  <c r="DR14" i="27" s="1"/>
  <c r="DQ14" i="27"/>
  <c r="DS14" i="27" s="1"/>
  <c r="DT14" i="27"/>
  <c r="DU14" i="27"/>
  <c r="DP15" i="27"/>
  <c r="DR15" i="27" s="1"/>
  <c r="DQ15" i="27"/>
  <c r="DS15" i="27" s="1"/>
  <c r="DT15" i="27"/>
  <c r="DU15" i="27"/>
  <c r="DP16" i="27"/>
  <c r="DR16" i="27" s="1"/>
  <c r="DQ16" i="27"/>
  <c r="DS16" i="27" s="1"/>
  <c r="DT16" i="27"/>
  <c r="DU16" i="27"/>
  <c r="DP17" i="27"/>
  <c r="DR17" i="27" s="1"/>
  <c r="DQ17" i="27"/>
  <c r="DS17" i="27" s="1"/>
  <c r="DT17" i="27"/>
  <c r="DU17" i="27"/>
  <c r="DP18" i="27"/>
  <c r="DR18" i="27" s="1"/>
  <c r="DQ18" i="27"/>
  <c r="DS18" i="27" s="1"/>
  <c r="DT18" i="27"/>
  <c r="DU18" i="27"/>
  <c r="DP19" i="27"/>
  <c r="DR19" i="27" s="1"/>
  <c r="DQ19" i="27"/>
  <c r="DS19" i="27" s="1"/>
  <c r="DT19" i="27"/>
  <c r="DU19" i="27"/>
  <c r="DP20" i="27"/>
  <c r="DR20" i="27" s="1"/>
  <c r="DQ20" i="27"/>
  <c r="DS20" i="27" s="1"/>
  <c r="DT20" i="27"/>
  <c r="DU20" i="27"/>
  <c r="DP21" i="27"/>
  <c r="DR21" i="27" s="1"/>
  <c r="DQ21" i="27"/>
  <c r="DS21" i="27" s="1"/>
  <c r="DT21" i="27"/>
  <c r="DU21" i="27"/>
  <c r="DP22" i="27"/>
  <c r="DR22" i="27" s="1"/>
  <c r="DQ22" i="27"/>
  <c r="DS22" i="27" s="1"/>
  <c r="DT22" i="27"/>
  <c r="DU22" i="27"/>
  <c r="DP23" i="27"/>
  <c r="DR23" i="27" s="1"/>
  <c r="DQ23" i="27"/>
  <c r="DS23" i="27" s="1"/>
  <c r="DT23" i="27"/>
  <c r="DU23" i="27"/>
  <c r="DP24" i="27"/>
  <c r="DR24" i="27" s="1"/>
  <c r="DQ24" i="27"/>
  <c r="DS24" i="27" s="1"/>
  <c r="DT24" i="27"/>
  <c r="DU24" i="27"/>
  <c r="DP25" i="27"/>
  <c r="DR25" i="27" s="1"/>
  <c r="DQ25" i="27"/>
  <c r="DS25" i="27" s="1"/>
  <c r="DT25" i="27"/>
  <c r="DU25" i="27"/>
  <c r="DP26" i="27"/>
  <c r="DR26" i="27" s="1"/>
  <c r="DQ26" i="27"/>
  <c r="DS26" i="27" s="1"/>
  <c r="DT26" i="27"/>
  <c r="DU26" i="27"/>
  <c r="DP27" i="27"/>
  <c r="DR27" i="27" s="1"/>
  <c r="DQ27" i="27"/>
  <c r="DS27" i="27" s="1"/>
  <c r="DT27" i="27"/>
  <c r="DU27" i="27"/>
  <c r="DP28" i="27"/>
  <c r="DR28" i="27" s="1"/>
  <c r="DQ28" i="27"/>
  <c r="DS28" i="27" s="1"/>
  <c r="DT28" i="27"/>
  <c r="DU28" i="27"/>
  <c r="DP29" i="27"/>
  <c r="DR29" i="27" s="1"/>
  <c r="DQ29" i="27"/>
  <c r="DS29" i="27" s="1"/>
  <c r="DT29" i="27"/>
  <c r="DU29" i="27"/>
  <c r="DP30" i="27"/>
  <c r="DR30" i="27" s="1"/>
  <c r="DQ30" i="27"/>
  <c r="DS30" i="27" s="1"/>
  <c r="DT30" i="27"/>
  <c r="DU30" i="27"/>
  <c r="DP31" i="27"/>
  <c r="DR31" i="27" s="1"/>
  <c r="DQ31" i="27"/>
  <c r="DS31" i="27" s="1"/>
  <c r="DT31" i="27"/>
  <c r="DU31" i="27"/>
  <c r="DP32" i="27"/>
  <c r="DR32" i="27" s="1"/>
  <c r="DQ32" i="27"/>
  <c r="DS32" i="27" s="1"/>
  <c r="DT32" i="27"/>
  <c r="DU32" i="27"/>
  <c r="DP33" i="27"/>
  <c r="DR33" i="27" s="1"/>
  <c r="DQ33" i="27"/>
  <c r="DS33" i="27" s="1"/>
  <c r="DT33" i="27"/>
  <c r="DU33" i="27"/>
  <c r="DP34" i="27"/>
  <c r="DR34" i="27" s="1"/>
  <c r="DQ34" i="27"/>
  <c r="DS34" i="27" s="1"/>
  <c r="DT34" i="27"/>
  <c r="DU34" i="27"/>
  <c r="DP35" i="27"/>
  <c r="DR35" i="27" s="1"/>
  <c r="DQ35" i="27"/>
  <c r="DS35" i="27" s="1"/>
  <c r="DT35" i="27"/>
  <c r="DU35" i="27"/>
  <c r="DP36" i="27"/>
  <c r="DR36" i="27" s="1"/>
  <c r="DQ36" i="27"/>
  <c r="DS36" i="27" s="1"/>
  <c r="DT36" i="27"/>
  <c r="DU36" i="27"/>
  <c r="DP37" i="27"/>
  <c r="DR37" i="27" s="1"/>
  <c r="DQ37" i="27"/>
  <c r="DS37" i="27" s="1"/>
  <c r="DT37" i="27"/>
  <c r="DU37" i="27"/>
  <c r="DP38" i="27"/>
  <c r="DR38" i="27" s="1"/>
  <c r="DQ38" i="27"/>
  <c r="DS38" i="27" s="1"/>
  <c r="F164" i="3"/>
  <c r="BR59" i="27" s="1"/>
  <c r="DT38" i="27"/>
  <c r="DU38" i="27"/>
  <c r="DP39" i="27"/>
  <c r="DR39" i="27" s="1"/>
  <c r="DQ39" i="27"/>
  <c r="DS39" i="27" s="1"/>
  <c r="DT39" i="27"/>
  <c r="DU39" i="27"/>
  <c r="DP40" i="27"/>
  <c r="DR40" i="27" s="1"/>
  <c r="DQ40" i="27"/>
  <c r="DS40" i="27" s="1"/>
  <c r="DT40" i="27"/>
  <c r="DU40" i="27"/>
  <c r="B23" i="19"/>
  <c r="E20" i="19" s="1"/>
  <c r="I65" i="2"/>
  <c r="J65" i="2" s="1"/>
  <c r="K65" i="2" s="1"/>
  <c r="L65" i="2" s="1"/>
  <c r="B75" i="15" s="1"/>
  <c r="I72" i="15" s="1"/>
  <c r="DV7" i="27"/>
  <c r="DU7" i="27"/>
  <c r="DT7" i="27"/>
  <c r="DQ7" i="27"/>
  <c r="DS7" i="27" s="1"/>
  <c r="DP7" i="27"/>
  <c r="DR7" i="27" s="1"/>
  <c r="G28" i="105"/>
  <c r="G9" i="105" s="1"/>
  <c r="G13" i="105" s="1"/>
  <c r="G10" i="105"/>
  <c r="I42" i="105"/>
  <c r="I46" i="105"/>
  <c r="J46" i="105" s="1"/>
  <c r="Q28" i="105"/>
  <c r="Q9" i="105" s="1"/>
  <c r="Q13" i="105" s="1"/>
  <c r="Q10" i="105"/>
  <c r="Q31" i="105"/>
  <c r="D16" i="108"/>
  <c r="B23" i="108"/>
  <c r="B35" i="108" s="1"/>
  <c r="B47" i="108" s="1"/>
  <c r="D81" i="108"/>
  <c r="E81" i="108"/>
  <c r="F81" i="108"/>
  <c r="G81" i="108"/>
  <c r="H81" i="108"/>
  <c r="I81" i="108"/>
  <c r="J81" i="108"/>
  <c r="K81" i="108"/>
  <c r="L81" i="108"/>
  <c r="M81" i="108"/>
  <c r="D161" i="108"/>
  <c r="E161" i="108"/>
  <c r="F161" i="108"/>
  <c r="G161" i="108"/>
  <c r="H161" i="108"/>
  <c r="I161" i="108"/>
  <c r="J161" i="108"/>
  <c r="K161" i="108"/>
  <c r="L161" i="108"/>
  <c r="M161" i="108"/>
  <c r="D242" i="108"/>
  <c r="E242" i="108"/>
  <c r="F242" i="108"/>
  <c r="G242" i="108"/>
  <c r="H242" i="108"/>
  <c r="I242" i="108"/>
  <c r="J242" i="108"/>
  <c r="K242" i="108"/>
  <c r="L242" i="108"/>
  <c r="M242" i="108"/>
  <c r="B23" i="107"/>
  <c r="D81" i="107"/>
  <c r="D161" i="107" s="1"/>
  <c r="E81" i="107"/>
  <c r="E161" i="107" s="1"/>
  <c r="F81" i="107"/>
  <c r="F161" i="107" s="1"/>
  <c r="G81" i="107"/>
  <c r="G161" i="107" s="1"/>
  <c r="H81" i="107"/>
  <c r="H161" i="107" s="1"/>
  <c r="I81" i="107"/>
  <c r="I161" i="107" s="1"/>
  <c r="J81" i="107"/>
  <c r="J161" i="107" s="1"/>
  <c r="K81" i="107"/>
  <c r="K161" i="107" s="1"/>
  <c r="L81" i="107"/>
  <c r="L161" i="107" s="1"/>
  <c r="M81" i="107"/>
  <c r="M161" i="107" s="1"/>
  <c r="D242" i="107"/>
  <c r="E242" i="107"/>
  <c r="F242" i="107"/>
  <c r="G242" i="107"/>
  <c r="H242" i="107"/>
  <c r="I242" i="107"/>
  <c r="J242" i="107"/>
  <c r="K242" i="107"/>
  <c r="L242" i="107"/>
  <c r="M242" i="107"/>
  <c r="D16" i="106"/>
  <c r="B23" i="106"/>
  <c r="B35" i="106" s="1"/>
  <c r="D81" i="106"/>
  <c r="E81" i="106"/>
  <c r="F81" i="106"/>
  <c r="G81" i="106"/>
  <c r="H81" i="106"/>
  <c r="I81" i="106"/>
  <c r="J81" i="106"/>
  <c r="K81" i="106"/>
  <c r="L81" i="106"/>
  <c r="M81" i="106"/>
  <c r="D161" i="106"/>
  <c r="E161" i="106"/>
  <c r="F161" i="106"/>
  <c r="G161" i="106"/>
  <c r="H161" i="106"/>
  <c r="I161" i="106"/>
  <c r="J161" i="106"/>
  <c r="K161" i="106"/>
  <c r="L161" i="106"/>
  <c r="M161" i="106"/>
  <c r="D242" i="106"/>
  <c r="E242" i="106"/>
  <c r="F242" i="106"/>
  <c r="G242" i="106"/>
  <c r="H242" i="106"/>
  <c r="I242" i="106"/>
  <c r="J242" i="106"/>
  <c r="K242" i="106"/>
  <c r="L242" i="106"/>
  <c r="M242" i="106"/>
  <c r="D263" i="106"/>
  <c r="B145" i="3"/>
  <c r="B136" i="3"/>
  <c r="B127" i="3"/>
  <c r="B103" i="3"/>
  <c r="B94" i="3"/>
  <c r="B85" i="3"/>
  <c r="B76" i="3"/>
  <c r="B67" i="3"/>
  <c r="B44" i="3"/>
  <c r="B35" i="3"/>
  <c r="O64" i="25"/>
  <c r="O66" i="25" s="1"/>
  <c r="P64" i="25"/>
  <c r="P66" i="25" s="1"/>
  <c r="Q64" i="25"/>
  <c r="Q66" i="25" s="1"/>
  <c r="R64" i="25"/>
  <c r="R66" i="25" s="1"/>
  <c r="S64" i="25"/>
  <c r="S66" i="25" s="1"/>
  <c r="T64" i="25"/>
  <c r="T66" i="25" s="1"/>
  <c r="U64" i="25"/>
  <c r="U66" i="25" s="1"/>
  <c r="V64" i="25"/>
  <c r="V66" i="25" s="1"/>
  <c r="W64" i="25"/>
  <c r="W66" i="25" s="1"/>
  <c r="X64" i="25"/>
  <c r="X66" i="25" s="1"/>
  <c r="Y64" i="25"/>
  <c r="Y66" i="25" s="1"/>
  <c r="Z64" i="25"/>
  <c r="Z66" i="25" s="1"/>
  <c r="AA64" i="25"/>
  <c r="AA66" i="25" s="1"/>
  <c r="AB64" i="25"/>
  <c r="AB66" i="25" s="1"/>
  <c r="AC64" i="25"/>
  <c r="AC66" i="25" s="1"/>
  <c r="AD64" i="25"/>
  <c r="AD66" i="25" s="1"/>
  <c r="AE64" i="25"/>
  <c r="AE66" i="25" s="1"/>
  <c r="AF64" i="25"/>
  <c r="AF66" i="25" s="1"/>
  <c r="AG64" i="25"/>
  <c r="AG66" i="25" s="1"/>
  <c r="AH64" i="25"/>
  <c r="AH66" i="25" s="1"/>
  <c r="AI64" i="25"/>
  <c r="AI66" i="25" s="1"/>
  <c r="AJ64" i="25"/>
  <c r="AJ66" i="25" s="1"/>
  <c r="AK64" i="25"/>
  <c r="AK66" i="25" s="1"/>
  <c r="AL64" i="25"/>
  <c r="AL66" i="25" s="1"/>
  <c r="AM64" i="25"/>
  <c r="AM66" i="25" s="1"/>
  <c r="AN64" i="25"/>
  <c r="AN66" i="25" s="1"/>
  <c r="AO64" i="25"/>
  <c r="AO66" i="25" s="1"/>
  <c r="AP64" i="25"/>
  <c r="AP66" i="25" s="1"/>
  <c r="AQ64" i="25"/>
  <c r="AQ66" i="25" s="1"/>
  <c r="AR64" i="25"/>
  <c r="AR66" i="25" s="1"/>
  <c r="AS64" i="25"/>
  <c r="AS66" i="25" s="1"/>
  <c r="AT64" i="25"/>
  <c r="AT66" i="25" s="1"/>
  <c r="AU64" i="25"/>
  <c r="AU66" i="25" s="1"/>
  <c r="AV64" i="25"/>
  <c r="AV66" i="25" s="1"/>
  <c r="AW64" i="25"/>
  <c r="AW66" i="25" s="1"/>
  <c r="AX64" i="25"/>
  <c r="AX66" i="25" s="1"/>
  <c r="AY64" i="25"/>
  <c r="AY66" i="25" s="1"/>
  <c r="AZ64" i="25"/>
  <c r="AZ66" i="25" s="1"/>
  <c r="BA64" i="25"/>
  <c r="BA66" i="25" s="1"/>
  <c r="BB64" i="25"/>
  <c r="BB66" i="25" s="1"/>
  <c r="BC64" i="25"/>
  <c r="BC66" i="25" s="1"/>
  <c r="BD64" i="25"/>
  <c r="BD66" i="25" s="1"/>
  <c r="BE64" i="25"/>
  <c r="BE66" i="25" s="1"/>
  <c r="BF64" i="25"/>
  <c r="BF66" i="25" s="1"/>
  <c r="BG64" i="25"/>
  <c r="BG66" i="25" s="1"/>
  <c r="BH64" i="25"/>
  <c r="BH66" i="25" s="1"/>
  <c r="BI64" i="25"/>
  <c r="BI66" i="25" s="1"/>
  <c r="BJ64" i="25"/>
  <c r="BJ66" i="25" s="1"/>
  <c r="BK64" i="25"/>
  <c r="BK66" i="25" s="1"/>
  <c r="BL64" i="25"/>
  <c r="BL66" i="25" s="1"/>
  <c r="BM64" i="25"/>
  <c r="BM66" i="25" s="1"/>
  <c r="BN64" i="25"/>
  <c r="BN66" i="25" s="1"/>
  <c r="BO64" i="25"/>
  <c r="BO66" i="25" s="1"/>
  <c r="BP64" i="25"/>
  <c r="BP66" i="25" s="1"/>
  <c r="BQ64" i="25"/>
  <c r="BQ66" i="25" s="1"/>
  <c r="BR64" i="25"/>
  <c r="BR66" i="25" s="1"/>
  <c r="BS64" i="25"/>
  <c r="BS66" i="25" s="1"/>
  <c r="BT64" i="25"/>
  <c r="BT66" i="25" s="1"/>
  <c r="BU64" i="25"/>
  <c r="BU66" i="25" s="1"/>
  <c r="BV64" i="25"/>
  <c r="BV66" i="25" s="1"/>
  <c r="BW64" i="25"/>
  <c r="BW66" i="25" s="1"/>
  <c r="BX64" i="25"/>
  <c r="BX66" i="25" s="1"/>
  <c r="BY64" i="25"/>
  <c r="BY66" i="25" s="1"/>
  <c r="BZ64" i="25"/>
  <c r="BZ66" i="25" s="1"/>
  <c r="CA64" i="25"/>
  <c r="CA66" i="25" s="1"/>
  <c r="CB64" i="25"/>
  <c r="CB66" i="25" s="1"/>
  <c r="CC64" i="25"/>
  <c r="CC66" i="25" s="1"/>
  <c r="CD64" i="25"/>
  <c r="CD66" i="25" s="1"/>
  <c r="CE64" i="25"/>
  <c r="CE66" i="25" s="1"/>
  <c r="CF64" i="25"/>
  <c r="CF66" i="25" s="1"/>
  <c r="CG64" i="25"/>
  <c r="CG66" i="25" s="1"/>
  <c r="CH64" i="25"/>
  <c r="CH66" i="25" s="1"/>
  <c r="CI64" i="25"/>
  <c r="CI66" i="25" s="1"/>
  <c r="CJ64" i="25"/>
  <c r="CJ66" i="25" s="1"/>
  <c r="CK64" i="25"/>
  <c r="CK66" i="25" s="1"/>
  <c r="CL64" i="25"/>
  <c r="CL66" i="25" s="1"/>
  <c r="CM64" i="25"/>
  <c r="CM66" i="25" s="1"/>
  <c r="CN64" i="25"/>
  <c r="CN66" i="25" s="1"/>
  <c r="CO64" i="25"/>
  <c r="CO66" i="25" s="1"/>
  <c r="CP64" i="25"/>
  <c r="CP66" i="25" s="1"/>
  <c r="CQ64" i="25"/>
  <c r="CQ66" i="25" s="1"/>
  <c r="CR64" i="25"/>
  <c r="CR66" i="25" s="1"/>
  <c r="CS64" i="25"/>
  <c r="CS66" i="25" s="1"/>
  <c r="CT64" i="25"/>
  <c r="CT66" i="25" s="1"/>
  <c r="CU64" i="25"/>
  <c r="CU66" i="25" s="1"/>
  <c r="CV64" i="25"/>
  <c r="CV66" i="25"/>
  <c r="CW64" i="25"/>
  <c r="CW66" i="25" s="1"/>
  <c r="CX64" i="25"/>
  <c r="CX66" i="25" s="1"/>
  <c r="CY64" i="25"/>
  <c r="CY66" i="25" s="1"/>
  <c r="CZ64" i="25"/>
  <c r="CZ66" i="25" s="1"/>
  <c r="DA64" i="25"/>
  <c r="DA66" i="25" s="1"/>
  <c r="DB64" i="25"/>
  <c r="DB66" i="25" s="1"/>
  <c r="DC64" i="25"/>
  <c r="DC66" i="25" s="1"/>
  <c r="DD64" i="25"/>
  <c r="DD66" i="25" s="1"/>
  <c r="DE64" i="25"/>
  <c r="DE66" i="25" s="1"/>
  <c r="DF64" i="25"/>
  <c r="DF66" i="25" s="1"/>
  <c r="DG64" i="25"/>
  <c r="DG66" i="25" s="1"/>
  <c r="DH64" i="25"/>
  <c r="DH66" i="25" s="1"/>
  <c r="DI64" i="25"/>
  <c r="DI66" i="25" s="1"/>
  <c r="DJ64" i="25"/>
  <c r="DJ66" i="25" s="1"/>
  <c r="DK64" i="25"/>
  <c r="DK66" i="25" s="1"/>
  <c r="DL64" i="25"/>
  <c r="DL66" i="25"/>
  <c r="DM64" i="25"/>
  <c r="DM66" i="25" s="1"/>
  <c r="DN64" i="25"/>
  <c r="DN66" i="25" s="1"/>
  <c r="DO64" i="25"/>
  <c r="DO66" i="25" s="1"/>
  <c r="DP64" i="25"/>
  <c r="DP66" i="25" s="1"/>
  <c r="DQ64" i="25"/>
  <c r="DQ66" i="25" s="1"/>
  <c r="DR64" i="25"/>
  <c r="DR66" i="25" s="1"/>
  <c r="DS64" i="25"/>
  <c r="DS66" i="25" s="1"/>
  <c r="DT64" i="25"/>
  <c r="DT66" i="25" s="1"/>
  <c r="DU64" i="25"/>
  <c r="DU66" i="25" s="1"/>
  <c r="DV64" i="25"/>
  <c r="DV66" i="25" s="1"/>
  <c r="DW64" i="25"/>
  <c r="DW66" i="25" s="1"/>
  <c r="DX64" i="25"/>
  <c r="DX66" i="25" s="1"/>
  <c r="DY64" i="25"/>
  <c r="DY66" i="25" s="1"/>
  <c r="DZ64" i="25"/>
  <c r="DZ66" i="25" s="1"/>
  <c r="EA64" i="25"/>
  <c r="EA66" i="25" s="1"/>
  <c r="EB64" i="25"/>
  <c r="EB66" i="25" s="1"/>
  <c r="EC64" i="25"/>
  <c r="EC66" i="25" s="1"/>
  <c r="ED64" i="25"/>
  <c r="ED66" i="25" s="1"/>
  <c r="EE64" i="25"/>
  <c r="EE66" i="25" s="1"/>
  <c r="EF64" i="25"/>
  <c r="EF66" i="25" s="1"/>
  <c r="EG64" i="25"/>
  <c r="EG66" i="25" s="1"/>
  <c r="EH64" i="25"/>
  <c r="EH66" i="25" s="1"/>
  <c r="EI64" i="25"/>
  <c r="EI66" i="25" s="1"/>
  <c r="EJ64" i="25"/>
  <c r="EJ66" i="25" s="1"/>
  <c r="EK64" i="25"/>
  <c r="EK66" i="25" s="1"/>
  <c r="EL64" i="25"/>
  <c r="EL66" i="25" s="1"/>
  <c r="EM64" i="25"/>
  <c r="EM66" i="25" s="1"/>
  <c r="EN64" i="25"/>
  <c r="EN66" i="25" s="1"/>
  <c r="EO64" i="25"/>
  <c r="EO66" i="25" s="1"/>
  <c r="EP64" i="25"/>
  <c r="EP66" i="25" s="1"/>
  <c r="EQ64" i="25"/>
  <c r="EQ66" i="25" s="1"/>
  <c r="ER64" i="25"/>
  <c r="ER66" i="25" s="1"/>
  <c r="ES64" i="25"/>
  <c r="ES66" i="25" s="1"/>
  <c r="ET64" i="25"/>
  <c r="ET66" i="25" s="1"/>
  <c r="EU64" i="25"/>
  <c r="EU66" i="25" s="1"/>
  <c r="EV64" i="25"/>
  <c r="EV66" i="25" s="1"/>
  <c r="EW64" i="25"/>
  <c r="EW66" i="25" s="1"/>
  <c r="EX64" i="25"/>
  <c r="EX66" i="25" s="1"/>
  <c r="EY64" i="25"/>
  <c r="EY66" i="25" s="1"/>
  <c r="EZ64" i="25"/>
  <c r="EZ66" i="25" s="1"/>
  <c r="FA64" i="25"/>
  <c r="FA66" i="25" s="1"/>
  <c r="FB64" i="25"/>
  <c r="FB66" i="25" s="1"/>
  <c r="FC64" i="25"/>
  <c r="FC66" i="25" s="1"/>
  <c r="FD64" i="25"/>
  <c r="FD66" i="25" s="1"/>
  <c r="FE64" i="25"/>
  <c r="FE66" i="25" s="1"/>
  <c r="FF64" i="25"/>
  <c r="FF66" i="25" s="1"/>
  <c r="FG64" i="25"/>
  <c r="FG66" i="25" s="1"/>
  <c r="FH64" i="25"/>
  <c r="FH66" i="25" s="1"/>
  <c r="FI64" i="25"/>
  <c r="FI66" i="25" s="1"/>
  <c r="FJ64" i="25"/>
  <c r="FJ66" i="25" s="1"/>
  <c r="FK64" i="25"/>
  <c r="FK66" i="25" s="1"/>
  <c r="FL64" i="25"/>
  <c r="FL66" i="25" s="1"/>
  <c r="FM64" i="25"/>
  <c r="FM66" i="25" s="1"/>
  <c r="FN64" i="25"/>
  <c r="FN66" i="25" s="1"/>
  <c r="FO64" i="25"/>
  <c r="FO66" i="25" s="1"/>
  <c r="FP64" i="25"/>
  <c r="FP66" i="25" s="1"/>
  <c r="FQ64" i="25"/>
  <c r="FQ66" i="25" s="1"/>
  <c r="FR64" i="25"/>
  <c r="FR66" i="25" s="1"/>
  <c r="FS64" i="25"/>
  <c r="FS66" i="25" s="1"/>
  <c r="FT64" i="25"/>
  <c r="FT66" i="25" s="1"/>
  <c r="FU64" i="25"/>
  <c r="FU66" i="25" s="1"/>
  <c r="FV64" i="25"/>
  <c r="FV66" i="25" s="1"/>
  <c r="FW64" i="25"/>
  <c r="FW66" i="25" s="1"/>
  <c r="FX64" i="25"/>
  <c r="FX66" i="25" s="1"/>
  <c r="FY64" i="25"/>
  <c r="FY66" i="25" s="1"/>
  <c r="FZ64" i="25"/>
  <c r="FZ66" i="25" s="1"/>
  <c r="GA64" i="25"/>
  <c r="GA66" i="25" s="1"/>
  <c r="GB64" i="25"/>
  <c r="GB66" i="25" s="1"/>
  <c r="GC64" i="25"/>
  <c r="GC66" i="25" s="1"/>
  <c r="GD64" i="25"/>
  <c r="GD66" i="25" s="1"/>
  <c r="GE64" i="25"/>
  <c r="GE66" i="25" s="1"/>
  <c r="GF64" i="25"/>
  <c r="GF66" i="25" s="1"/>
  <c r="GG64" i="25"/>
  <c r="GG66" i="25" s="1"/>
  <c r="GH64" i="25"/>
  <c r="GH66" i="25" s="1"/>
  <c r="GI64" i="25"/>
  <c r="GI66" i="25" s="1"/>
  <c r="GJ64" i="25"/>
  <c r="GJ66" i="25" s="1"/>
  <c r="GK64" i="25"/>
  <c r="GK66" i="25" s="1"/>
  <c r="GL64" i="25"/>
  <c r="GL66" i="25" s="1"/>
  <c r="GM64" i="25"/>
  <c r="GM66" i="25" s="1"/>
  <c r="GN64" i="25"/>
  <c r="GN66" i="25" s="1"/>
  <c r="GO64" i="25"/>
  <c r="GO66" i="25" s="1"/>
  <c r="GP64" i="25"/>
  <c r="GP66" i="25" s="1"/>
  <c r="GQ64" i="25"/>
  <c r="GQ66" i="25" s="1"/>
  <c r="GR64" i="25"/>
  <c r="GR66" i="25" s="1"/>
  <c r="GS64" i="25"/>
  <c r="GS66" i="25" s="1"/>
  <c r="GT64" i="25"/>
  <c r="GT66" i="25" s="1"/>
  <c r="GU64" i="25"/>
  <c r="GU66" i="25" s="1"/>
  <c r="GV64" i="25"/>
  <c r="GV66" i="25" s="1"/>
  <c r="GW64" i="25"/>
  <c r="GW66" i="25" s="1"/>
  <c r="GX64" i="25"/>
  <c r="GX66" i="25" s="1"/>
  <c r="GY64" i="25"/>
  <c r="GY66" i="25" s="1"/>
  <c r="GZ64" i="25"/>
  <c r="GZ66" i="25" s="1"/>
  <c r="HA64" i="25"/>
  <c r="HA66" i="25" s="1"/>
  <c r="HB64" i="25"/>
  <c r="HB66" i="25" s="1"/>
  <c r="HC64" i="25"/>
  <c r="HC66" i="25" s="1"/>
  <c r="HD64" i="25"/>
  <c r="HD66" i="25" s="1"/>
  <c r="HE64" i="25"/>
  <c r="HE66" i="25" s="1"/>
  <c r="HF64" i="25"/>
  <c r="HF66" i="25" s="1"/>
  <c r="HG64" i="25"/>
  <c r="HG66" i="25" s="1"/>
  <c r="HH64" i="25"/>
  <c r="HH66" i="25" s="1"/>
  <c r="HI64" i="25"/>
  <c r="HI66" i="25" s="1"/>
  <c r="HJ64" i="25"/>
  <c r="HJ66" i="25" s="1"/>
  <c r="HK64" i="25"/>
  <c r="HK66" i="25" s="1"/>
  <c r="HL64" i="25"/>
  <c r="HL66" i="25" s="1"/>
  <c r="HM64" i="25"/>
  <c r="HM66" i="25" s="1"/>
  <c r="HN64" i="25"/>
  <c r="HN66" i="25" s="1"/>
  <c r="HO64" i="25"/>
  <c r="HO66" i="25" s="1"/>
  <c r="HP64" i="25"/>
  <c r="HP66" i="25" s="1"/>
  <c r="HQ64" i="25"/>
  <c r="HQ66" i="25" s="1"/>
  <c r="HR64" i="25"/>
  <c r="HR66" i="25" s="1"/>
  <c r="HS64" i="25"/>
  <c r="HS66" i="25" s="1"/>
  <c r="HT64" i="25"/>
  <c r="HT66" i="25" s="1"/>
  <c r="HU64" i="25"/>
  <c r="HU66" i="25" s="1"/>
  <c r="HV64" i="25"/>
  <c r="HV66" i="25" s="1"/>
  <c r="HW64" i="25"/>
  <c r="HW66" i="25" s="1"/>
  <c r="HX64" i="25"/>
  <c r="HX66" i="25" s="1"/>
  <c r="HY64" i="25"/>
  <c r="HY66" i="25" s="1"/>
  <c r="HZ64" i="25"/>
  <c r="HZ66" i="25" s="1"/>
  <c r="IA64" i="25"/>
  <c r="IA66" i="25" s="1"/>
  <c r="IB64" i="25"/>
  <c r="IB66" i="25" s="1"/>
  <c r="IC64" i="25"/>
  <c r="IC66" i="25" s="1"/>
  <c r="ID64" i="25"/>
  <c r="ID66" i="25" s="1"/>
  <c r="IE64" i="25"/>
  <c r="IE66" i="25" s="1"/>
  <c r="IF64" i="25"/>
  <c r="IF66" i="25" s="1"/>
  <c r="IG64" i="25"/>
  <c r="IG66" i="25" s="1"/>
  <c r="IH64" i="25"/>
  <c r="IH66" i="25" s="1"/>
  <c r="II64" i="25"/>
  <c r="II66" i="25" s="1"/>
  <c r="IJ64" i="25"/>
  <c r="IJ66" i="25"/>
  <c r="IK64" i="25"/>
  <c r="IK66" i="25" s="1"/>
  <c r="IL64" i="25"/>
  <c r="IL66" i="25" s="1"/>
  <c r="IM64" i="25"/>
  <c r="IM66" i="25" s="1"/>
  <c r="IN64" i="25"/>
  <c r="IN66" i="25" s="1"/>
  <c r="IO64" i="25"/>
  <c r="IO66" i="25" s="1"/>
  <c r="IP64" i="25"/>
  <c r="IP66" i="25" s="1"/>
  <c r="IQ64" i="25"/>
  <c r="IQ66" i="25" s="1"/>
  <c r="IR64" i="25"/>
  <c r="IR66" i="25" s="1"/>
  <c r="IS64" i="25"/>
  <c r="IS66" i="25" s="1"/>
  <c r="IT64" i="25"/>
  <c r="IT66" i="25" s="1"/>
  <c r="IU64" i="25"/>
  <c r="IU66" i="25" s="1"/>
  <c r="IV64" i="25"/>
  <c r="IV66" i="25" s="1"/>
  <c r="E44" i="24"/>
  <c r="F44" i="24"/>
  <c r="G44" i="24"/>
  <c r="H44" i="24"/>
  <c r="I44" i="24"/>
  <c r="J44" i="24"/>
  <c r="K44" i="24"/>
  <c r="L44" i="24"/>
  <c r="M44" i="24"/>
  <c r="D44" i="24"/>
  <c r="A3" i="25"/>
  <c r="A4" i="25"/>
  <c r="A5" i="25"/>
  <c r="A2" i="25"/>
  <c r="A1" i="25"/>
  <c r="E43" i="25"/>
  <c r="F43" i="25" s="1"/>
  <c r="G43" i="25" s="1"/>
  <c r="H43" i="25" s="1"/>
  <c r="I43" i="25" s="1"/>
  <c r="J43" i="25" s="1"/>
  <c r="K43" i="25" s="1"/>
  <c r="L43" i="25" s="1"/>
  <c r="M43" i="25" s="1"/>
  <c r="N43" i="25" s="1"/>
  <c r="D300" i="12"/>
  <c r="D300" i="106" s="1"/>
  <c r="D17" i="21" s="1"/>
  <c r="D131" i="19"/>
  <c r="D25" i="21" s="1"/>
  <c r="D300" i="20"/>
  <c r="D300" i="107" s="1"/>
  <c r="D33" i="21" s="1"/>
  <c r="D131" i="17"/>
  <c r="D41" i="21" s="1"/>
  <c r="D300" i="16"/>
  <c r="D300" i="108" s="1"/>
  <c r="D49" i="21" s="1"/>
  <c r="D133" i="15"/>
  <c r="D57" i="21" s="1"/>
  <c r="G10" i="13"/>
  <c r="G13" i="13" s="1"/>
  <c r="G12" i="13" s="1"/>
  <c r="G14" i="13" s="1"/>
  <c r="G19" i="13" s="1"/>
  <c r="G21" i="13" s="1"/>
  <c r="G37" i="13"/>
  <c r="G42" i="13" s="1"/>
  <c r="G47" i="13" s="1"/>
  <c r="G49" i="13" s="1"/>
  <c r="H10" i="13"/>
  <c r="H37" i="13"/>
  <c r="I10" i="13"/>
  <c r="J10" i="13"/>
  <c r="K10" i="13"/>
  <c r="L10" i="13"/>
  <c r="M10" i="13"/>
  <c r="N10" i="13"/>
  <c r="O10" i="13"/>
  <c r="P10" i="13"/>
  <c r="I37" i="13"/>
  <c r="J51" i="13"/>
  <c r="J37" i="13" s="1"/>
  <c r="K51" i="13"/>
  <c r="K37" i="13" s="1"/>
  <c r="L51" i="13"/>
  <c r="L37" i="13" s="1"/>
  <c r="M51" i="13"/>
  <c r="M37" i="13" s="1"/>
  <c r="N51" i="13"/>
  <c r="N37" i="13" s="1"/>
  <c r="O51" i="13"/>
  <c r="O37" i="13" s="1"/>
  <c r="P51" i="13"/>
  <c r="P37" i="13" s="1"/>
  <c r="D40" i="24"/>
  <c r="E40" i="24"/>
  <c r="F40" i="24"/>
  <c r="G40" i="24"/>
  <c r="H40" i="24"/>
  <c r="I40" i="24"/>
  <c r="J40" i="24"/>
  <c r="K40" i="24"/>
  <c r="L40" i="24"/>
  <c r="M40" i="24"/>
  <c r="D41" i="24"/>
  <c r="E41" i="24"/>
  <c r="F41" i="24"/>
  <c r="G41" i="24"/>
  <c r="H41" i="24"/>
  <c r="I41" i="24"/>
  <c r="J41" i="24"/>
  <c r="K41" i="24"/>
  <c r="L41" i="24"/>
  <c r="M41" i="24"/>
  <c r="B23" i="12"/>
  <c r="B25" i="19"/>
  <c r="B26" i="19"/>
  <c r="B38" i="19" s="1"/>
  <c r="B50" i="19" s="1"/>
  <c r="B62" i="19" s="1"/>
  <c r="B76" i="19" s="1"/>
  <c r="B88" i="19" s="1"/>
  <c r="B100" i="19" s="1"/>
  <c r="B112" i="19" s="1"/>
  <c r="B124" i="19" s="1"/>
  <c r="B23" i="20"/>
  <c r="B35" i="20" s="1"/>
  <c r="B47" i="20" s="1"/>
  <c r="B59" i="20" s="1"/>
  <c r="B71" i="20" s="1"/>
  <c r="B86" i="20" s="1"/>
  <c r="B97" i="20" s="1"/>
  <c r="B108" i="20" s="1"/>
  <c r="B119" i="20" s="1"/>
  <c r="B130" i="20" s="1"/>
  <c r="B141" i="20" s="1"/>
  <c r="B152" i="20" s="1"/>
  <c r="B166" i="20" s="1"/>
  <c r="B177" i="20" s="1"/>
  <c r="B25" i="17"/>
  <c r="B26" i="17"/>
  <c r="B38" i="17" s="1"/>
  <c r="B50" i="17" s="1"/>
  <c r="B62" i="17" s="1"/>
  <c r="B76" i="17" s="1"/>
  <c r="B88" i="17" s="1"/>
  <c r="B100" i="17" s="1"/>
  <c r="B112" i="17" s="1"/>
  <c r="B124" i="17" s="1"/>
  <c r="B25" i="15"/>
  <c r="B26" i="15"/>
  <c r="B38" i="15" s="1"/>
  <c r="B50" i="15" s="1"/>
  <c r="B62" i="15" s="1"/>
  <c r="B78" i="15" s="1"/>
  <c r="B90" i="15" s="1"/>
  <c r="B102" i="15" s="1"/>
  <c r="B114" i="15" s="1"/>
  <c r="B126" i="15" s="1"/>
  <c r="P38" i="13"/>
  <c r="O38" i="13"/>
  <c r="G38" i="13"/>
  <c r="G41" i="13" s="1"/>
  <c r="G40" i="13" s="1"/>
  <c r="H38" i="13"/>
  <c r="I38" i="13"/>
  <c r="J38" i="13"/>
  <c r="K38" i="13"/>
  <c r="L38" i="13"/>
  <c r="M38" i="13"/>
  <c r="N38" i="13"/>
  <c r="D138" i="15"/>
  <c r="D61" i="21" s="1"/>
  <c r="D304" i="16"/>
  <c r="D304" i="108" s="1"/>
  <c r="D53" i="21" s="1"/>
  <c r="D136" i="17"/>
  <c r="D45" i="21" s="1"/>
  <c r="D304" i="20"/>
  <c r="D304" i="107" s="1"/>
  <c r="D37" i="21" s="1"/>
  <c r="D136" i="19"/>
  <c r="D29" i="21" s="1"/>
  <c r="D304" i="12"/>
  <c r="D304" i="106" s="1"/>
  <c r="D21" i="21" s="1"/>
  <c r="E138" i="15"/>
  <c r="E61" i="21" s="1"/>
  <c r="E304" i="16"/>
  <c r="E304" i="108" s="1"/>
  <c r="E53" i="21" s="1"/>
  <c r="E136" i="17"/>
  <c r="E45" i="21" s="1"/>
  <c r="E304" i="20"/>
  <c r="E304" i="107" s="1"/>
  <c r="E37" i="21" s="1"/>
  <c r="E136" i="19"/>
  <c r="E29" i="21" s="1"/>
  <c r="E304" i="12"/>
  <c r="E304" i="106" s="1"/>
  <c r="E21" i="21" s="1"/>
  <c r="F138" i="15"/>
  <c r="F61" i="21" s="1"/>
  <c r="F304" i="16"/>
  <c r="F304" i="108" s="1"/>
  <c r="F53" i="21" s="1"/>
  <c r="F136" i="17"/>
  <c r="F45" i="21" s="1"/>
  <c r="F304" i="20"/>
  <c r="F304" i="107" s="1"/>
  <c r="F37" i="21" s="1"/>
  <c r="F136" i="19"/>
  <c r="F29" i="21" s="1"/>
  <c r="F304" i="12"/>
  <c r="F304" i="106" s="1"/>
  <c r="F21" i="21" s="1"/>
  <c r="G138" i="15"/>
  <c r="G61" i="21" s="1"/>
  <c r="G304" i="16"/>
  <c r="G304" i="108" s="1"/>
  <c r="G53" i="21" s="1"/>
  <c r="G136" i="17"/>
  <c r="G45" i="21" s="1"/>
  <c r="G304" i="20"/>
  <c r="G304" i="107" s="1"/>
  <c r="G37" i="21" s="1"/>
  <c r="G136" i="19"/>
  <c r="G29" i="21" s="1"/>
  <c r="G304" i="12"/>
  <c r="G304" i="106" s="1"/>
  <c r="G21" i="21" s="1"/>
  <c r="H138" i="15"/>
  <c r="H61" i="21" s="1"/>
  <c r="H304" i="16"/>
  <c r="H304" i="108" s="1"/>
  <c r="H53" i="21" s="1"/>
  <c r="H136" i="17"/>
  <c r="H45" i="21" s="1"/>
  <c r="H304" i="20"/>
  <c r="H304" i="107" s="1"/>
  <c r="H37" i="21" s="1"/>
  <c r="H136" i="19"/>
  <c r="H29" i="21" s="1"/>
  <c r="H304" i="12"/>
  <c r="H304" i="106" s="1"/>
  <c r="H21" i="21" s="1"/>
  <c r="I138" i="15"/>
  <c r="I61" i="21" s="1"/>
  <c r="I304" i="16"/>
  <c r="I304" i="108" s="1"/>
  <c r="I53" i="21" s="1"/>
  <c r="I136" i="17"/>
  <c r="I45" i="21" s="1"/>
  <c r="I304" i="20"/>
  <c r="I304" i="107" s="1"/>
  <c r="I37" i="21" s="1"/>
  <c r="I136" i="19"/>
  <c r="I29" i="21" s="1"/>
  <c r="I304" i="12"/>
  <c r="I304" i="106" s="1"/>
  <c r="I21" i="21" s="1"/>
  <c r="J138" i="15"/>
  <c r="J61" i="21" s="1"/>
  <c r="J304" i="16"/>
  <c r="J304" i="108" s="1"/>
  <c r="J53" i="21" s="1"/>
  <c r="J136" i="17"/>
  <c r="J45" i="21" s="1"/>
  <c r="J304" i="20"/>
  <c r="J304" i="107" s="1"/>
  <c r="J37" i="21" s="1"/>
  <c r="J136" i="19"/>
  <c r="J29" i="21" s="1"/>
  <c r="J304" i="12"/>
  <c r="J304" i="106" s="1"/>
  <c r="J21" i="21" s="1"/>
  <c r="K138" i="15"/>
  <c r="K61" i="21" s="1"/>
  <c r="K304" i="16"/>
  <c r="K304" i="108" s="1"/>
  <c r="K53" i="21" s="1"/>
  <c r="K136" i="17"/>
  <c r="K45" i="21" s="1"/>
  <c r="K304" i="20"/>
  <c r="K304" i="107" s="1"/>
  <c r="K37" i="21" s="1"/>
  <c r="K136" i="19"/>
  <c r="K29" i="21" s="1"/>
  <c r="K304" i="12"/>
  <c r="K304" i="106" s="1"/>
  <c r="K21" i="21" s="1"/>
  <c r="L138" i="15"/>
  <c r="L61" i="21" s="1"/>
  <c r="L304" i="16"/>
  <c r="L304" i="108" s="1"/>
  <c r="L53" i="21" s="1"/>
  <c r="L136" i="17"/>
  <c r="L45" i="21" s="1"/>
  <c r="L304" i="20"/>
  <c r="L304" i="107" s="1"/>
  <c r="L37" i="21" s="1"/>
  <c r="L136" i="19"/>
  <c r="L29" i="21" s="1"/>
  <c r="L304" i="12"/>
  <c r="L304" i="106" s="1"/>
  <c r="L21" i="21" s="1"/>
  <c r="Q56" i="105"/>
  <c r="M138" i="15"/>
  <c r="M61" i="21" s="1"/>
  <c r="M304" i="16"/>
  <c r="M304" i="108" s="1"/>
  <c r="M53" i="21" s="1"/>
  <c r="M136" i="17"/>
  <c r="M45" i="21" s="1"/>
  <c r="M304" i="20"/>
  <c r="M304" i="107" s="1"/>
  <c r="M37" i="21" s="1"/>
  <c r="M136" i="19"/>
  <c r="M29" i="21" s="1"/>
  <c r="M304" i="12"/>
  <c r="M304" i="106" s="1"/>
  <c r="M21" i="21" s="1"/>
  <c r="M43" i="24"/>
  <c r="L43" i="24"/>
  <c r="K43" i="24"/>
  <c r="J43" i="24"/>
  <c r="I43" i="24"/>
  <c r="H43" i="24"/>
  <c r="G43" i="24"/>
  <c r="F43" i="24"/>
  <c r="E43" i="24"/>
  <c r="D43" i="24"/>
  <c r="M42" i="24"/>
  <c r="L42" i="24"/>
  <c r="K42" i="24"/>
  <c r="J42" i="24"/>
  <c r="I42" i="24"/>
  <c r="H42" i="24"/>
  <c r="G42" i="24"/>
  <c r="F42" i="24"/>
  <c r="E42" i="24"/>
  <c r="D42" i="24"/>
  <c r="D35" i="24"/>
  <c r="E35" i="24" s="1"/>
  <c r="F35" i="24" s="1"/>
  <c r="G35" i="24" s="1"/>
  <c r="H35" i="24" s="1"/>
  <c r="I35" i="24" s="1"/>
  <c r="J35" i="24" s="1"/>
  <c r="K35" i="24" s="1"/>
  <c r="L35" i="24" s="1"/>
  <c r="M35" i="24" s="1"/>
  <c r="D3" i="24"/>
  <c r="E3" i="24" s="1"/>
  <c r="F3" i="24" s="1"/>
  <c r="G3" i="24" s="1"/>
  <c r="H3" i="24" s="1"/>
  <c r="I3" i="24" s="1"/>
  <c r="J3" i="24" s="1"/>
  <c r="K3" i="24" s="1"/>
  <c r="L3" i="24" s="1"/>
  <c r="M3" i="24" s="1"/>
  <c r="B51" i="1"/>
  <c r="A51" i="1"/>
  <c r="B50" i="1"/>
  <c r="A50" i="1"/>
  <c r="B49" i="1"/>
  <c r="A49" i="1"/>
  <c r="B48" i="1"/>
  <c r="A48" i="1"/>
  <c r="B47" i="1"/>
  <c r="A47" i="1"/>
  <c r="B46" i="1"/>
  <c r="A46" i="1"/>
  <c r="B45" i="1"/>
  <c r="A45" i="1"/>
  <c r="B44" i="1"/>
  <c r="A44" i="1"/>
  <c r="B43" i="1"/>
  <c r="A43" i="1"/>
  <c r="B42" i="1"/>
  <c r="A42" i="1"/>
  <c r="B41" i="1"/>
  <c r="A41" i="1"/>
  <c r="B40" i="1"/>
  <c r="A40" i="1"/>
  <c r="B39" i="1"/>
  <c r="A39" i="1"/>
  <c r="P36" i="1"/>
  <c r="O36" i="1"/>
  <c r="N36" i="1"/>
  <c r="M36" i="1"/>
  <c r="L36" i="1"/>
  <c r="K36" i="1"/>
  <c r="J36" i="1"/>
  <c r="I36" i="1"/>
  <c r="H36" i="1"/>
  <c r="G36" i="1"/>
  <c r="F36" i="1"/>
  <c r="E36" i="1"/>
  <c r="D36" i="1"/>
  <c r="B36" i="1"/>
  <c r="A36" i="1"/>
  <c r="P35" i="1"/>
  <c r="E35" i="1"/>
  <c r="D35" i="1"/>
  <c r="B35" i="1"/>
  <c r="A35" i="1"/>
  <c r="P34" i="1"/>
  <c r="O34" i="1"/>
  <c r="N34" i="1"/>
  <c r="M34" i="1"/>
  <c r="L34" i="1"/>
  <c r="K34" i="1"/>
  <c r="J34" i="1"/>
  <c r="I34" i="1"/>
  <c r="H34" i="1"/>
  <c r="G34" i="1"/>
  <c r="F34" i="1"/>
  <c r="E34" i="1"/>
  <c r="D34" i="1"/>
  <c r="B34" i="1"/>
  <c r="A34" i="1"/>
  <c r="P33" i="1"/>
  <c r="O33" i="1"/>
  <c r="N33" i="1"/>
  <c r="M33" i="1"/>
  <c r="L33" i="1"/>
  <c r="K33" i="1"/>
  <c r="J33" i="1"/>
  <c r="I33" i="1"/>
  <c r="H33" i="1"/>
  <c r="G33" i="1"/>
  <c r="F33" i="1"/>
  <c r="E33" i="1"/>
  <c r="D33" i="1"/>
  <c r="B33" i="1"/>
  <c r="A33" i="1"/>
  <c r="P32" i="1"/>
  <c r="E32" i="1"/>
  <c r="D32" i="1"/>
  <c r="B32" i="1"/>
  <c r="A32" i="1"/>
  <c r="P31" i="1"/>
  <c r="O31" i="1"/>
  <c r="N31" i="1"/>
  <c r="M31" i="1"/>
  <c r="L31" i="1"/>
  <c r="K31" i="1"/>
  <c r="J31" i="1"/>
  <c r="I31" i="1"/>
  <c r="H31" i="1"/>
  <c r="G31" i="1"/>
  <c r="F31" i="1"/>
  <c r="E31" i="1"/>
  <c r="D31" i="1"/>
  <c r="B31" i="1"/>
  <c r="A31" i="1"/>
  <c r="P30" i="1"/>
  <c r="O30" i="1"/>
  <c r="N30" i="1"/>
  <c r="M30" i="1"/>
  <c r="L30" i="1"/>
  <c r="K30" i="1"/>
  <c r="J30" i="1"/>
  <c r="I30" i="1"/>
  <c r="H30" i="1"/>
  <c r="G30" i="1"/>
  <c r="F30" i="1"/>
  <c r="E30" i="1"/>
  <c r="D30" i="1"/>
  <c r="B30" i="1"/>
  <c r="A30" i="1"/>
  <c r="P29" i="1"/>
  <c r="O29" i="1"/>
  <c r="N29" i="1"/>
  <c r="M29" i="1"/>
  <c r="L29" i="1"/>
  <c r="K29" i="1"/>
  <c r="J29" i="1"/>
  <c r="I29" i="1"/>
  <c r="H29" i="1"/>
  <c r="G29" i="1"/>
  <c r="F29" i="1"/>
  <c r="E29" i="1"/>
  <c r="D29" i="1"/>
  <c r="B29" i="1"/>
  <c r="A29" i="1"/>
  <c r="P28" i="1"/>
  <c r="O28" i="1"/>
  <c r="N28" i="1"/>
  <c r="M28" i="1"/>
  <c r="L28" i="1"/>
  <c r="K28" i="1"/>
  <c r="J28" i="1"/>
  <c r="I28" i="1"/>
  <c r="H28" i="1"/>
  <c r="G28" i="1"/>
  <c r="F28" i="1"/>
  <c r="E28" i="1"/>
  <c r="D28" i="1"/>
  <c r="B28" i="1"/>
  <c r="A28" i="1"/>
  <c r="B27" i="1"/>
  <c r="A27" i="1"/>
  <c r="P26" i="1"/>
  <c r="E26" i="1"/>
  <c r="D26" i="1"/>
  <c r="B26" i="1"/>
  <c r="A26" i="1"/>
  <c r="P25" i="1"/>
  <c r="O25" i="1"/>
  <c r="N25" i="1"/>
  <c r="M25" i="1"/>
  <c r="L25" i="1"/>
  <c r="K25" i="1"/>
  <c r="J25" i="1"/>
  <c r="I25" i="1"/>
  <c r="H25" i="1"/>
  <c r="F25" i="1"/>
  <c r="E25" i="1"/>
  <c r="D25" i="1"/>
  <c r="B25" i="1"/>
  <c r="A25" i="1"/>
  <c r="E24" i="1"/>
  <c r="D24" i="1"/>
  <c r="B24" i="1"/>
  <c r="A24" i="1"/>
  <c r="F18" i="3"/>
  <c r="F23" i="3" s="1"/>
  <c r="F22" i="3" s="1"/>
  <c r="F21" i="3"/>
  <c r="B26" i="3"/>
  <c r="B17" i="3"/>
  <c r="B8" i="3"/>
  <c r="P157" i="3"/>
  <c r="P160" i="3"/>
  <c r="F157" i="3"/>
  <c r="F160" i="3"/>
  <c r="G64" i="3"/>
  <c r="F64" i="3" s="1"/>
  <c r="E64" i="3" s="1"/>
  <c r="D64" i="3" s="1"/>
  <c r="G124" i="3"/>
  <c r="H124" i="3" s="1"/>
  <c r="I124" i="3" s="1"/>
  <c r="J124" i="3" s="1"/>
  <c r="K124" i="3" s="1"/>
  <c r="L124" i="3" s="1"/>
  <c r="M124" i="3" s="1"/>
  <c r="N124" i="3" s="1"/>
  <c r="O124" i="3" s="1"/>
  <c r="P124" i="3" s="1"/>
  <c r="K40" i="105"/>
  <c r="F31" i="105"/>
  <c r="G31" i="105"/>
  <c r="E31" i="105"/>
  <c r="H44" i="105"/>
  <c r="M36" i="23"/>
  <c r="M37" i="23"/>
  <c r="C7" i="104"/>
  <c r="C3" i="104" s="1"/>
  <c r="B7" i="104"/>
  <c r="B3" i="104" s="1"/>
  <c r="A7" i="104"/>
  <c r="P23" i="13"/>
  <c r="P9" i="13" s="1"/>
  <c r="O23" i="13"/>
  <c r="O9" i="13" s="1"/>
  <c r="N23" i="13"/>
  <c r="N9" i="13" s="1"/>
  <c r="M23" i="13"/>
  <c r="M9" i="13" s="1"/>
  <c r="L23" i="13"/>
  <c r="L9" i="13" s="1"/>
  <c r="K23" i="13"/>
  <c r="K9" i="13" s="1"/>
  <c r="J23" i="13"/>
  <c r="J9" i="13" s="1"/>
  <c r="I9" i="13"/>
  <c r="H9" i="13"/>
  <c r="G9" i="13"/>
  <c r="G5" i="13"/>
  <c r="F5" i="13" s="1"/>
  <c r="E5" i="13" s="1"/>
  <c r="D5" i="13" s="1"/>
  <c r="M242" i="12"/>
  <c r="L242" i="12"/>
  <c r="K242" i="12"/>
  <c r="J242" i="12"/>
  <c r="I242" i="12"/>
  <c r="H242" i="12"/>
  <c r="G242" i="12"/>
  <c r="F242" i="12"/>
  <c r="E242" i="12"/>
  <c r="D242" i="12"/>
  <c r="M161" i="12"/>
  <c r="L161" i="12"/>
  <c r="K161" i="12"/>
  <c r="J161" i="12"/>
  <c r="I161" i="12"/>
  <c r="H161" i="12"/>
  <c r="G161" i="12"/>
  <c r="F161" i="12"/>
  <c r="E161" i="12"/>
  <c r="D161" i="12"/>
  <c r="M81" i="12"/>
  <c r="L81" i="12"/>
  <c r="K81" i="12"/>
  <c r="J81" i="12"/>
  <c r="I81" i="12"/>
  <c r="H81" i="12"/>
  <c r="G81" i="12"/>
  <c r="F81" i="12"/>
  <c r="E81" i="12"/>
  <c r="D81" i="12"/>
  <c r="M242" i="20"/>
  <c r="L242" i="20"/>
  <c r="K242" i="20"/>
  <c r="J242" i="20"/>
  <c r="I242" i="20"/>
  <c r="H242" i="20"/>
  <c r="G242" i="20"/>
  <c r="F242" i="20"/>
  <c r="E242" i="20"/>
  <c r="D242" i="20"/>
  <c r="M81" i="20"/>
  <c r="M161" i="20" s="1"/>
  <c r="L81" i="20"/>
  <c r="L161" i="20" s="1"/>
  <c r="K81" i="20"/>
  <c r="K161" i="20" s="1"/>
  <c r="J81" i="20"/>
  <c r="J161" i="20" s="1"/>
  <c r="I81" i="20"/>
  <c r="I161" i="20" s="1"/>
  <c r="H81" i="20"/>
  <c r="H161" i="20" s="1"/>
  <c r="G81" i="20"/>
  <c r="G161" i="20" s="1"/>
  <c r="F81" i="20"/>
  <c r="F161" i="20" s="1"/>
  <c r="E81" i="20"/>
  <c r="E161" i="20" s="1"/>
  <c r="D81" i="20"/>
  <c r="D161" i="20" s="1"/>
  <c r="D67" i="19"/>
  <c r="E67" i="19" s="1"/>
  <c r="F67" i="19" s="1"/>
  <c r="G67" i="19" s="1"/>
  <c r="H67" i="19" s="1"/>
  <c r="I67" i="19" s="1"/>
  <c r="J67" i="19" s="1"/>
  <c r="K67" i="19" s="1"/>
  <c r="L67" i="19" s="1"/>
  <c r="M67" i="19" s="1"/>
  <c r="D67" i="17"/>
  <c r="E67" i="17" s="1"/>
  <c r="F67" i="17" s="1"/>
  <c r="G67" i="17" s="1"/>
  <c r="H67" i="17" s="1"/>
  <c r="I67" i="17" s="1"/>
  <c r="J67" i="17" s="1"/>
  <c r="K67" i="17" s="1"/>
  <c r="L67" i="17" s="1"/>
  <c r="M67" i="17" s="1"/>
  <c r="DM40" i="27"/>
  <c r="DL40" i="27"/>
  <c r="DJ40" i="27"/>
  <c r="DI40" i="27"/>
  <c r="DH40" i="27"/>
  <c r="DF40" i="27"/>
  <c r="DE40" i="27"/>
  <c r="DD40" i="27"/>
  <c r="DC40" i="27"/>
  <c r="DB40" i="27"/>
  <c r="DA40" i="27"/>
  <c r="CZ40" i="27"/>
  <c r="CY40" i="27"/>
  <c r="CO40" i="27"/>
  <c r="CN40" i="27"/>
  <c r="CM40" i="27"/>
  <c r="CL40" i="27"/>
  <c r="CK40" i="27"/>
  <c r="CJ40" i="27"/>
  <c r="DM39" i="27"/>
  <c r="DL39" i="27"/>
  <c r="DJ39" i="27"/>
  <c r="DI39" i="27"/>
  <c r="DH39" i="27"/>
  <c r="DF39" i="27"/>
  <c r="DE39" i="27"/>
  <c r="DD39" i="27"/>
  <c r="DC39" i="27"/>
  <c r="DB39" i="27"/>
  <c r="DA39" i="27"/>
  <c r="CZ39" i="27"/>
  <c r="CY39" i="27"/>
  <c r="CO39" i="27"/>
  <c r="CN39" i="27"/>
  <c r="CM39" i="27"/>
  <c r="CL39" i="27"/>
  <c r="CK39" i="27"/>
  <c r="CJ39" i="27"/>
  <c r="DM38" i="27"/>
  <c r="DL38" i="27"/>
  <c r="DJ38" i="27"/>
  <c r="DI38" i="27"/>
  <c r="DH38" i="27"/>
  <c r="DF38" i="27"/>
  <c r="DE38" i="27"/>
  <c r="DD38" i="27"/>
  <c r="DC38" i="27"/>
  <c r="DB38" i="27"/>
  <c r="DA38" i="27"/>
  <c r="CZ38" i="27"/>
  <c r="CY38" i="27"/>
  <c r="CO38" i="27"/>
  <c r="CN38" i="27"/>
  <c r="CM38" i="27"/>
  <c r="CL38" i="27"/>
  <c r="CK38" i="27"/>
  <c r="CJ38" i="27"/>
  <c r="CI37" i="27"/>
  <c r="DO37" i="27" s="1"/>
  <c r="DN37" i="27"/>
  <c r="DM37" i="27"/>
  <c r="DL37" i="27"/>
  <c r="DK37" i="27"/>
  <c r="DJ37" i="27"/>
  <c r="DI37" i="27"/>
  <c r="DH37" i="27"/>
  <c r="DG37" i="27"/>
  <c r="DF37" i="27"/>
  <c r="DE37" i="27"/>
  <c r="DD37" i="27"/>
  <c r="DC37" i="27"/>
  <c r="DB37" i="27"/>
  <c r="DA37" i="27"/>
  <c r="CZ37" i="27"/>
  <c r="CY37" i="27"/>
  <c r="CX37" i="27"/>
  <c r="CW37" i="27"/>
  <c r="CV37" i="27"/>
  <c r="CU37" i="27"/>
  <c r="CT37" i="27"/>
  <c r="CS37" i="27"/>
  <c r="CR37" i="27"/>
  <c r="CQ37" i="27"/>
  <c r="CP37" i="27"/>
  <c r="CO37" i="27"/>
  <c r="CN37" i="27"/>
  <c r="CM37" i="27"/>
  <c r="CL37" i="27"/>
  <c r="CK37" i="27"/>
  <c r="CJ37" i="27"/>
  <c r="DN36" i="27"/>
  <c r="DM36" i="27"/>
  <c r="DL36" i="27"/>
  <c r="DK36" i="27"/>
  <c r="DJ36" i="27"/>
  <c r="DI36" i="27"/>
  <c r="DH36" i="27"/>
  <c r="DG36" i="27"/>
  <c r="DF36" i="27"/>
  <c r="DE36" i="27"/>
  <c r="DD36" i="27"/>
  <c r="DC36" i="27"/>
  <c r="DB36" i="27"/>
  <c r="DA36" i="27"/>
  <c r="CZ36" i="27"/>
  <c r="CY36" i="27"/>
  <c r="CX36" i="27"/>
  <c r="CW36" i="27"/>
  <c r="CV36" i="27"/>
  <c r="CU36" i="27"/>
  <c r="CT36" i="27"/>
  <c r="CS36" i="27"/>
  <c r="CR36" i="27"/>
  <c r="CQ36" i="27"/>
  <c r="CP36" i="27"/>
  <c r="CO36" i="27"/>
  <c r="CN36" i="27"/>
  <c r="CM36" i="27"/>
  <c r="CL36" i="27"/>
  <c r="CK36" i="27"/>
  <c r="CJ36" i="27"/>
  <c r="DN35" i="27"/>
  <c r="DM35" i="27"/>
  <c r="DL35" i="27"/>
  <c r="DK35" i="27"/>
  <c r="DJ35" i="27"/>
  <c r="DI35" i="27"/>
  <c r="DH35" i="27"/>
  <c r="DG35" i="27"/>
  <c r="DF35" i="27"/>
  <c r="DE35" i="27"/>
  <c r="DD35" i="27"/>
  <c r="DC35" i="27"/>
  <c r="DB35" i="27"/>
  <c r="DA35" i="27"/>
  <c r="CZ35" i="27"/>
  <c r="CY35" i="27"/>
  <c r="CX35" i="27"/>
  <c r="CW35" i="27"/>
  <c r="CV35" i="27"/>
  <c r="CU35" i="27"/>
  <c r="CT35" i="27"/>
  <c r="CS35" i="27"/>
  <c r="CR35" i="27"/>
  <c r="CQ35" i="27"/>
  <c r="CP35" i="27"/>
  <c r="CO35" i="27"/>
  <c r="CN35" i="27"/>
  <c r="CM35" i="27"/>
  <c r="CL35" i="27"/>
  <c r="CK35" i="27"/>
  <c r="CJ35" i="27"/>
  <c r="DN34" i="27"/>
  <c r="DM34" i="27"/>
  <c r="DL34" i="27"/>
  <c r="DK34" i="27"/>
  <c r="DJ34" i="27"/>
  <c r="DI34" i="27"/>
  <c r="DH34" i="27"/>
  <c r="DG34" i="27"/>
  <c r="DF34" i="27"/>
  <c r="DE34" i="27"/>
  <c r="DD34" i="27"/>
  <c r="DC34" i="27"/>
  <c r="DB34" i="27"/>
  <c r="DA34" i="27"/>
  <c r="CZ34" i="27"/>
  <c r="CY34" i="27"/>
  <c r="CX34" i="27"/>
  <c r="CW34" i="27"/>
  <c r="CV34" i="27"/>
  <c r="CU34" i="27"/>
  <c r="CT34" i="27"/>
  <c r="CS34" i="27"/>
  <c r="CR34" i="27"/>
  <c r="CQ34" i="27"/>
  <c r="CP34" i="27"/>
  <c r="CO34" i="27"/>
  <c r="CN34" i="27"/>
  <c r="CM34" i="27"/>
  <c r="CL34" i="27"/>
  <c r="CK34" i="27"/>
  <c r="CJ34" i="27"/>
  <c r="C9" i="27"/>
  <c r="C10" i="27" s="1"/>
  <c r="C11" i="27" s="1"/>
  <c r="C12" i="27" s="1"/>
  <c r="C13" i="27" s="1"/>
  <c r="C14" i="27" s="1"/>
  <c r="C15" i="27" s="1"/>
  <c r="C16" i="27" s="1"/>
  <c r="C17" i="27" s="1"/>
  <c r="C18" i="27" s="1"/>
  <c r="C19" i="27" s="1"/>
  <c r="C20" i="27" s="1"/>
  <c r="C21" i="27" s="1"/>
  <c r="C22" i="27" s="1"/>
  <c r="C23" i="27" s="1"/>
  <c r="C24" i="27" s="1"/>
  <c r="C25" i="27" s="1"/>
  <c r="C26" i="27" s="1"/>
  <c r="C27" i="27" s="1"/>
  <c r="C28" i="27" s="1"/>
  <c r="C29" i="27" s="1"/>
  <c r="C30" i="27" s="1"/>
  <c r="C31" i="27" s="1"/>
  <c r="C32" i="27" s="1"/>
  <c r="C33" i="27" s="1"/>
  <c r="C34" i="27" s="1"/>
  <c r="C35" i="27" s="1"/>
  <c r="AT91" i="27"/>
  <c r="AS91" i="27"/>
  <c r="BK69" i="27"/>
  <c r="BH69" i="27"/>
  <c r="BA69" i="27"/>
  <c r="BE69" i="27"/>
  <c r="AX69" i="27"/>
  <c r="BS61" i="27"/>
  <c r="BH61" i="27"/>
  <c r="BE61" i="27"/>
  <c r="BA61" i="27"/>
  <c r="AX61" i="27"/>
  <c r="AS61" i="27"/>
  <c r="BS62" i="27"/>
  <c r="BH62" i="27"/>
  <c r="BE62" i="27"/>
  <c r="BA62" i="27"/>
  <c r="AX62" i="27"/>
  <c r="AS62" i="27"/>
  <c r="BS63" i="27"/>
  <c r="BH63" i="27"/>
  <c r="BE63" i="27"/>
  <c r="BA63" i="27"/>
  <c r="AX63" i="27"/>
  <c r="AS63" i="27"/>
  <c r="BS64" i="27"/>
  <c r="BH64" i="27"/>
  <c r="BE64" i="27"/>
  <c r="BA64" i="27"/>
  <c r="AX64" i="27"/>
  <c r="AS64" i="27"/>
  <c r="BS65" i="27"/>
  <c r="BH65" i="27"/>
  <c r="BE65" i="27"/>
  <c r="BA65" i="27"/>
  <c r="AX65" i="27"/>
  <c r="AS65" i="27"/>
  <c r="BS66" i="27"/>
  <c r="BH66" i="27"/>
  <c r="BE66" i="27"/>
  <c r="BA66" i="27"/>
  <c r="AX66" i="27"/>
  <c r="AS66" i="27"/>
  <c r="BS67" i="27"/>
  <c r="BH67" i="27"/>
  <c r="BE67" i="27"/>
  <c r="BA67" i="27"/>
  <c r="AX67" i="27"/>
  <c r="AS67" i="27"/>
  <c r="BS68" i="27"/>
  <c r="BH68" i="27"/>
  <c r="BE68" i="27"/>
  <c r="BA68" i="27"/>
  <c r="AX68" i="27"/>
  <c r="AS68" i="27"/>
  <c r="BS69" i="27"/>
  <c r="AS69" i="27"/>
  <c r="D1" i="27"/>
  <c r="BH91" i="27"/>
  <c r="BE91" i="27"/>
  <c r="CB91" i="27"/>
  <c r="BA91" i="27"/>
  <c r="AX91" i="27"/>
  <c r="P91" i="27"/>
  <c r="DL33" i="27"/>
  <c r="DL32" i="27"/>
  <c r="DL31" i="27"/>
  <c r="DL30" i="27"/>
  <c r="DL29" i="27"/>
  <c r="DL28" i="27"/>
  <c r="DL27" i="27"/>
  <c r="DL26" i="27"/>
  <c r="DL25" i="27"/>
  <c r="DL24" i="27"/>
  <c r="DL23" i="27"/>
  <c r="DL22" i="27"/>
  <c r="DL21" i="27"/>
  <c r="DL20" i="27"/>
  <c r="DL19" i="27"/>
  <c r="DL18" i="27"/>
  <c r="DL17" i="27"/>
  <c r="DL16" i="27"/>
  <c r="DL15" i="27"/>
  <c r="DL14" i="27"/>
  <c r="DL13" i="27"/>
  <c r="DL12" i="27"/>
  <c r="DL11" i="27"/>
  <c r="DL10" i="27"/>
  <c r="DL9" i="27"/>
  <c r="DL8" i="27"/>
  <c r="DL7" i="27"/>
  <c r="CE91" i="27"/>
  <c r="BS91" i="27"/>
  <c r="BR91" i="27"/>
  <c r="BO91" i="27"/>
  <c r="BM91" i="27"/>
  <c r="BL91" i="27"/>
  <c r="DH91" i="27"/>
  <c r="Q91" i="27"/>
  <c r="DN33" i="27"/>
  <c r="DM33" i="27"/>
  <c r="DK33" i="27"/>
  <c r="DJ33" i="27"/>
  <c r="DI33" i="27"/>
  <c r="DH33" i="27"/>
  <c r="DG33" i="27"/>
  <c r="DF33" i="27"/>
  <c r="DE33" i="27"/>
  <c r="DD33" i="27"/>
  <c r="DC33" i="27"/>
  <c r="DB33" i="27"/>
  <c r="DA33" i="27"/>
  <c r="CZ33" i="27"/>
  <c r="CY33" i="27"/>
  <c r="CX33" i="27"/>
  <c r="CW33" i="27"/>
  <c r="CV33" i="27"/>
  <c r="CU33" i="27"/>
  <c r="CT33" i="27"/>
  <c r="CS33" i="27"/>
  <c r="CR33" i="27"/>
  <c r="CQ33" i="27"/>
  <c r="CP33" i="27"/>
  <c r="CO33" i="27"/>
  <c r="CN33" i="27"/>
  <c r="CM33" i="27"/>
  <c r="CL33" i="27"/>
  <c r="CK33" i="27"/>
  <c r="CJ33" i="27"/>
  <c r="DN32" i="27"/>
  <c r="DM32" i="27"/>
  <c r="DK32" i="27"/>
  <c r="DJ32" i="27"/>
  <c r="DI32" i="27"/>
  <c r="DH32" i="27"/>
  <c r="DG32" i="27"/>
  <c r="DF32" i="27"/>
  <c r="DE32" i="27"/>
  <c r="DD32" i="27"/>
  <c r="DC32" i="27"/>
  <c r="DB32" i="27"/>
  <c r="DA32" i="27"/>
  <c r="CZ32" i="27"/>
  <c r="CY32" i="27"/>
  <c r="CX32" i="27"/>
  <c r="CW32" i="27"/>
  <c r="CV32" i="27"/>
  <c r="CU32" i="27"/>
  <c r="CT32" i="27"/>
  <c r="CS32" i="27"/>
  <c r="CR32" i="27"/>
  <c r="CQ32" i="27"/>
  <c r="CP32" i="27"/>
  <c r="CO32" i="27"/>
  <c r="CN32" i="27"/>
  <c r="CM32" i="27"/>
  <c r="CL32" i="27"/>
  <c r="CK32" i="27"/>
  <c r="CJ32" i="27"/>
  <c r="DN31" i="27"/>
  <c r="DM31" i="27"/>
  <c r="DK31" i="27"/>
  <c r="DJ31" i="27"/>
  <c r="DI31" i="27"/>
  <c r="DH31" i="27"/>
  <c r="DG31" i="27"/>
  <c r="DF31" i="27"/>
  <c r="DE31" i="27"/>
  <c r="DD31" i="27"/>
  <c r="DC31" i="27"/>
  <c r="DB31" i="27"/>
  <c r="DA31" i="27"/>
  <c r="CZ31" i="27"/>
  <c r="CY31" i="27"/>
  <c r="CX31" i="27"/>
  <c r="CW31" i="27"/>
  <c r="CV31" i="27"/>
  <c r="CU31" i="27"/>
  <c r="CT31" i="27"/>
  <c r="CS31" i="27"/>
  <c r="CR31" i="27"/>
  <c r="CQ31" i="27"/>
  <c r="CP31" i="27"/>
  <c r="CO31" i="27"/>
  <c r="CN31" i="27"/>
  <c r="CM31" i="27"/>
  <c r="CL31" i="27"/>
  <c r="CK31" i="27"/>
  <c r="CJ31" i="27"/>
  <c r="DN30" i="27"/>
  <c r="DM30" i="27"/>
  <c r="DK30" i="27"/>
  <c r="DJ30" i="27"/>
  <c r="DI30" i="27"/>
  <c r="DH30" i="27"/>
  <c r="DG30" i="27"/>
  <c r="DF30" i="27"/>
  <c r="DE30" i="27"/>
  <c r="DD30" i="27"/>
  <c r="DC30" i="27"/>
  <c r="DB30" i="27"/>
  <c r="DA30" i="27"/>
  <c r="CZ30" i="27"/>
  <c r="CY30" i="27"/>
  <c r="CX30" i="27"/>
  <c r="CW30" i="27"/>
  <c r="CV30" i="27"/>
  <c r="CU30" i="27"/>
  <c r="CT30" i="27"/>
  <c r="CS30" i="27"/>
  <c r="CR30" i="27"/>
  <c r="CQ30" i="27"/>
  <c r="CP30" i="27"/>
  <c r="CO30" i="27"/>
  <c r="CN30" i="27"/>
  <c r="CM30" i="27"/>
  <c r="CL30" i="27"/>
  <c r="CK30" i="27"/>
  <c r="CJ30" i="27"/>
  <c r="DN29" i="27"/>
  <c r="DM29" i="27"/>
  <c r="DK29" i="27"/>
  <c r="DJ29" i="27"/>
  <c r="DI29" i="27"/>
  <c r="DH29" i="27"/>
  <c r="DG29" i="27"/>
  <c r="DF29" i="27"/>
  <c r="DE29" i="27"/>
  <c r="DD29" i="27"/>
  <c r="DC29" i="27"/>
  <c r="DB29" i="27"/>
  <c r="DA29" i="27"/>
  <c r="CZ29" i="27"/>
  <c r="CY29" i="27"/>
  <c r="CX29" i="27"/>
  <c r="CW29" i="27"/>
  <c r="CV29" i="27"/>
  <c r="CU29" i="27"/>
  <c r="CT29" i="27"/>
  <c r="CS29" i="27"/>
  <c r="CR29" i="27"/>
  <c r="CQ29" i="27"/>
  <c r="CP29" i="27"/>
  <c r="CO29" i="27"/>
  <c r="CN29" i="27"/>
  <c r="CM29" i="27"/>
  <c r="CL29" i="27"/>
  <c r="CK29" i="27"/>
  <c r="CJ29" i="27"/>
  <c r="DN28" i="27"/>
  <c r="DM28" i="27"/>
  <c r="DK28" i="27"/>
  <c r="DJ28" i="27"/>
  <c r="DI28" i="27"/>
  <c r="DH28" i="27"/>
  <c r="DG28" i="27"/>
  <c r="DF28" i="27"/>
  <c r="DE28" i="27"/>
  <c r="DD28" i="27"/>
  <c r="DC28" i="27"/>
  <c r="DB28" i="27"/>
  <c r="DA28" i="27"/>
  <c r="CZ28" i="27"/>
  <c r="CY28" i="27"/>
  <c r="CX28" i="27"/>
  <c r="CW28" i="27"/>
  <c r="CV28" i="27"/>
  <c r="CU28" i="27"/>
  <c r="CT28" i="27"/>
  <c r="CS28" i="27"/>
  <c r="CR28" i="27"/>
  <c r="CQ28" i="27"/>
  <c r="CP28" i="27"/>
  <c r="CO28" i="27"/>
  <c r="CN28" i="27"/>
  <c r="CM28" i="27"/>
  <c r="CL28" i="27"/>
  <c r="CK28" i="27"/>
  <c r="CJ28" i="27"/>
  <c r="DN27" i="27"/>
  <c r="DM27" i="27"/>
  <c r="DK27" i="27"/>
  <c r="DJ27" i="27"/>
  <c r="DI27" i="27"/>
  <c r="DH27" i="27"/>
  <c r="DG27" i="27"/>
  <c r="DF27" i="27"/>
  <c r="DE27" i="27"/>
  <c r="DD27" i="27"/>
  <c r="DC27" i="27"/>
  <c r="DB27" i="27"/>
  <c r="DA27" i="27"/>
  <c r="CZ27" i="27"/>
  <c r="CY27" i="27"/>
  <c r="CX27" i="27"/>
  <c r="CW27" i="27"/>
  <c r="CV27" i="27"/>
  <c r="CU27" i="27"/>
  <c r="CT27" i="27"/>
  <c r="CS27" i="27"/>
  <c r="CR27" i="27"/>
  <c r="CQ27" i="27"/>
  <c r="CP27" i="27"/>
  <c r="CO27" i="27"/>
  <c r="CN27" i="27"/>
  <c r="CM27" i="27"/>
  <c r="CL27" i="27"/>
  <c r="CK27" i="27"/>
  <c r="CJ27" i="27"/>
  <c r="DN26" i="27"/>
  <c r="DM26" i="27"/>
  <c r="DK26" i="27"/>
  <c r="DJ26" i="27"/>
  <c r="DI26" i="27"/>
  <c r="DH26" i="27"/>
  <c r="DG26" i="27"/>
  <c r="DF26" i="27"/>
  <c r="DE26" i="27"/>
  <c r="DD26" i="27"/>
  <c r="DC26" i="27"/>
  <c r="DB26" i="27"/>
  <c r="DA26" i="27"/>
  <c r="CZ26" i="27"/>
  <c r="CY26" i="27"/>
  <c r="CX26" i="27"/>
  <c r="CW26" i="27"/>
  <c r="CV26" i="27"/>
  <c r="CU26" i="27"/>
  <c r="CT26" i="27"/>
  <c r="CS26" i="27"/>
  <c r="CR26" i="27"/>
  <c r="CQ26" i="27"/>
  <c r="CP26" i="27"/>
  <c r="CO26" i="27"/>
  <c r="CN26" i="27"/>
  <c r="CM26" i="27"/>
  <c r="CL26" i="27"/>
  <c r="CK26" i="27"/>
  <c r="CJ26" i="27"/>
  <c r="DN25" i="27"/>
  <c r="DM25" i="27"/>
  <c r="DK25" i="27"/>
  <c r="DJ25" i="27"/>
  <c r="DI25" i="27"/>
  <c r="DH25" i="27"/>
  <c r="DG25" i="27"/>
  <c r="DF25" i="27"/>
  <c r="DE25" i="27"/>
  <c r="DD25" i="27"/>
  <c r="DC25" i="27"/>
  <c r="DB25" i="27"/>
  <c r="DA25" i="27"/>
  <c r="CZ25" i="27"/>
  <c r="CY25" i="27"/>
  <c r="CX25" i="27"/>
  <c r="CW25" i="27"/>
  <c r="CV25" i="27"/>
  <c r="CU25" i="27"/>
  <c r="CT25" i="27"/>
  <c r="CS25" i="27"/>
  <c r="CR25" i="27"/>
  <c r="CQ25" i="27"/>
  <c r="CP25" i="27"/>
  <c r="CO25" i="27"/>
  <c r="CN25" i="27"/>
  <c r="CM25" i="27"/>
  <c r="CL25" i="27"/>
  <c r="CK25" i="27"/>
  <c r="CJ25" i="27"/>
  <c r="DN24" i="27"/>
  <c r="DM24" i="27"/>
  <c r="DK24" i="27"/>
  <c r="DJ24" i="27"/>
  <c r="DI24" i="27"/>
  <c r="DH24" i="27"/>
  <c r="DG24" i="27"/>
  <c r="DF24" i="27"/>
  <c r="DE24" i="27"/>
  <c r="DD24" i="27"/>
  <c r="DC24" i="27"/>
  <c r="DB24" i="27"/>
  <c r="DA24" i="27"/>
  <c r="CZ24" i="27"/>
  <c r="CY24" i="27"/>
  <c r="CX24" i="27"/>
  <c r="CW24" i="27"/>
  <c r="CV24" i="27"/>
  <c r="CU24" i="27"/>
  <c r="CT24" i="27"/>
  <c r="CS24" i="27"/>
  <c r="CR24" i="27"/>
  <c r="CQ24" i="27"/>
  <c r="CP24" i="27"/>
  <c r="CO24" i="27"/>
  <c r="CN24" i="27"/>
  <c r="CM24" i="27"/>
  <c r="CL24" i="27"/>
  <c r="CK24" i="27"/>
  <c r="CJ24" i="27"/>
  <c r="DN23" i="27"/>
  <c r="DM23" i="27"/>
  <c r="DK23" i="27"/>
  <c r="DJ23" i="27"/>
  <c r="DI23" i="27"/>
  <c r="DH23" i="27"/>
  <c r="DG23" i="27"/>
  <c r="DF23" i="27"/>
  <c r="DE23" i="27"/>
  <c r="DD23" i="27"/>
  <c r="DC23" i="27"/>
  <c r="DB23" i="27"/>
  <c r="DA23" i="27"/>
  <c r="CZ23" i="27"/>
  <c r="CY23" i="27"/>
  <c r="CX23" i="27"/>
  <c r="CW23" i="27"/>
  <c r="CV23" i="27"/>
  <c r="CU23" i="27"/>
  <c r="CT23" i="27"/>
  <c r="CS23" i="27"/>
  <c r="CR23" i="27"/>
  <c r="CQ23" i="27"/>
  <c r="CP23" i="27"/>
  <c r="CO23" i="27"/>
  <c r="CN23" i="27"/>
  <c r="CM23" i="27"/>
  <c r="CL23" i="27"/>
  <c r="CK23" i="27"/>
  <c r="CJ23" i="27"/>
  <c r="DN22" i="27"/>
  <c r="DM22" i="27"/>
  <c r="DK22" i="27"/>
  <c r="DJ22" i="27"/>
  <c r="DI22" i="27"/>
  <c r="DH22" i="27"/>
  <c r="DG22" i="27"/>
  <c r="DF22" i="27"/>
  <c r="DE22" i="27"/>
  <c r="DD22" i="27"/>
  <c r="DC22" i="27"/>
  <c r="DB22" i="27"/>
  <c r="DA22" i="27"/>
  <c r="CZ22" i="27"/>
  <c r="CY22" i="27"/>
  <c r="CX22" i="27"/>
  <c r="CW22" i="27"/>
  <c r="CV22" i="27"/>
  <c r="CU22" i="27"/>
  <c r="CT22" i="27"/>
  <c r="CS22" i="27"/>
  <c r="CR22" i="27"/>
  <c r="CQ22" i="27"/>
  <c r="CP22" i="27"/>
  <c r="CO22" i="27"/>
  <c r="CN22" i="27"/>
  <c r="CM22" i="27"/>
  <c r="CL22" i="27"/>
  <c r="CK22" i="27"/>
  <c r="CJ22" i="27"/>
  <c r="DN21" i="27"/>
  <c r="DM21" i="27"/>
  <c r="DK21" i="27"/>
  <c r="DJ21" i="27"/>
  <c r="DI21" i="27"/>
  <c r="DH21" i="27"/>
  <c r="DG21" i="27"/>
  <c r="DF21" i="27"/>
  <c r="DE21" i="27"/>
  <c r="DD21" i="27"/>
  <c r="DC21" i="27"/>
  <c r="DB21" i="27"/>
  <c r="DA21" i="27"/>
  <c r="CZ21" i="27"/>
  <c r="CY21" i="27"/>
  <c r="CX21" i="27"/>
  <c r="CW21" i="27"/>
  <c r="CV21" i="27"/>
  <c r="CU21" i="27"/>
  <c r="CT21" i="27"/>
  <c r="CS21" i="27"/>
  <c r="CR21" i="27"/>
  <c r="CQ21" i="27"/>
  <c r="CP21" i="27"/>
  <c r="CO21" i="27"/>
  <c r="CN21" i="27"/>
  <c r="CM21" i="27"/>
  <c r="CL21" i="27"/>
  <c r="CK21" i="27"/>
  <c r="CJ21" i="27"/>
  <c r="DN20" i="27"/>
  <c r="DM20" i="27"/>
  <c r="DK20" i="27"/>
  <c r="DJ20" i="27"/>
  <c r="DI20" i="27"/>
  <c r="DH20" i="27"/>
  <c r="DG20" i="27"/>
  <c r="DF20" i="27"/>
  <c r="DE20" i="27"/>
  <c r="DD20" i="27"/>
  <c r="DC20" i="27"/>
  <c r="DB20" i="27"/>
  <c r="DA20" i="27"/>
  <c r="CZ20" i="27"/>
  <c r="CY20" i="27"/>
  <c r="CX20" i="27"/>
  <c r="CW20" i="27"/>
  <c r="CV20" i="27"/>
  <c r="CU20" i="27"/>
  <c r="CT20" i="27"/>
  <c r="CS20" i="27"/>
  <c r="CR20" i="27"/>
  <c r="CQ20" i="27"/>
  <c r="CP20" i="27"/>
  <c r="CO20" i="27"/>
  <c r="CN20" i="27"/>
  <c r="CM20" i="27"/>
  <c r="CL20" i="27"/>
  <c r="CK20" i="27"/>
  <c r="CJ20" i="27"/>
  <c r="DN19" i="27"/>
  <c r="DM19" i="27"/>
  <c r="DK19" i="27"/>
  <c r="DJ19" i="27"/>
  <c r="DI19" i="27"/>
  <c r="DH19" i="27"/>
  <c r="DG19" i="27"/>
  <c r="DF19" i="27"/>
  <c r="DE19" i="27"/>
  <c r="DD19" i="27"/>
  <c r="DC19" i="27"/>
  <c r="DB19" i="27"/>
  <c r="DA19" i="27"/>
  <c r="CZ19" i="27"/>
  <c r="CY19" i="27"/>
  <c r="CX19" i="27"/>
  <c r="CW19" i="27"/>
  <c r="CV19" i="27"/>
  <c r="CU19" i="27"/>
  <c r="CT19" i="27"/>
  <c r="CS19" i="27"/>
  <c r="CR19" i="27"/>
  <c r="CQ19" i="27"/>
  <c r="CP19" i="27"/>
  <c r="CO19" i="27"/>
  <c r="CN19" i="27"/>
  <c r="CM19" i="27"/>
  <c r="CL19" i="27"/>
  <c r="CK19" i="27"/>
  <c r="CJ19" i="27"/>
  <c r="DN18" i="27"/>
  <c r="DM18" i="27"/>
  <c r="DK18" i="27"/>
  <c r="DJ18" i="27"/>
  <c r="DI18" i="27"/>
  <c r="DH18" i="27"/>
  <c r="DG18" i="27"/>
  <c r="DF18" i="27"/>
  <c r="DE18" i="27"/>
  <c r="DD18" i="27"/>
  <c r="DC18" i="27"/>
  <c r="DB18" i="27"/>
  <c r="DA18" i="27"/>
  <c r="CZ18" i="27"/>
  <c r="CY18" i="27"/>
  <c r="CX18" i="27"/>
  <c r="CW18" i="27"/>
  <c r="CV18" i="27"/>
  <c r="CU18" i="27"/>
  <c r="CT18" i="27"/>
  <c r="CS18" i="27"/>
  <c r="CR18" i="27"/>
  <c r="CQ18" i="27"/>
  <c r="CP18" i="27"/>
  <c r="CO18" i="27"/>
  <c r="CN18" i="27"/>
  <c r="CM18" i="27"/>
  <c r="CL18" i="27"/>
  <c r="CK18" i="27"/>
  <c r="CJ18" i="27"/>
  <c r="DN17" i="27"/>
  <c r="DM17" i="27"/>
  <c r="DK17" i="27"/>
  <c r="DJ17" i="27"/>
  <c r="DI17" i="27"/>
  <c r="DH17" i="27"/>
  <c r="DG17" i="27"/>
  <c r="DF17" i="27"/>
  <c r="DE17" i="27"/>
  <c r="DD17" i="27"/>
  <c r="DC17" i="27"/>
  <c r="DB17" i="27"/>
  <c r="DA17" i="27"/>
  <c r="CZ17" i="27"/>
  <c r="CY17" i="27"/>
  <c r="CX17" i="27"/>
  <c r="CW17" i="27"/>
  <c r="CV17" i="27"/>
  <c r="CU17" i="27"/>
  <c r="CT17" i="27"/>
  <c r="CS17" i="27"/>
  <c r="CR17" i="27"/>
  <c r="CQ17" i="27"/>
  <c r="CP17" i="27"/>
  <c r="CO17" i="27"/>
  <c r="CN17" i="27"/>
  <c r="CM17" i="27"/>
  <c r="CL17" i="27"/>
  <c r="CK17" i="27"/>
  <c r="CJ17" i="27"/>
  <c r="DN16" i="27"/>
  <c r="DM16" i="27"/>
  <c r="DK16" i="27"/>
  <c r="DJ16" i="27"/>
  <c r="DI16" i="27"/>
  <c r="DH16" i="27"/>
  <c r="DG16" i="27"/>
  <c r="DF16" i="27"/>
  <c r="DE16" i="27"/>
  <c r="DD16" i="27"/>
  <c r="DC16" i="27"/>
  <c r="DB16" i="27"/>
  <c r="DA16" i="27"/>
  <c r="CZ16" i="27"/>
  <c r="CY16" i="27"/>
  <c r="CX16" i="27"/>
  <c r="CW16" i="27"/>
  <c r="CV16" i="27"/>
  <c r="CU16" i="27"/>
  <c r="CT16" i="27"/>
  <c r="CS16" i="27"/>
  <c r="CR16" i="27"/>
  <c r="CQ16" i="27"/>
  <c r="CP16" i="27"/>
  <c r="CO16" i="27"/>
  <c r="CN16" i="27"/>
  <c r="CM16" i="27"/>
  <c r="CL16" i="27"/>
  <c r="CK16" i="27"/>
  <c r="CJ16" i="27"/>
  <c r="DN15" i="27"/>
  <c r="DM15" i="27"/>
  <c r="DK15" i="27"/>
  <c r="DJ15" i="27"/>
  <c r="DI15" i="27"/>
  <c r="DH15" i="27"/>
  <c r="DG15" i="27"/>
  <c r="DF15" i="27"/>
  <c r="DE15" i="27"/>
  <c r="DD15" i="27"/>
  <c r="DC15" i="27"/>
  <c r="DB15" i="27"/>
  <c r="DA15" i="27"/>
  <c r="CZ15" i="27"/>
  <c r="CY15" i="27"/>
  <c r="CX15" i="27"/>
  <c r="CW15" i="27"/>
  <c r="CV15" i="27"/>
  <c r="CU15" i="27"/>
  <c r="CT15" i="27"/>
  <c r="CS15" i="27"/>
  <c r="CR15" i="27"/>
  <c r="CQ15" i="27"/>
  <c r="CP15" i="27"/>
  <c r="CO15" i="27"/>
  <c r="CN15" i="27"/>
  <c r="CM15" i="27"/>
  <c r="CL15" i="27"/>
  <c r="CK15" i="27"/>
  <c r="CJ15" i="27"/>
  <c r="DN14" i="27"/>
  <c r="DM14" i="27"/>
  <c r="DK14" i="27"/>
  <c r="DJ14" i="27"/>
  <c r="DI14" i="27"/>
  <c r="DH14" i="27"/>
  <c r="DG14" i="27"/>
  <c r="DF14" i="27"/>
  <c r="DE14" i="27"/>
  <c r="DD14" i="27"/>
  <c r="DC14" i="27"/>
  <c r="DB14" i="27"/>
  <c r="DA14" i="27"/>
  <c r="CZ14" i="27"/>
  <c r="CY14" i="27"/>
  <c r="CX14" i="27"/>
  <c r="CW14" i="27"/>
  <c r="CV14" i="27"/>
  <c r="CU14" i="27"/>
  <c r="CT14" i="27"/>
  <c r="CS14" i="27"/>
  <c r="CR14" i="27"/>
  <c r="CQ14" i="27"/>
  <c r="CP14" i="27"/>
  <c r="CO14" i="27"/>
  <c r="CN14" i="27"/>
  <c r="CM14" i="27"/>
  <c r="CL14" i="27"/>
  <c r="CK14" i="27"/>
  <c r="CJ14" i="27"/>
  <c r="DN13" i="27"/>
  <c r="DM13" i="27"/>
  <c r="DK13" i="27"/>
  <c r="DJ13" i="27"/>
  <c r="DI13" i="27"/>
  <c r="DH13" i="27"/>
  <c r="DG13" i="27"/>
  <c r="DF13" i="27"/>
  <c r="DE13" i="27"/>
  <c r="DD13" i="27"/>
  <c r="DC13" i="27"/>
  <c r="DB13" i="27"/>
  <c r="DA13" i="27"/>
  <c r="CZ13" i="27"/>
  <c r="CY13" i="27"/>
  <c r="CX13" i="27"/>
  <c r="CW13" i="27"/>
  <c r="CV13" i="27"/>
  <c r="CU13" i="27"/>
  <c r="CT13" i="27"/>
  <c r="CS13" i="27"/>
  <c r="CR13" i="27"/>
  <c r="CQ13" i="27"/>
  <c r="CP13" i="27"/>
  <c r="CO13" i="27"/>
  <c r="CN13" i="27"/>
  <c r="CM13" i="27"/>
  <c r="CL13" i="27"/>
  <c r="CK13" i="27"/>
  <c r="CJ13" i="27"/>
  <c r="DN12" i="27"/>
  <c r="DM12" i="27"/>
  <c r="DK12" i="27"/>
  <c r="DJ12" i="27"/>
  <c r="DI12" i="27"/>
  <c r="DH12" i="27"/>
  <c r="DG12" i="27"/>
  <c r="DF12" i="27"/>
  <c r="DE12" i="27"/>
  <c r="DD12" i="27"/>
  <c r="DC12" i="27"/>
  <c r="DB12" i="27"/>
  <c r="DA12" i="27"/>
  <c r="CZ12" i="27"/>
  <c r="CY12" i="27"/>
  <c r="CX12" i="27"/>
  <c r="CW12" i="27"/>
  <c r="CV12" i="27"/>
  <c r="CU12" i="27"/>
  <c r="CT12" i="27"/>
  <c r="CS12" i="27"/>
  <c r="CR12" i="27"/>
  <c r="CQ12" i="27"/>
  <c r="CP12" i="27"/>
  <c r="CO12" i="27"/>
  <c r="CN12" i="27"/>
  <c r="CM12" i="27"/>
  <c r="CL12" i="27"/>
  <c r="CK12" i="27"/>
  <c r="CJ12" i="27"/>
  <c r="DN11" i="27"/>
  <c r="DM11" i="27"/>
  <c r="DK11" i="27"/>
  <c r="DJ11" i="27"/>
  <c r="DI11" i="27"/>
  <c r="DH11" i="27"/>
  <c r="DG11" i="27"/>
  <c r="DF11" i="27"/>
  <c r="DE11" i="27"/>
  <c r="DD11" i="27"/>
  <c r="DC11" i="27"/>
  <c r="DB11" i="27"/>
  <c r="DA11" i="27"/>
  <c r="CZ11" i="27"/>
  <c r="CY11" i="27"/>
  <c r="CX11" i="27"/>
  <c r="CW11" i="27"/>
  <c r="CV11" i="27"/>
  <c r="CU11" i="27"/>
  <c r="CT11" i="27"/>
  <c r="CS11" i="27"/>
  <c r="CR11" i="27"/>
  <c r="CQ11" i="27"/>
  <c r="CP11" i="27"/>
  <c r="CO11" i="27"/>
  <c r="CN11" i="27"/>
  <c r="CM11" i="27"/>
  <c r="CL11" i="27"/>
  <c r="CK11" i="27"/>
  <c r="CJ11" i="27"/>
  <c r="DN10" i="27"/>
  <c r="DM10" i="27"/>
  <c r="DK10" i="27"/>
  <c r="DJ10" i="27"/>
  <c r="DI10" i="27"/>
  <c r="DH10" i="27"/>
  <c r="DG10" i="27"/>
  <c r="DF10" i="27"/>
  <c r="DE10" i="27"/>
  <c r="DD10" i="27"/>
  <c r="DC10" i="27"/>
  <c r="DB10" i="27"/>
  <c r="DA10" i="27"/>
  <c r="CZ10" i="27"/>
  <c r="CY10" i="27"/>
  <c r="CX10" i="27"/>
  <c r="CW10" i="27"/>
  <c r="CV10" i="27"/>
  <c r="CU10" i="27"/>
  <c r="CT10" i="27"/>
  <c r="CS10" i="27"/>
  <c r="CR10" i="27"/>
  <c r="CQ10" i="27"/>
  <c r="CP10" i="27"/>
  <c r="CO10" i="27"/>
  <c r="CN10" i="27"/>
  <c r="CM10" i="27"/>
  <c r="CL10" i="27"/>
  <c r="CK10" i="27"/>
  <c r="CJ10" i="27"/>
  <c r="DN9" i="27"/>
  <c r="DM9" i="27"/>
  <c r="DK9" i="27"/>
  <c r="DJ9" i="27"/>
  <c r="DI9" i="27"/>
  <c r="DH9" i="27"/>
  <c r="DG9" i="27"/>
  <c r="DF9" i="27"/>
  <c r="DE9" i="27"/>
  <c r="DD9" i="27"/>
  <c r="DC9" i="27"/>
  <c r="DB9" i="27"/>
  <c r="DA9" i="27"/>
  <c r="CZ9" i="27"/>
  <c r="CY9" i="27"/>
  <c r="CX9" i="27"/>
  <c r="CW9" i="27"/>
  <c r="CV9" i="27"/>
  <c r="CU9" i="27"/>
  <c r="CT9" i="27"/>
  <c r="CS9" i="27"/>
  <c r="CR9" i="27"/>
  <c r="CQ9" i="27"/>
  <c r="CP9" i="27"/>
  <c r="CO9" i="27"/>
  <c r="CN9" i="27"/>
  <c r="CM9" i="27"/>
  <c r="CL9" i="27"/>
  <c r="CK9" i="27"/>
  <c r="CJ9" i="27"/>
  <c r="DN8" i="27"/>
  <c r="DM8" i="27"/>
  <c r="DK8" i="27"/>
  <c r="DJ8" i="27"/>
  <c r="DI8" i="27"/>
  <c r="DH8" i="27"/>
  <c r="DG8" i="27"/>
  <c r="DF8" i="27"/>
  <c r="DE8" i="27"/>
  <c r="DD8" i="27"/>
  <c r="DC8" i="27"/>
  <c r="DB8" i="27"/>
  <c r="DA8" i="27"/>
  <c r="CZ8" i="27"/>
  <c r="CY8" i="27"/>
  <c r="CX8" i="27"/>
  <c r="CW8" i="27"/>
  <c r="CV8" i="27"/>
  <c r="CU8" i="27"/>
  <c r="CT8" i="27"/>
  <c r="CS8" i="27"/>
  <c r="CR8" i="27"/>
  <c r="CQ8" i="27"/>
  <c r="CP8" i="27"/>
  <c r="CO8" i="27"/>
  <c r="CN8" i="27"/>
  <c r="CM8" i="27"/>
  <c r="CL8" i="27"/>
  <c r="CK8" i="27"/>
  <c r="CJ8" i="27"/>
  <c r="DN7" i="27"/>
  <c r="DM7" i="27"/>
  <c r="DK7" i="27"/>
  <c r="DJ7" i="27"/>
  <c r="DI7" i="27"/>
  <c r="DH7" i="27"/>
  <c r="DG7" i="27"/>
  <c r="DF7" i="27"/>
  <c r="DE7" i="27"/>
  <c r="DD7" i="27"/>
  <c r="DC7" i="27"/>
  <c r="DB7" i="27"/>
  <c r="DA7" i="27"/>
  <c r="CY7" i="27"/>
  <c r="CX7" i="27"/>
  <c r="CW7" i="27"/>
  <c r="CV7" i="27"/>
  <c r="CU7" i="27"/>
  <c r="CT7" i="27"/>
  <c r="CS7" i="27"/>
  <c r="CR7" i="27"/>
  <c r="CQ7" i="27"/>
  <c r="CP7" i="27"/>
  <c r="CO7" i="27"/>
  <c r="CN7" i="27"/>
  <c r="CM7" i="27"/>
  <c r="CL7" i="27"/>
  <c r="CK7" i="27"/>
  <c r="CJ7" i="27"/>
  <c r="CI40" i="27"/>
  <c r="DO40" i="27" s="1"/>
  <c r="DN40" i="27"/>
  <c r="DK40" i="27"/>
  <c r="DG40" i="27"/>
  <c r="CX40" i="27"/>
  <c r="CW40" i="27"/>
  <c r="CV40" i="27"/>
  <c r="CU40" i="27"/>
  <c r="CT40" i="27"/>
  <c r="CS40" i="27"/>
  <c r="CR40" i="27"/>
  <c r="CQ40" i="27"/>
  <c r="CP40" i="27"/>
  <c r="CI39" i="27"/>
  <c r="DO39" i="27" s="1"/>
  <c r="DK39" i="27"/>
  <c r="CI38" i="27"/>
  <c r="DO38" i="27" s="1"/>
  <c r="DK38" i="27"/>
  <c r="DG39" i="27"/>
  <c r="DG38" i="27"/>
  <c r="DN39" i="27"/>
  <c r="CX39" i="27"/>
  <c r="CW39" i="27"/>
  <c r="CV39" i="27"/>
  <c r="CU39" i="27"/>
  <c r="CT39" i="27"/>
  <c r="CS39" i="27"/>
  <c r="CR39" i="27"/>
  <c r="CQ39" i="27"/>
  <c r="CP39" i="27"/>
  <c r="AN91" i="27"/>
  <c r="AP91" i="27"/>
  <c r="CP38" i="27"/>
  <c r="CQ38" i="27"/>
  <c r="CR38" i="27"/>
  <c r="CS38" i="27"/>
  <c r="CT38" i="27"/>
  <c r="CU38" i="27"/>
  <c r="CV38" i="27"/>
  <c r="CW38" i="27"/>
  <c r="CX38" i="27"/>
  <c r="DN38" i="27"/>
  <c r="M242" i="16"/>
  <c r="L242" i="16"/>
  <c r="K242" i="16"/>
  <c r="J242" i="16"/>
  <c r="I242" i="16"/>
  <c r="H242" i="16"/>
  <c r="G242" i="16"/>
  <c r="F242" i="16"/>
  <c r="E242" i="16"/>
  <c r="D242" i="16"/>
  <c r="M161" i="16"/>
  <c r="L161" i="16"/>
  <c r="K161" i="16"/>
  <c r="J161" i="16"/>
  <c r="I161" i="16"/>
  <c r="H161" i="16"/>
  <c r="G161" i="16"/>
  <c r="F161" i="16"/>
  <c r="E161" i="16"/>
  <c r="D161" i="16"/>
  <c r="M81" i="16"/>
  <c r="L81" i="16"/>
  <c r="K81" i="16"/>
  <c r="J81" i="16"/>
  <c r="I81" i="16"/>
  <c r="H81" i="16"/>
  <c r="G81" i="16"/>
  <c r="F81" i="16"/>
  <c r="E81" i="16"/>
  <c r="D81" i="16"/>
  <c r="B23" i="16"/>
  <c r="D69" i="15"/>
  <c r="E69" i="15" s="1"/>
  <c r="F69" i="15" s="1"/>
  <c r="G69" i="15" s="1"/>
  <c r="H69" i="15" s="1"/>
  <c r="I69" i="15" s="1"/>
  <c r="J69" i="15" s="1"/>
  <c r="K69" i="15" s="1"/>
  <c r="L69" i="15" s="1"/>
  <c r="M69" i="15" s="1"/>
  <c r="E7" i="22"/>
  <c r="E50" i="2" s="1"/>
  <c r="D7" i="22"/>
  <c r="D50" i="2" s="1"/>
  <c r="E10" i="21"/>
  <c r="F10" i="21"/>
  <c r="G10" i="21"/>
  <c r="H10" i="21"/>
  <c r="I10" i="21"/>
  <c r="J10" i="21"/>
  <c r="K10" i="21"/>
  <c r="L10" i="21"/>
  <c r="M10" i="21"/>
  <c r="D10" i="21"/>
  <c r="D6" i="21"/>
  <c r="E6" i="21" s="1"/>
  <c r="F6" i="21" s="1"/>
  <c r="G6" i="21" s="1"/>
  <c r="H6" i="21" s="1"/>
  <c r="I6" i="21" s="1"/>
  <c r="J6" i="21" s="1"/>
  <c r="K6" i="21" s="1"/>
  <c r="L6" i="21" s="1"/>
  <c r="M6" i="21" s="1"/>
  <c r="E11" i="22"/>
  <c r="E53" i="121" s="1"/>
  <c r="E9" i="22"/>
  <c r="F9" i="22"/>
  <c r="D11" i="22"/>
  <c r="D9" i="22"/>
  <c r="G5" i="22"/>
  <c r="H5" i="22" s="1"/>
  <c r="I5" i="22" s="1"/>
  <c r="J5" i="22" s="1"/>
  <c r="K5" i="22" s="1"/>
  <c r="L5" i="22" s="1"/>
  <c r="M5" i="22" s="1"/>
  <c r="N5" i="22" s="1"/>
  <c r="O5" i="22" s="1"/>
  <c r="P5" i="22" s="1"/>
  <c r="M60" i="23"/>
  <c r="L60" i="23"/>
  <c r="K60" i="23"/>
  <c r="J60" i="23"/>
  <c r="I60" i="23"/>
  <c r="H60" i="23"/>
  <c r="G60" i="23"/>
  <c r="F60" i="23"/>
  <c r="E60" i="23"/>
  <c r="D60" i="23"/>
  <c r="M53" i="23"/>
  <c r="L53" i="23"/>
  <c r="K53" i="23"/>
  <c r="J53" i="23"/>
  <c r="I53" i="23"/>
  <c r="H53" i="23"/>
  <c r="G53" i="23"/>
  <c r="F53" i="23"/>
  <c r="E53" i="23"/>
  <c r="D53" i="23"/>
  <c r="M52" i="23"/>
  <c r="L52" i="23"/>
  <c r="K52" i="23"/>
  <c r="J52" i="23"/>
  <c r="I52" i="23"/>
  <c r="H52" i="23"/>
  <c r="G52" i="23"/>
  <c r="F52" i="23"/>
  <c r="E52" i="23"/>
  <c r="D52" i="23"/>
  <c r="M51" i="23"/>
  <c r="L51" i="23"/>
  <c r="K51" i="23"/>
  <c r="J51" i="23"/>
  <c r="I51" i="23"/>
  <c r="H51" i="23"/>
  <c r="G51" i="23"/>
  <c r="F51" i="23"/>
  <c r="E51" i="23"/>
  <c r="D51" i="23"/>
  <c r="K55" i="23"/>
  <c r="M55" i="23"/>
  <c r="D3" i="23"/>
  <c r="D58" i="23" s="1"/>
  <c r="E23" i="19"/>
  <c r="F23" i="19"/>
  <c r="B37" i="19"/>
  <c r="G35" i="19" s="1"/>
  <c r="H9" i="105"/>
  <c r="H13" i="105" s="1"/>
  <c r="K46" i="105"/>
  <c r="L46" i="105" s="1"/>
  <c r="G14" i="3" l="1"/>
  <c r="G13" i="3"/>
  <c r="AO57" i="27"/>
  <c r="AO56" i="27"/>
  <c r="AJ56" i="27"/>
  <c r="AI56" i="27"/>
  <c r="CP56" i="27" s="1"/>
  <c r="AP57" i="27"/>
  <c r="AP56" i="27"/>
  <c r="AN56" i="27"/>
  <c r="AL56" i="27"/>
  <c r="AK56" i="27"/>
  <c r="DN56" i="27" s="1"/>
  <c r="BK57" i="27"/>
  <c r="DM57" i="27" s="1"/>
  <c r="BK56" i="27"/>
  <c r="CC57" i="27"/>
  <c r="CC56" i="27"/>
  <c r="F129" i="3"/>
  <c r="BY56" i="27"/>
  <c r="BD56" i="27"/>
  <c r="F147" i="3"/>
  <c r="DQ57" i="27"/>
  <c r="DS57" i="27" s="1"/>
  <c r="DP57" i="27"/>
  <c r="DR57" i="27" s="1"/>
  <c r="AI57" i="27"/>
  <c r="AJ57" i="27"/>
  <c r="AM58" i="27"/>
  <c r="AM57" i="27"/>
  <c r="AN57" i="27"/>
  <c r="AL57" i="27"/>
  <c r="AK57" i="27"/>
  <c r="BN60" i="27"/>
  <c r="BY57" i="27"/>
  <c r="BD57" i="27"/>
  <c r="AO59" i="27"/>
  <c r="DP59" i="27" s="1"/>
  <c r="DR59" i="27" s="1"/>
  <c r="AO58" i="27"/>
  <c r="AJ58" i="27"/>
  <c r="AI58" i="27"/>
  <c r="AP59" i="27"/>
  <c r="AP58" i="27"/>
  <c r="AL58" i="27"/>
  <c r="AK58" i="27"/>
  <c r="AN58" i="27"/>
  <c r="BK59" i="27"/>
  <c r="DM59" i="27" s="1"/>
  <c r="BK58" i="27"/>
  <c r="CC59" i="27"/>
  <c r="CC58" i="27"/>
  <c r="BD58" i="27"/>
  <c r="BY58" i="27"/>
  <c r="F166" i="3"/>
  <c r="F59" i="2"/>
  <c r="BD59" i="27"/>
  <c r="BY59" i="27"/>
  <c r="CJ59" i="27" s="1"/>
  <c r="F10" i="22"/>
  <c r="BY91" i="27"/>
  <c r="CJ91" i="27" s="1"/>
  <c r="Y91" i="27"/>
  <c r="DQ59" i="27"/>
  <c r="DS59" i="27" s="1"/>
  <c r="AJ59" i="27"/>
  <c r="AI59" i="27"/>
  <c r="AH91" i="27"/>
  <c r="DK91" i="27" s="1"/>
  <c r="AH59" i="27"/>
  <c r="E60" i="25"/>
  <c r="F60" i="25" s="1"/>
  <c r="G60" i="25" s="1"/>
  <c r="H60" i="25" s="1"/>
  <c r="I60" i="25" s="1"/>
  <c r="J60" i="25" s="1"/>
  <c r="K60" i="25" s="1"/>
  <c r="L60" i="25" s="1"/>
  <c r="M60" i="25" s="1"/>
  <c r="N60" i="25" s="1"/>
  <c r="AM91" i="27"/>
  <c r="AM59" i="27"/>
  <c r="AK59" i="27"/>
  <c r="AN59" i="27"/>
  <c r="AL59" i="27"/>
  <c r="D28" i="16"/>
  <c r="D55" i="23"/>
  <c r="BK60" i="27"/>
  <c r="D38" i="24"/>
  <c r="D19" i="24"/>
  <c r="AR60" i="27" s="1"/>
  <c r="D80" i="16"/>
  <c r="D215" i="16"/>
  <c r="BD60" i="27"/>
  <c r="BY60" i="27"/>
  <c r="CJ60" i="27" s="1"/>
  <c r="D171" i="16"/>
  <c r="D76" i="16"/>
  <c r="N10" i="22"/>
  <c r="E51" i="25"/>
  <c r="F51" i="25" s="1"/>
  <c r="G51" i="25" s="1"/>
  <c r="H51" i="25" s="1"/>
  <c r="I51" i="25" s="1"/>
  <c r="J51" i="25" s="1"/>
  <c r="K51" i="25" s="1"/>
  <c r="L51" i="25" s="1"/>
  <c r="M51" i="25" s="1"/>
  <c r="N51" i="25" s="1"/>
  <c r="E3" i="23"/>
  <c r="E58" i="23" s="1"/>
  <c r="L47" i="105"/>
  <c r="H49" i="23" s="1"/>
  <c r="F5" i="15"/>
  <c r="G5" i="15" s="1"/>
  <c r="D263" i="16"/>
  <c r="D62" i="25"/>
  <c r="D91" i="107"/>
  <c r="P161" i="3"/>
  <c r="M46" i="105"/>
  <c r="N46" i="105" s="1"/>
  <c r="D124" i="16"/>
  <c r="L10" i="22"/>
  <c r="G50" i="105"/>
  <c r="AF91" i="27"/>
  <c r="CI91" i="27" s="1"/>
  <c r="D296" i="16"/>
  <c r="D252" i="16"/>
  <c r="D204" i="16"/>
  <c r="D157" i="16"/>
  <c r="D113" i="16"/>
  <c r="D64" i="16"/>
  <c r="D16" i="16"/>
  <c r="B20" i="17"/>
  <c r="D241" i="16"/>
  <c r="D285" i="16"/>
  <c r="D237" i="16"/>
  <c r="D193" i="16"/>
  <c r="D146" i="16"/>
  <c r="D102" i="16"/>
  <c r="D52" i="16"/>
  <c r="D20" i="16"/>
  <c r="D27" i="16" s="1"/>
  <c r="D23" i="16" s="1"/>
  <c r="D160" i="16"/>
  <c r="D274" i="16"/>
  <c r="D226" i="16"/>
  <c r="D182" i="16"/>
  <c r="D135" i="16"/>
  <c r="D91" i="16"/>
  <c r="D40" i="16"/>
  <c r="D204" i="107"/>
  <c r="E5" i="107"/>
  <c r="F5" i="107" s="1"/>
  <c r="F241" i="107" s="1"/>
  <c r="D102" i="107"/>
  <c r="D20" i="107"/>
  <c r="D27" i="107" s="1"/>
  <c r="D24" i="107" s="1"/>
  <c r="E50" i="105"/>
  <c r="F35" i="19"/>
  <c r="B35" i="107"/>
  <c r="B47" i="107" s="1"/>
  <c r="B59" i="107" s="1"/>
  <c r="B71" i="107" s="1"/>
  <c r="D68" i="107" s="1"/>
  <c r="D75" i="107" s="1"/>
  <c r="D72" i="107" s="1"/>
  <c r="C50" i="27"/>
  <c r="C51" i="27" s="1"/>
  <c r="C52" i="27" s="1"/>
  <c r="C53" i="27" s="1"/>
  <c r="C54" i="27" s="1"/>
  <c r="D8" i="16"/>
  <c r="D15" i="16" s="1"/>
  <c r="D12" i="107"/>
  <c r="BD62" i="27"/>
  <c r="B35" i="15"/>
  <c r="F32" i="15" s="1"/>
  <c r="B35" i="16"/>
  <c r="D7" i="104"/>
  <c r="D3" i="104" s="1"/>
  <c r="L40" i="105"/>
  <c r="F161" i="3"/>
  <c r="F23" i="17"/>
  <c r="B37" i="17"/>
  <c r="E23" i="17"/>
  <c r="E134" i="17" s="1"/>
  <c r="B49" i="19"/>
  <c r="P29" i="22"/>
  <c r="BY69" i="27"/>
  <c r="CJ69" i="27" s="1"/>
  <c r="BD69" i="27"/>
  <c r="B23" i="15"/>
  <c r="E20" i="15" s="1"/>
  <c r="K69" i="21"/>
  <c r="K53" i="24" s="1"/>
  <c r="G61" i="1"/>
  <c r="G29" i="22"/>
  <c r="P61" i="1"/>
  <c r="CB69" i="27" s="1"/>
  <c r="DM69" i="27" s="1"/>
  <c r="DC61" i="27"/>
  <c r="DB64" i="27"/>
  <c r="DB63" i="27"/>
  <c r="DC62" i="27"/>
  <c r="A50" i="27"/>
  <c r="A51" i="27" s="1"/>
  <c r="B50" i="27"/>
  <c r="B51" i="27" s="1"/>
  <c r="AJ91" i="27"/>
  <c r="AO91" i="27"/>
  <c r="DQ91" i="27" s="1"/>
  <c r="D215" i="106"/>
  <c r="D76" i="106"/>
  <c r="D91" i="106"/>
  <c r="B43" i="110"/>
  <c r="D274" i="106"/>
  <c r="D226" i="106"/>
  <c r="D124" i="106"/>
  <c r="D80" i="106"/>
  <c r="D182" i="106"/>
  <c r="D160" i="106"/>
  <c r="D40" i="106"/>
  <c r="D11" i="106"/>
  <c r="D171" i="106"/>
  <c r="D135" i="106"/>
  <c r="F55" i="23"/>
  <c r="F56" i="23" s="1"/>
  <c r="BK64" i="27"/>
  <c r="J55" i="23"/>
  <c r="J56" i="23" s="1"/>
  <c r="BK66" i="27"/>
  <c r="E59" i="2"/>
  <c r="DC68" i="27"/>
  <c r="BD91" i="27"/>
  <c r="F138" i="3"/>
  <c r="F29" i="22"/>
  <c r="F28" i="22" s="1"/>
  <c r="DD62" i="27"/>
  <c r="D241" i="107"/>
  <c r="D28" i="107"/>
  <c r="D91" i="108"/>
  <c r="D193" i="107"/>
  <c r="D274" i="108"/>
  <c r="D160" i="12"/>
  <c r="D171" i="107"/>
  <c r="D80" i="108"/>
  <c r="D135" i="12"/>
  <c r="D263" i="107"/>
  <c r="D135" i="107"/>
  <c r="D52" i="107"/>
  <c r="D76" i="107"/>
  <c r="D252" i="107"/>
  <c r="D124" i="107"/>
  <c r="D215" i="108"/>
  <c r="D296" i="12"/>
  <c r="D113" i="12"/>
  <c r="D182" i="108"/>
  <c r="D11" i="107"/>
  <c r="D8" i="108"/>
  <c r="E8" i="108" s="1"/>
  <c r="D274" i="12"/>
  <c r="D91" i="12"/>
  <c r="D182" i="107"/>
  <c r="D113" i="107"/>
  <c r="D64" i="107"/>
  <c r="D16" i="107"/>
  <c r="D171" i="108"/>
  <c r="D64" i="12"/>
  <c r="D226" i="12"/>
  <c r="D263" i="108"/>
  <c r="D204" i="12"/>
  <c r="D28" i="12"/>
  <c r="D296" i="107"/>
  <c r="D237" i="107"/>
  <c r="D160" i="107"/>
  <c r="D56" i="107"/>
  <c r="D63" i="107" s="1"/>
  <c r="D160" i="108"/>
  <c r="D182" i="12"/>
  <c r="D285" i="107"/>
  <c r="D226" i="107"/>
  <c r="D157" i="107"/>
  <c r="D40" i="107"/>
  <c r="D135" i="108"/>
  <c r="D40" i="108"/>
  <c r="D252" i="12"/>
  <c r="D40" i="12"/>
  <c r="D76" i="108"/>
  <c r="D157" i="12"/>
  <c r="D274" i="107"/>
  <c r="D215" i="107"/>
  <c r="D146" i="107"/>
  <c r="D80" i="107"/>
  <c r="D226" i="108"/>
  <c r="D124" i="108"/>
  <c r="D32" i="108"/>
  <c r="E32" i="108" s="1"/>
  <c r="A3" i="104"/>
  <c r="I55" i="23"/>
  <c r="I56" i="23" s="1"/>
  <c r="E55" i="23"/>
  <c r="E56" i="23" s="1"/>
  <c r="G55" i="23"/>
  <c r="G56" i="23" s="1"/>
  <c r="BK67" i="27"/>
  <c r="DC65" i="27"/>
  <c r="DD66" i="27"/>
  <c r="BK63" i="27"/>
  <c r="BK61" i="27"/>
  <c r="DB68" i="27"/>
  <c r="F78" i="3"/>
  <c r="F87" i="3"/>
  <c r="D26" i="25"/>
  <c r="BD64" i="27"/>
  <c r="D25" i="25"/>
  <c r="DD61" i="27"/>
  <c r="DA64" i="27"/>
  <c r="DB91" i="27"/>
  <c r="DF64" i="27"/>
  <c r="DC66" i="27"/>
  <c r="CM91" i="27"/>
  <c r="D11" i="16"/>
  <c r="D80" i="12"/>
  <c r="D263" i="12"/>
  <c r="D215" i="12"/>
  <c r="D171" i="12"/>
  <c r="D124" i="12"/>
  <c r="D76" i="12"/>
  <c r="D16" i="12"/>
  <c r="E5" i="12"/>
  <c r="F5" i="12" s="1"/>
  <c r="G5" i="12" s="1"/>
  <c r="G160" i="12" s="1"/>
  <c r="D241" i="12"/>
  <c r="D285" i="12"/>
  <c r="D237" i="12"/>
  <c r="D193" i="12"/>
  <c r="D146" i="12"/>
  <c r="D102" i="12"/>
  <c r="D52" i="12"/>
  <c r="F5" i="108"/>
  <c r="G5" i="108" s="1"/>
  <c r="E80" i="108"/>
  <c r="E160" i="108"/>
  <c r="E241" i="108"/>
  <c r="B82" i="110"/>
  <c r="D12" i="106"/>
  <c r="E8" i="15"/>
  <c r="F8" i="15" s="1"/>
  <c r="G8" i="15" s="1"/>
  <c r="D296" i="106"/>
  <c r="D252" i="106"/>
  <c r="D241" i="106"/>
  <c r="D204" i="106"/>
  <c r="D157" i="106"/>
  <c r="D113" i="106"/>
  <c r="D64" i="106"/>
  <c r="D28" i="106"/>
  <c r="D296" i="108"/>
  <c r="D252" i="108"/>
  <c r="D241" i="108"/>
  <c r="D204" i="108"/>
  <c r="D157" i="108"/>
  <c r="D113" i="108"/>
  <c r="D64" i="108"/>
  <c r="D28" i="108"/>
  <c r="F241" i="20"/>
  <c r="D285" i="106"/>
  <c r="D237" i="106"/>
  <c r="D193" i="106"/>
  <c r="D146" i="106"/>
  <c r="D102" i="106"/>
  <c r="D52" i="106"/>
  <c r="D20" i="106"/>
  <c r="D285" i="108"/>
  <c r="D237" i="108"/>
  <c r="D193" i="108"/>
  <c r="D146" i="108"/>
  <c r="D102" i="108"/>
  <c r="D52" i="108"/>
  <c r="D20" i="108"/>
  <c r="D27" i="108" s="1"/>
  <c r="D24" i="108" s="1"/>
  <c r="B20" i="110"/>
  <c r="E5" i="106"/>
  <c r="J69" i="21"/>
  <c r="J53" i="24" s="1"/>
  <c r="L63" i="105"/>
  <c r="B57" i="17" s="1"/>
  <c r="H64" i="17" s="1"/>
  <c r="J47" i="105"/>
  <c r="E12" i="105"/>
  <c r="F8" i="105" s="1"/>
  <c r="F12" i="105" s="1"/>
  <c r="B29" i="110"/>
  <c r="M56" i="23"/>
  <c r="H55" i="23"/>
  <c r="H56" i="23" s="1"/>
  <c r="CN91" i="27"/>
  <c r="DF91" i="27"/>
  <c r="BK62" i="27"/>
  <c r="DF61" i="27"/>
  <c r="CL91" i="27"/>
  <c r="K56" i="23"/>
  <c r="DE61" i="27"/>
  <c r="BD67" i="27"/>
  <c r="BD61" i="27"/>
  <c r="DB67" i="27"/>
  <c r="DA67" i="27"/>
  <c r="BY67" i="27"/>
  <c r="CJ67" i="27" s="1"/>
  <c r="DA61" i="27"/>
  <c r="BY61" i="27"/>
  <c r="CJ61" i="27" s="1"/>
  <c r="D174" i="20"/>
  <c r="D181" i="20" s="1"/>
  <c r="B188" i="20"/>
  <c r="B199" i="20" s="1"/>
  <c r="B210" i="20" s="1"/>
  <c r="B221" i="20" s="1"/>
  <c r="B232" i="20" s="1"/>
  <c r="B247" i="20" s="1"/>
  <c r="D32" i="106"/>
  <c r="D39" i="106" s="1"/>
  <c r="D36" i="106" s="1"/>
  <c r="B47" i="106"/>
  <c r="M65" i="2"/>
  <c r="E8" i="17"/>
  <c r="B23" i="17"/>
  <c r="E20" i="17" s="1"/>
  <c r="B59" i="15"/>
  <c r="H56" i="15" s="1"/>
  <c r="D44" i="108"/>
  <c r="E44" i="108" s="1"/>
  <c r="B59" i="108"/>
  <c r="E23" i="15"/>
  <c r="E136" i="15" s="1"/>
  <c r="F23" i="15"/>
  <c r="J42" i="105"/>
  <c r="J43" i="105" s="1"/>
  <c r="I44" i="105"/>
  <c r="B37" i="15"/>
  <c r="DD63" i="27"/>
  <c r="G69" i="21"/>
  <c r="G53" i="24" s="1"/>
  <c r="E69" i="21"/>
  <c r="E53" i="24" s="1"/>
  <c r="M29" i="22"/>
  <c r="BY66" i="27"/>
  <c r="CJ66" i="27" s="1"/>
  <c r="J29" i="22"/>
  <c r="BD63" i="27"/>
  <c r="I5" i="105"/>
  <c r="J5" i="105" s="1"/>
  <c r="K5" i="105" s="1"/>
  <c r="B70" i="110" s="1"/>
  <c r="D29" i="22"/>
  <c r="D28" i="22" s="1"/>
  <c r="D59" i="2"/>
  <c r="DF65" i="27"/>
  <c r="DE65" i="27"/>
  <c r="DF69" i="27"/>
  <c r="DB69" i="27"/>
  <c r="DE69" i="27"/>
  <c r="DC63" i="27"/>
  <c r="P41" i="3"/>
  <c r="P40" i="3"/>
  <c r="K47" i="105"/>
  <c r="CC91" i="27"/>
  <c r="D8" i="20"/>
  <c r="E8" i="20" s="1"/>
  <c r="D28" i="20"/>
  <c r="D215" i="20"/>
  <c r="L9" i="105"/>
  <c r="L13" i="105" s="1"/>
  <c r="B47" i="15"/>
  <c r="G44" i="15" s="1"/>
  <c r="D20" i="12"/>
  <c r="B35" i="12"/>
  <c r="Q41" i="105"/>
  <c r="Q50" i="105"/>
  <c r="Q55" i="105" s="1"/>
  <c r="M69" i="21"/>
  <c r="M53" i="24" s="1"/>
  <c r="O29" i="22"/>
  <c r="BY68" i="27"/>
  <c r="CJ68" i="27" s="1"/>
  <c r="BD68" i="27"/>
  <c r="DC69" i="27"/>
  <c r="P50" i="3"/>
  <c r="P49" i="3"/>
  <c r="BY64" i="27"/>
  <c r="CJ64" i="27" s="1"/>
  <c r="F50" i="105"/>
  <c r="P50" i="121"/>
  <c r="O61" i="105"/>
  <c r="DD67" i="27"/>
  <c r="DD64" i="27"/>
  <c r="I43" i="105"/>
  <c r="I47" i="105"/>
  <c r="J40" i="121"/>
  <c r="L40" i="121"/>
  <c r="P31" i="3"/>
  <c r="P33" i="3" s="1"/>
  <c r="BO69" i="27" s="1"/>
  <c r="CO69" i="27" s="1"/>
  <c r="P72" i="3"/>
  <c r="P74" i="3" s="1"/>
  <c r="F124" i="3"/>
  <c r="E124" i="3" s="1"/>
  <c r="D124" i="3" s="1"/>
  <c r="L69" i="21"/>
  <c r="L53" i="24" s="1"/>
  <c r="K10" i="22"/>
  <c r="P141" i="3"/>
  <c r="I69" i="21"/>
  <c r="I53" i="24" s="1"/>
  <c r="H69" i="21"/>
  <c r="H53" i="24" s="1"/>
  <c r="G5" i="105"/>
  <c r="P40" i="121"/>
  <c r="D58" i="25"/>
  <c r="P150" i="3"/>
  <c r="P132" i="3"/>
  <c r="F28" i="3"/>
  <c r="P13" i="3"/>
  <c r="P15" i="3" s="1"/>
  <c r="CK91" i="27"/>
  <c r="DA68" i="27"/>
  <c r="B25" i="110"/>
  <c r="BO64" i="27"/>
  <c r="CO64" i="27" s="1"/>
  <c r="BO68" i="27"/>
  <c r="CO68" i="27" s="1"/>
  <c r="BM63" i="27"/>
  <c r="CL63" i="27" s="1"/>
  <c r="BM67" i="27"/>
  <c r="CL67" i="27" s="1"/>
  <c r="BM62" i="27"/>
  <c r="BM66" i="27"/>
  <c r="BO62" i="27"/>
  <c r="CO62" i="27" s="1"/>
  <c r="BO66" i="27"/>
  <c r="CO66" i="27" s="1"/>
  <c r="BO65" i="27"/>
  <c r="CO65" i="27" s="1"/>
  <c r="BM64" i="27"/>
  <c r="D7" i="121"/>
  <c r="D40" i="121" s="1"/>
  <c r="K61" i="1"/>
  <c r="K9" i="121" s="1"/>
  <c r="DD65" i="27"/>
  <c r="H7" i="121"/>
  <c r="H40" i="121" s="1"/>
  <c r="DE91" i="27"/>
  <c r="F105" i="3"/>
  <c r="BD65" i="27"/>
  <c r="BY65" i="27"/>
  <c r="CJ65" i="27" s="1"/>
  <c r="BY62" i="27"/>
  <c r="CJ62" i="27" s="1"/>
  <c r="F46" i="3"/>
  <c r="DE62" i="27"/>
  <c r="DE66" i="27"/>
  <c r="DC64" i="27"/>
  <c r="DE68" i="27"/>
  <c r="B26" i="110"/>
  <c r="B30" i="110"/>
  <c r="B39" i="110"/>
  <c r="F69" i="21"/>
  <c r="F53" i="24" s="1"/>
  <c r="D105" i="20"/>
  <c r="D112" i="20" s="1"/>
  <c r="CD91" i="27"/>
  <c r="DC91" i="27"/>
  <c r="DE64" i="27"/>
  <c r="DA62" i="27"/>
  <c r="DA69" i="27"/>
  <c r="DD69" i="27"/>
  <c r="D263" i="20"/>
  <c r="D76" i="20"/>
  <c r="D32" i="20"/>
  <c r="D39" i="20" s="1"/>
  <c r="E50" i="25"/>
  <c r="F50" i="25" s="1"/>
  <c r="G50" i="25" s="1"/>
  <c r="H50" i="25" s="1"/>
  <c r="I50" i="25" s="1"/>
  <c r="J50" i="25" s="1"/>
  <c r="K50" i="25" s="1"/>
  <c r="L50" i="25" s="1"/>
  <c r="M50" i="25" s="1"/>
  <c r="N50" i="25" s="1"/>
  <c r="D43" i="25"/>
  <c r="D12" i="25"/>
  <c r="B143" i="110" s="1"/>
  <c r="I10" i="22"/>
  <c r="K40" i="121"/>
  <c r="P151" i="3"/>
  <c r="P142" i="3"/>
  <c r="P143" i="3" s="1"/>
  <c r="P133" i="3"/>
  <c r="G10" i="22"/>
  <c r="D138" i="20"/>
  <c r="D116" i="20"/>
  <c r="D123" i="20" s="1"/>
  <c r="D120" i="20" s="1"/>
  <c r="F80" i="16"/>
  <c r="DF68" i="27"/>
  <c r="DB66" i="27"/>
  <c r="DF66" i="27"/>
  <c r="DB62" i="27"/>
  <c r="DF62" i="27"/>
  <c r="D80" i="20"/>
  <c r="D124" i="20"/>
  <c r="DA91" i="27"/>
  <c r="CO91" i="27"/>
  <c r="DD68" i="27"/>
  <c r="DA65" i="27"/>
  <c r="DA63" i="27"/>
  <c r="E160" i="20"/>
  <c r="D171" i="20"/>
  <c r="F10" i="3"/>
  <c r="DE63" i="27"/>
  <c r="DF67" i="27"/>
  <c r="AK91" i="27"/>
  <c r="AI91" i="27"/>
  <c r="AL91" i="27"/>
  <c r="E10" i="22"/>
  <c r="E8" i="22" s="1"/>
  <c r="M10" i="22"/>
  <c r="J10" i="22"/>
  <c r="B44" i="15"/>
  <c r="D35" i="20"/>
  <c r="D23" i="107"/>
  <c r="D94" i="20"/>
  <c r="D83" i="20"/>
  <c r="E83" i="20" s="1"/>
  <c r="D56" i="20"/>
  <c r="G5" i="16"/>
  <c r="H5" i="20"/>
  <c r="F160" i="16"/>
  <c r="E80" i="16"/>
  <c r="E241" i="20"/>
  <c r="D160" i="20"/>
  <c r="D296" i="20"/>
  <c r="D252" i="20"/>
  <c r="D204" i="20"/>
  <c r="D157" i="20"/>
  <c r="D113" i="20"/>
  <c r="D64" i="20"/>
  <c r="D16" i="20"/>
  <c r="B38" i="110"/>
  <c r="G160" i="20"/>
  <c r="D163" i="20"/>
  <c r="D170" i="20" s="1"/>
  <c r="D68" i="20"/>
  <c r="E68" i="20" s="1"/>
  <c r="B32" i="17"/>
  <c r="E241" i="16"/>
  <c r="F160" i="20"/>
  <c r="E80" i="20"/>
  <c r="D274" i="20"/>
  <c r="D226" i="20"/>
  <c r="D182" i="20"/>
  <c r="D135" i="20"/>
  <c r="D91" i="20"/>
  <c r="D40" i="20"/>
  <c r="B138" i="110"/>
  <c r="G241" i="20"/>
  <c r="D149" i="20"/>
  <c r="D127" i="20"/>
  <c r="D44" i="20"/>
  <c r="E160" i="16"/>
  <c r="D241" i="20"/>
  <c r="F80" i="20"/>
  <c r="D285" i="20"/>
  <c r="D237" i="20"/>
  <c r="D193" i="20"/>
  <c r="D146" i="20"/>
  <c r="D102" i="20"/>
  <c r="D52" i="20"/>
  <c r="D20" i="20"/>
  <c r="D27" i="20" s="1"/>
  <c r="D23" i="20" s="1"/>
  <c r="B92" i="110"/>
  <c r="F5" i="3"/>
  <c r="E8" i="19"/>
  <c r="F4" i="121"/>
  <c r="H4" i="121"/>
  <c r="H64" i="3"/>
  <c r="I64" i="3" s="1"/>
  <c r="J64" i="3" s="1"/>
  <c r="K64" i="3" s="1"/>
  <c r="L64" i="3" s="1"/>
  <c r="M64" i="3" s="1"/>
  <c r="N64" i="3" s="1"/>
  <c r="O64" i="3" s="1"/>
  <c r="P64" i="3" s="1"/>
  <c r="D11" i="21"/>
  <c r="D65" i="21"/>
  <c r="D12" i="21"/>
  <c r="D49" i="23"/>
  <c r="H63" i="105"/>
  <c r="B9" i="17" s="1"/>
  <c r="D16" i="17" s="1"/>
  <c r="E134" i="19"/>
  <c r="H43" i="105"/>
  <c r="D129" i="3"/>
  <c r="D69" i="3"/>
  <c r="E69" i="3"/>
  <c r="D10" i="3"/>
  <c r="D10" i="22"/>
  <c r="D8" i="22" s="1"/>
  <c r="H9" i="121"/>
  <c r="O7" i="22"/>
  <c r="O60" i="1"/>
  <c r="O8" i="121" s="1"/>
  <c r="O41" i="121" s="1"/>
  <c r="CB68" i="27"/>
  <c r="O50" i="121"/>
  <c r="O9" i="121"/>
  <c r="D8" i="121"/>
  <c r="D41" i="121" s="1"/>
  <c r="D59" i="1"/>
  <c r="L55" i="23"/>
  <c r="L56" i="23" s="1"/>
  <c r="BK91" i="27"/>
  <c r="DM91" i="27" s="1"/>
  <c r="DE67" i="27"/>
  <c r="DB65" i="27"/>
  <c r="DB61" i="27"/>
  <c r="BK68" i="27"/>
  <c r="J61" i="1"/>
  <c r="O7" i="121"/>
  <c r="O40" i="121" s="1"/>
  <c r="G7" i="121"/>
  <c r="G40" i="121" s="1"/>
  <c r="D56" i="23"/>
  <c r="DC67" i="27"/>
  <c r="DF63" i="27"/>
  <c r="DA66" i="27"/>
  <c r="BK65" i="27"/>
  <c r="D19" i="25"/>
  <c r="F60" i="1"/>
  <c r="L61" i="1"/>
  <c r="M9" i="121"/>
  <c r="I9" i="121"/>
  <c r="M7" i="121"/>
  <c r="M40" i="121" s="1"/>
  <c r="I7" i="121"/>
  <c r="I40" i="121" s="1"/>
  <c r="E7" i="121"/>
  <c r="E40" i="121" s="1"/>
  <c r="E42" i="121" s="1"/>
  <c r="E51" i="121" s="1"/>
  <c r="DD91" i="27"/>
  <c r="N9" i="121"/>
  <c r="N7" i="121"/>
  <c r="N40" i="121" s="1"/>
  <c r="F7" i="121"/>
  <c r="F40" i="121" s="1"/>
  <c r="D59" i="107"/>
  <c r="F80" i="107"/>
  <c r="H5" i="15"/>
  <c r="B32" i="15"/>
  <c r="G5" i="17"/>
  <c r="D59" i="25"/>
  <c r="Z55" i="27" s="1"/>
  <c r="DG55" i="27" s="1"/>
  <c r="H10" i="22"/>
  <c r="O10" i="22"/>
  <c r="P108" i="3"/>
  <c r="P110" i="3" s="1"/>
  <c r="P22" i="3"/>
  <c r="P24" i="3" s="1"/>
  <c r="P10" i="22"/>
  <c r="B8" i="19"/>
  <c r="B8" i="17"/>
  <c r="D13" i="121"/>
  <c r="D46" i="121" s="1"/>
  <c r="D54" i="121" s="1"/>
  <c r="F13" i="121"/>
  <c r="F46" i="121" s="1"/>
  <c r="F53" i="121"/>
  <c r="F8" i="22"/>
  <c r="H5" i="13"/>
  <c r="I5" i="13" s="1"/>
  <c r="J5" i="13" s="1"/>
  <c r="K5" i="13" s="1"/>
  <c r="L5" i="13" s="1"/>
  <c r="M5" i="13" s="1"/>
  <c r="N5" i="13" s="1"/>
  <c r="O5" i="13" s="1"/>
  <c r="P5" i="13" s="1"/>
  <c r="D69" i="21"/>
  <c r="D53" i="24" s="1"/>
  <c r="E10" i="3"/>
  <c r="E129" i="3"/>
  <c r="E13" i="121"/>
  <c r="E46" i="121" s="1"/>
  <c r="D53" i="121"/>
  <c r="D15" i="12"/>
  <c r="D12" i="12" s="1"/>
  <c r="F5" i="22"/>
  <c r="E5" i="22" s="1"/>
  <c r="D5" i="22" s="1"/>
  <c r="B129" i="110"/>
  <c r="J8" i="2"/>
  <c r="J4" i="121" s="1"/>
  <c r="F3" i="23"/>
  <c r="F58" i="23" s="1"/>
  <c r="D8" i="2"/>
  <c r="D4" i="121" s="1"/>
  <c r="H5" i="1"/>
  <c r="I5" i="1" s="1"/>
  <c r="J5" i="1" s="1"/>
  <c r="K5" i="1" s="1"/>
  <c r="L5" i="1" s="1"/>
  <c r="M5" i="1" s="1"/>
  <c r="N5" i="1" s="1"/>
  <c r="O5" i="1" s="1"/>
  <c r="P5" i="1" s="1"/>
  <c r="B8" i="15"/>
  <c r="H36" i="13"/>
  <c r="H45" i="13"/>
  <c r="H8" i="13"/>
  <c r="D14" i="21"/>
  <c r="E57" i="25" s="1"/>
  <c r="H17" i="13"/>
  <c r="H61" i="23"/>
  <c r="L61" i="105"/>
  <c r="L61" i="23"/>
  <c r="P61" i="105"/>
  <c r="G61" i="23"/>
  <c r="K61" i="105"/>
  <c r="K61" i="23"/>
  <c r="J61" i="105"/>
  <c r="F61" i="23"/>
  <c r="N61" i="105"/>
  <c r="J61" i="23"/>
  <c r="I61" i="105"/>
  <c r="E61" i="23"/>
  <c r="M61" i="105"/>
  <c r="I61" i="23"/>
  <c r="H61" i="105"/>
  <c r="D61" i="23"/>
  <c r="E59" i="1"/>
  <c r="CB62" i="27"/>
  <c r="I7" i="22"/>
  <c r="I60" i="1"/>
  <c r="I8" i="121" s="1"/>
  <c r="I41" i="121" s="1"/>
  <c r="CB67" i="27"/>
  <c r="N7" i="22"/>
  <c r="N11" i="22" s="1"/>
  <c r="N53" i="121" s="1"/>
  <c r="N60" i="1"/>
  <c r="N8" i="121" s="1"/>
  <c r="N41" i="121" s="1"/>
  <c r="H7" i="22"/>
  <c r="H60" i="1"/>
  <c r="H8" i="121" s="1"/>
  <c r="H41" i="121" s="1"/>
  <c r="CB61" i="27"/>
  <c r="M7" i="22"/>
  <c r="CB66" i="27"/>
  <c r="M60" i="1"/>
  <c r="M8" i="121" s="1"/>
  <c r="M41" i="121" s="1"/>
  <c r="B21" i="110"/>
  <c r="F19" i="3"/>
  <c r="E28" i="22"/>
  <c r="F37" i="3"/>
  <c r="F96" i="3"/>
  <c r="B57" i="110" s="1"/>
  <c r="D119" i="20"/>
  <c r="B20" i="19"/>
  <c r="F5" i="19"/>
  <c r="P99" i="3"/>
  <c r="P101" i="3" s="1"/>
  <c r="P90" i="3"/>
  <c r="P92" i="3" s="1"/>
  <c r="P81" i="3"/>
  <c r="P83" i="3" s="1"/>
  <c r="G15" i="3" l="1"/>
  <c r="G164" i="3" s="1"/>
  <c r="BR60" i="27" s="1"/>
  <c r="Z57" i="27"/>
  <c r="DG57" i="27" s="1"/>
  <c r="Z58" i="27"/>
  <c r="DG58" i="27" s="1"/>
  <c r="Z59" i="27"/>
  <c r="Z56" i="27"/>
  <c r="DG56" i="27" s="1"/>
  <c r="DO57" i="27"/>
  <c r="C66" i="27"/>
  <c r="C67" i="27" s="1"/>
  <c r="C68" i="27" s="1"/>
  <c r="C69" i="27" s="1"/>
  <c r="CP57" i="27"/>
  <c r="DN58" i="27"/>
  <c r="DP56" i="27"/>
  <c r="DR56" i="27" s="1"/>
  <c r="DQ56" i="27"/>
  <c r="DS56" i="27" s="1"/>
  <c r="DM56" i="27"/>
  <c r="DO56" i="27"/>
  <c r="CJ56" i="27"/>
  <c r="CT56" i="27"/>
  <c r="CU56" i="27"/>
  <c r="DN57" i="27"/>
  <c r="CJ57" i="27"/>
  <c r="CU57" i="27"/>
  <c r="CT57" i="27"/>
  <c r="CP58" i="27"/>
  <c r="DQ58" i="27"/>
  <c r="DS58" i="27" s="1"/>
  <c r="DP58" i="27"/>
  <c r="DR58" i="27" s="1"/>
  <c r="D22" i="107"/>
  <c r="D26" i="107" s="1"/>
  <c r="E21" i="107" s="1"/>
  <c r="E28" i="107" s="1"/>
  <c r="DM58" i="27"/>
  <c r="DO58" i="27"/>
  <c r="CJ58" i="27"/>
  <c r="CU58" i="27"/>
  <c r="CT58" i="27"/>
  <c r="CU91" i="27"/>
  <c r="F20" i="15"/>
  <c r="G20" i="15" s="1"/>
  <c r="H20" i="15" s="1"/>
  <c r="G32" i="15"/>
  <c r="G5" i="107"/>
  <c r="G241" i="107" s="1"/>
  <c r="F160" i="107"/>
  <c r="E241" i="107"/>
  <c r="D207" i="20"/>
  <c r="D214" i="20" s="1"/>
  <c r="D211" i="20" s="1"/>
  <c r="E20" i="107"/>
  <c r="F20" i="107" s="1"/>
  <c r="M47" i="105"/>
  <c r="M63" i="105" s="1"/>
  <c r="B71" i="17" s="1"/>
  <c r="E8" i="107"/>
  <c r="D185" i="20"/>
  <c r="D192" i="20" s="1"/>
  <c r="D189" i="20" s="1"/>
  <c r="E80" i="107"/>
  <c r="E160" i="107"/>
  <c r="DS91" i="27"/>
  <c r="BT91" i="27"/>
  <c r="AF59" i="27"/>
  <c r="CY59" i="27" s="1"/>
  <c r="BT59" i="27"/>
  <c r="F68" i="20"/>
  <c r="DK59" i="27"/>
  <c r="DN59" i="27"/>
  <c r="CT59" i="27"/>
  <c r="CU59" i="27"/>
  <c r="CP59" i="27"/>
  <c r="AA91" i="27"/>
  <c r="AA59" i="27"/>
  <c r="P134" i="3"/>
  <c r="G9" i="121"/>
  <c r="CB60" i="27"/>
  <c r="DM60" i="27" s="1"/>
  <c r="CY91" i="27"/>
  <c r="D10" i="107"/>
  <c r="D14" i="107" s="1"/>
  <c r="E9" i="107" s="1"/>
  <c r="B35" i="19"/>
  <c r="F32" i="19" s="1"/>
  <c r="P9" i="121"/>
  <c r="F83" i="20"/>
  <c r="P7" i="22"/>
  <c r="P11" i="22" s="1"/>
  <c r="D15" i="108"/>
  <c r="D11" i="108" s="1"/>
  <c r="B86" i="107"/>
  <c r="B97" i="107" s="1"/>
  <c r="BN65" i="27"/>
  <c r="CM65" i="27" s="1"/>
  <c r="P60" i="1"/>
  <c r="P8" i="121" s="1"/>
  <c r="P41" i="121" s="1"/>
  <c r="P42" i="121" s="1"/>
  <c r="F20" i="17"/>
  <c r="D32" i="107"/>
  <c r="D39" i="107" s="1"/>
  <c r="D35" i="107" s="1"/>
  <c r="D44" i="107"/>
  <c r="E44" i="107" s="1"/>
  <c r="F44" i="107" s="1"/>
  <c r="D24" i="16"/>
  <c r="D22" i="16" s="1"/>
  <c r="D26" i="16" s="1"/>
  <c r="E21" i="16" s="1"/>
  <c r="E28" i="16" s="1"/>
  <c r="E8" i="16"/>
  <c r="F8" i="16" s="1"/>
  <c r="G8" i="16" s="1"/>
  <c r="E20" i="16"/>
  <c r="F20" i="16" s="1"/>
  <c r="G20" i="16" s="1"/>
  <c r="D12" i="16"/>
  <c r="D10" i="16" s="1"/>
  <c r="D14" i="16" s="1"/>
  <c r="E9" i="16" s="1"/>
  <c r="G7" i="22"/>
  <c r="G11" i="22" s="1"/>
  <c r="AH60" i="27" s="1"/>
  <c r="F8" i="17"/>
  <c r="A52" i="27"/>
  <c r="A53" i="27" s="1"/>
  <c r="A54" i="27" s="1"/>
  <c r="D61" i="25"/>
  <c r="D64" i="25" s="1"/>
  <c r="D66" i="25" s="1"/>
  <c r="B52" i="27"/>
  <c r="B53" i="27" s="1"/>
  <c r="B54" i="27" s="1"/>
  <c r="G60" i="1"/>
  <c r="G8" i="121" s="1"/>
  <c r="G41" i="121" s="1"/>
  <c r="G42" i="121" s="1"/>
  <c r="D36" i="108"/>
  <c r="D196" i="20"/>
  <c r="E196" i="20" s="1"/>
  <c r="F196" i="20" s="1"/>
  <c r="D39" i="108"/>
  <c r="D35" i="108" s="1"/>
  <c r="D10" i="106"/>
  <c r="D14" i="106" s="1"/>
  <c r="E9" i="106" s="1"/>
  <c r="E16" i="106" s="1"/>
  <c r="E7" i="104"/>
  <c r="E3" i="104" s="1"/>
  <c r="M40" i="105"/>
  <c r="G50" i="121"/>
  <c r="G35" i="17"/>
  <c r="B49" i="17"/>
  <c r="F35" i="17"/>
  <c r="F12" i="121"/>
  <c r="B47" i="16"/>
  <c r="D32" i="16"/>
  <c r="D36" i="16" s="1"/>
  <c r="K42" i="105"/>
  <c r="K43" i="105" s="1"/>
  <c r="D218" i="20"/>
  <c r="D225" i="20" s="1"/>
  <c r="D229" i="20"/>
  <c r="E229" i="20" s="1"/>
  <c r="F229" i="20" s="1"/>
  <c r="BN61" i="27"/>
  <c r="CM61" i="27" s="1"/>
  <c r="G47" i="19"/>
  <c r="H47" i="19"/>
  <c r="B61" i="19"/>
  <c r="DM61" i="27"/>
  <c r="CP91" i="27"/>
  <c r="DM66" i="27"/>
  <c r="DP91" i="27"/>
  <c r="DR91" i="27" s="1"/>
  <c r="L5" i="105"/>
  <c r="M5" i="105" s="1"/>
  <c r="N5" i="105" s="1"/>
  <c r="O5" i="105" s="1"/>
  <c r="P5" i="105" s="1"/>
  <c r="Q5" i="105" s="1"/>
  <c r="E80" i="12"/>
  <c r="D60" i="107"/>
  <c r="D58" i="107" s="1"/>
  <c r="D62" i="107" s="1"/>
  <c r="E57" i="107" s="1"/>
  <c r="E64" i="107" s="1"/>
  <c r="F160" i="12"/>
  <c r="H132" i="17"/>
  <c r="H42" i="21" s="1"/>
  <c r="D25" i="22"/>
  <c r="D23" i="22" s="1"/>
  <c r="B51" i="110"/>
  <c r="G241" i="12"/>
  <c r="F241" i="108"/>
  <c r="D178" i="20"/>
  <c r="B84" i="110"/>
  <c r="D36" i="20"/>
  <c r="D34" i="20" s="1"/>
  <c r="D38" i="20" s="1"/>
  <c r="E33" i="20" s="1"/>
  <c r="G80" i="107"/>
  <c r="D118" i="20"/>
  <c r="D122" i="20" s="1"/>
  <c r="E117" i="20" s="1"/>
  <c r="E124" i="20" s="1"/>
  <c r="D15" i="20"/>
  <c r="D12" i="20" s="1"/>
  <c r="E32" i="20"/>
  <c r="F32" i="20" s="1"/>
  <c r="E116" i="20"/>
  <c r="F116" i="20" s="1"/>
  <c r="E56" i="107"/>
  <c r="F56" i="107" s="1"/>
  <c r="D75" i="20"/>
  <c r="D71" i="20" s="1"/>
  <c r="K7" i="22"/>
  <c r="K11" i="22" s="1"/>
  <c r="DM67" i="27"/>
  <c r="I27" i="22"/>
  <c r="DN62" i="27" s="1"/>
  <c r="J27" i="22"/>
  <c r="G12" i="24" s="1"/>
  <c r="N27" i="22"/>
  <c r="DN67" i="27" s="1"/>
  <c r="O27" i="22"/>
  <c r="L12" i="24" s="1"/>
  <c r="O28" i="22"/>
  <c r="CT68" i="27" s="1"/>
  <c r="K28" i="22"/>
  <c r="CT64" i="27" s="1"/>
  <c r="G241" i="108"/>
  <c r="E160" i="12"/>
  <c r="D71" i="107"/>
  <c r="D70" i="107" s="1"/>
  <c r="D74" i="107" s="1"/>
  <c r="E69" i="107" s="1"/>
  <c r="E76" i="107" s="1"/>
  <c r="F241" i="12"/>
  <c r="F80" i="108"/>
  <c r="E8" i="12"/>
  <c r="F8" i="12" s="1"/>
  <c r="G80" i="108"/>
  <c r="E241" i="12"/>
  <c r="B49" i="110"/>
  <c r="E20" i="108"/>
  <c r="F20" i="108" s="1"/>
  <c r="G20" i="108" s="1"/>
  <c r="F44" i="108"/>
  <c r="G44" i="108" s="1"/>
  <c r="F8" i="108"/>
  <c r="G8" i="108" s="1"/>
  <c r="F160" i="108"/>
  <c r="B53" i="110"/>
  <c r="H5" i="12"/>
  <c r="I5" i="12" s="1"/>
  <c r="J5" i="12" s="1"/>
  <c r="F80" i="12"/>
  <c r="G80" i="12"/>
  <c r="F32" i="108"/>
  <c r="G32" i="108" s="1"/>
  <c r="E32" i="106"/>
  <c r="D90" i="20"/>
  <c r="E174" i="20"/>
  <c r="F174" i="20" s="1"/>
  <c r="D177" i="20"/>
  <c r="F5" i="106"/>
  <c r="E80" i="106"/>
  <c r="E160" i="106"/>
  <c r="E8" i="106"/>
  <c r="E241" i="106"/>
  <c r="D51" i="108"/>
  <c r="D48" i="108" s="1"/>
  <c r="D210" i="20"/>
  <c r="E68" i="107"/>
  <c r="F68" i="107" s="1"/>
  <c r="E20" i="106"/>
  <c r="D27" i="106"/>
  <c r="H5" i="108"/>
  <c r="G160" i="108"/>
  <c r="F49" i="23"/>
  <c r="J63" i="105"/>
  <c r="B33" i="17" s="1"/>
  <c r="K50" i="121"/>
  <c r="D42" i="121"/>
  <c r="D51" i="121" s="1"/>
  <c r="O42" i="121"/>
  <c r="O46" i="121" s="1"/>
  <c r="O54" i="121" s="1"/>
  <c r="DM62" i="27"/>
  <c r="H27" i="22"/>
  <c r="DN61" i="27" s="1"/>
  <c r="J28" i="22"/>
  <c r="CT63" i="27" s="1"/>
  <c r="P27" i="22"/>
  <c r="M12" i="24" s="1"/>
  <c r="K27" i="22"/>
  <c r="H12" i="24" s="1"/>
  <c r="G28" i="22"/>
  <c r="CT60" i="27" s="1"/>
  <c r="M28" i="22"/>
  <c r="CT66" i="27" s="1"/>
  <c r="H28" i="22"/>
  <c r="CT61" i="27" s="1"/>
  <c r="L27" i="22"/>
  <c r="DN65" i="27" s="1"/>
  <c r="G27" i="22"/>
  <c r="BM65" i="27"/>
  <c r="CL65" i="27" s="1"/>
  <c r="M27" i="22"/>
  <c r="J12" i="24" s="1"/>
  <c r="N28" i="22"/>
  <c r="CT67" i="27" s="1"/>
  <c r="I28" i="22"/>
  <c r="CT62" i="27" s="1"/>
  <c r="L28" i="22"/>
  <c r="CT65" i="27" s="1"/>
  <c r="P28" i="22"/>
  <c r="BN63" i="27"/>
  <c r="CM63" i="27" s="1"/>
  <c r="D145" i="20"/>
  <c r="D142" i="20" s="1"/>
  <c r="E138" i="20"/>
  <c r="F138" i="20" s="1"/>
  <c r="D141" i="20"/>
  <c r="F5" i="105"/>
  <c r="E5" i="105" s="1"/>
  <c r="B75" i="110"/>
  <c r="D27" i="12"/>
  <c r="D24" i="12" s="1"/>
  <c r="E20" i="12"/>
  <c r="F20" i="12" s="1"/>
  <c r="G20" i="12" s="1"/>
  <c r="B71" i="108"/>
  <c r="D56" i="108"/>
  <c r="M61" i="23"/>
  <c r="Q61" i="105"/>
  <c r="N47" i="105"/>
  <c r="O46" i="105"/>
  <c r="J44" i="105"/>
  <c r="BO61" i="27"/>
  <c r="CO61" i="27" s="1"/>
  <c r="BO67" i="27"/>
  <c r="CO67" i="27" s="1"/>
  <c r="I63" i="105"/>
  <c r="B21" i="17" s="1"/>
  <c r="E49" i="23"/>
  <c r="P51" i="3"/>
  <c r="BN69" i="27" s="1"/>
  <c r="P42" i="3"/>
  <c r="BM69" i="27" s="1"/>
  <c r="CL69" i="27" s="1"/>
  <c r="D23" i="108"/>
  <c r="D22" i="108" s="1"/>
  <c r="D26" i="108" s="1"/>
  <c r="E21" i="108" s="1"/>
  <c r="E28" i="108" s="1"/>
  <c r="D12" i="108"/>
  <c r="F8" i="107"/>
  <c r="B59" i="106"/>
  <c r="D44" i="106"/>
  <c r="B258" i="20"/>
  <c r="D244" i="20"/>
  <c r="BL69" i="27"/>
  <c r="CK69" i="27" s="1"/>
  <c r="G49" i="23"/>
  <c r="K63" i="105"/>
  <c r="B45" i="17" s="1"/>
  <c r="B49" i="15"/>
  <c r="F35" i="15"/>
  <c r="G35" i="15"/>
  <c r="N65" i="2"/>
  <c r="B87" i="15"/>
  <c r="J84" i="15" s="1"/>
  <c r="D188" i="20"/>
  <c r="I11" i="22"/>
  <c r="I53" i="121" s="1"/>
  <c r="Z91" i="27"/>
  <c r="B69" i="110"/>
  <c r="P152" i="3"/>
  <c r="BO63" i="27"/>
  <c r="CO63" i="27" s="1"/>
  <c r="I62" i="105"/>
  <c r="B21" i="19" s="1"/>
  <c r="E48" i="23"/>
  <c r="I45" i="105"/>
  <c r="B47" i="12"/>
  <c r="D32" i="12"/>
  <c r="B35" i="17"/>
  <c r="F32" i="17" s="1"/>
  <c r="DO91" i="27"/>
  <c r="D12" i="121"/>
  <c r="DN91" i="27"/>
  <c r="CB64" i="27"/>
  <c r="DM64" i="27" s="1"/>
  <c r="K60" i="1"/>
  <c r="K8" i="121" s="1"/>
  <c r="K41" i="121" s="1"/>
  <c r="K42" i="121" s="1"/>
  <c r="BL67" i="27"/>
  <c r="CK67" i="27" s="1"/>
  <c r="D132" i="17"/>
  <c r="D42" i="21" s="1"/>
  <c r="E105" i="20"/>
  <c r="F105" i="20" s="1"/>
  <c r="D108" i="20"/>
  <c r="BM61" i="27"/>
  <c r="CL61" i="27" s="1"/>
  <c r="D47" i="107"/>
  <c r="D72" i="20"/>
  <c r="D109" i="20"/>
  <c r="D221" i="20"/>
  <c r="CT91" i="27"/>
  <c r="E12" i="121"/>
  <c r="M11" i="22"/>
  <c r="M53" i="121" s="1"/>
  <c r="H11" i="22"/>
  <c r="H53" i="121" s="1"/>
  <c r="O11" i="22"/>
  <c r="L9" i="24" s="1"/>
  <c r="G80" i="16"/>
  <c r="H5" i="16"/>
  <c r="G241" i="16"/>
  <c r="G160" i="16"/>
  <c r="E56" i="20"/>
  <c r="F56" i="20" s="1"/>
  <c r="G56" i="20" s="1"/>
  <c r="D63" i="20"/>
  <c r="D166" i="20"/>
  <c r="E185" i="20"/>
  <c r="F185" i="20" s="1"/>
  <c r="E44" i="20"/>
  <c r="F44" i="20" s="1"/>
  <c r="D51" i="20"/>
  <c r="E127" i="20"/>
  <c r="D134" i="20"/>
  <c r="D130" i="20" s="1"/>
  <c r="H160" i="20"/>
  <c r="I5" i="20"/>
  <c r="H80" i="20"/>
  <c r="H241" i="20"/>
  <c r="D101" i="20"/>
  <c r="E94" i="20"/>
  <c r="F94" i="20" s="1"/>
  <c r="D24" i="20"/>
  <c r="D22" i="20" s="1"/>
  <c r="D26" i="20" s="1"/>
  <c r="E21" i="20" s="1"/>
  <c r="E28" i="20" s="1"/>
  <c r="E163" i="20"/>
  <c r="F163" i="20" s="1"/>
  <c r="D35" i="106"/>
  <c r="D34" i="106" s="1"/>
  <c r="D38" i="106" s="1"/>
  <c r="E33" i="106" s="1"/>
  <c r="E40" i="106" s="1"/>
  <c r="E149" i="20"/>
  <c r="F149" i="20" s="1"/>
  <c r="D156" i="20"/>
  <c r="D152" i="20" s="1"/>
  <c r="D167" i="20"/>
  <c r="E20" i="20"/>
  <c r="F20" i="20" s="1"/>
  <c r="D87" i="20"/>
  <c r="D86" i="20"/>
  <c r="E5" i="3"/>
  <c r="D5" i="3" s="1"/>
  <c r="B62" i="110"/>
  <c r="D11" i="12"/>
  <c r="D10" i="12" s="1"/>
  <c r="D14" i="12" s="1"/>
  <c r="E9" i="12" s="1"/>
  <c r="D12" i="17"/>
  <c r="D135" i="17" s="1"/>
  <c r="D44" i="21" s="1"/>
  <c r="D15" i="17"/>
  <c r="H45" i="105"/>
  <c r="H62" i="105"/>
  <c r="B9" i="19" s="1"/>
  <c r="D48" i="23"/>
  <c r="F8" i="121"/>
  <c r="F41" i="121" s="1"/>
  <c r="F42" i="121" s="1"/>
  <c r="F51" i="121" s="1"/>
  <c r="F59" i="1"/>
  <c r="B41" i="110" s="1"/>
  <c r="I42" i="121"/>
  <c r="DM68" i="27"/>
  <c r="CB65" i="27"/>
  <c r="DM65" i="27" s="1"/>
  <c r="L60" i="1"/>
  <c r="L8" i="121" s="1"/>
  <c r="L41" i="121" s="1"/>
  <c r="L7" i="22"/>
  <c r="L11" i="22" s="1"/>
  <c r="L9" i="121"/>
  <c r="L50" i="121"/>
  <c r="J7" i="22"/>
  <c r="J11" i="22" s="1"/>
  <c r="J53" i="121" s="1"/>
  <c r="J50" i="121"/>
  <c r="J9" i="121"/>
  <c r="CB63" i="27"/>
  <c r="DM63" i="27" s="1"/>
  <c r="J60" i="1"/>
  <c r="J8" i="121" s="1"/>
  <c r="J41" i="121" s="1"/>
  <c r="BM68" i="27"/>
  <c r="CL68" i="27" s="1"/>
  <c r="H42" i="121"/>
  <c r="N42" i="121"/>
  <c r="M42" i="121"/>
  <c r="J62" i="105"/>
  <c r="B33" i="19" s="1"/>
  <c r="J45" i="105"/>
  <c r="F48" i="23"/>
  <c r="E45" i="121"/>
  <c r="E54" i="121"/>
  <c r="B56" i="15"/>
  <c r="H8" i="15"/>
  <c r="I5" i="15"/>
  <c r="H44" i="15"/>
  <c r="H32" i="15"/>
  <c r="D35" i="16"/>
  <c r="H5" i="107"/>
  <c r="F54" i="121"/>
  <c r="H5" i="17"/>
  <c r="B44" i="17"/>
  <c r="B19" i="110"/>
  <c r="B24" i="110"/>
  <c r="F8" i="20"/>
  <c r="B37" i="110"/>
  <c r="K8" i="2"/>
  <c r="K4" i="121" s="1"/>
  <c r="G3" i="23"/>
  <c r="G58" i="23" s="1"/>
  <c r="H42" i="13"/>
  <c r="H47" i="13" s="1"/>
  <c r="H49" i="13" s="1"/>
  <c r="H41" i="13"/>
  <c r="H40" i="13" s="1"/>
  <c r="H13" i="13"/>
  <c r="E9" i="21"/>
  <c r="D51" i="24"/>
  <c r="D55" i="24" s="1"/>
  <c r="D33" i="23" s="1"/>
  <c r="D46" i="23"/>
  <c r="I46" i="23"/>
  <c r="I51" i="24"/>
  <c r="I55" i="24" s="1"/>
  <c r="I33" i="23" s="1"/>
  <c r="E46" i="23"/>
  <c r="E51" i="24"/>
  <c r="E55" i="24" s="1"/>
  <c r="E33" i="23" s="1"/>
  <c r="J51" i="24"/>
  <c r="J55" i="24" s="1"/>
  <c r="J33" i="23" s="1"/>
  <c r="J46" i="23"/>
  <c r="F51" i="24"/>
  <c r="F55" i="24" s="1"/>
  <c r="F33" i="23" s="1"/>
  <c r="F46" i="23"/>
  <c r="K51" i="24"/>
  <c r="K55" i="24" s="1"/>
  <c r="K33" i="23" s="1"/>
  <c r="K46" i="23"/>
  <c r="G51" i="24"/>
  <c r="G55" i="24" s="1"/>
  <c r="G33" i="23" s="1"/>
  <c r="G46" i="23"/>
  <c r="L51" i="24"/>
  <c r="L55" i="24" s="1"/>
  <c r="L33" i="23" s="1"/>
  <c r="L46" i="23"/>
  <c r="H51" i="24"/>
  <c r="H55" i="24" s="1"/>
  <c r="H33" i="23" s="1"/>
  <c r="H46" i="23"/>
  <c r="G8" i="105"/>
  <c r="G12" i="105" s="1"/>
  <c r="E25" i="22"/>
  <c r="BN66" i="27"/>
  <c r="CM66" i="27" s="1"/>
  <c r="BN62" i="27"/>
  <c r="CM62" i="27" s="1"/>
  <c r="BN64" i="27"/>
  <c r="CM64" i="27" s="1"/>
  <c r="CL64" i="27"/>
  <c r="BL64" i="27"/>
  <c r="CK64" i="27" s="1"/>
  <c r="CL66" i="27"/>
  <c r="CL62" i="27"/>
  <c r="BL66" i="27"/>
  <c r="CK66" i="27" s="1"/>
  <c r="BL62" i="27"/>
  <c r="CK62" i="27" s="1"/>
  <c r="AH67" i="27"/>
  <c r="DK67" i="27" s="1"/>
  <c r="K9" i="24"/>
  <c r="G5" i="19"/>
  <c r="B32" i="19"/>
  <c r="F8" i="19"/>
  <c r="F20" i="19"/>
  <c r="E23" i="107"/>
  <c r="DG59" i="27" l="1"/>
  <c r="AE56" i="27"/>
  <c r="AE55" i="27"/>
  <c r="D11" i="20"/>
  <c r="D10" i="20" s="1"/>
  <c r="D14" i="20" s="1"/>
  <c r="E9" i="20" s="1"/>
  <c r="B66" i="27"/>
  <c r="B67" i="27" s="1"/>
  <c r="B68" i="27" s="1"/>
  <c r="B69" i="27" s="1"/>
  <c r="A66" i="27"/>
  <c r="A67" i="27" s="1"/>
  <c r="A68" i="27" s="1"/>
  <c r="A69" i="27" s="1"/>
  <c r="O57" i="27"/>
  <c r="CX57" i="27" s="1"/>
  <c r="O56" i="27"/>
  <c r="E207" i="20"/>
  <c r="F207" i="20" s="1"/>
  <c r="D209" i="20"/>
  <c r="D213" i="20" s="1"/>
  <c r="E208" i="20" s="1"/>
  <c r="E215" i="20" s="1"/>
  <c r="AE58" i="27"/>
  <c r="AE57" i="27"/>
  <c r="DV57" i="27"/>
  <c r="CQ57" i="27"/>
  <c r="DL57" i="27"/>
  <c r="CR57" i="27"/>
  <c r="CW57" i="27"/>
  <c r="DU57" i="27"/>
  <c r="CZ57" i="27"/>
  <c r="DT57" i="27"/>
  <c r="DJ57" i="27"/>
  <c r="DI57" i="27"/>
  <c r="I49" i="23"/>
  <c r="O59" i="27"/>
  <c r="CR59" i="27" s="1"/>
  <c r="O58" i="27"/>
  <c r="DG91" i="27"/>
  <c r="D187" i="20"/>
  <c r="D191" i="20" s="1"/>
  <c r="E186" i="20" s="1"/>
  <c r="E193" i="20" s="1"/>
  <c r="G160" i="107"/>
  <c r="E15" i="107"/>
  <c r="E11" i="107" s="1"/>
  <c r="BL60" i="27"/>
  <c r="CK60" i="27" s="1"/>
  <c r="CI59" i="27"/>
  <c r="DO59" i="27" s="1"/>
  <c r="E12" i="107"/>
  <c r="E24" i="107"/>
  <c r="E22" i="107" s="1"/>
  <c r="E26" i="107" s="1"/>
  <c r="F21" i="107" s="1"/>
  <c r="E16" i="107"/>
  <c r="E27" i="107"/>
  <c r="CW59" i="27"/>
  <c r="AE91" i="27"/>
  <c r="AE59" i="27"/>
  <c r="D222" i="20"/>
  <c r="D220" i="20" s="1"/>
  <c r="D224" i="20" s="1"/>
  <c r="E219" i="20" s="1"/>
  <c r="E226" i="20" s="1"/>
  <c r="L42" i="105"/>
  <c r="G56" i="107"/>
  <c r="K44" i="105"/>
  <c r="D83" i="107"/>
  <c r="E83" i="107" s="1"/>
  <c r="G44" i="20"/>
  <c r="D14" i="22"/>
  <c r="G207" i="20"/>
  <c r="E32" i="107"/>
  <c r="F32" i="107" s="1"/>
  <c r="G32" i="107" s="1"/>
  <c r="P53" i="121"/>
  <c r="AH69" i="27"/>
  <c r="DK69" i="27" s="1"/>
  <c r="E27" i="16"/>
  <c r="E23" i="16" s="1"/>
  <c r="D36" i="107"/>
  <c r="D34" i="107" s="1"/>
  <c r="D38" i="107" s="1"/>
  <c r="E33" i="107" s="1"/>
  <c r="E12" i="106"/>
  <c r="D51" i="107"/>
  <c r="D48" i="107" s="1"/>
  <c r="D46" i="107" s="1"/>
  <c r="D50" i="107" s="1"/>
  <c r="E45" i="107" s="1"/>
  <c r="E52" i="107" s="1"/>
  <c r="D10" i="108"/>
  <c r="D14" i="108" s="1"/>
  <c r="E9" i="108" s="1"/>
  <c r="E16" i="108" s="1"/>
  <c r="D10" i="17"/>
  <c r="D14" i="17" s="1"/>
  <c r="M9" i="24"/>
  <c r="E16" i="16"/>
  <c r="E15" i="16"/>
  <c r="P51" i="121"/>
  <c r="P46" i="121"/>
  <c r="P54" i="121" s="1"/>
  <c r="BR67" i="27"/>
  <c r="G32" i="20"/>
  <c r="H20" i="12"/>
  <c r="B47" i="19"/>
  <c r="G44" i="19" s="1"/>
  <c r="D20" i="22"/>
  <c r="D34" i="108"/>
  <c r="D38" i="108" s="1"/>
  <c r="E33" i="108" s="1"/>
  <c r="E39" i="108" s="1"/>
  <c r="E39" i="20"/>
  <c r="E35" i="20" s="1"/>
  <c r="D236" i="20"/>
  <c r="D233" i="20" s="1"/>
  <c r="D203" i="20"/>
  <c r="D199" i="20" s="1"/>
  <c r="DN68" i="27"/>
  <c r="I12" i="24"/>
  <c r="J166" i="3"/>
  <c r="G8" i="24" s="1"/>
  <c r="BR61" i="27"/>
  <c r="O166" i="3"/>
  <c r="L8" i="24" s="1"/>
  <c r="H47" i="17"/>
  <c r="B61" i="17"/>
  <c r="G47" i="17"/>
  <c r="P164" i="3"/>
  <c r="BN67" i="27"/>
  <c r="CN67" i="27" s="1"/>
  <c r="D17" i="22"/>
  <c r="G20" i="17"/>
  <c r="E218" i="20"/>
  <c r="F218" i="20" s="1"/>
  <c r="G218" i="20" s="1"/>
  <c r="G229" i="20"/>
  <c r="G8" i="107"/>
  <c r="CT69" i="27"/>
  <c r="BL61" i="27"/>
  <c r="CK61" i="27" s="1"/>
  <c r="G116" i="20"/>
  <c r="B75" i="19"/>
  <c r="H59" i="19"/>
  <c r="I59" i="19"/>
  <c r="CM60" i="27"/>
  <c r="CN60" i="27"/>
  <c r="E32" i="16"/>
  <c r="F32" i="16" s="1"/>
  <c r="G32" i="16" s="1"/>
  <c r="H32" i="16" s="1"/>
  <c r="D39" i="16"/>
  <c r="F7" i="104"/>
  <c r="F3" i="104" s="1"/>
  <c r="N40" i="105"/>
  <c r="BL68" i="27"/>
  <c r="CK68" i="27" s="1"/>
  <c r="G20" i="107"/>
  <c r="G196" i="20"/>
  <c r="G53" i="121"/>
  <c r="DK60" i="27"/>
  <c r="D12" i="24"/>
  <c r="DN60" i="27"/>
  <c r="G68" i="107"/>
  <c r="D44" i="16"/>
  <c r="B59" i="16"/>
  <c r="BR64" i="27"/>
  <c r="I166" i="3"/>
  <c r="F8" i="24" s="1"/>
  <c r="DN66" i="27"/>
  <c r="K12" i="24"/>
  <c r="DN69" i="27"/>
  <c r="BL63" i="27"/>
  <c r="CK63" i="27" s="1"/>
  <c r="BL65" i="27"/>
  <c r="CK65" i="27" s="1"/>
  <c r="DN63" i="27"/>
  <c r="F12" i="24"/>
  <c r="E72" i="107"/>
  <c r="D176" i="20"/>
  <c r="D180" i="20" s="1"/>
  <c r="E175" i="20" s="1"/>
  <c r="E182" i="20" s="1"/>
  <c r="D70" i="20"/>
  <c r="D74" i="20" s="1"/>
  <c r="E69" i="20" s="1"/>
  <c r="E72" i="20" s="1"/>
  <c r="E71" i="107"/>
  <c r="H44" i="108"/>
  <c r="E123" i="20"/>
  <c r="E119" i="20" s="1"/>
  <c r="E63" i="107"/>
  <c r="E59" i="107" s="1"/>
  <c r="H241" i="12"/>
  <c r="H80" i="12"/>
  <c r="I80" i="12"/>
  <c r="I241" i="12"/>
  <c r="H160" i="12"/>
  <c r="I160" i="12"/>
  <c r="O53" i="121"/>
  <c r="K53" i="121"/>
  <c r="AH64" i="27"/>
  <c r="DK64" i="27" s="1"/>
  <c r="H9" i="24"/>
  <c r="D45" i="121"/>
  <c r="O51" i="121"/>
  <c r="DN64" i="27"/>
  <c r="E12" i="24"/>
  <c r="B104" i="110"/>
  <c r="AH66" i="27"/>
  <c r="DK66" i="27" s="1"/>
  <c r="E40" i="20"/>
  <c r="E15" i="12"/>
  <c r="E11" i="12" s="1"/>
  <c r="E27" i="20"/>
  <c r="E23" i="20" s="1"/>
  <c r="E39" i="106"/>
  <c r="E35" i="106" s="1"/>
  <c r="D23" i="12"/>
  <c r="D22" i="12" s="1"/>
  <c r="D26" i="12" s="1"/>
  <c r="E21" i="12" s="1"/>
  <c r="D24" i="106"/>
  <c r="D23" i="106"/>
  <c r="D47" i="108"/>
  <c r="D46" i="108" s="1"/>
  <c r="D50" i="108" s="1"/>
  <c r="E45" i="108" s="1"/>
  <c r="E52" i="108" s="1"/>
  <c r="E214" i="20"/>
  <c r="E210" i="20" s="1"/>
  <c r="F160" i="106"/>
  <c r="F241" i="106"/>
  <c r="G5" i="106"/>
  <c r="F32" i="106"/>
  <c r="F80" i="106"/>
  <c r="F20" i="106"/>
  <c r="E27" i="108"/>
  <c r="E23" i="108" s="1"/>
  <c r="E75" i="107"/>
  <c r="H32" i="108"/>
  <c r="H80" i="108"/>
  <c r="H241" i="108"/>
  <c r="I5" i="108"/>
  <c r="H160" i="108"/>
  <c r="F8" i="106"/>
  <c r="E15" i="106"/>
  <c r="E11" i="106" s="1"/>
  <c r="H8" i="108"/>
  <c r="H20" i="108"/>
  <c r="F132" i="17"/>
  <c r="F42" i="21" s="1"/>
  <c r="F40" i="17"/>
  <c r="D9" i="24"/>
  <c r="AH68" i="27"/>
  <c r="DK68" i="27" s="1"/>
  <c r="BN68" i="27"/>
  <c r="CM68" i="27" s="1"/>
  <c r="BR65" i="27"/>
  <c r="G83" i="20"/>
  <c r="D51" i="106"/>
  <c r="D47" i="106" s="1"/>
  <c r="E44" i="106"/>
  <c r="E132" i="17"/>
  <c r="E42" i="21" s="1"/>
  <c r="E27" i="17"/>
  <c r="E28" i="17"/>
  <c r="E24" i="17"/>
  <c r="E22" i="17" s="1"/>
  <c r="E26" i="17" s="1"/>
  <c r="G68" i="20"/>
  <c r="M51" i="24"/>
  <c r="M55" i="24" s="1"/>
  <c r="M33" i="23" s="1"/>
  <c r="M46" i="23"/>
  <c r="D63" i="108"/>
  <c r="D59" i="108" s="1"/>
  <c r="E56" i="108"/>
  <c r="F56" i="108" s="1"/>
  <c r="G56" i="108" s="1"/>
  <c r="H56" i="108" s="1"/>
  <c r="CN61" i="27"/>
  <c r="AH62" i="27"/>
  <c r="DK62" i="27" s="1"/>
  <c r="G32" i="17"/>
  <c r="G149" i="20"/>
  <c r="G163" i="20"/>
  <c r="G94" i="20"/>
  <c r="G174" i="20"/>
  <c r="G185" i="20"/>
  <c r="F36" i="17"/>
  <c r="F34" i="17" s="1"/>
  <c r="F38" i="17" s="1"/>
  <c r="F39" i="17"/>
  <c r="E50" i="23"/>
  <c r="I64" i="105"/>
  <c r="B21" i="15" s="1"/>
  <c r="B71" i="106"/>
  <c r="D56" i="106"/>
  <c r="B108" i="107"/>
  <c r="D94" i="107"/>
  <c r="B86" i="108"/>
  <c r="D68" i="108"/>
  <c r="G138" i="20"/>
  <c r="D39" i="12"/>
  <c r="D35" i="12" s="1"/>
  <c r="E32" i="12"/>
  <c r="E132" i="19"/>
  <c r="E26" i="21" s="1"/>
  <c r="E24" i="19"/>
  <c r="E22" i="19" s="1"/>
  <c r="E26" i="19" s="1"/>
  <c r="F21" i="19" s="1"/>
  <c r="F28" i="19" s="1"/>
  <c r="E27" i="19"/>
  <c r="E28" i="19"/>
  <c r="B99" i="15"/>
  <c r="K96" i="15" s="1"/>
  <c r="O65" i="2"/>
  <c r="G132" i="17"/>
  <c r="G42" i="21" s="1"/>
  <c r="G52" i="17"/>
  <c r="B269" i="20"/>
  <c r="D255" i="20"/>
  <c r="J49" i="23"/>
  <c r="N63" i="105"/>
  <c r="B83" i="17" s="1"/>
  <c r="I78" i="17"/>
  <c r="I132" i="17"/>
  <c r="I42" i="21" s="1"/>
  <c r="B47" i="17"/>
  <c r="G44" i="17" s="1"/>
  <c r="G51" i="17" s="1"/>
  <c r="B59" i="12"/>
  <c r="D44" i="12"/>
  <c r="F9" i="24"/>
  <c r="G8" i="17"/>
  <c r="G44" i="107"/>
  <c r="O13" i="121"/>
  <c r="O12" i="121" s="1"/>
  <c r="G20" i="20"/>
  <c r="G105" i="20"/>
  <c r="B61" i="15"/>
  <c r="G47" i="15"/>
  <c r="H47" i="15"/>
  <c r="E244" i="20"/>
  <c r="D251" i="20"/>
  <c r="O47" i="105"/>
  <c r="P46" i="105"/>
  <c r="D140" i="20"/>
  <c r="D144" i="20" s="1"/>
  <c r="E139" i="20" s="1"/>
  <c r="K51" i="121"/>
  <c r="K46" i="121"/>
  <c r="G51" i="121"/>
  <c r="G46" i="121"/>
  <c r="M51" i="121"/>
  <c r="M46" i="121"/>
  <c r="H51" i="121"/>
  <c r="H46" i="121"/>
  <c r="I51" i="121"/>
  <c r="I46" i="121"/>
  <c r="N51" i="121"/>
  <c r="N46" i="121"/>
  <c r="E11" i="16"/>
  <c r="E12" i="16"/>
  <c r="D200" i="20"/>
  <c r="E192" i="20"/>
  <c r="E188" i="20" s="1"/>
  <c r="D165" i="20"/>
  <c r="D169" i="20" s="1"/>
  <c r="E164" i="20" s="1"/>
  <c r="E170" i="20" s="1"/>
  <c r="E166" i="20" s="1"/>
  <c r="E211" i="20"/>
  <c r="D107" i="20"/>
  <c r="D111" i="20" s="1"/>
  <c r="E106" i="20" s="1"/>
  <c r="J9" i="24"/>
  <c r="AH61" i="27"/>
  <c r="DK61" i="27" s="1"/>
  <c r="E9" i="24"/>
  <c r="D47" i="20"/>
  <c r="D48" i="20"/>
  <c r="D60" i="20"/>
  <c r="D59" i="20"/>
  <c r="H8" i="16"/>
  <c r="H20" i="16"/>
  <c r="H160" i="16"/>
  <c r="H241" i="16"/>
  <c r="I5" i="16"/>
  <c r="H80" i="16"/>
  <c r="D98" i="20"/>
  <c r="D97" i="20"/>
  <c r="I160" i="20"/>
  <c r="I80" i="20"/>
  <c r="I241" i="20"/>
  <c r="J5" i="20"/>
  <c r="F127" i="20"/>
  <c r="D153" i="20"/>
  <c r="D151" i="20" s="1"/>
  <c r="D155" i="20" s="1"/>
  <c r="E150" i="20" s="1"/>
  <c r="D232" i="20"/>
  <c r="D131" i="20"/>
  <c r="D129" i="20" s="1"/>
  <c r="D133" i="20" s="1"/>
  <c r="E128" i="20" s="1"/>
  <c r="E134" i="20" s="1"/>
  <c r="E130" i="20" s="1"/>
  <c r="E189" i="20"/>
  <c r="E60" i="107"/>
  <c r="D85" i="20"/>
  <c r="D89" i="20" s="1"/>
  <c r="E84" i="20" s="1"/>
  <c r="E11" i="21"/>
  <c r="H12" i="13"/>
  <c r="E12" i="21" s="1"/>
  <c r="D50" i="23"/>
  <c r="H64" i="105"/>
  <c r="D132" i="19"/>
  <c r="D26" i="21" s="1"/>
  <c r="D15" i="19"/>
  <c r="D12" i="19"/>
  <c r="D16" i="19"/>
  <c r="CN66" i="27"/>
  <c r="CN65" i="27"/>
  <c r="F45" i="121"/>
  <c r="AH63" i="27"/>
  <c r="DK63" i="27" s="1"/>
  <c r="AH65" i="27"/>
  <c r="DK65" i="27" s="1"/>
  <c r="L53" i="121"/>
  <c r="I9" i="24"/>
  <c r="J42" i="121"/>
  <c r="L42" i="121"/>
  <c r="BR63" i="27"/>
  <c r="G9" i="24"/>
  <c r="H166" i="3"/>
  <c r="E8" i="24" s="1"/>
  <c r="CN64" i="27"/>
  <c r="CN62" i="27"/>
  <c r="F40" i="19"/>
  <c r="F132" i="19"/>
  <c r="F26" i="21" s="1"/>
  <c r="F39" i="19"/>
  <c r="F36" i="19"/>
  <c r="F34" i="19" s="1"/>
  <c r="F38" i="19" s="1"/>
  <c r="G33" i="19" s="1"/>
  <c r="G40" i="19" s="1"/>
  <c r="K45" i="105"/>
  <c r="G48" i="23"/>
  <c r="K62" i="105"/>
  <c r="F50" i="23"/>
  <c r="J64" i="105"/>
  <c r="M42" i="105"/>
  <c r="L44" i="105"/>
  <c r="L43" i="105"/>
  <c r="J80" i="12"/>
  <c r="J241" i="12"/>
  <c r="K5" i="12"/>
  <c r="J160" i="12"/>
  <c r="B56" i="17"/>
  <c r="I5" i="17"/>
  <c r="I5" i="107"/>
  <c r="H160" i="107"/>
  <c r="H80" i="107"/>
  <c r="H241" i="107"/>
  <c r="D34" i="16"/>
  <c r="D38" i="16" s="1"/>
  <c r="E33" i="16" s="1"/>
  <c r="I56" i="15"/>
  <c r="I32" i="15"/>
  <c r="B72" i="15"/>
  <c r="I8" i="15"/>
  <c r="I44" i="15"/>
  <c r="J5" i="15"/>
  <c r="I20" i="15"/>
  <c r="E120" i="20"/>
  <c r="CN63" i="27"/>
  <c r="G8" i="12"/>
  <c r="E16" i="12"/>
  <c r="E12" i="12"/>
  <c r="E24" i="16"/>
  <c r="E24" i="108"/>
  <c r="E36" i="106"/>
  <c r="E36" i="20"/>
  <c r="H3" i="23"/>
  <c r="H58" i="23" s="1"/>
  <c r="L8" i="2"/>
  <c r="L4" i="121" s="1"/>
  <c r="G8" i="20"/>
  <c r="I36" i="13"/>
  <c r="I45" i="13"/>
  <c r="F25" i="22"/>
  <c r="H8" i="105"/>
  <c r="H12" i="105" s="1"/>
  <c r="D22" i="25"/>
  <c r="D46" i="25"/>
  <c r="O91" i="27"/>
  <c r="E17" i="22"/>
  <c r="E23" i="22"/>
  <c r="E14" i="22"/>
  <c r="E20" i="22"/>
  <c r="BR62" i="27"/>
  <c r="BR66" i="27"/>
  <c r="M166" i="3"/>
  <c r="J8" i="24" s="1"/>
  <c r="P166" i="3"/>
  <c r="M8" i="24" s="1"/>
  <c r="BR69" i="27"/>
  <c r="CM69" i="27"/>
  <c r="CN69" i="27"/>
  <c r="G8" i="19"/>
  <c r="G32" i="19"/>
  <c r="G20" i="19"/>
  <c r="B44" i="19"/>
  <c r="H5" i="19"/>
  <c r="E24" i="20"/>
  <c r="E16" i="20" l="1"/>
  <c r="E15" i="20"/>
  <c r="E11" i="20" s="1"/>
  <c r="CV57" i="27"/>
  <c r="CS57" i="27"/>
  <c r="DV56" i="27"/>
  <c r="CS56" i="27"/>
  <c r="DU56" i="27"/>
  <c r="CQ56" i="27"/>
  <c r="CR56" i="27"/>
  <c r="DL56" i="27"/>
  <c r="CZ56" i="27"/>
  <c r="CX56" i="27"/>
  <c r="DT56" i="27"/>
  <c r="CW56" i="27"/>
  <c r="CV56" i="27"/>
  <c r="DI56" i="27"/>
  <c r="DJ56" i="27"/>
  <c r="DT59" i="27"/>
  <c r="DU59" i="27"/>
  <c r="D87" i="107"/>
  <c r="D90" i="107"/>
  <c r="D86" i="107" s="1"/>
  <c r="CX59" i="27"/>
  <c r="CV59" i="27"/>
  <c r="E10" i="107"/>
  <c r="E14" i="107" s="1"/>
  <c r="F9" i="107" s="1"/>
  <c r="F16" i="107" s="1"/>
  <c r="DJ59" i="27"/>
  <c r="CQ59" i="27"/>
  <c r="DI59" i="27"/>
  <c r="DV59" i="27"/>
  <c r="CZ59" i="27"/>
  <c r="CS59" i="27"/>
  <c r="DL59" i="27"/>
  <c r="DV58" i="27"/>
  <c r="CX58" i="27"/>
  <c r="CQ58" i="27"/>
  <c r="DU58" i="27"/>
  <c r="DT58" i="27"/>
  <c r="CW58" i="27"/>
  <c r="CV58" i="27"/>
  <c r="CS58" i="27"/>
  <c r="CR58" i="27"/>
  <c r="CZ58" i="27"/>
  <c r="DL58" i="27"/>
  <c r="DJ58" i="27"/>
  <c r="DI58" i="27"/>
  <c r="P13" i="121"/>
  <c r="P12" i="121" s="1"/>
  <c r="E35" i="108"/>
  <c r="E36" i="108"/>
  <c r="E22" i="16"/>
  <c r="E26" i="16" s="1"/>
  <c r="F21" i="16" s="1"/>
  <c r="F27" i="16" s="1"/>
  <c r="F23" i="16" s="1"/>
  <c r="D198" i="20"/>
  <c r="D202" i="20" s="1"/>
  <c r="E197" i="20" s="1"/>
  <c r="E204" i="20" s="1"/>
  <c r="H44" i="20"/>
  <c r="H56" i="107"/>
  <c r="E181" i="20"/>
  <c r="E177" i="20" s="1"/>
  <c r="E15" i="108"/>
  <c r="O60" i="27"/>
  <c r="CZ60" i="27" s="1"/>
  <c r="E10" i="106"/>
  <c r="E14" i="106" s="1"/>
  <c r="F9" i="106" s="1"/>
  <c r="F16" i="106" s="1"/>
  <c r="D133" i="17"/>
  <c r="D43" i="21" s="1"/>
  <c r="E40" i="107"/>
  <c r="E39" i="107"/>
  <c r="E35" i="107" s="1"/>
  <c r="E36" i="107"/>
  <c r="F27" i="19"/>
  <c r="H218" i="20"/>
  <c r="E34" i="20"/>
  <c r="E38" i="20" s="1"/>
  <c r="F33" i="20" s="1"/>
  <c r="F40" i="20" s="1"/>
  <c r="E225" i="20"/>
  <c r="E40" i="108"/>
  <c r="D231" i="20"/>
  <c r="D235" i="20" s="1"/>
  <c r="E230" i="20" s="1"/>
  <c r="N166" i="3"/>
  <c r="K8" i="24" s="1"/>
  <c r="I20" i="12"/>
  <c r="B59" i="19"/>
  <c r="H56" i="19" s="1"/>
  <c r="H8" i="17"/>
  <c r="H196" i="20"/>
  <c r="H68" i="107"/>
  <c r="E51" i="107"/>
  <c r="E47" i="107" s="1"/>
  <c r="E10" i="12"/>
  <c r="E14" i="12" s="1"/>
  <c r="F9" i="12" s="1"/>
  <c r="F16" i="12" s="1"/>
  <c r="BR68" i="27"/>
  <c r="G166" i="3"/>
  <c r="D8" i="24" s="1"/>
  <c r="K166" i="3"/>
  <c r="H8" i="24" s="1"/>
  <c r="CM67" i="27"/>
  <c r="H8" i="107"/>
  <c r="H20" i="107"/>
  <c r="H44" i="17"/>
  <c r="H105" i="20"/>
  <c r="H44" i="107"/>
  <c r="G48" i="17"/>
  <c r="G46" i="17" s="1"/>
  <c r="G50" i="17" s="1"/>
  <c r="H45" i="17" s="1"/>
  <c r="H52" i="17" s="1"/>
  <c r="H185" i="20"/>
  <c r="H149" i="20"/>
  <c r="B71" i="16"/>
  <c r="D56" i="16"/>
  <c r="H207" i="20"/>
  <c r="H174" i="20"/>
  <c r="H32" i="107"/>
  <c r="D51" i="16"/>
  <c r="D47" i="16" s="1"/>
  <c r="E44" i="16"/>
  <c r="D48" i="16"/>
  <c r="B75" i="17"/>
  <c r="I59" i="17"/>
  <c r="H59" i="17"/>
  <c r="H17" i="22"/>
  <c r="E34" i="106"/>
  <c r="E38" i="106" s="1"/>
  <c r="F33" i="106" s="1"/>
  <c r="F40" i="106" s="1"/>
  <c r="H20" i="17"/>
  <c r="H20" i="20"/>
  <c r="H138" i="20"/>
  <c r="H32" i="17"/>
  <c r="G7" i="104"/>
  <c r="G3" i="104" s="1"/>
  <c r="O40" i="105"/>
  <c r="B87" i="19"/>
  <c r="J73" i="19"/>
  <c r="I73" i="19"/>
  <c r="E70" i="107"/>
  <c r="E74" i="107" s="1"/>
  <c r="F69" i="107" s="1"/>
  <c r="F76" i="107" s="1"/>
  <c r="I56" i="108"/>
  <c r="E22" i="108"/>
  <c r="E26" i="108" s="1"/>
  <c r="F21" i="108" s="1"/>
  <c r="F27" i="108" s="1"/>
  <c r="F23" i="108" s="1"/>
  <c r="E76" i="20"/>
  <c r="E75" i="20"/>
  <c r="E71" i="20" s="1"/>
  <c r="E70" i="20" s="1"/>
  <c r="E74" i="20" s="1"/>
  <c r="F69" i="20" s="1"/>
  <c r="E58" i="107"/>
  <c r="E62" i="107" s="1"/>
  <c r="F57" i="107" s="1"/>
  <c r="E118" i="20"/>
  <c r="E122" i="20" s="1"/>
  <c r="F117" i="20" s="1"/>
  <c r="F124" i="20" s="1"/>
  <c r="D85" i="107"/>
  <c r="D89" i="107" s="1"/>
  <c r="E84" i="107" s="1"/>
  <c r="E91" i="107" s="1"/>
  <c r="E171" i="20"/>
  <c r="I65" i="105"/>
  <c r="E44" i="23" s="1"/>
  <c r="D22" i="106"/>
  <c r="D26" i="106" s="1"/>
  <c r="E21" i="106" s="1"/>
  <c r="E28" i="106" s="1"/>
  <c r="E22" i="20"/>
  <c r="E26" i="20" s="1"/>
  <c r="F21" i="20" s="1"/>
  <c r="F28" i="20" s="1"/>
  <c r="E187" i="20"/>
  <c r="E191" i="20" s="1"/>
  <c r="F186" i="20" s="1"/>
  <c r="F193" i="20" s="1"/>
  <c r="E209" i="20"/>
  <c r="E213" i="20" s="1"/>
  <c r="F208" i="20" s="1"/>
  <c r="F215" i="20" s="1"/>
  <c r="D36" i="12"/>
  <c r="D34" i="12" s="1"/>
  <c r="D38" i="12" s="1"/>
  <c r="E33" i="12" s="1"/>
  <c r="E40" i="12" s="1"/>
  <c r="I8" i="108"/>
  <c r="I32" i="108"/>
  <c r="I80" i="108"/>
  <c r="J5" i="108"/>
  <c r="I241" i="108"/>
  <c r="I160" i="108"/>
  <c r="I20" i="108"/>
  <c r="I44" i="108"/>
  <c r="D60" i="108"/>
  <c r="D58" i="108" s="1"/>
  <c r="D62" i="108" s="1"/>
  <c r="E57" i="108" s="1"/>
  <c r="G241" i="106"/>
  <c r="G20" i="106"/>
  <c r="G8" i="106"/>
  <c r="G160" i="106"/>
  <c r="H5" i="106"/>
  <c r="G80" i="106"/>
  <c r="G32" i="106"/>
  <c r="H14" i="13"/>
  <c r="H19" i="13" s="1"/>
  <c r="H21" i="13" s="1"/>
  <c r="I8" i="13" s="1"/>
  <c r="F24" i="19"/>
  <c r="F22" i="19" s="1"/>
  <c r="L166" i="3"/>
  <c r="I8" i="24" s="1"/>
  <c r="CN68" i="27"/>
  <c r="Q46" i="105"/>
  <c r="Q47" i="105" s="1"/>
  <c r="P47" i="105"/>
  <c r="I59" i="15"/>
  <c r="H59" i="15"/>
  <c r="B77" i="15"/>
  <c r="F83" i="107"/>
  <c r="F244" i="20"/>
  <c r="G244" i="20" s="1"/>
  <c r="H244" i="20" s="1"/>
  <c r="F32" i="12"/>
  <c r="G32" i="12" s="1"/>
  <c r="H32" i="12" s="1"/>
  <c r="B119" i="107"/>
  <c r="D105" i="107"/>
  <c r="E28" i="12"/>
  <c r="E27" i="12"/>
  <c r="E23" i="12" s="1"/>
  <c r="E12" i="108"/>
  <c r="E11" i="108"/>
  <c r="B59" i="17"/>
  <c r="H56" i="17" s="1"/>
  <c r="H229" i="20"/>
  <c r="H83" i="20"/>
  <c r="H56" i="20"/>
  <c r="H32" i="20"/>
  <c r="D262" i="20"/>
  <c r="D259" i="20" s="1"/>
  <c r="E255" i="20"/>
  <c r="E68" i="108"/>
  <c r="D75" i="108"/>
  <c r="D72" i="108" s="1"/>
  <c r="D63" i="106"/>
  <c r="D60" i="106" s="1"/>
  <c r="E56" i="106"/>
  <c r="D59" i="106"/>
  <c r="H94" i="20"/>
  <c r="H116" i="20"/>
  <c r="D248" i="20"/>
  <c r="D247" i="20"/>
  <c r="D51" i="12"/>
  <c r="D48" i="12" s="1"/>
  <c r="E44" i="12"/>
  <c r="D101" i="107"/>
  <c r="D98" i="107" s="1"/>
  <c r="E94" i="107"/>
  <c r="F44" i="106"/>
  <c r="G44" i="106" s="1"/>
  <c r="E145" i="20"/>
  <c r="E141" i="20" s="1"/>
  <c r="E146" i="20"/>
  <c r="K49" i="23"/>
  <c r="O63" i="105"/>
  <c r="B95" i="17" s="1"/>
  <c r="D56" i="12"/>
  <c r="B71" i="12"/>
  <c r="D71" i="16"/>
  <c r="E142" i="20"/>
  <c r="E178" i="20"/>
  <c r="E176" i="20" s="1"/>
  <c r="E180" i="20" s="1"/>
  <c r="F175" i="20" s="1"/>
  <c r="F181" i="20" s="1"/>
  <c r="F177" i="20" s="1"/>
  <c r="E200" i="20"/>
  <c r="E51" i="108"/>
  <c r="J132" i="17"/>
  <c r="J42" i="21" s="1"/>
  <c r="J90" i="17"/>
  <c r="B280" i="20"/>
  <c r="D266" i="20"/>
  <c r="P65" i="2"/>
  <c r="B123" i="15" s="1"/>
  <c r="M120" i="15" s="1"/>
  <c r="B111" i="15"/>
  <c r="L108" i="15" s="1"/>
  <c r="D83" i="108"/>
  <c r="B97" i="108"/>
  <c r="B86" i="106"/>
  <c r="D68" i="106"/>
  <c r="E24" i="15"/>
  <c r="E22" i="15" s="1"/>
  <c r="E26" i="15" s="1"/>
  <c r="F21" i="15" s="1"/>
  <c r="E28" i="15"/>
  <c r="E134" i="15"/>
  <c r="E58" i="21" s="1"/>
  <c r="E66" i="21" s="1"/>
  <c r="E27" i="15"/>
  <c r="H163" i="20"/>
  <c r="H68" i="20"/>
  <c r="D48" i="106"/>
  <c r="D46" i="106" s="1"/>
  <c r="D50" i="106" s="1"/>
  <c r="E45" i="106" s="1"/>
  <c r="E51" i="106" s="1"/>
  <c r="E47" i="106" s="1"/>
  <c r="D59" i="16"/>
  <c r="L51" i="121"/>
  <c r="L46" i="121"/>
  <c r="L54" i="121" s="1"/>
  <c r="I13" i="121"/>
  <c r="I12" i="121" s="1"/>
  <c r="I54" i="121"/>
  <c r="M54" i="121"/>
  <c r="M13" i="121"/>
  <c r="M12" i="121" s="1"/>
  <c r="K54" i="121"/>
  <c r="K13" i="121"/>
  <c r="K12" i="121" s="1"/>
  <c r="J51" i="121"/>
  <c r="J46" i="121"/>
  <c r="J54" i="121" s="1"/>
  <c r="N54" i="121"/>
  <c r="N13" i="121"/>
  <c r="N12" i="121" s="1"/>
  <c r="H54" i="121"/>
  <c r="H13" i="121"/>
  <c r="H12" i="121" s="1"/>
  <c r="G54" i="121"/>
  <c r="G13" i="121"/>
  <c r="G12" i="121" s="1"/>
  <c r="E10" i="16"/>
  <c r="E14" i="16" s="1"/>
  <c r="F9" i="16" s="1"/>
  <c r="E221" i="20"/>
  <c r="E222" i="20"/>
  <c r="E113" i="20"/>
  <c r="E112" i="20"/>
  <c r="D58" i="20"/>
  <c r="D62" i="20" s="1"/>
  <c r="E57" i="20" s="1"/>
  <c r="E63" i="20" s="1"/>
  <c r="E59" i="20" s="1"/>
  <c r="E48" i="107"/>
  <c r="E237" i="20"/>
  <c r="E236" i="20"/>
  <c r="E232" i="20" s="1"/>
  <c r="E131" i="20"/>
  <c r="E129" i="20" s="1"/>
  <c r="E133" i="20" s="1"/>
  <c r="F128" i="20" s="1"/>
  <c r="F134" i="20" s="1"/>
  <c r="F130" i="20" s="1"/>
  <c r="E135" i="20"/>
  <c r="G127" i="20"/>
  <c r="H127" i="20" s="1"/>
  <c r="I127" i="20" s="1"/>
  <c r="D96" i="20"/>
  <c r="D100" i="20" s="1"/>
  <c r="E95" i="20" s="1"/>
  <c r="E156" i="20"/>
  <c r="E157" i="20"/>
  <c r="I8" i="16"/>
  <c r="I160" i="16"/>
  <c r="I20" i="16"/>
  <c r="I80" i="16"/>
  <c r="I32" i="16"/>
  <c r="J5" i="16"/>
  <c r="I241" i="16"/>
  <c r="D46" i="20"/>
  <c r="D50" i="20" s="1"/>
  <c r="E45" i="20" s="1"/>
  <c r="K5" i="20"/>
  <c r="J241" i="20"/>
  <c r="J80" i="20"/>
  <c r="J160" i="20"/>
  <c r="F11" i="107"/>
  <c r="F12" i="107"/>
  <c r="E91" i="20"/>
  <c r="E90" i="20"/>
  <c r="E86" i="20" s="1"/>
  <c r="D10" i="19"/>
  <c r="D135" i="19"/>
  <c r="D28" i="21" s="1"/>
  <c r="B9" i="15"/>
  <c r="H65" i="105"/>
  <c r="D44" i="23" s="1"/>
  <c r="L45" i="105"/>
  <c r="L62" i="105"/>
  <c r="H48" i="23"/>
  <c r="B33" i="15"/>
  <c r="J65" i="105"/>
  <c r="F44" i="23" s="1"/>
  <c r="G50" i="23"/>
  <c r="K64" i="105"/>
  <c r="B45" i="15" s="1"/>
  <c r="N42" i="105"/>
  <c r="M43" i="105"/>
  <c r="M44" i="105"/>
  <c r="B45" i="19"/>
  <c r="J5" i="17"/>
  <c r="B70" i="17"/>
  <c r="J56" i="15"/>
  <c r="J44" i="15"/>
  <c r="J8" i="15"/>
  <c r="K5" i="15"/>
  <c r="B84" i="15"/>
  <c r="J32" i="15"/>
  <c r="J20" i="15"/>
  <c r="J72" i="15"/>
  <c r="E39" i="16"/>
  <c r="E35" i="16" s="1"/>
  <c r="E40" i="16"/>
  <c r="J5" i="107"/>
  <c r="I160" i="107"/>
  <c r="I241" i="107"/>
  <c r="I80" i="107"/>
  <c r="K80" i="12"/>
  <c r="K241" i="12"/>
  <c r="L5" i="12"/>
  <c r="K160" i="12"/>
  <c r="H8" i="12"/>
  <c r="H8" i="20"/>
  <c r="M8" i="2"/>
  <c r="M4" i="121" s="1"/>
  <c r="I3" i="23"/>
  <c r="I58" i="23" s="1"/>
  <c r="E167" i="20"/>
  <c r="E165" i="20" s="1"/>
  <c r="E169" i="20" s="1"/>
  <c r="F164" i="20" s="1"/>
  <c r="I42" i="13"/>
  <c r="I47" i="13" s="1"/>
  <c r="I49" i="13" s="1"/>
  <c r="I41" i="13"/>
  <c r="I40" i="13" s="1"/>
  <c r="G33" i="17"/>
  <c r="F21" i="17"/>
  <c r="D137" i="17"/>
  <c r="D46" i="21" s="1"/>
  <c r="E9" i="17"/>
  <c r="D48" i="25"/>
  <c r="D52" i="25" s="1"/>
  <c r="D23" i="25"/>
  <c r="D24" i="25"/>
  <c r="D27" i="25"/>
  <c r="F17" i="22"/>
  <c r="G17" i="22" s="1"/>
  <c r="F23" i="22"/>
  <c r="F14" i="22"/>
  <c r="L14" i="22" s="1"/>
  <c r="CS65" i="27" s="1"/>
  <c r="F20" i="22"/>
  <c r="N20" i="22" s="1"/>
  <c r="DV91" i="27"/>
  <c r="CQ91" i="27"/>
  <c r="CV91" i="27"/>
  <c r="DT91" i="27"/>
  <c r="DI91" i="27"/>
  <c r="DJ91" i="27"/>
  <c r="DU91" i="27"/>
  <c r="DL91" i="27"/>
  <c r="CW91" i="27"/>
  <c r="CR91" i="27"/>
  <c r="CZ91" i="27"/>
  <c r="CX91" i="27"/>
  <c r="CS91" i="27"/>
  <c r="E46" i="25"/>
  <c r="D39" i="23" s="1"/>
  <c r="G25" i="22"/>
  <c r="I8" i="105"/>
  <c r="I12" i="105" s="1"/>
  <c r="E22" i="25"/>
  <c r="I5" i="19"/>
  <c r="H44" i="19"/>
  <c r="B56" i="19"/>
  <c r="H8" i="19"/>
  <c r="H20" i="19"/>
  <c r="H32" i="19"/>
  <c r="F27" i="107"/>
  <c r="F23" i="107" s="1"/>
  <c r="F28" i="107"/>
  <c r="G36" i="19"/>
  <c r="G39" i="19"/>
  <c r="E12" i="20" l="1"/>
  <c r="E10" i="20" s="1"/>
  <c r="E14" i="20" s="1"/>
  <c r="F9" i="20" s="1"/>
  <c r="F15" i="20" s="1"/>
  <c r="F11" i="20" s="1"/>
  <c r="F15" i="107"/>
  <c r="V57" i="27"/>
  <c r="V56" i="27"/>
  <c r="F39" i="106"/>
  <c r="F35" i="106" s="1"/>
  <c r="F12" i="106"/>
  <c r="E34" i="108"/>
  <c r="E38" i="108" s="1"/>
  <c r="F33" i="108" s="1"/>
  <c r="F40" i="108" s="1"/>
  <c r="F36" i="20"/>
  <c r="V59" i="27"/>
  <c r="V58" i="27"/>
  <c r="E203" i="20"/>
  <c r="E199" i="20" s="1"/>
  <c r="E198" i="20" s="1"/>
  <c r="E202" i="20" s="1"/>
  <c r="F197" i="20" s="1"/>
  <c r="F204" i="20" s="1"/>
  <c r="E34" i="107"/>
  <c r="E38" i="107" s="1"/>
  <c r="F33" i="107" s="1"/>
  <c r="F39" i="107" s="1"/>
  <c r="F35" i="107" s="1"/>
  <c r="F24" i="16"/>
  <c r="F22" i="16" s="1"/>
  <c r="F26" i="16" s="1"/>
  <c r="G21" i="16" s="1"/>
  <c r="G24" i="16" s="1"/>
  <c r="F28" i="16"/>
  <c r="F15" i="106"/>
  <c r="F11" i="106" s="1"/>
  <c r="P20" i="22"/>
  <c r="N17" i="22"/>
  <c r="O20" i="22"/>
  <c r="J20" i="22"/>
  <c r="I17" i="22"/>
  <c r="I20" i="22"/>
  <c r="J14" i="22"/>
  <c r="CS63" i="27" s="1"/>
  <c r="N14" i="22"/>
  <c r="CS67" i="27" s="1"/>
  <c r="M14" i="22"/>
  <c r="CS66" i="27" s="1"/>
  <c r="I14" i="22"/>
  <c r="CS62" i="27" s="1"/>
  <c r="K17" i="22"/>
  <c r="K14" i="22"/>
  <c r="CS64" i="27" s="1"/>
  <c r="H20" i="22"/>
  <c r="K20" i="22"/>
  <c r="L23" i="22"/>
  <c r="H23" i="22"/>
  <c r="K23" i="22"/>
  <c r="G23" i="22"/>
  <c r="I23" i="22"/>
  <c r="P23" i="22"/>
  <c r="O23" i="22"/>
  <c r="N23" i="22"/>
  <c r="J23" i="22"/>
  <c r="M23" i="22"/>
  <c r="P17" i="22"/>
  <c r="J17" i="22"/>
  <c r="G14" i="22"/>
  <c r="CS60" i="27" s="1"/>
  <c r="M20" i="22"/>
  <c r="H14" i="22"/>
  <c r="CS61" i="27" s="1"/>
  <c r="M17" i="22"/>
  <c r="L17" i="22"/>
  <c r="P14" i="22"/>
  <c r="CS69" i="27" s="1"/>
  <c r="L20" i="22"/>
  <c r="O17" i="22"/>
  <c r="O14" i="22"/>
  <c r="CS68" i="27" s="1"/>
  <c r="G20" i="22"/>
  <c r="B98" i="110" s="1"/>
  <c r="F75" i="107"/>
  <c r="F71" i="107" s="1"/>
  <c r="B101" i="110"/>
  <c r="DI60" i="27"/>
  <c r="CR60" i="27"/>
  <c r="CQ60" i="27"/>
  <c r="F15" i="12"/>
  <c r="F11" i="12" s="1"/>
  <c r="F39" i="20"/>
  <c r="F35" i="20" s="1"/>
  <c r="I44" i="107"/>
  <c r="I32" i="12"/>
  <c r="F214" i="20"/>
  <c r="E46" i="107"/>
  <c r="E50" i="107" s="1"/>
  <c r="F45" i="107" s="1"/>
  <c r="F51" i="107" s="1"/>
  <c r="F47" i="107" s="1"/>
  <c r="B73" i="19"/>
  <c r="I70" i="19" s="1"/>
  <c r="H48" i="17"/>
  <c r="H46" i="17" s="1"/>
  <c r="H50" i="17" s="1"/>
  <c r="I45" i="17" s="1"/>
  <c r="I52" i="17" s="1"/>
  <c r="I56" i="17"/>
  <c r="E90" i="107"/>
  <c r="E86" i="107" s="1"/>
  <c r="D46" i="16"/>
  <c r="D50" i="16" s="1"/>
  <c r="E45" i="16" s="1"/>
  <c r="E52" i="16" s="1"/>
  <c r="E27" i="106"/>
  <c r="E23" i="106" s="1"/>
  <c r="L13" i="121"/>
  <c r="L12" i="121" s="1"/>
  <c r="P40" i="105"/>
  <c r="H7" i="104"/>
  <c r="H3" i="104" s="1"/>
  <c r="H51" i="17"/>
  <c r="I44" i="17"/>
  <c r="F44" i="16"/>
  <c r="E56" i="16"/>
  <c r="F56" i="16" s="1"/>
  <c r="G56" i="16" s="1"/>
  <c r="H56" i="16" s="1"/>
  <c r="I56" i="16" s="1"/>
  <c r="J56" i="16" s="1"/>
  <c r="D63" i="16"/>
  <c r="D60" i="16" s="1"/>
  <c r="D58" i="16" s="1"/>
  <c r="D62" i="16" s="1"/>
  <c r="E57" i="16" s="1"/>
  <c r="E64" i="16" s="1"/>
  <c r="I8" i="107"/>
  <c r="I32" i="17"/>
  <c r="I149" i="20"/>
  <c r="B99" i="19"/>
  <c r="K85" i="19"/>
  <c r="J85" i="19"/>
  <c r="I73" i="17"/>
  <c r="B87" i="17"/>
  <c r="J73" i="17"/>
  <c r="D68" i="16"/>
  <c r="B86" i="16"/>
  <c r="F28" i="108"/>
  <c r="E24" i="106"/>
  <c r="F27" i="20"/>
  <c r="F23" i="20" s="1"/>
  <c r="F76" i="20"/>
  <c r="F75" i="20"/>
  <c r="F71" i="20" s="1"/>
  <c r="E87" i="107"/>
  <c r="F63" i="107"/>
  <c r="F64" i="107"/>
  <c r="F60" i="107"/>
  <c r="F59" i="107"/>
  <c r="F123" i="20"/>
  <c r="F119" i="20" s="1"/>
  <c r="E140" i="20"/>
  <c r="E144" i="20" s="1"/>
  <c r="F139" i="20" s="1"/>
  <c r="F145" i="20" s="1"/>
  <c r="F141" i="20" s="1"/>
  <c r="F39" i="108"/>
  <c r="F35" i="108" s="1"/>
  <c r="F211" i="20"/>
  <c r="F210" i="20"/>
  <c r="E14" i="21"/>
  <c r="F57" i="25" s="1"/>
  <c r="I17" i="13"/>
  <c r="F9" i="21" s="1"/>
  <c r="J13" i="121"/>
  <c r="J12" i="121" s="1"/>
  <c r="H44" i="106"/>
  <c r="F192" i="20"/>
  <c r="F188" i="20" s="1"/>
  <c r="F189" i="20"/>
  <c r="E64" i="20"/>
  <c r="H241" i="106"/>
  <c r="H160" i="106"/>
  <c r="I5" i="106"/>
  <c r="H8" i="106"/>
  <c r="H32" i="106"/>
  <c r="H80" i="106"/>
  <c r="H20" i="106"/>
  <c r="J44" i="108"/>
  <c r="J160" i="108"/>
  <c r="J80" i="108"/>
  <c r="J32" i="108"/>
  <c r="J241" i="108"/>
  <c r="J20" i="108"/>
  <c r="J8" i="108"/>
  <c r="K5" i="108"/>
  <c r="D47" i="12"/>
  <c r="D46" i="12" s="1"/>
  <c r="D50" i="12" s="1"/>
  <c r="E45" i="12" s="1"/>
  <c r="D246" i="20"/>
  <c r="D250" i="20" s="1"/>
  <c r="E245" i="20" s="1"/>
  <c r="E252" i="20" s="1"/>
  <c r="E10" i="108"/>
  <c r="E14" i="108" s="1"/>
  <c r="F9" i="108" s="1"/>
  <c r="F12" i="108" s="1"/>
  <c r="E39" i="12"/>
  <c r="D97" i="107"/>
  <c r="D96" i="107" s="1"/>
  <c r="D100" i="107" s="1"/>
  <c r="E95" i="107" s="1"/>
  <c r="E101" i="107" s="1"/>
  <c r="E97" i="107" s="1"/>
  <c r="J56" i="108"/>
  <c r="D75" i="106"/>
  <c r="D71" i="106" s="1"/>
  <c r="E68" i="106"/>
  <c r="B86" i="12"/>
  <c r="D68" i="12"/>
  <c r="D116" i="107"/>
  <c r="B130" i="107"/>
  <c r="I8" i="20"/>
  <c r="I20" i="107"/>
  <c r="I20" i="17"/>
  <c r="D83" i="106"/>
  <c r="B97" i="106"/>
  <c r="E47" i="108"/>
  <c r="E48" i="108"/>
  <c r="D63" i="12"/>
  <c r="D59" i="12" s="1"/>
  <c r="D60" i="12"/>
  <c r="E56" i="12"/>
  <c r="F94" i="107"/>
  <c r="F44" i="12"/>
  <c r="F56" i="106"/>
  <c r="F68" i="108"/>
  <c r="H63" i="17"/>
  <c r="H60" i="17"/>
  <c r="H58" i="17" s="1"/>
  <c r="H62" i="17" s="1"/>
  <c r="I57" i="17" s="1"/>
  <c r="I64" i="17" s="1"/>
  <c r="E24" i="12"/>
  <c r="E22" i="12" s="1"/>
  <c r="E26" i="12" s="1"/>
  <c r="F21" i="12" s="1"/>
  <c r="E35" i="12"/>
  <c r="E36" i="12"/>
  <c r="L49" i="23"/>
  <c r="P63" i="105"/>
  <c r="B107" i="17" s="1"/>
  <c r="I56" i="107"/>
  <c r="F182" i="20"/>
  <c r="B108" i="108"/>
  <c r="D94" i="108"/>
  <c r="E266" i="20"/>
  <c r="D273" i="20"/>
  <c r="D269" i="20" s="1"/>
  <c r="K102" i="17"/>
  <c r="K132" i="17"/>
  <c r="K42" i="21" s="1"/>
  <c r="D58" i="106"/>
  <c r="D62" i="106" s="1"/>
  <c r="E57" i="106" s="1"/>
  <c r="E63" i="106" s="1"/>
  <c r="E59" i="106" s="1"/>
  <c r="F255" i="20"/>
  <c r="G83" i="107"/>
  <c r="H83" i="107" s="1"/>
  <c r="I83" i="107" s="1"/>
  <c r="B89" i="15"/>
  <c r="I75" i="15"/>
  <c r="J75" i="15"/>
  <c r="Q63" i="105"/>
  <c r="B119" i="17" s="1"/>
  <c r="M49" i="23"/>
  <c r="B73" i="17"/>
  <c r="I70" i="17" s="1"/>
  <c r="I105" i="20"/>
  <c r="I229" i="20"/>
  <c r="I218" i="20"/>
  <c r="I83" i="20"/>
  <c r="I44" i="20"/>
  <c r="I174" i="20"/>
  <c r="I163" i="20"/>
  <c r="I20" i="20"/>
  <c r="I196" i="20"/>
  <c r="I138" i="20"/>
  <c r="I207" i="20"/>
  <c r="I94" i="20"/>
  <c r="I56" i="20"/>
  <c r="I68" i="20"/>
  <c r="I185" i="20"/>
  <c r="I116" i="20"/>
  <c r="I244" i="20"/>
  <c r="I32" i="20"/>
  <c r="I8" i="17"/>
  <c r="E52" i="106"/>
  <c r="E48" i="106"/>
  <c r="E46" i="106" s="1"/>
  <c r="E50" i="106" s="1"/>
  <c r="F45" i="106" s="1"/>
  <c r="F47" i="106" s="1"/>
  <c r="I32" i="107"/>
  <c r="I68" i="107"/>
  <c r="D90" i="108"/>
  <c r="D87" i="108" s="1"/>
  <c r="E83" i="108"/>
  <c r="D86" i="108"/>
  <c r="B291" i="20"/>
  <c r="D288" i="20" s="1"/>
  <c r="D277" i="20"/>
  <c r="D71" i="108"/>
  <c r="D70" i="108" s="1"/>
  <c r="D74" i="108" s="1"/>
  <c r="E69" i="108" s="1"/>
  <c r="D258" i="20"/>
  <c r="D257" i="20" s="1"/>
  <c r="D261" i="20" s="1"/>
  <c r="E256" i="20" s="1"/>
  <c r="E263" i="20" s="1"/>
  <c r="D112" i="107"/>
  <c r="D108" i="107" s="1"/>
  <c r="E105" i="107"/>
  <c r="E63" i="108"/>
  <c r="E64" i="108"/>
  <c r="F120" i="20"/>
  <c r="E87" i="20"/>
  <c r="E85" i="20" s="1"/>
  <c r="E89" i="20" s="1"/>
  <c r="F84" i="20" s="1"/>
  <c r="F90" i="20" s="1"/>
  <c r="F86" i="20" s="1"/>
  <c r="E220" i="20"/>
  <c r="E224" i="20" s="1"/>
  <c r="F219" i="20" s="1"/>
  <c r="E108" i="20"/>
  <c r="E109" i="20"/>
  <c r="F15" i="16"/>
  <c r="F11" i="16" s="1"/>
  <c r="F16" i="16"/>
  <c r="F10" i="107"/>
  <c r="F14" i="107" s="1"/>
  <c r="G9" i="107" s="1"/>
  <c r="G12" i="107" s="1"/>
  <c r="E101" i="20"/>
  <c r="E97" i="20" s="1"/>
  <c r="E102" i="20"/>
  <c r="E233" i="20"/>
  <c r="E231" i="20" s="1"/>
  <c r="E235" i="20" s="1"/>
  <c r="F230" i="20" s="1"/>
  <c r="J20" i="16"/>
  <c r="J80" i="16"/>
  <c r="J32" i="16"/>
  <c r="J160" i="16"/>
  <c r="J241" i="16"/>
  <c r="K5" i="16"/>
  <c r="J8" i="16"/>
  <c r="F135" i="20"/>
  <c r="F131" i="20"/>
  <c r="F129" i="20" s="1"/>
  <c r="F133" i="20" s="1"/>
  <c r="G128" i="20" s="1"/>
  <c r="G135" i="20" s="1"/>
  <c r="K80" i="20"/>
  <c r="K160" i="20"/>
  <c r="L5" i="20"/>
  <c r="K241" i="20"/>
  <c r="E51" i="20"/>
  <c r="E47" i="20" s="1"/>
  <c r="E52" i="20"/>
  <c r="E152" i="20"/>
  <c r="E153" i="20"/>
  <c r="E60" i="20"/>
  <c r="E58" i="20" s="1"/>
  <c r="E62" i="20" s="1"/>
  <c r="F57" i="20" s="1"/>
  <c r="F178" i="20"/>
  <c r="F176" i="20" s="1"/>
  <c r="F180" i="20" s="1"/>
  <c r="G175" i="20" s="1"/>
  <c r="E36" i="16"/>
  <c r="E34" i="16" s="1"/>
  <c r="E38" i="16" s="1"/>
  <c r="F33" i="16" s="1"/>
  <c r="F39" i="16" s="1"/>
  <c r="F35" i="16" s="1"/>
  <c r="D133" i="19"/>
  <c r="D27" i="21" s="1"/>
  <c r="D14" i="19"/>
  <c r="D134" i="15"/>
  <c r="D58" i="21" s="1"/>
  <c r="D66" i="21" s="1"/>
  <c r="D12" i="15"/>
  <c r="D15" i="15"/>
  <c r="D16" i="15"/>
  <c r="K65" i="105"/>
  <c r="G44" i="23" s="1"/>
  <c r="I48" i="23"/>
  <c r="M62" i="105"/>
  <c r="M45" i="105"/>
  <c r="L64" i="105"/>
  <c r="B57" i="15" s="1"/>
  <c r="H50" i="23"/>
  <c r="B57" i="19"/>
  <c r="G52" i="19"/>
  <c r="G48" i="19"/>
  <c r="G46" i="19" s="1"/>
  <c r="G50" i="19" s="1"/>
  <c r="H45" i="19" s="1"/>
  <c r="G132" i="19"/>
  <c r="G26" i="21" s="1"/>
  <c r="G51" i="19"/>
  <c r="G48" i="15"/>
  <c r="G46" i="15" s="1"/>
  <c r="G50" i="15" s="1"/>
  <c r="H45" i="15" s="1"/>
  <c r="G134" i="15"/>
  <c r="G58" i="21" s="1"/>
  <c r="G51" i="15"/>
  <c r="G52" i="15"/>
  <c r="O42" i="105"/>
  <c r="N44" i="105"/>
  <c r="N43" i="105"/>
  <c r="F39" i="15"/>
  <c r="F36" i="15"/>
  <c r="F34" i="15" s="1"/>
  <c r="F38" i="15" s="1"/>
  <c r="G33" i="15" s="1"/>
  <c r="F40" i="15"/>
  <c r="F134" i="15"/>
  <c r="F58" i="21" s="1"/>
  <c r="F66" i="21" s="1"/>
  <c r="L80" i="12"/>
  <c r="L241" i="12"/>
  <c r="M5" i="12"/>
  <c r="L160" i="12"/>
  <c r="K32" i="15"/>
  <c r="K8" i="15"/>
  <c r="B96" i="15"/>
  <c r="K56" i="15"/>
  <c r="L5" i="15"/>
  <c r="K44" i="15"/>
  <c r="K20" i="15"/>
  <c r="K84" i="15"/>
  <c r="K72" i="15"/>
  <c r="F24" i="107"/>
  <c r="F22" i="107" s="1"/>
  <c r="F26" i="107" s="1"/>
  <c r="G21" i="107" s="1"/>
  <c r="G28" i="107" s="1"/>
  <c r="F36" i="108"/>
  <c r="J80" i="107"/>
  <c r="J241" i="107"/>
  <c r="K5" i="107"/>
  <c r="J160" i="107"/>
  <c r="B82" i="17"/>
  <c r="K5" i="17"/>
  <c r="I8" i="12"/>
  <c r="F12" i="12"/>
  <c r="F170" i="20"/>
  <c r="F166" i="20" s="1"/>
  <c r="F171" i="20"/>
  <c r="N8" i="2"/>
  <c r="N4" i="121" s="1"/>
  <c r="J3" i="23"/>
  <c r="J58" i="23" s="1"/>
  <c r="F24" i="20"/>
  <c r="F22" i="20" s="1"/>
  <c r="F26" i="20" s="1"/>
  <c r="G21" i="20" s="1"/>
  <c r="G24" i="20" s="1"/>
  <c r="F72" i="20"/>
  <c r="F24" i="108"/>
  <c r="F22" i="108" s="1"/>
  <c r="F26" i="108" s="1"/>
  <c r="G21" i="108" s="1"/>
  <c r="F36" i="106"/>
  <c r="J36" i="13"/>
  <c r="J45" i="13"/>
  <c r="E131" i="17"/>
  <c r="E41" i="21" s="1"/>
  <c r="E16" i="17"/>
  <c r="E12" i="17"/>
  <c r="E15" i="17"/>
  <c r="F24" i="17"/>
  <c r="F28" i="17"/>
  <c r="F27" i="17"/>
  <c r="F24" i="15"/>
  <c r="F28" i="15"/>
  <c r="F27" i="15"/>
  <c r="G39" i="17"/>
  <c r="G40" i="17"/>
  <c r="G36" i="17"/>
  <c r="G19" i="22"/>
  <c r="D14" i="24" s="1"/>
  <c r="G16" i="22"/>
  <c r="G22" i="22"/>
  <c r="D15" i="24" s="1"/>
  <c r="G13" i="22"/>
  <c r="CP60" i="27" s="1"/>
  <c r="V91" i="27"/>
  <c r="D14" i="25"/>
  <c r="F22" i="25"/>
  <c r="F46" i="25"/>
  <c r="E39" i="23" s="1"/>
  <c r="O61" i="27"/>
  <c r="J8" i="105"/>
  <c r="J12" i="105" s="1"/>
  <c r="H25" i="22"/>
  <c r="J5" i="19"/>
  <c r="I20" i="19"/>
  <c r="I32" i="19"/>
  <c r="B70" i="19"/>
  <c r="I44" i="19"/>
  <c r="I8" i="19"/>
  <c r="I56" i="19"/>
  <c r="G34" i="19"/>
  <c r="F26" i="19"/>
  <c r="F72" i="107"/>
  <c r="F16" i="20" l="1"/>
  <c r="F10" i="106"/>
  <c r="F14" i="106" s="1"/>
  <c r="G9" i="106" s="1"/>
  <c r="G12" i="106" s="1"/>
  <c r="CH57" i="27"/>
  <c r="CH56" i="27"/>
  <c r="F40" i="107"/>
  <c r="F70" i="107"/>
  <c r="F74" i="107" s="1"/>
  <c r="G69" i="107" s="1"/>
  <c r="F36" i="107"/>
  <c r="F34" i="107" s="1"/>
  <c r="F38" i="107" s="1"/>
  <c r="G33" i="107" s="1"/>
  <c r="F34" i="106"/>
  <c r="F38" i="106" s="1"/>
  <c r="G33" i="106" s="1"/>
  <c r="G39" i="106" s="1"/>
  <c r="G35" i="106" s="1"/>
  <c r="G27" i="16"/>
  <c r="G23" i="16" s="1"/>
  <c r="G28" i="16"/>
  <c r="F142" i="20"/>
  <c r="F140" i="20" s="1"/>
  <c r="F144" i="20" s="1"/>
  <c r="G139" i="20" s="1"/>
  <c r="G145" i="20" s="1"/>
  <c r="G141" i="20" s="1"/>
  <c r="F34" i="20"/>
  <c r="F38" i="20" s="1"/>
  <c r="G33" i="20" s="1"/>
  <c r="G40" i="20" s="1"/>
  <c r="F52" i="107"/>
  <c r="CH59" i="27"/>
  <c r="CH58" i="27"/>
  <c r="B95" i="110"/>
  <c r="I51" i="17"/>
  <c r="I47" i="17" s="1"/>
  <c r="F200" i="20"/>
  <c r="J44" i="17"/>
  <c r="J8" i="12"/>
  <c r="AP60" i="27"/>
  <c r="CW60" i="27" s="1"/>
  <c r="AO60" i="27"/>
  <c r="CV60" i="27" s="1"/>
  <c r="E48" i="16"/>
  <c r="F10" i="12"/>
  <c r="F14" i="12" s="1"/>
  <c r="G9" i="12" s="1"/>
  <c r="G15" i="12" s="1"/>
  <c r="G11" i="12" s="1"/>
  <c r="J68" i="107"/>
  <c r="J32" i="17"/>
  <c r="J116" i="20"/>
  <c r="J44" i="107"/>
  <c r="J56" i="17"/>
  <c r="J138" i="20"/>
  <c r="F203" i="20"/>
  <c r="F199" i="20" s="1"/>
  <c r="E51" i="16"/>
  <c r="E47" i="16" s="1"/>
  <c r="J32" i="107"/>
  <c r="J70" i="17"/>
  <c r="J174" i="20"/>
  <c r="J20" i="12"/>
  <c r="B85" i="19"/>
  <c r="J82" i="19" s="1"/>
  <c r="J8" i="17"/>
  <c r="E85" i="107"/>
  <c r="E89" i="107" s="1"/>
  <c r="F84" i="107" s="1"/>
  <c r="F91" i="107" s="1"/>
  <c r="J32" i="12"/>
  <c r="J83" i="107"/>
  <c r="J56" i="107"/>
  <c r="J20" i="107"/>
  <c r="J8" i="107"/>
  <c r="G15" i="106"/>
  <c r="G11" i="106" s="1"/>
  <c r="G10" i="106" s="1"/>
  <c r="G14" i="106" s="1"/>
  <c r="H9" i="106" s="1"/>
  <c r="H12" i="106" s="1"/>
  <c r="G16" i="106"/>
  <c r="E22" i="106"/>
  <c r="E26" i="106" s="1"/>
  <c r="F21" i="106" s="1"/>
  <c r="F28" i="106" s="1"/>
  <c r="G27" i="20"/>
  <c r="G23" i="20" s="1"/>
  <c r="G22" i="20" s="1"/>
  <c r="G26" i="20" s="1"/>
  <c r="H21" i="20" s="1"/>
  <c r="H27" i="20" s="1"/>
  <c r="H23" i="20" s="1"/>
  <c r="I13" i="13"/>
  <c r="F11" i="21" s="1"/>
  <c r="J85" i="17"/>
  <c r="K85" i="17"/>
  <c r="B99" i="17"/>
  <c r="L97" i="19"/>
  <c r="B111" i="19"/>
  <c r="K97" i="19"/>
  <c r="G44" i="16"/>
  <c r="H44" i="16" s="1"/>
  <c r="I44" i="16" s="1"/>
  <c r="J44" i="16" s="1"/>
  <c r="K44" i="16" s="1"/>
  <c r="E98" i="107"/>
  <c r="E96" i="107" s="1"/>
  <c r="E100" i="107" s="1"/>
  <c r="F95" i="107" s="1"/>
  <c r="F101" i="107" s="1"/>
  <c r="F97" i="107" s="1"/>
  <c r="J20" i="17"/>
  <c r="D83" i="16"/>
  <c r="B97" i="16"/>
  <c r="D75" i="16"/>
  <c r="E68" i="16"/>
  <c r="D72" i="16"/>
  <c r="D70" i="16" s="1"/>
  <c r="D74" i="16" s="1"/>
  <c r="E69" i="16" s="1"/>
  <c r="I63" i="17"/>
  <c r="E63" i="16"/>
  <c r="E59" i="16" s="1"/>
  <c r="J8" i="20"/>
  <c r="Q40" i="105"/>
  <c r="J7" i="104" s="1"/>
  <c r="J3" i="104" s="1"/>
  <c r="I7" i="104"/>
  <c r="I3" i="104" s="1"/>
  <c r="F146" i="20"/>
  <c r="F70" i="20"/>
  <c r="F74" i="20" s="1"/>
  <c r="G69" i="20" s="1"/>
  <c r="G75" i="20" s="1"/>
  <c r="G71" i="20" s="1"/>
  <c r="E251" i="20"/>
  <c r="E247" i="20" s="1"/>
  <c r="D58" i="12"/>
  <c r="D62" i="12" s="1"/>
  <c r="E57" i="12" s="1"/>
  <c r="E63" i="12" s="1"/>
  <c r="E59" i="12" s="1"/>
  <c r="F58" i="107"/>
  <c r="F62" i="107" s="1"/>
  <c r="G57" i="107" s="1"/>
  <c r="G63" i="107" s="1"/>
  <c r="G59" i="107" s="1"/>
  <c r="F118" i="20"/>
  <c r="F122" i="20" s="1"/>
  <c r="G117" i="20" s="1"/>
  <c r="G123" i="20" s="1"/>
  <c r="G119" i="20" s="1"/>
  <c r="F209" i="20"/>
  <c r="F213" i="20" s="1"/>
  <c r="G208" i="20" s="1"/>
  <c r="G214" i="20" s="1"/>
  <c r="G210" i="20" s="1"/>
  <c r="E248" i="20"/>
  <c r="F16" i="108"/>
  <c r="F34" i="108"/>
  <c r="F38" i="108" s="1"/>
  <c r="G33" i="108" s="1"/>
  <c r="G39" i="108" s="1"/>
  <c r="G35" i="108" s="1"/>
  <c r="F40" i="16"/>
  <c r="F91" i="20"/>
  <c r="G27" i="107"/>
  <c r="G23" i="107" s="1"/>
  <c r="F15" i="108"/>
  <c r="F11" i="108" s="1"/>
  <c r="F10" i="108" s="1"/>
  <c r="F14" i="108" s="1"/>
  <c r="G9" i="108" s="1"/>
  <c r="G12" i="108" s="1"/>
  <c r="F187" i="20"/>
  <c r="F191" i="20" s="1"/>
  <c r="G186" i="20" s="1"/>
  <c r="G189" i="20" s="1"/>
  <c r="I60" i="17"/>
  <c r="I58" i="17" s="1"/>
  <c r="I62" i="17" s="1"/>
  <c r="J57" i="17" s="1"/>
  <c r="J64" i="17" s="1"/>
  <c r="E102" i="107"/>
  <c r="G131" i="20"/>
  <c r="G134" i="20"/>
  <c r="G130" i="20" s="1"/>
  <c r="K8" i="16"/>
  <c r="L5" i="108"/>
  <c r="K44" i="108"/>
  <c r="K8" i="108"/>
  <c r="K20" i="108"/>
  <c r="K32" i="108"/>
  <c r="K241" i="108"/>
  <c r="K160" i="108"/>
  <c r="K80" i="108"/>
  <c r="K56" i="108"/>
  <c r="J5" i="106"/>
  <c r="I8" i="106"/>
  <c r="I80" i="106"/>
  <c r="I44" i="106"/>
  <c r="I20" i="106"/>
  <c r="I32" i="106"/>
  <c r="I160" i="106"/>
  <c r="I241" i="106"/>
  <c r="D72" i="106"/>
  <c r="D70" i="106" s="1"/>
  <c r="D74" i="106" s="1"/>
  <c r="E69" i="106" s="1"/>
  <c r="E75" i="106" s="1"/>
  <c r="E71" i="106" s="1"/>
  <c r="D270" i="20"/>
  <c r="D268" i="20" s="1"/>
  <c r="D272" i="20" s="1"/>
  <c r="E267" i="20" s="1"/>
  <c r="E273" i="20" s="1"/>
  <c r="E269" i="20" s="1"/>
  <c r="D295" i="20"/>
  <c r="D292" i="20" s="1"/>
  <c r="E288" i="20"/>
  <c r="M132" i="17"/>
  <c r="M42" i="21" s="1"/>
  <c r="M126" i="17"/>
  <c r="E52" i="12"/>
  <c r="E48" i="12"/>
  <c r="B119" i="108"/>
  <c r="D105" i="108"/>
  <c r="E60" i="16"/>
  <c r="F52" i="106"/>
  <c r="F51" i="106"/>
  <c r="L114" i="17"/>
  <c r="L132" i="17"/>
  <c r="L42" i="21" s="1"/>
  <c r="E83" i="106"/>
  <c r="D90" i="106"/>
  <c r="D86" i="106" s="1"/>
  <c r="D127" i="107"/>
  <c r="B141" i="107"/>
  <c r="F105" i="107"/>
  <c r="E76" i="108"/>
  <c r="F83" i="108"/>
  <c r="K68" i="107"/>
  <c r="B85" i="17"/>
  <c r="J82" i="17" s="1"/>
  <c r="J163" i="20"/>
  <c r="J244" i="20"/>
  <c r="J105" i="20"/>
  <c r="J94" i="20"/>
  <c r="J83" i="20"/>
  <c r="J149" i="20"/>
  <c r="J218" i="20"/>
  <c r="J68" i="20"/>
  <c r="J20" i="20"/>
  <c r="J185" i="20"/>
  <c r="J44" i="20"/>
  <c r="J229" i="20"/>
  <c r="J32" i="20"/>
  <c r="J196" i="20"/>
  <c r="J56" i="20"/>
  <c r="J207" i="20"/>
  <c r="G255" i="20"/>
  <c r="F266" i="20"/>
  <c r="E34" i="12"/>
  <c r="E38" i="12" s="1"/>
  <c r="F33" i="12" s="1"/>
  <c r="G56" i="106"/>
  <c r="G94" i="107"/>
  <c r="E46" i="108"/>
  <c r="E50" i="108" s="1"/>
  <c r="F45" i="108" s="1"/>
  <c r="E116" i="107"/>
  <c r="D123" i="107"/>
  <c r="D120" i="107" s="1"/>
  <c r="F68" i="106"/>
  <c r="J127" i="20"/>
  <c r="F27" i="12"/>
  <c r="F23" i="12" s="1"/>
  <c r="F28" i="12"/>
  <c r="G68" i="108"/>
  <c r="G44" i="12"/>
  <c r="D94" i="106"/>
  <c r="B108" i="106"/>
  <c r="D83" i="12"/>
  <c r="B97" i="12"/>
  <c r="F24" i="12"/>
  <c r="E262" i="20"/>
  <c r="F48" i="106"/>
  <c r="F46" i="106" s="1"/>
  <c r="F50" i="106" s="1"/>
  <c r="G45" i="106" s="1"/>
  <c r="E59" i="108"/>
  <c r="E60" i="108"/>
  <c r="D109" i="107"/>
  <c r="D107" i="107" s="1"/>
  <c r="D111" i="107" s="1"/>
  <c r="E106" i="107" s="1"/>
  <c r="D284" i="20"/>
  <c r="D281" i="20" s="1"/>
  <c r="E277" i="20"/>
  <c r="D85" i="108"/>
  <c r="D89" i="108" s="1"/>
  <c r="E84" i="108" s="1"/>
  <c r="E90" i="108" s="1"/>
  <c r="E86" i="108" s="1"/>
  <c r="I77" i="17"/>
  <c r="I74" i="17"/>
  <c r="I72" i="17" s="1"/>
  <c r="I76" i="17" s="1"/>
  <c r="J71" i="17" s="1"/>
  <c r="J78" i="17" s="1"/>
  <c r="J87" i="15"/>
  <c r="B101" i="15"/>
  <c r="K87" i="15"/>
  <c r="E64" i="106"/>
  <c r="E60" i="106"/>
  <c r="E58" i="106" s="1"/>
  <c r="E62" i="106" s="1"/>
  <c r="F57" i="106" s="1"/>
  <c r="E94" i="108"/>
  <c r="D101" i="108"/>
  <c r="D98" i="108" s="1"/>
  <c r="D86" i="16"/>
  <c r="E75" i="108"/>
  <c r="E71" i="108" s="1"/>
  <c r="E51" i="12"/>
  <c r="E47" i="12" s="1"/>
  <c r="F56" i="12"/>
  <c r="D75" i="12"/>
  <c r="D72" i="12" s="1"/>
  <c r="E68" i="12"/>
  <c r="E107" i="20"/>
  <c r="E111" i="20" s="1"/>
  <c r="F106" i="20" s="1"/>
  <c r="F112" i="20" s="1"/>
  <c r="F108" i="20" s="1"/>
  <c r="F226" i="20"/>
  <c r="F225" i="20"/>
  <c r="F221" i="20" s="1"/>
  <c r="G28" i="20"/>
  <c r="F48" i="107"/>
  <c r="F46" i="107" s="1"/>
  <c r="F50" i="107" s="1"/>
  <c r="G45" i="107" s="1"/>
  <c r="G16" i="107"/>
  <c r="G15" i="107"/>
  <c r="G11" i="107" s="1"/>
  <c r="G10" i="107" s="1"/>
  <c r="G14" i="107" s="1"/>
  <c r="H9" i="107" s="1"/>
  <c r="E151" i="20"/>
  <c r="E155" i="20" s="1"/>
  <c r="F150" i="20" s="1"/>
  <c r="F156" i="20" s="1"/>
  <c r="F12" i="16"/>
  <c r="F10" i="16" s="1"/>
  <c r="F14" i="16" s="1"/>
  <c r="G9" i="16" s="1"/>
  <c r="F63" i="20"/>
  <c r="F64" i="20"/>
  <c r="F237" i="20"/>
  <c r="F236" i="20"/>
  <c r="E98" i="20"/>
  <c r="E96" i="20" s="1"/>
  <c r="E100" i="20" s="1"/>
  <c r="F95" i="20" s="1"/>
  <c r="G181" i="20"/>
  <c r="G177" i="20" s="1"/>
  <c r="G178" i="20"/>
  <c r="G182" i="20"/>
  <c r="K80" i="16"/>
  <c r="K56" i="16"/>
  <c r="K32" i="16"/>
  <c r="L5" i="16"/>
  <c r="K160" i="16"/>
  <c r="K241" i="16"/>
  <c r="K20" i="16"/>
  <c r="L80" i="20"/>
  <c r="L160" i="20"/>
  <c r="M5" i="20"/>
  <c r="L241" i="20"/>
  <c r="E48" i="20"/>
  <c r="E46" i="20" s="1"/>
  <c r="E50" i="20" s="1"/>
  <c r="F45" i="20" s="1"/>
  <c r="G22" i="16"/>
  <c r="G26" i="16" s="1"/>
  <c r="H21" i="16" s="1"/>
  <c r="H24" i="16" s="1"/>
  <c r="F87" i="20"/>
  <c r="F85" i="20" s="1"/>
  <c r="F89" i="20" s="1"/>
  <c r="G84" i="20" s="1"/>
  <c r="F36" i="16"/>
  <c r="F34" i="16" s="1"/>
  <c r="F38" i="16" s="1"/>
  <c r="G33" i="16" s="1"/>
  <c r="G39" i="16" s="1"/>
  <c r="G35" i="16" s="1"/>
  <c r="L65" i="105"/>
  <c r="H44" i="23" s="1"/>
  <c r="H52" i="19"/>
  <c r="H48" i="19"/>
  <c r="H46" i="19" s="1"/>
  <c r="H51" i="19"/>
  <c r="E9" i="19"/>
  <c r="D137" i="19"/>
  <c r="D30" i="21" s="1"/>
  <c r="D137" i="15"/>
  <c r="D60" i="21" s="1"/>
  <c r="D10" i="15"/>
  <c r="G39" i="15"/>
  <c r="G36" i="15"/>
  <c r="G34" i="15" s="1"/>
  <c r="G38" i="15" s="1"/>
  <c r="H33" i="15" s="1"/>
  <c r="G40" i="15"/>
  <c r="P42" i="105"/>
  <c r="O43" i="105"/>
  <c r="O44" i="105"/>
  <c r="H48" i="15"/>
  <c r="H46" i="15" s="1"/>
  <c r="H50" i="15" s="1"/>
  <c r="I45" i="15" s="1"/>
  <c r="H52" i="15"/>
  <c r="H51" i="15"/>
  <c r="H64" i="19"/>
  <c r="H132" i="19"/>
  <c r="H26" i="21" s="1"/>
  <c r="H60" i="19"/>
  <c r="H58" i="19" s="1"/>
  <c r="H62" i="19" s="1"/>
  <c r="I57" i="19" s="1"/>
  <c r="H63" i="19"/>
  <c r="B71" i="19"/>
  <c r="G66" i="21"/>
  <c r="J48" i="23"/>
  <c r="N45" i="105"/>
  <c r="N62" i="105"/>
  <c r="I50" i="23"/>
  <c r="M64" i="105"/>
  <c r="B73" i="15" s="1"/>
  <c r="H60" i="15"/>
  <c r="H58" i="15" s="1"/>
  <c r="H62" i="15" s="1"/>
  <c r="I57" i="15" s="1"/>
  <c r="H63" i="15"/>
  <c r="H64" i="15"/>
  <c r="H134" i="15"/>
  <c r="H58" i="21" s="1"/>
  <c r="L96" i="15"/>
  <c r="L20" i="15"/>
  <c r="L44" i="15"/>
  <c r="B108" i="15"/>
  <c r="L84" i="15"/>
  <c r="M5" i="15"/>
  <c r="L32" i="15"/>
  <c r="L56" i="15"/>
  <c r="L8" i="15"/>
  <c r="L72" i="15"/>
  <c r="M160" i="12"/>
  <c r="M80" i="12"/>
  <c r="M241" i="12"/>
  <c r="B94" i="17"/>
  <c r="L5" i="17"/>
  <c r="K80" i="107"/>
  <c r="K241" i="107"/>
  <c r="L5" i="107"/>
  <c r="K160" i="107"/>
  <c r="G64" i="107"/>
  <c r="F167" i="20"/>
  <c r="F165" i="20" s="1"/>
  <c r="F169" i="20" s="1"/>
  <c r="G164" i="20" s="1"/>
  <c r="G171" i="20" s="1"/>
  <c r="G39" i="107"/>
  <c r="G35" i="107" s="1"/>
  <c r="G40" i="107"/>
  <c r="G36" i="107"/>
  <c r="F12" i="20"/>
  <c r="F10" i="20" s="1"/>
  <c r="F14" i="20" s="1"/>
  <c r="G9" i="20" s="1"/>
  <c r="G40" i="106"/>
  <c r="G28" i="108"/>
  <c r="G27" i="108"/>
  <c r="G23" i="108" s="1"/>
  <c r="O8" i="2"/>
  <c r="O4" i="121" s="1"/>
  <c r="K3" i="23"/>
  <c r="K58" i="23" s="1"/>
  <c r="G24" i="107"/>
  <c r="J42" i="13"/>
  <c r="J47" i="13" s="1"/>
  <c r="J49" i="13" s="1"/>
  <c r="J41" i="13"/>
  <c r="J40" i="13" s="1"/>
  <c r="F22" i="15"/>
  <c r="E10" i="17"/>
  <c r="E135" i="17"/>
  <c r="E44" i="21" s="1"/>
  <c r="G34" i="17"/>
  <c r="F22" i="17"/>
  <c r="G22" i="25"/>
  <c r="G46" i="25"/>
  <c r="F39" i="23" s="1"/>
  <c r="O62" i="27"/>
  <c r="K8" i="105"/>
  <c r="K12" i="105" s="1"/>
  <c r="I25" i="22"/>
  <c r="CH91" i="27"/>
  <c r="E47" i="25"/>
  <c r="H16" i="22"/>
  <c r="H19" i="22"/>
  <c r="E14" i="24" s="1"/>
  <c r="AO61" i="27" s="1"/>
  <c r="CV61" i="27" s="1"/>
  <c r="H22" i="22"/>
  <c r="E15" i="24" s="1"/>
  <c r="AP61" i="27" s="1"/>
  <c r="CW61" i="27" s="1"/>
  <c r="H13" i="22"/>
  <c r="CR61" i="27"/>
  <c r="DI61" i="27"/>
  <c r="CQ61" i="27"/>
  <c r="CZ61" i="27"/>
  <c r="E25" i="25"/>
  <c r="D11" i="24"/>
  <c r="D17" i="24" s="1"/>
  <c r="D13" i="24"/>
  <c r="AM60" i="27" s="1"/>
  <c r="E26" i="25"/>
  <c r="G21" i="19"/>
  <c r="G38" i="19"/>
  <c r="G75" i="107"/>
  <c r="G71" i="107" s="1"/>
  <c r="G76" i="107"/>
  <c r="B82" i="19"/>
  <c r="J8" i="19"/>
  <c r="J20" i="19"/>
  <c r="K5" i="19"/>
  <c r="J44" i="19"/>
  <c r="J32" i="19"/>
  <c r="J70" i="19"/>
  <c r="J56" i="19"/>
  <c r="E58" i="16" l="1"/>
  <c r="E62" i="16" s="1"/>
  <c r="F57" i="16" s="1"/>
  <c r="G36" i="20"/>
  <c r="F198" i="20"/>
  <c r="F202" i="20" s="1"/>
  <c r="G197" i="20" s="1"/>
  <c r="G142" i="20"/>
  <c r="G140" i="20" s="1"/>
  <c r="G144" i="20" s="1"/>
  <c r="H139" i="20" s="1"/>
  <c r="G39" i="20"/>
  <c r="G35" i="20" s="1"/>
  <c r="G34" i="20" s="1"/>
  <c r="G38" i="20" s="1"/>
  <c r="H33" i="20" s="1"/>
  <c r="G146" i="20"/>
  <c r="I48" i="17"/>
  <c r="I46" i="17" s="1"/>
  <c r="I50" i="17" s="1"/>
  <c r="J45" i="17" s="1"/>
  <c r="J52" i="17" s="1"/>
  <c r="G76" i="20"/>
  <c r="P60" i="27"/>
  <c r="DL60" i="27" s="1"/>
  <c r="E46" i="16"/>
  <c r="E50" i="16" s="1"/>
  <c r="F45" i="16" s="1"/>
  <c r="F51" i="16" s="1"/>
  <c r="G40" i="16"/>
  <c r="G12" i="12"/>
  <c r="G10" i="12" s="1"/>
  <c r="G14" i="12" s="1"/>
  <c r="H9" i="12" s="1"/>
  <c r="H15" i="12" s="1"/>
  <c r="H11" i="12" s="1"/>
  <c r="G16" i="12"/>
  <c r="G40" i="108"/>
  <c r="G36" i="108"/>
  <c r="F87" i="107"/>
  <c r="G204" i="20"/>
  <c r="G203" i="20"/>
  <c r="G199" i="20" s="1"/>
  <c r="F86" i="107"/>
  <c r="F90" i="107"/>
  <c r="F27" i="106"/>
  <c r="F23" i="106" s="1"/>
  <c r="F24" i="106"/>
  <c r="H15" i="106"/>
  <c r="H11" i="106" s="1"/>
  <c r="H10" i="106" s="1"/>
  <c r="H14" i="106" s="1"/>
  <c r="I9" i="106" s="1"/>
  <c r="I11" i="106" s="1"/>
  <c r="H16" i="106"/>
  <c r="B97" i="19"/>
  <c r="K94" i="19" s="1"/>
  <c r="K32" i="12"/>
  <c r="K20" i="12"/>
  <c r="K8" i="12"/>
  <c r="K20" i="17"/>
  <c r="G16" i="108"/>
  <c r="G36" i="16"/>
  <c r="G34" i="16" s="1"/>
  <c r="G38" i="16" s="1"/>
  <c r="H33" i="16" s="1"/>
  <c r="H36" i="16" s="1"/>
  <c r="F52" i="16"/>
  <c r="I12" i="13"/>
  <c r="I14" i="13" s="1"/>
  <c r="I19" i="13" s="1"/>
  <c r="I21" i="13" s="1"/>
  <c r="B108" i="16"/>
  <c r="D94" i="16"/>
  <c r="D98" i="16" s="1"/>
  <c r="K8" i="107"/>
  <c r="E76" i="16"/>
  <c r="E72" i="16"/>
  <c r="E83" i="16"/>
  <c r="F83" i="16" s="1"/>
  <c r="G83" i="16" s="1"/>
  <c r="H83" i="16" s="1"/>
  <c r="I83" i="16" s="1"/>
  <c r="J83" i="16" s="1"/>
  <c r="K83" i="16" s="1"/>
  <c r="L83" i="16" s="1"/>
  <c r="D90" i="16"/>
  <c r="D87" i="16" s="1"/>
  <c r="D85" i="16" s="1"/>
  <c r="D89" i="16" s="1"/>
  <c r="E84" i="16" s="1"/>
  <c r="B111" i="17"/>
  <c r="L97" i="17"/>
  <c r="K97" i="17"/>
  <c r="F68" i="16"/>
  <c r="E75" i="16"/>
  <c r="E71" i="16" s="1"/>
  <c r="CX60" i="27"/>
  <c r="CU60" i="27"/>
  <c r="K32" i="17"/>
  <c r="G15" i="108"/>
  <c r="G11" i="108" s="1"/>
  <c r="G10" i="108" s="1"/>
  <c r="G14" i="108" s="1"/>
  <c r="H9" i="108" s="1"/>
  <c r="G211" i="20"/>
  <c r="G209" i="20" s="1"/>
  <c r="G213" i="20" s="1"/>
  <c r="H208" i="20" s="1"/>
  <c r="H214" i="20" s="1"/>
  <c r="H210" i="20" s="1"/>
  <c r="E246" i="20"/>
  <c r="E250" i="20" s="1"/>
  <c r="F245" i="20" s="1"/>
  <c r="F252" i="20" s="1"/>
  <c r="M109" i="19"/>
  <c r="L109" i="19"/>
  <c r="B123" i="19"/>
  <c r="M121" i="19" s="1"/>
  <c r="E64" i="12"/>
  <c r="G215" i="20"/>
  <c r="G22" i="107"/>
  <c r="G26" i="107" s="1"/>
  <c r="H21" i="107" s="1"/>
  <c r="H24" i="107" s="1"/>
  <c r="G124" i="20"/>
  <c r="G120" i="20"/>
  <c r="G118" i="20" s="1"/>
  <c r="G122" i="20" s="1"/>
  <c r="H117" i="20" s="1"/>
  <c r="H120" i="20" s="1"/>
  <c r="F22" i="12"/>
  <c r="F26" i="12" s="1"/>
  <c r="G21" i="12" s="1"/>
  <c r="G24" i="12" s="1"/>
  <c r="E274" i="20"/>
  <c r="F98" i="107"/>
  <c r="F96" i="107" s="1"/>
  <c r="F100" i="107" s="1"/>
  <c r="G95" i="107" s="1"/>
  <c r="F102" i="107"/>
  <c r="G129" i="20"/>
  <c r="G133" i="20" s="1"/>
  <c r="H128" i="20" s="1"/>
  <c r="H134" i="20" s="1"/>
  <c r="H130" i="20" s="1"/>
  <c r="E58" i="108"/>
  <c r="E62" i="108" s="1"/>
  <c r="F57" i="108" s="1"/>
  <c r="F64" i="108" s="1"/>
  <c r="G192" i="20"/>
  <c r="G188" i="20" s="1"/>
  <c r="G187" i="20" s="1"/>
  <c r="G191" i="20" s="1"/>
  <c r="H186" i="20" s="1"/>
  <c r="H189" i="20" s="1"/>
  <c r="G193" i="20"/>
  <c r="J63" i="17"/>
  <c r="J60" i="17" s="1"/>
  <c r="H24" i="20"/>
  <c r="E76" i="106"/>
  <c r="H27" i="16"/>
  <c r="H23" i="16" s="1"/>
  <c r="H22" i="16" s="1"/>
  <c r="H26" i="16" s="1"/>
  <c r="I21" i="16" s="1"/>
  <c r="I28" i="16" s="1"/>
  <c r="E270" i="20"/>
  <c r="E268" i="20" s="1"/>
  <c r="E272" i="20" s="1"/>
  <c r="F267" i="20" s="1"/>
  <c r="F273" i="20" s="1"/>
  <c r="F270" i="20" s="1"/>
  <c r="D291" i="20"/>
  <c r="D290" i="20" s="1"/>
  <c r="H145" i="20"/>
  <c r="H141" i="20" s="1"/>
  <c r="H146" i="20"/>
  <c r="H28" i="20"/>
  <c r="F157" i="20"/>
  <c r="F109" i="20"/>
  <c r="F107" i="20" s="1"/>
  <c r="F111" i="20" s="1"/>
  <c r="G106" i="20" s="1"/>
  <c r="D71" i="12"/>
  <c r="D70" i="12" s="1"/>
  <c r="D74" i="12" s="1"/>
  <c r="E69" i="12" s="1"/>
  <c r="E75" i="12" s="1"/>
  <c r="E71" i="12" s="1"/>
  <c r="K5" i="106"/>
  <c r="J241" i="106"/>
  <c r="J160" i="106"/>
  <c r="J44" i="106"/>
  <c r="J8" i="106"/>
  <c r="J32" i="106"/>
  <c r="J80" i="106"/>
  <c r="J20" i="106"/>
  <c r="E46" i="12"/>
  <c r="E50" i="12" s="1"/>
  <c r="F45" i="12" s="1"/>
  <c r="F48" i="12" s="1"/>
  <c r="L8" i="108"/>
  <c r="L160" i="108"/>
  <c r="M5" i="108"/>
  <c r="L32" i="108"/>
  <c r="L20" i="108"/>
  <c r="L241" i="108"/>
  <c r="L80" i="108"/>
  <c r="L56" i="108"/>
  <c r="L44" i="108"/>
  <c r="J74" i="17"/>
  <c r="J72" i="17" s="1"/>
  <c r="J76" i="17" s="1"/>
  <c r="J77" i="17"/>
  <c r="D303" i="20"/>
  <c r="G52" i="106"/>
  <c r="G48" i="106"/>
  <c r="B113" i="15"/>
  <c r="K99" i="15"/>
  <c r="L99" i="15"/>
  <c r="E113" i="107"/>
  <c r="B119" i="106"/>
  <c r="D105" i="106"/>
  <c r="H94" i="107"/>
  <c r="F64" i="16"/>
  <c r="F60" i="16"/>
  <c r="F63" i="16"/>
  <c r="F59" i="16" s="1"/>
  <c r="K20" i="107"/>
  <c r="K44" i="17"/>
  <c r="F64" i="106"/>
  <c r="F60" i="106"/>
  <c r="F277" i="20"/>
  <c r="G277" i="20" s="1"/>
  <c r="H277" i="20" s="1"/>
  <c r="I277" i="20" s="1"/>
  <c r="J277" i="20" s="1"/>
  <c r="K277" i="20" s="1"/>
  <c r="D101" i="106"/>
  <c r="D97" i="106" s="1"/>
  <c r="E94" i="106"/>
  <c r="D98" i="106"/>
  <c r="H68" i="108"/>
  <c r="F116" i="107"/>
  <c r="F63" i="106"/>
  <c r="F59" i="106" s="1"/>
  <c r="E112" i="107"/>
  <c r="E108" i="107" s="1"/>
  <c r="B152" i="107"/>
  <c r="D138" i="107"/>
  <c r="F83" i="106"/>
  <c r="K8" i="20"/>
  <c r="D108" i="16"/>
  <c r="G170" i="20"/>
  <c r="G166" i="20" s="1"/>
  <c r="K83" i="107"/>
  <c r="K44" i="107"/>
  <c r="K82" i="17"/>
  <c r="F113" i="20"/>
  <c r="F68" i="12"/>
  <c r="G56" i="12"/>
  <c r="D97" i="108"/>
  <c r="D96" i="108" s="1"/>
  <c r="D100" i="108" s="1"/>
  <c r="E95" i="108" s="1"/>
  <c r="E101" i="108" s="1"/>
  <c r="E97" i="108" s="1"/>
  <c r="D280" i="20"/>
  <c r="D279" i="20" s="1"/>
  <c r="D283" i="20" s="1"/>
  <c r="E278" i="20" s="1"/>
  <c r="B108" i="12"/>
  <c r="D94" i="12"/>
  <c r="G68" i="106"/>
  <c r="H68" i="106" s="1"/>
  <c r="F51" i="108"/>
  <c r="F47" i="108" s="1"/>
  <c r="F48" i="108"/>
  <c r="F52" i="108"/>
  <c r="H56" i="106"/>
  <c r="I56" i="106" s="1"/>
  <c r="J56" i="106" s="1"/>
  <c r="G266" i="20"/>
  <c r="H255" i="20"/>
  <c r="I255" i="20" s="1"/>
  <c r="J255" i="20" s="1"/>
  <c r="K255" i="20" s="1"/>
  <c r="G83" i="108"/>
  <c r="G105" i="107"/>
  <c r="D134" i="107"/>
  <c r="D130" i="107" s="1"/>
  <c r="E127" i="107"/>
  <c r="E60" i="12"/>
  <c r="E58" i="12" s="1"/>
  <c r="E62" i="12" s="1"/>
  <c r="F57" i="12" s="1"/>
  <c r="E105" i="108"/>
  <c r="D112" i="108"/>
  <c r="D108" i="108" s="1"/>
  <c r="F288" i="20"/>
  <c r="F94" i="108"/>
  <c r="E91" i="108"/>
  <c r="E87" i="108"/>
  <c r="E85" i="108" s="1"/>
  <c r="E89" i="108" s="1"/>
  <c r="F84" i="108" s="1"/>
  <c r="E259" i="20"/>
  <c r="E258" i="20"/>
  <c r="L68" i="107"/>
  <c r="B97" i="17"/>
  <c r="K94" i="17" s="1"/>
  <c r="K116" i="20"/>
  <c r="K207" i="20"/>
  <c r="K83" i="20"/>
  <c r="K20" i="20"/>
  <c r="K196" i="20"/>
  <c r="K138" i="20"/>
  <c r="K149" i="20"/>
  <c r="K218" i="20"/>
  <c r="K105" i="20"/>
  <c r="K94" i="20"/>
  <c r="K229" i="20"/>
  <c r="K244" i="20"/>
  <c r="K185" i="20"/>
  <c r="K68" i="20"/>
  <c r="K32" i="20"/>
  <c r="K56" i="20"/>
  <c r="K163" i="20"/>
  <c r="K44" i="20"/>
  <c r="K174" i="20"/>
  <c r="K127" i="20"/>
  <c r="K32" i="107"/>
  <c r="K70" i="17"/>
  <c r="K56" i="17"/>
  <c r="L56" i="17" s="1"/>
  <c r="K56" i="107"/>
  <c r="K8" i="17"/>
  <c r="D90" i="12"/>
  <c r="D86" i="12" s="1"/>
  <c r="E83" i="12"/>
  <c r="H44" i="12"/>
  <c r="I44" i="12" s="1"/>
  <c r="J44" i="12" s="1"/>
  <c r="K44" i="12" s="1"/>
  <c r="L44" i="12" s="1"/>
  <c r="D119" i="107"/>
  <c r="D118" i="107" s="1"/>
  <c r="D122" i="107" s="1"/>
  <c r="E117" i="107" s="1"/>
  <c r="F39" i="12"/>
  <c r="F35" i="12" s="1"/>
  <c r="F40" i="12"/>
  <c r="F36" i="12"/>
  <c r="J89" i="17"/>
  <c r="J86" i="17"/>
  <c r="J84" i="17" s="1"/>
  <c r="J88" i="17" s="1"/>
  <c r="K83" i="17" s="1"/>
  <c r="K90" i="17" s="1"/>
  <c r="E72" i="108"/>
  <c r="E70" i="108" s="1"/>
  <c r="E74" i="108" s="1"/>
  <c r="F69" i="108" s="1"/>
  <c r="E72" i="106"/>
  <c r="E70" i="106" s="1"/>
  <c r="E74" i="106" s="1"/>
  <c r="F69" i="106" s="1"/>
  <c r="F75" i="106" s="1"/>
  <c r="F71" i="106" s="1"/>
  <c r="D87" i="106"/>
  <c r="D85" i="106" s="1"/>
  <c r="D89" i="106" s="1"/>
  <c r="E84" i="106" s="1"/>
  <c r="B130" i="108"/>
  <c r="D116" i="108"/>
  <c r="H16" i="107"/>
  <c r="H15" i="107"/>
  <c r="H11" i="107" s="1"/>
  <c r="G52" i="107"/>
  <c r="G51" i="107"/>
  <c r="G47" i="107" s="1"/>
  <c r="G48" i="107"/>
  <c r="F222" i="20"/>
  <c r="F220" i="20" s="1"/>
  <c r="F224" i="20" s="1"/>
  <c r="G219" i="20" s="1"/>
  <c r="G15" i="16"/>
  <c r="G11" i="16" s="1"/>
  <c r="G16" i="16"/>
  <c r="G12" i="16"/>
  <c r="G51" i="106"/>
  <c r="G47" i="106" s="1"/>
  <c r="H66" i="21"/>
  <c r="F52" i="20"/>
  <c r="F51" i="20"/>
  <c r="F47" i="20" s="1"/>
  <c r="F232" i="20"/>
  <c r="F233" i="20"/>
  <c r="M241" i="20"/>
  <c r="M80" i="20"/>
  <c r="M160" i="20"/>
  <c r="F59" i="20"/>
  <c r="F60" i="20"/>
  <c r="H142" i="20"/>
  <c r="L8" i="16"/>
  <c r="L80" i="16"/>
  <c r="L56" i="16"/>
  <c r="L160" i="16"/>
  <c r="L241" i="16"/>
  <c r="L20" i="16"/>
  <c r="M5" i="16"/>
  <c r="L44" i="16"/>
  <c r="L32" i="16"/>
  <c r="G176" i="20"/>
  <c r="G180" i="20" s="1"/>
  <c r="H175" i="20" s="1"/>
  <c r="F152" i="20"/>
  <c r="F153" i="20"/>
  <c r="F102" i="20"/>
  <c r="F101" i="20"/>
  <c r="F97" i="20" s="1"/>
  <c r="G91" i="20"/>
  <c r="G90" i="20"/>
  <c r="G86" i="20" s="1"/>
  <c r="G87" i="20"/>
  <c r="G34" i="107"/>
  <c r="G38" i="107" s="1"/>
  <c r="H33" i="107" s="1"/>
  <c r="H36" i="107" s="1"/>
  <c r="G34" i="108"/>
  <c r="G38" i="108" s="1"/>
  <c r="H33" i="108" s="1"/>
  <c r="H40" i="108" s="1"/>
  <c r="H28" i="16"/>
  <c r="M8" i="15"/>
  <c r="I64" i="19"/>
  <c r="I60" i="19"/>
  <c r="I58" i="19" s="1"/>
  <c r="I63" i="19"/>
  <c r="D14" i="15"/>
  <c r="D135" i="15"/>
  <c r="D59" i="21" s="1"/>
  <c r="E15" i="19"/>
  <c r="E12" i="19"/>
  <c r="E131" i="19"/>
  <c r="E25" i="21" s="1"/>
  <c r="E16" i="19"/>
  <c r="O62" i="105"/>
  <c r="O45" i="105"/>
  <c r="K48" i="23"/>
  <c r="I80" i="15"/>
  <c r="I134" i="15"/>
  <c r="I58" i="21" s="1"/>
  <c r="I79" i="15"/>
  <c r="I76" i="15"/>
  <c r="I74" i="15" s="1"/>
  <c r="I78" i="15" s="1"/>
  <c r="J73" i="15" s="1"/>
  <c r="H39" i="15"/>
  <c r="H40" i="15"/>
  <c r="I64" i="15"/>
  <c r="I63" i="15"/>
  <c r="I60" i="15"/>
  <c r="I58" i="15" s="1"/>
  <c r="I62" i="15" s="1"/>
  <c r="J57" i="15" s="1"/>
  <c r="N64" i="105"/>
  <c r="B85" i="15" s="1"/>
  <c r="J50" i="23"/>
  <c r="I78" i="19"/>
  <c r="I77" i="19"/>
  <c r="I74" i="19"/>
  <c r="I72" i="19" s="1"/>
  <c r="I76" i="19" s="1"/>
  <c r="J71" i="19" s="1"/>
  <c r="J78" i="19" s="1"/>
  <c r="I132" i="19"/>
  <c r="I26" i="21" s="1"/>
  <c r="I52" i="15"/>
  <c r="I51" i="15"/>
  <c r="I47" i="15" s="1"/>
  <c r="B83" i="19"/>
  <c r="P44" i="105"/>
  <c r="Q42" i="105"/>
  <c r="P43" i="105"/>
  <c r="M65" i="105"/>
  <c r="I44" i="23" s="1"/>
  <c r="L80" i="107"/>
  <c r="L241" i="107"/>
  <c r="M5" i="107"/>
  <c r="L160" i="107"/>
  <c r="B106" i="17"/>
  <c r="M5" i="17"/>
  <c r="M96" i="15"/>
  <c r="M20" i="15"/>
  <c r="M56" i="15"/>
  <c r="M108" i="15"/>
  <c r="M84" i="15"/>
  <c r="M32" i="15"/>
  <c r="M44" i="15"/>
  <c r="B120" i="15"/>
  <c r="M72" i="15"/>
  <c r="G24" i="108"/>
  <c r="G22" i="108" s="1"/>
  <c r="G26" i="108" s="1"/>
  <c r="H21" i="108" s="1"/>
  <c r="H24" i="108" s="1"/>
  <c r="G167" i="20"/>
  <c r="G60" i="107"/>
  <c r="G58" i="107" s="1"/>
  <c r="G62" i="107" s="1"/>
  <c r="H57" i="107" s="1"/>
  <c r="H64" i="107" s="1"/>
  <c r="G36" i="106"/>
  <c r="G34" i="106" s="1"/>
  <c r="G38" i="106" s="1"/>
  <c r="H33" i="106" s="1"/>
  <c r="H36" i="106" s="1"/>
  <c r="G200" i="20"/>
  <c r="G72" i="20"/>
  <c r="G70" i="20" s="1"/>
  <c r="G74" i="20" s="1"/>
  <c r="H69" i="20" s="1"/>
  <c r="P8" i="2"/>
  <c r="P4" i="121" s="1"/>
  <c r="L3" i="23"/>
  <c r="L58" i="23" s="1"/>
  <c r="G16" i="20"/>
  <c r="G15" i="20"/>
  <c r="G11" i="20" s="1"/>
  <c r="H22" i="20"/>
  <c r="H26" i="20" s="1"/>
  <c r="I21" i="20" s="1"/>
  <c r="I28" i="20" s="1"/>
  <c r="K36" i="13"/>
  <c r="K45" i="13"/>
  <c r="G38" i="17"/>
  <c r="E133" i="17"/>
  <c r="E43" i="21" s="1"/>
  <c r="E14" i="17"/>
  <c r="F26" i="15"/>
  <c r="F26" i="17"/>
  <c r="E11" i="24"/>
  <c r="E17" i="24" s="1"/>
  <c r="CP61" i="27"/>
  <c r="F25" i="25"/>
  <c r="I16" i="22"/>
  <c r="I22" i="22"/>
  <c r="F15" i="24" s="1"/>
  <c r="AP62" i="27" s="1"/>
  <c r="CW62" i="27" s="1"/>
  <c r="I19" i="22"/>
  <c r="F14" i="24" s="1"/>
  <c r="AO62" i="27" s="1"/>
  <c r="CV62" i="27" s="1"/>
  <c r="I13" i="22"/>
  <c r="DI62" i="27"/>
  <c r="CR62" i="27"/>
  <c r="CZ62" i="27"/>
  <c r="CQ62" i="27"/>
  <c r="E13" i="24"/>
  <c r="AM61" i="27" s="1"/>
  <c r="F26" i="25"/>
  <c r="E24" i="25"/>
  <c r="E48" i="25"/>
  <c r="F47" i="25"/>
  <c r="L8" i="105"/>
  <c r="L12" i="105" s="1"/>
  <c r="J25" i="22"/>
  <c r="H22" i="25"/>
  <c r="H46" i="25"/>
  <c r="G39" i="23" s="1"/>
  <c r="O63" i="27"/>
  <c r="G72" i="107"/>
  <c r="G70" i="107" s="1"/>
  <c r="G74" i="107" s="1"/>
  <c r="H69" i="107" s="1"/>
  <c r="L5" i="19"/>
  <c r="K82" i="19"/>
  <c r="K8" i="19"/>
  <c r="B94" i="19"/>
  <c r="K44" i="19"/>
  <c r="K20" i="19"/>
  <c r="K32" i="19"/>
  <c r="K70" i="19"/>
  <c r="K56" i="19"/>
  <c r="H33" i="19"/>
  <c r="G28" i="19"/>
  <c r="G27" i="19"/>
  <c r="G23" i="19" s="1"/>
  <c r="H50" i="19"/>
  <c r="H12" i="107"/>
  <c r="J51" i="17" l="1"/>
  <c r="H135" i="20"/>
  <c r="F48" i="16"/>
  <c r="F22" i="106"/>
  <c r="F26" i="106" s="1"/>
  <c r="G21" i="106" s="1"/>
  <c r="G24" i="106" s="1"/>
  <c r="F47" i="16"/>
  <c r="F12" i="21"/>
  <c r="L56" i="107"/>
  <c r="F85" i="107"/>
  <c r="F89" i="107" s="1"/>
  <c r="G84" i="107" s="1"/>
  <c r="G90" i="107" s="1"/>
  <c r="G86" i="107" s="1"/>
  <c r="H39" i="20"/>
  <c r="H35" i="20" s="1"/>
  <c r="H36" i="20"/>
  <c r="H40" i="20"/>
  <c r="G198" i="20"/>
  <c r="G202" i="20" s="1"/>
  <c r="H197" i="20" s="1"/>
  <c r="H200" i="20" s="1"/>
  <c r="L8" i="12"/>
  <c r="L32" i="17"/>
  <c r="L32" i="107"/>
  <c r="L8" i="107"/>
  <c r="H140" i="20"/>
  <c r="H144" i="20" s="1"/>
  <c r="I139" i="20" s="1"/>
  <c r="I141" i="20" s="1"/>
  <c r="H215" i="20"/>
  <c r="H211" i="20"/>
  <c r="H209" i="20" s="1"/>
  <c r="H213" i="20" s="1"/>
  <c r="I208" i="20" s="1"/>
  <c r="H124" i="20"/>
  <c r="H123" i="20"/>
  <c r="H119" i="20" s="1"/>
  <c r="H118" i="20" s="1"/>
  <c r="H122" i="20" s="1"/>
  <c r="I117" i="20" s="1"/>
  <c r="I120" i="20" s="1"/>
  <c r="F60" i="108"/>
  <c r="L20" i="12"/>
  <c r="L32" i="12"/>
  <c r="B109" i="19"/>
  <c r="L106" i="19" s="1"/>
  <c r="L82" i="17"/>
  <c r="L44" i="17"/>
  <c r="F248" i="20"/>
  <c r="F63" i="108"/>
  <c r="F59" i="108" s="1"/>
  <c r="E90" i="16"/>
  <c r="E86" i="16" s="1"/>
  <c r="E91" i="16"/>
  <c r="H15" i="108"/>
  <c r="H11" i="108" s="1"/>
  <c r="H16" i="108"/>
  <c r="L109" i="17"/>
  <c r="M109" i="17"/>
  <c r="B123" i="17"/>
  <c r="M121" i="17" s="1"/>
  <c r="E87" i="16"/>
  <c r="L70" i="17"/>
  <c r="L44" i="107"/>
  <c r="L20" i="107"/>
  <c r="F251" i="20"/>
  <c r="F247" i="20" s="1"/>
  <c r="H193" i="20"/>
  <c r="G68" i="16"/>
  <c r="H68" i="16" s="1"/>
  <c r="I68" i="16" s="1"/>
  <c r="J68" i="16" s="1"/>
  <c r="K68" i="16" s="1"/>
  <c r="L68" i="16" s="1"/>
  <c r="M68" i="16" s="1"/>
  <c r="L83" i="107"/>
  <c r="D101" i="16"/>
  <c r="D97" i="16" s="1"/>
  <c r="D96" i="16" s="1"/>
  <c r="D100" i="16" s="1"/>
  <c r="E95" i="16" s="1"/>
  <c r="E94" i="16"/>
  <c r="F94" i="16" s="1"/>
  <c r="G94" i="16" s="1"/>
  <c r="H94" i="16" s="1"/>
  <c r="H39" i="107"/>
  <c r="H35" i="107" s="1"/>
  <c r="H34" i="107" s="1"/>
  <c r="H38" i="107" s="1"/>
  <c r="I33" i="107" s="1"/>
  <c r="I35" i="107" s="1"/>
  <c r="L20" i="17"/>
  <c r="L8" i="17"/>
  <c r="E70" i="16"/>
  <c r="E74" i="16" s="1"/>
  <c r="F69" i="16" s="1"/>
  <c r="F75" i="16" s="1"/>
  <c r="F71" i="16" s="1"/>
  <c r="D105" i="16"/>
  <c r="B119" i="16"/>
  <c r="G101" i="107"/>
  <c r="G97" i="107" s="1"/>
  <c r="G98" i="107"/>
  <c r="H28" i="108"/>
  <c r="H28" i="107"/>
  <c r="H192" i="20"/>
  <c r="H188" i="20" s="1"/>
  <c r="H187" i="20" s="1"/>
  <c r="H191" i="20" s="1"/>
  <c r="I186" i="20" s="1"/>
  <c r="I189" i="20" s="1"/>
  <c r="H27" i="107"/>
  <c r="H23" i="107" s="1"/>
  <c r="H22" i="107" s="1"/>
  <c r="H26" i="107" s="1"/>
  <c r="I21" i="107" s="1"/>
  <c r="I23" i="107" s="1"/>
  <c r="G27" i="12"/>
  <c r="G23" i="12" s="1"/>
  <c r="G22" i="12" s="1"/>
  <c r="G26" i="12" s="1"/>
  <c r="H21" i="12" s="1"/>
  <c r="H24" i="12" s="1"/>
  <c r="H131" i="20"/>
  <c r="H129" i="20" s="1"/>
  <c r="H133" i="20" s="1"/>
  <c r="I128" i="20" s="1"/>
  <c r="I134" i="20" s="1"/>
  <c r="G28" i="12"/>
  <c r="F52" i="12"/>
  <c r="K56" i="106"/>
  <c r="I12" i="106"/>
  <c r="I10" i="106" s="1"/>
  <c r="I14" i="106" s="1"/>
  <c r="J9" i="106" s="1"/>
  <c r="J16" i="106" s="1"/>
  <c r="I16" i="106"/>
  <c r="H12" i="108"/>
  <c r="I15" i="106"/>
  <c r="F269" i="20"/>
  <c r="F268" i="20" s="1"/>
  <c r="F272" i="20" s="1"/>
  <c r="G267" i="20" s="1"/>
  <c r="D96" i="106"/>
  <c r="D100" i="106" s="1"/>
  <c r="E95" i="106" s="1"/>
  <c r="E101" i="106" s="1"/>
  <c r="E97" i="106" s="1"/>
  <c r="F274" i="20"/>
  <c r="J59" i="17"/>
  <c r="J58" i="17" s="1"/>
  <c r="J62" i="17" s="1"/>
  <c r="K57" i="17" s="1"/>
  <c r="K63" i="17" s="1"/>
  <c r="K59" i="17" s="1"/>
  <c r="F46" i="108"/>
  <c r="F50" i="108" s="1"/>
  <c r="G45" i="108" s="1"/>
  <c r="G52" i="108" s="1"/>
  <c r="G102" i="107"/>
  <c r="H40" i="16"/>
  <c r="D87" i="12"/>
  <c r="D85" i="12" s="1"/>
  <c r="D89" i="12" s="1"/>
  <c r="E84" i="12" s="1"/>
  <c r="E90" i="12" s="1"/>
  <c r="E86" i="12" s="1"/>
  <c r="F51" i="12"/>
  <c r="F47" i="12" s="1"/>
  <c r="F46" i="12" s="1"/>
  <c r="F50" i="12" s="1"/>
  <c r="G45" i="12" s="1"/>
  <c r="G46" i="106"/>
  <c r="G50" i="106" s="1"/>
  <c r="H45" i="106" s="1"/>
  <c r="H48" i="106" s="1"/>
  <c r="I24" i="16"/>
  <c r="G28" i="106"/>
  <c r="G27" i="106"/>
  <c r="G23" i="106" s="1"/>
  <c r="I27" i="16"/>
  <c r="M160" i="108"/>
  <c r="M44" i="108"/>
  <c r="M56" i="108"/>
  <c r="M8" i="108"/>
  <c r="M20" i="108"/>
  <c r="M80" i="108"/>
  <c r="M241" i="108"/>
  <c r="M32" i="108"/>
  <c r="H10" i="107"/>
  <c r="H14" i="107" s="1"/>
  <c r="I9" i="107" s="1"/>
  <c r="I11" i="107" s="1"/>
  <c r="G165" i="20"/>
  <c r="G169" i="20" s="1"/>
  <c r="H164" i="20" s="1"/>
  <c r="H167" i="20" s="1"/>
  <c r="I23" i="16"/>
  <c r="D302" i="20"/>
  <c r="F58" i="16"/>
  <c r="F62" i="16" s="1"/>
  <c r="G57" i="16" s="1"/>
  <c r="G60" i="16" s="1"/>
  <c r="H39" i="16"/>
  <c r="H35" i="16" s="1"/>
  <c r="H34" i="16" s="1"/>
  <c r="H38" i="16" s="1"/>
  <c r="I33" i="16" s="1"/>
  <c r="I40" i="16" s="1"/>
  <c r="F231" i="20"/>
  <c r="F235" i="20" s="1"/>
  <c r="G230" i="20" s="1"/>
  <c r="G237" i="20" s="1"/>
  <c r="K20" i="106"/>
  <c r="L5" i="106"/>
  <c r="K8" i="106"/>
  <c r="K160" i="106"/>
  <c r="K80" i="106"/>
  <c r="K44" i="106"/>
  <c r="K241" i="106"/>
  <c r="K32" i="106"/>
  <c r="E285" i="20"/>
  <c r="E284" i="20"/>
  <c r="E280" i="20" s="1"/>
  <c r="F105" i="108"/>
  <c r="H56" i="12"/>
  <c r="G83" i="106"/>
  <c r="I94" i="107"/>
  <c r="G288" i="20"/>
  <c r="H288" i="20" s="1"/>
  <c r="I288" i="20" s="1"/>
  <c r="J288" i="20" s="1"/>
  <c r="K288" i="20" s="1"/>
  <c r="L288" i="20" s="1"/>
  <c r="E138" i="107"/>
  <c r="D145" i="107"/>
  <c r="D142" i="107" s="1"/>
  <c r="D112" i="106"/>
  <c r="D109" i="106" s="1"/>
  <c r="E105" i="106"/>
  <c r="I24" i="20"/>
  <c r="H40" i="106"/>
  <c r="K89" i="17"/>
  <c r="E116" i="108"/>
  <c r="D123" i="108"/>
  <c r="D120" i="108" s="1"/>
  <c r="E91" i="106"/>
  <c r="E123" i="107"/>
  <c r="E119" i="107" s="1"/>
  <c r="E124" i="107"/>
  <c r="F83" i="12"/>
  <c r="B109" i="17"/>
  <c r="L106" i="17" s="1"/>
  <c r="L185" i="20"/>
  <c r="L218" i="20"/>
  <c r="L244" i="20"/>
  <c r="L20" i="20"/>
  <c r="L174" i="20"/>
  <c r="L138" i="20"/>
  <c r="L196" i="20"/>
  <c r="L149" i="20"/>
  <c r="L8" i="20"/>
  <c r="L116" i="20"/>
  <c r="L277" i="20"/>
  <c r="L56" i="20"/>
  <c r="L105" i="20"/>
  <c r="L32" i="20"/>
  <c r="L44" i="20"/>
  <c r="L255" i="20"/>
  <c r="L94" i="20"/>
  <c r="L229" i="20"/>
  <c r="L163" i="20"/>
  <c r="L207" i="20"/>
  <c r="L68" i="20"/>
  <c r="L127" i="20"/>
  <c r="L83" i="20"/>
  <c r="E257" i="20"/>
  <c r="E261" i="20" s="1"/>
  <c r="F256" i="20" s="1"/>
  <c r="G94" i="108"/>
  <c r="H94" i="108" s="1"/>
  <c r="D109" i="108"/>
  <c r="D107" i="108" s="1"/>
  <c r="D111" i="108" s="1"/>
  <c r="E106" i="108" s="1"/>
  <c r="E113" i="108" s="1"/>
  <c r="D131" i="107"/>
  <c r="D129" i="107" s="1"/>
  <c r="D133" i="107" s="1"/>
  <c r="E128" i="107" s="1"/>
  <c r="E134" i="107" s="1"/>
  <c r="E130" i="107" s="1"/>
  <c r="H105" i="107"/>
  <c r="D101" i="12"/>
  <c r="D98" i="12" s="1"/>
  <c r="E94" i="12"/>
  <c r="E102" i="108"/>
  <c r="E98" i="108"/>
  <c r="E96" i="108" s="1"/>
  <c r="E100" i="108" s="1"/>
  <c r="F95" i="108" s="1"/>
  <c r="F101" i="108" s="1"/>
  <c r="F97" i="108" s="1"/>
  <c r="G68" i="12"/>
  <c r="D149" i="107"/>
  <c r="B166" i="107"/>
  <c r="G116" i="107"/>
  <c r="F94" i="106"/>
  <c r="F58" i="106"/>
  <c r="F62" i="106" s="1"/>
  <c r="G57" i="106" s="1"/>
  <c r="D116" i="106"/>
  <c r="B130" i="106"/>
  <c r="F76" i="108"/>
  <c r="F72" i="108"/>
  <c r="F75" i="108"/>
  <c r="F71" i="108" s="1"/>
  <c r="H83" i="108"/>
  <c r="H266" i="20"/>
  <c r="I68" i="108"/>
  <c r="J68" i="108" s="1"/>
  <c r="K68" i="108" s="1"/>
  <c r="L68" i="108" s="1"/>
  <c r="M68" i="108" s="1"/>
  <c r="K101" i="17"/>
  <c r="K98" i="17"/>
  <c r="K96" i="17" s="1"/>
  <c r="K100" i="17" s="1"/>
  <c r="L95" i="17" s="1"/>
  <c r="L102" i="17" s="1"/>
  <c r="F64" i="12"/>
  <c r="F60" i="12"/>
  <c r="F59" i="12"/>
  <c r="H40" i="107"/>
  <c r="H39" i="106"/>
  <c r="H35" i="106" s="1"/>
  <c r="H34" i="106" s="1"/>
  <c r="H38" i="106" s="1"/>
  <c r="I33" i="106" s="1"/>
  <c r="I39" i="106" s="1"/>
  <c r="L94" i="17"/>
  <c r="K86" i="17"/>
  <c r="K84" i="17" s="1"/>
  <c r="K88" i="17" s="1"/>
  <c r="L83" i="17" s="1"/>
  <c r="F58" i="20"/>
  <c r="F62" i="20" s="1"/>
  <c r="G57" i="20" s="1"/>
  <c r="G64" i="20" s="1"/>
  <c r="D127" i="108"/>
  <c r="B141" i="108"/>
  <c r="F76" i="106"/>
  <c r="F72" i="106"/>
  <c r="F70" i="106" s="1"/>
  <c r="F74" i="106" s="1"/>
  <c r="G69" i="106" s="1"/>
  <c r="F34" i="12"/>
  <c r="F38" i="12" s="1"/>
  <c r="G33" i="12" s="1"/>
  <c r="E76" i="12"/>
  <c r="E72" i="12"/>
  <c r="E70" i="12" s="1"/>
  <c r="E74" i="12" s="1"/>
  <c r="F69" i="12" s="1"/>
  <c r="F75" i="12" s="1"/>
  <c r="F71" i="12" s="1"/>
  <c r="F91" i="108"/>
  <c r="F86" i="108"/>
  <c r="F87" i="108"/>
  <c r="F127" i="107"/>
  <c r="F90" i="108"/>
  <c r="I68" i="106"/>
  <c r="B119" i="12"/>
  <c r="D105" i="12"/>
  <c r="F63" i="12"/>
  <c r="E90" i="106"/>
  <c r="E86" i="106" s="1"/>
  <c r="E109" i="107"/>
  <c r="E107" i="107" s="1"/>
  <c r="E111" i="107" s="1"/>
  <c r="F106" i="107" s="1"/>
  <c r="B125" i="15"/>
  <c r="M123" i="15" s="1"/>
  <c r="M111" i="15"/>
  <c r="L111" i="15"/>
  <c r="D294" i="20"/>
  <c r="D301" i="20"/>
  <c r="H27" i="108"/>
  <c r="H23" i="108" s="1"/>
  <c r="H22" i="108" s="1"/>
  <c r="H26" i="108" s="1"/>
  <c r="I21" i="108" s="1"/>
  <c r="I28" i="108" s="1"/>
  <c r="G46" i="107"/>
  <c r="G50" i="107" s="1"/>
  <c r="H45" i="107" s="1"/>
  <c r="G113" i="20"/>
  <c r="G109" i="20"/>
  <c r="G112" i="20"/>
  <c r="G108" i="20" s="1"/>
  <c r="H63" i="107"/>
  <c r="H59" i="107" s="1"/>
  <c r="G10" i="16"/>
  <c r="G14" i="16" s="1"/>
  <c r="H9" i="16" s="1"/>
  <c r="G226" i="20"/>
  <c r="G225" i="20"/>
  <c r="G221" i="20" s="1"/>
  <c r="G222" i="20"/>
  <c r="G85" i="20"/>
  <c r="G89" i="20" s="1"/>
  <c r="H84" i="20" s="1"/>
  <c r="H91" i="20" s="1"/>
  <c r="H60" i="107"/>
  <c r="H16" i="12"/>
  <c r="H39" i="108"/>
  <c r="H35" i="108" s="1"/>
  <c r="F151" i="20"/>
  <c r="F155" i="20" s="1"/>
  <c r="G150" i="20" s="1"/>
  <c r="H12" i="12"/>
  <c r="H10" i="12" s="1"/>
  <c r="H14" i="12" s="1"/>
  <c r="I9" i="12" s="1"/>
  <c r="H36" i="108"/>
  <c r="I48" i="15"/>
  <c r="I46" i="15" s="1"/>
  <c r="I50" i="15" s="1"/>
  <c r="J45" i="15" s="1"/>
  <c r="J51" i="15" s="1"/>
  <c r="J47" i="15" s="1"/>
  <c r="F98" i="20"/>
  <c r="F96" i="20" s="1"/>
  <c r="F100" i="20" s="1"/>
  <c r="G95" i="20" s="1"/>
  <c r="F48" i="20"/>
  <c r="F46" i="20" s="1"/>
  <c r="F50" i="20" s="1"/>
  <c r="G45" i="20" s="1"/>
  <c r="M83" i="16"/>
  <c r="M8" i="16"/>
  <c r="M20" i="16"/>
  <c r="M32" i="16"/>
  <c r="M241" i="16"/>
  <c r="M80" i="16"/>
  <c r="M160" i="16"/>
  <c r="M56" i="16"/>
  <c r="M44" i="16"/>
  <c r="H178" i="20"/>
  <c r="H181" i="20"/>
  <c r="H177" i="20" s="1"/>
  <c r="H182" i="20"/>
  <c r="I27" i="20"/>
  <c r="I23" i="20"/>
  <c r="H204" i="20"/>
  <c r="D139" i="15"/>
  <c r="D62" i="21" s="1"/>
  <c r="E9" i="15"/>
  <c r="E10" i="19"/>
  <c r="E135" i="19"/>
  <c r="E28" i="21" s="1"/>
  <c r="J74" i="19"/>
  <c r="J72" i="19" s="1"/>
  <c r="N65" i="105"/>
  <c r="J44" i="23" s="1"/>
  <c r="J77" i="19"/>
  <c r="J79" i="15"/>
  <c r="J76" i="15"/>
  <c r="J74" i="15" s="1"/>
  <c r="J78" i="15" s="1"/>
  <c r="K73" i="15" s="1"/>
  <c r="J80" i="15"/>
  <c r="J64" i="15"/>
  <c r="J63" i="15"/>
  <c r="J59" i="15" s="1"/>
  <c r="H36" i="15"/>
  <c r="H35" i="15"/>
  <c r="B95" i="19"/>
  <c r="I66" i="21"/>
  <c r="Q43" i="105"/>
  <c r="Q44" i="105"/>
  <c r="J92" i="15"/>
  <c r="J134" i="15"/>
  <c r="J58" i="21" s="1"/>
  <c r="J88" i="15"/>
  <c r="J86" i="15" s="1"/>
  <c r="J90" i="15" s="1"/>
  <c r="K85" i="15" s="1"/>
  <c r="J91" i="15"/>
  <c r="K50" i="23"/>
  <c r="O64" i="105"/>
  <c r="B97" i="15" s="1"/>
  <c r="L48" i="23"/>
  <c r="P45" i="105"/>
  <c r="P62" i="105"/>
  <c r="J132" i="19"/>
  <c r="J26" i="21" s="1"/>
  <c r="J90" i="19"/>
  <c r="J86" i="19"/>
  <c r="J84" i="19" s="1"/>
  <c r="J88" i="19" s="1"/>
  <c r="K83" i="19" s="1"/>
  <c r="K90" i="19" s="1"/>
  <c r="J89" i="19"/>
  <c r="B118" i="17"/>
  <c r="J48" i="17"/>
  <c r="J47" i="17"/>
  <c r="M80" i="107"/>
  <c r="M241" i="107"/>
  <c r="M160" i="107"/>
  <c r="G12" i="20"/>
  <c r="G10" i="20" s="1"/>
  <c r="G14" i="20" s="1"/>
  <c r="H9" i="20" s="1"/>
  <c r="H76" i="20"/>
  <c r="H75" i="20"/>
  <c r="H71" i="20" s="1"/>
  <c r="H72" i="20"/>
  <c r="M3" i="23"/>
  <c r="M58" i="23" s="1"/>
  <c r="K42" i="13"/>
  <c r="K47" i="13" s="1"/>
  <c r="K49" i="13" s="1"/>
  <c r="K41" i="13"/>
  <c r="K40" i="13" s="1"/>
  <c r="J8" i="13"/>
  <c r="F14" i="21"/>
  <c r="G57" i="25" s="1"/>
  <c r="J17" i="13"/>
  <c r="G21" i="17"/>
  <c r="G21" i="15"/>
  <c r="F9" i="17"/>
  <c r="E137" i="17"/>
  <c r="E46" i="21" s="1"/>
  <c r="H33" i="17"/>
  <c r="J22" i="22"/>
  <c r="G15" i="24" s="1"/>
  <c r="AP63" i="27" s="1"/>
  <c r="CW63" i="27" s="1"/>
  <c r="J16" i="22"/>
  <c r="J19" i="22"/>
  <c r="G14" i="24" s="1"/>
  <c r="AO63" i="27" s="1"/>
  <c r="CV63" i="27" s="1"/>
  <c r="J13" i="22"/>
  <c r="E30" i="25"/>
  <c r="CP62" i="27"/>
  <c r="F11" i="24"/>
  <c r="F17" i="24" s="1"/>
  <c r="G25" i="25"/>
  <c r="CR63" i="27"/>
  <c r="DI63" i="27"/>
  <c r="CQ63" i="27"/>
  <c r="CZ63" i="27"/>
  <c r="I22" i="25"/>
  <c r="I46" i="25"/>
  <c r="H39" i="23" s="1"/>
  <c r="O64" i="27"/>
  <c r="M8" i="105"/>
  <c r="M12" i="105" s="1"/>
  <c r="K25" i="22"/>
  <c r="F24" i="25"/>
  <c r="G47" i="25"/>
  <c r="P61" i="27"/>
  <c r="DL61" i="27" s="1"/>
  <c r="F48" i="25"/>
  <c r="CU61" i="27"/>
  <c r="CX61" i="27"/>
  <c r="F13" i="24"/>
  <c r="AM62" i="27" s="1"/>
  <c r="G26" i="25"/>
  <c r="I12" i="107"/>
  <c r="I45" i="19"/>
  <c r="M5" i="19"/>
  <c r="L44" i="19"/>
  <c r="L32" i="19"/>
  <c r="L82" i="19"/>
  <c r="B106" i="19"/>
  <c r="L8" i="19"/>
  <c r="L20" i="19"/>
  <c r="L94" i="19"/>
  <c r="L70" i="19"/>
  <c r="L56" i="19"/>
  <c r="K71" i="17"/>
  <c r="G24" i="19"/>
  <c r="H40" i="19"/>
  <c r="H39" i="19"/>
  <c r="H35" i="19" s="1"/>
  <c r="H75" i="107"/>
  <c r="H71" i="107" s="1"/>
  <c r="H76" i="107"/>
  <c r="I62" i="19"/>
  <c r="I36" i="107" l="1"/>
  <c r="I34" i="107" s="1"/>
  <c r="I38" i="107" s="1"/>
  <c r="J33" i="107" s="1"/>
  <c r="J40" i="107" s="1"/>
  <c r="I142" i="20"/>
  <c r="I146" i="20"/>
  <c r="M8" i="107"/>
  <c r="I145" i="20"/>
  <c r="M44" i="17"/>
  <c r="F46" i="16"/>
  <c r="F50" i="16" s="1"/>
  <c r="G45" i="16" s="1"/>
  <c r="G48" i="16" s="1"/>
  <c r="G91" i="107"/>
  <c r="G87" i="107"/>
  <c r="G85" i="107" s="1"/>
  <c r="G89" i="107" s="1"/>
  <c r="H84" i="107" s="1"/>
  <c r="M32" i="17"/>
  <c r="H203" i="20"/>
  <c r="H199" i="20" s="1"/>
  <c r="H198" i="20" s="1"/>
  <c r="H202" i="20" s="1"/>
  <c r="I197" i="20" s="1"/>
  <c r="I203" i="20" s="1"/>
  <c r="I119" i="20"/>
  <c r="I118" i="20" s="1"/>
  <c r="I122" i="20" s="1"/>
  <c r="J117" i="20" s="1"/>
  <c r="J124" i="20" s="1"/>
  <c r="M70" i="17"/>
  <c r="I124" i="20"/>
  <c r="I28" i="107"/>
  <c r="I123" i="20"/>
  <c r="H34" i="20"/>
  <c r="H38" i="20" s="1"/>
  <c r="I33" i="20" s="1"/>
  <c r="I39" i="107"/>
  <c r="F246" i="20"/>
  <c r="F250" i="20" s="1"/>
  <c r="G245" i="20" s="1"/>
  <c r="G251" i="20" s="1"/>
  <c r="G247" i="20" s="1"/>
  <c r="F58" i="108"/>
  <c r="F62" i="108" s="1"/>
  <c r="G57" i="108" s="1"/>
  <c r="G64" i="108" s="1"/>
  <c r="I27" i="107"/>
  <c r="B121" i="19"/>
  <c r="M118" i="19" s="1"/>
  <c r="M32" i="12"/>
  <c r="M20" i="12"/>
  <c r="M8" i="12"/>
  <c r="M44" i="12"/>
  <c r="M244" i="20"/>
  <c r="I24" i="107"/>
  <c r="I22" i="107" s="1"/>
  <c r="I26" i="107" s="1"/>
  <c r="J21" i="107" s="1"/>
  <c r="H10" i="108"/>
  <c r="H14" i="108" s="1"/>
  <c r="I9" i="108" s="1"/>
  <c r="I12" i="108" s="1"/>
  <c r="I130" i="20"/>
  <c r="I135" i="20"/>
  <c r="I131" i="20"/>
  <c r="E85" i="16"/>
  <c r="E89" i="16" s="1"/>
  <c r="F84" i="16" s="1"/>
  <c r="E98" i="106"/>
  <c r="E96" i="106" s="1"/>
  <c r="E100" i="106" s="1"/>
  <c r="F95" i="106" s="1"/>
  <c r="F101" i="106" s="1"/>
  <c r="F97" i="106" s="1"/>
  <c r="E101" i="16"/>
  <c r="E97" i="16" s="1"/>
  <c r="E102" i="16"/>
  <c r="E98" i="16"/>
  <c r="I40" i="107"/>
  <c r="H171" i="20"/>
  <c r="F85" i="108"/>
  <c r="F89" i="108" s="1"/>
  <c r="G84" i="108" s="1"/>
  <c r="G90" i="108" s="1"/>
  <c r="G86" i="108" s="1"/>
  <c r="H28" i="12"/>
  <c r="B130" i="16"/>
  <c r="D116" i="16"/>
  <c r="D120" i="16" s="1"/>
  <c r="D112" i="16"/>
  <c r="D109" i="16" s="1"/>
  <c r="D107" i="16" s="1"/>
  <c r="D111" i="16" s="1"/>
  <c r="E106" i="16" s="1"/>
  <c r="E113" i="16" s="1"/>
  <c r="E105" i="16"/>
  <c r="F105" i="16" s="1"/>
  <c r="G105" i="16" s="1"/>
  <c r="H170" i="20"/>
  <c r="H166" i="20" s="1"/>
  <c r="H165" i="20" s="1"/>
  <c r="H169" i="20" s="1"/>
  <c r="I164" i="20" s="1"/>
  <c r="I170" i="20" s="1"/>
  <c r="G96" i="107"/>
  <c r="G100" i="107" s="1"/>
  <c r="H95" i="107" s="1"/>
  <c r="H98" i="107" s="1"/>
  <c r="F76" i="16"/>
  <c r="F72" i="16"/>
  <c r="F70" i="16" s="1"/>
  <c r="F74" i="16" s="1"/>
  <c r="G69" i="16" s="1"/>
  <c r="G270" i="20"/>
  <c r="G274" i="20"/>
  <c r="G273" i="20"/>
  <c r="G269" i="20" s="1"/>
  <c r="I35" i="16"/>
  <c r="G64" i="16"/>
  <c r="H27" i="12"/>
  <c r="H23" i="12" s="1"/>
  <c r="H22" i="12" s="1"/>
  <c r="H26" i="12" s="1"/>
  <c r="I21" i="12" s="1"/>
  <c r="I15" i="107"/>
  <c r="G236" i="20"/>
  <c r="G232" i="20" s="1"/>
  <c r="I16" i="107"/>
  <c r="G233" i="20"/>
  <c r="K60" i="17"/>
  <c r="K58" i="17" s="1"/>
  <c r="K62" i="17" s="1"/>
  <c r="L57" i="17" s="1"/>
  <c r="L63" i="17" s="1"/>
  <c r="L59" i="17" s="1"/>
  <c r="G48" i="108"/>
  <c r="H15" i="20"/>
  <c r="H11" i="20" s="1"/>
  <c r="E102" i="106"/>
  <c r="K64" i="17"/>
  <c r="G51" i="108"/>
  <c r="G47" i="108" s="1"/>
  <c r="H34" i="108"/>
  <c r="H38" i="108" s="1"/>
  <c r="I33" i="108" s="1"/>
  <c r="I40" i="108" s="1"/>
  <c r="G220" i="20"/>
  <c r="G224" i="20" s="1"/>
  <c r="H219" i="20" s="1"/>
  <c r="H225" i="20" s="1"/>
  <c r="H221" i="20" s="1"/>
  <c r="H87" i="20"/>
  <c r="G63" i="16"/>
  <c r="G59" i="16" s="1"/>
  <c r="G58" i="16" s="1"/>
  <c r="G62" i="16" s="1"/>
  <c r="H57" i="16" s="1"/>
  <c r="H64" i="16" s="1"/>
  <c r="I22" i="16"/>
  <c r="I26" i="16" s="1"/>
  <c r="J21" i="16" s="1"/>
  <c r="J24" i="16" s="1"/>
  <c r="H51" i="106"/>
  <c r="H47" i="106" s="1"/>
  <c r="H46" i="106" s="1"/>
  <c r="H50" i="106" s="1"/>
  <c r="I45" i="106" s="1"/>
  <c r="I51" i="106" s="1"/>
  <c r="I188" i="20"/>
  <c r="I187" i="20" s="1"/>
  <c r="I191" i="20" s="1"/>
  <c r="J186" i="20" s="1"/>
  <c r="J192" i="20" s="1"/>
  <c r="I192" i="20"/>
  <c r="I193" i="20"/>
  <c r="L101" i="17"/>
  <c r="I22" i="20"/>
  <c r="I26" i="20" s="1"/>
  <c r="J21" i="20" s="1"/>
  <c r="J28" i="20" s="1"/>
  <c r="I35" i="106"/>
  <c r="G60" i="20"/>
  <c r="H52" i="106"/>
  <c r="E91" i="12"/>
  <c r="E108" i="108"/>
  <c r="J15" i="106"/>
  <c r="E112" i="108"/>
  <c r="E109" i="108" s="1"/>
  <c r="G22" i="106"/>
  <c r="G26" i="106" s="1"/>
  <c r="H21" i="106" s="1"/>
  <c r="H27" i="106" s="1"/>
  <c r="H23" i="106" s="1"/>
  <c r="I36" i="16"/>
  <c r="G63" i="20"/>
  <c r="G59" i="20" s="1"/>
  <c r="I39" i="16"/>
  <c r="D119" i="108"/>
  <c r="D118" i="108" s="1"/>
  <c r="D122" i="108" s="1"/>
  <c r="E117" i="108" s="1"/>
  <c r="D108" i="106"/>
  <c r="D107" i="106" s="1"/>
  <c r="D111" i="106" s="1"/>
  <c r="E106" i="106" s="1"/>
  <c r="L80" i="106"/>
  <c r="L32" i="106"/>
  <c r="M5" i="106"/>
  <c r="L56" i="106"/>
  <c r="L241" i="106"/>
  <c r="L20" i="106"/>
  <c r="L8" i="106"/>
  <c r="L160" i="106"/>
  <c r="L44" i="106"/>
  <c r="G248" i="20"/>
  <c r="G127" i="107"/>
  <c r="G64" i="106"/>
  <c r="G60" i="106"/>
  <c r="G63" i="106"/>
  <c r="G59" i="106" s="1"/>
  <c r="H116" i="107"/>
  <c r="B121" i="17"/>
  <c r="M118" i="17" s="1"/>
  <c r="M229" i="20"/>
  <c r="M83" i="20"/>
  <c r="M138" i="20"/>
  <c r="M56" i="20"/>
  <c r="M8" i="20"/>
  <c r="M288" i="20"/>
  <c r="M207" i="20"/>
  <c r="M185" i="20"/>
  <c r="M218" i="20"/>
  <c r="M32" i="20"/>
  <c r="M20" i="20"/>
  <c r="M116" i="20"/>
  <c r="M255" i="20"/>
  <c r="M44" i="20"/>
  <c r="M105" i="20"/>
  <c r="M68" i="20"/>
  <c r="M149" i="20"/>
  <c r="M127" i="20"/>
  <c r="M163" i="20"/>
  <c r="M94" i="20"/>
  <c r="M174" i="20"/>
  <c r="M196" i="20"/>
  <c r="M277" i="20"/>
  <c r="F138" i="107"/>
  <c r="M20" i="107"/>
  <c r="M82" i="17"/>
  <c r="M56" i="17"/>
  <c r="E289" i="20"/>
  <c r="D305" i="20"/>
  <c r="J68" i="106"/>
  <c r="G40" i="12"/>
  <c r="G39" i="12"/>
  <c r="G35" i="12" s="1"/>
  <c r="G36" i="12"/>
  <c r="I266" i="20"/>
  <c r="E116" i="106"/>
  <c r="D123" i="106"/>
  <c r="D120" i="106" s="1"/>
  <c r="D119" i="106"/>
  <c r="I94" i="108"/>
  <c r="L113" i="17"/>
  <c r="L110" i="17"/>
  <c r="L108" i="17" s="1"/>
  <c r="L112" i="17" s="1"/>
  <c r="M107" i="17" s="1"/>
  <c r="M114" i="17" s="1"/>
  <c r="K86" i="19"/>
  <c r="K84" i="19" s="1"/>
  <c r="M44" i="107"/>
  <c r="M32" i="107"/>
  <c r="M20" i="17"/>
  <c r="L98" i="17"/>
  <c r="L96" i="17" s="1"/>
  <c r="L100" i="17" s="1"/>
  <c r="M95" i="17" s="1"/>
  <c r="M102" i="17" s="1"/>
  <c r="H90" i="20"/>
  <c r="H86" i="20" s="1"/>
  <c r="E105" i="12"/>
  <c r="D112" i="12"/>
  <c r="G75" i="106"/>
  <c r="G71" i="106" s="1"/>
  <c r="G76" i="106"/>
  <c r="G72" i="106"/>
  <c r="F58" i="12"/>
  <c r="F62" i="12" s="1"/>
  <c r="G57" i="12" s="1"/>
  <c r="G94" i="106"/>
  <c r="D156" i="107"/>
  <c r="D152" i="107" s="1"/>
  <c r="E149" i="107"/>
  <c r="H68" i="12"/>
  <c r="D97" i="12"/>
  <c r="D96" i="12" s="1"/>
  <c r="D100" i="12" s="1"/>
  <c r="E95" i="12" s="1"/>
  <c r="E101" i="12" s="1"/>
  <c r="E97" i="12" s="1"/>
  <c r="E135" i="107"/>
  <c r="E131" i="107"/>
  <c r="E129" i="107" s="1"/>
  <c r="E133" i="107" s="1"/>
  <c r="F128" i="107" s="1"/>
  <c r="F134" i="107" s="1"/>
  <c r="F130" i="107" s="1"/>
  <c r="F259" i="20"/>
  <c r="F263" i="20"/>
  <c r="F262" i="20"/>
  <c r="F258" i="20" s="1"/>
  <c r="G83" i="12"/>
  <c r="E87" i="106"/>
  <c r="E85" i="106" s="1"/>
  <c r="E89" i="106" s="1"/>
  <c r="F84" i="106" s="1"/>
  <c r="F116" i="108"/>
  <c r="D141" i="107"/>
  <c r="D140" i="107" s="1"/>
  <c r="D144" i="107" s="1"/>
  <c r="E139" i="107" s="1"/>
  <c r="E145" i="107" s="1"/>
  <c r="E141" i="107" s="1"/>
  <c r="H83" i="106"/>
  <c r="G105" i="108"/>
  <c r="E281" i="20"/>
  <c r="E279" i="20" s="1"/>
  <c r="E283" i="20" s="1"/>
  <c r="F278" i="20" s="1"/>
  <c r="F285" i="20" s="1"/>
  <c r="D138" i="108"/>
  <c r="B152" i="108"/>
  <c r="D127" i="106"/>
  <c r="B141" i="106"/>
  <c r="I94" i="16"/>
  <c r="J94" i="107"/>
  <c r="K94" i="107" s="1"/>
  <c r="L94" i="107" s="1"/>
  <c r="M94" i="107" s="1"/>
  <c r="I56" i="12"/>
  <c r="M83" i="107"/>
  <c r="F113" i="107"/>
  <c r="F109" i="107"/>
  <c r="F112" i="107"/>
  <c r="F108" i="107" s="1"/>
  <c r="E127" i="108"/>
  <c r="D134" i="108"/>
  <c r="F70" i="108"/>
  <c r="F74" i="108" s="1"/>
  <c r="G69" i="108" s="1"/>
  <c r="D163" i="107"/>
  <c r="B177" i="107"/>
  <c r="F94" i="12"/>
  <c r="I105" i="107"/>
  <c r="F105" i="106"/>
  <c r="E87" i="12"/>
  <c r="E85" i="12" s="1"/>
  <c r="E89" i="12" s="1"/>
  <c r="F84" i="12" s="1"/>
  <c r="K89" i="19"/>
  <c r="I23" i="108"/>
  <c r="M56" i="107"/>
  <c r="M68" i="107"/>
  <c r="J46" i="17"/>
  <c r="J50" i="17" s="1"/>
  <c r="K45" i="17" s="1"/>
  <c r="K52" i="17" s="1"/>
  <c r="M106" i="17"/>
  <c r="M94" i="17"/>
  <c r="D116" i="12"/>
  <c r="B130" i="12"/>
  <c r="F76" i="12"/>
  <c r="F72" i="12"/>
  <c r="F70" i="12" s="1"/>
  <c r="F74" i="12" s="1"/>
  <c r="G69" i="12" s="1"/>
  <c r="I83" i="108"/>
  <c r="J83" i="108" s="1"/>
  <c r="K83" i="108" s="1"/>
  <c r="L83" i="108" s="1"/>
  <c r="M83" i="108" s="1"/>
  <c r="F102" i="108"/>
  <c r="F98" i="108"/>
  <c r="F96" i="108" s="1"/>
  <c r="F100" i="108" s="1"/>
  <c r="G95" i="108" s="1"/>
  <c r="E120" i="107"/>
  <c r="E118" i="107" s="1"/>
  <c r="E122" i="107" s="1"/>
  <c r="F117" i="107" s="1"/>
  <c r="G52" i="12"/>
  <c r="G48" i="12"/>
  <c r="G51" i="12"/>
  <c r="G47" i="12" s="1"/>
  <c r="D130" i="16"/>
  <c r="M8" i="17"/>
  <c r="G107" i="20"/>
  <c r="G111" i="20" s="1"/>
  <c r="H106" i="20" s="1"/>
  <c r="H52" i="107"/>
  <c r="H48" i="107"/>
  <c r="H51" i="107"/>
  <c r="H47" i="107" s="1"/>
  <c r="J12" i="106"/>
  <c r="I24" i="108"/>
  <c r="H58" i="107"/>
  <c r="H62" i="107" s="1"/>
  <c r="I57" i="107" s="1"/>
  <c r="J11" i="106"/>
  <c r="I27" i="108"/>
  <c r="J52" i="15"/>
  <c r="H16" i="16"/>
  <c r="H15" i="16"/>
  <c r="H11" i="16" s="1"/>
  <c r="H12" i="16"/>
  <c r="H176" i="20"/>
  <c r="H180" i="20" s="1"/>
  <c r="I175" i="20" s="1"/>
  <c r="I182" i="20" s="1"/>
  <c r="G98" i="20"/>
  <c r="G102" i="20"/>
  <c r="G101" i="20"/>
  <c r="G97" i="20" s="1"/>
  <c r="I214" i="20"/>
  <c r="I215" i="20"/>
  <c r="I210" i="20"/>
  <c r="I211" i="20"/>
  <c r="I10" i="107"/>
  <c r="I14" i="107" s="1"/>
  <c r="J9" i="107" s="1"/>
  <c r="J16" i="107" s="1"/>
  <c r="I140" i="20"/>
  <c r="I144" i="20" s="1"/>
  <c r="J139" i="20" s="1"/>
  <c r="J141" i="20" s="1"/>
  <c r="G157" i="20"/>
  <c r="G153" i="20"/>
  <c r="G156" i="20"/>
  <c r="G152" i="20" s="1"/>
  <c r="G51" i="20"/>
  <c r="G47" i="20" s="1"/>
  <c r="G52" i="20"/>
  <c r="G48" i="20"/>
  <c r="I36" i="106"/>
  <c r="I40" i="106"/>
  <c r="H16" i="20"/>
  <c r="J48" i="15"/>
  <c r="J46" i="15" s="1"/>
  <c r="J50" i="15" s="1"/>
  <c r="K45" i="15" s="1"/>
  <c r="K52" i="15" s="1"/>
  <c r="E133" i="19"/>
  <c r="E27" i="21" s="1"/>
  <c r="E14" i="19"/>
  <c r="J66" i="21"/>
  <c r="O65" i="105"/>
  <c r="K44" i="23" s="1"/>
  <c r="E133" i="15"/>
  <c r="E57" i="21" s="1"/>
  <c r="E15" i="15"/>
  <c r="E16" i="15"/>
  <c r="E12" i="15"/>
  <c r="B107" i="19"/>
  <c r="K134" i="15"/>
  <c r="K58" i="21" s="1"/>
  <c r="K103" i="15"/>
  <c r="K100" i="15"/>
  <c r="K98" i="15" s="1"/>
  <c r="K102" i="15" s="1"/>
  <c r="L97" i="15" s="1"/>
  <c r="K104" i="15"/>
  <c r="H34" i="15"/>
  <c r="H38" i="15" s="1"/>
  <c r="I33" i="15" s="1"/>
  <c r="Q62" i="105"/>
  <c r="Q45" i="105"/>
  <c r="M48" i="23"/>
  <c r="K98" i="19"/>
  <c r="K96" i="19" s="1"/>
  <c r="K100" i="19" s="1"/>
  <c r="L95" i="19" s="1"/>
  <c r="K102" i="19"/>
  <c r="K101" i="19"/>
  <c r="K132" i="19"/>
  <c r="K26" i="21" s="1"/>
  <c r="J60" i="15"/>
  <c r="J58" i="15" s="1"/>
  <c r="J62" i="15" s="1"/>
  <c r="K57" i="15" s="1"/>
  <c r="K91" i="15"/>
  <c r="K92" i="15"/>
  <c r="K88" i="15"/>
  <c r="K86" i="15" s="1"/>
  <c r="K90" i="15" s="1"/>
  <c r="L85" i="15" s="1"/>
  <c r="P64" i="105"/>
  <c r="B109" i="15" s="1"/>
  <c r="L50" i="23"/>
  <c r="I16" i="12"/>
  <c r="I15" i="12"/>
  <c r="I12" i="12"/>
  <c r="I11" i="12"/>
  <c r="H70" i="20"/>
  <c r="H74" i="20" s="1"/>
  <c r="I69" i="20" s="1"/>
  <c r="L36" i="13"/>
  <c r="L45" i="13"/>
  <c r="J13" i="13"/>
  <c r="G11" i="21" s="1"/>
  <c r="G9" i="21"/>
  <c r="H40" i="17"/>
  <c r="H39" i="17"/>
  <c r="H35" i="17" s="1"/>
  <c r="F15" i="17"/>
  <c r="F11" i="17" s="1"/>
  <c r="F134" i="17" s="1"/>
  <c r="F16" i="17"/>
  <c r="F131" i="17"/>
  <c r="F41" i="21" s="1"/>
  <c r="G27" i="15"/>
  <c r="G23" i="15" s="1"/>
  <c r="G28" i="15"/>
  <c r="G28" i="17"/>
  <c r="G27" i="17"/>
  <c r="G23" i="17" s="1"/>
  <c r="CX62" i="27"/>
  <c r="CU62" i="27"/>
  <c r="J22" i="25"/>
  <c r="J46" i="25"/>
  <c r="I39" i="23" s="1"/>
  <c r="O65" i="27"/>
  <c r="N8" i="105"/>
  <c r="N12" i="105" s="1"/>
  <c r="L25" i="22"/>
  <c r="F30" i="25"/>
  <c r="P62" i="27"/>
  <c r="DL62" i="27" s="1"/>
  <c r="G48" i="25"/>
  <c r="G24" i="25"/>
  <c r="H47" i="25"/>
  <c r="K13" i="22"/>
  <c r="K22" i="22"/>
  <c r="H15" i="24" s="1"/>
  <c r="AP64" i="27" s="1"/>
  <c r="CW64" i="27" s="1"/>
  <c r="K19" i="22"/>
  <c r="H14" i="24" s="1"/>
  <c r="AO64" i="27" s="1"/>
  <c r="CV64" i="27" s="1"/>
  <c r="K16" i="22"/>
  <c r="CQ64" i="27"/>
  <c r="CZ64" i="27"/>
  <c r="CR64" i="27"/>
  <c r="DI64" i="27"/>
  <c r="H25" i="25"/>
  <c r="CP63" i="27"/>
  <c r="G11" i="24"/>
  <c r="G17" i="24" s="1"/>
  <c r="G13" i="24"/>
  <c r="AM63" i="27" s="1"/>
  <c r="H26" i="25"/>
  <c r="G22" i="19"/>
  <c r="M82" i="19"/>
  <c r="M32" i="19"/>
  <c r="M20" i="19"/>
  <c r="M44" i="19"/>
  <c r="M8" i="19"/>
  <c r="B118" i="19"/>
  <c r="M94" i="19"/>
  <c r="M106" i="19"/>
  <c r="M56" i="19"/>
  <c r="M70" i="19"/>
  <c r="J76" i="19"/>
  <c r="J57" i="19"/>
  <c r="K78" i="17"/>
  <c r="K77" i="17"/>
  <c r="K73" i="17" s="1"/>
  <c r="K80" i="15"/>
  <c r="K79" i="15"/>
  <c r="K75" i="15" s="1"/>
  <c r="L90" i="17"/>
  <c r="L89" i="17"/>
  <c r="L85" i="17" s="1"/>
  <c r="I52" i="19"/>
  <c r="I51" i="19"/>
  <c r="I47" i="19" s="1"/>
  <c r="H72" i="107"/>
  <c r="H70" i="107" s="1"/>
  <c r="H74" i="107" s="1"/>
  <c r="I69" i="107" s="1"/>
  <c r="H36" i="19"/>
  <c r="H12" i="20" l="1"/>
  <c r="H10" i="20" s="1"/>
  <c r="H14" i="20" s="1"/>
  <c r="I9" i="20" s="1"/>
  <c r="J193" i="20"/>
  <c r="H226" i="20"/>
  <c r="I200" i="20"/>
  <c r="H222" i="20"/>
  <c r="I204" i="20"/>
  <c r="I199" i="20"/>
  <c r="G252" i="20"/>
  <c r="G63" i="108"/>
  <c r="J120" i="20"/>
  <c r="J123" i="20"/>
  <c r="J119" i="20"/>
  <c r="G60" i="108"/>
  <c r="G59" i="108"/>
  <c r="G51" i="16"/>
  <c r="G47" i="16" s="1"/>
  <c r="G46" i="16" s="1"/>
  <c r="G50" i="16" s="1"/>
  <c r="H45" i="16" s="1"/>
  <c r="H48" i="16" s="1"/>
  <c r="G52" i="16"/>
  <c r="I167" i="20"/>
  <c r="H87" i="107"/>
  <c r="H91" i="107"/>
  <c r="H90" i="107"/>
  <c r="H86" i="107" s="1"/>
  <c r="I129" i="20"/>
  <c r="I133" i="20" s="1"/>
  <c r="J128" i="20" s="1"/>
  <c r="J131" i="20" s="1"/>
  <c r="L60" i="17"/>
  <c r="L58" i="17" s="1"/>
  <c r="L62" i="17" s="1"/>
  <c r="M57" i="17" s="1"/>
  <c r="M63" i="17" s="1"/>
  <c r="M59" i="17" s="1"/>
  <c r="L64" i="17"/>
  <c r="I39" i="20"/>
  <c r="I40" i="20"/>
  <c r="I36" i="20"/>
  <c r="I35" i="20"/>
  <c r="I16" i="108"/>
  <c r="H85" i="20"/>
  <c r="H89" i="20" s="1"/>
  <c r="I84" i="20" s="1"/>
  <c r="J12" i="107"/>
  <c r="I15" i="108"/>
  <c r="I11" i="108"/>
  <c r="I10" i="108" s="1"/>
  <c r="I14" i="108" s="1"/>
  <c r="J9" i="108" s="1"/>
  <c r="J15" i="108" s="1"/>
  <c r="J28" i="107"/>
  <c r="J23" i="107"/>
  <c r="G268" i="20"/>
  <c r="G272" i="20" s="1"/>
  <c r="H267" i="20" s="1"/>
  <c r="H274" i="20" s="1"/>
  <c r="J24" i="107"/>
  <c r="J27" i="107"/>
  <c r="E112" i="16"/>
  <c r="E108" i="16" s="1"/>
  <c r="I171" i="20"/>
  <c r="G58" i="20"/>
  <c r="G62" i="20" s="1"/>
  <c r="H57" i="20" s="1"/>
  <c r="H60" i="20" s="1"/>
  <c r="I22" i="108"/>
  <c r="I26" i="108" s="1"/>
  <c r="J21" i="108" s="1"/>
  <c r="J28" i="108" s="1"/>
  <c r="F90" i="16"/>
  <c r="F86" i="16" s="1"/>
  <c r="F91" i="16"/>
  <c r="F87" i="16"/>
  <c r="H102" i="107"/>
  <c r="G87" i="108"/>
  <c r="G85" i="108" s="1"/>
  <c r="G89" i="108" s="1"/>
  <c r="H84" i="108" s="1"/>
  <c r="H87" i="108" s="1"/>
  <c r="E96" i="16"/>
  <c r="E100" i="16" s="1"/>
  <c r="F95" i="16" s="1"/>
  <c r="G231" i="20"/>
  <c r="G235" i="20" s="1"/>
  <c r="H230" i="20" s="1"/>
  <c r="H233" i="20" s="1"/>
  <c r="G76" i="16"/>
  <c r="G75" i="16"/>
  <c r="G71" i="16" s="1"/>
  <c r="G72" i="16"/>
  <c r="B141" i="16"/>
  <c r="D127" i="16"/>
  <c r="J11" i="107"/>
  <c r="J10" i="107" s="1"/>
  <c r="J14" i="107" s="1"/>
  <c r="K9" i="107" s="1"/>
  <c r="G91" i="108"/>
  <c r="I166" i="20"/>
  <c r="I34" i="16"/>
  <c r="I38" i="16" s="1"/>
  <c r="J33" i="16" s="1"/>
  <c r="J40" i="16" s="1"/>
  <c r="H101" i="107"/>
  <c r="H97" i="107" s="1"/>
  <c r="H96" i="107" s="1"/>
  <c r="H100" i="107" s="1"/>
  <c r="I95" i="107" s="1"/>
  <c r="J15" i="107"/>
  <c r="G46" i="108"/>
  <c r="G50" i="108" s="1"/>
  <c r="H45" i="108" s="1"/>
  <c r="H52" i="108" s="1"/>
  <c r="E116" i="16"/>
  <c r="F116" i="16" s="1"/>
  <c r="G116" i="16" s="1"/>
  <c r="D123" i="16"/>
  <c r="D119" i="16" s="1"/>
  <c r="D118" i="16" s="1"/>
  <c r="D122" i="16" s="1"/>
  <c r="E117" i="16" s="1"/>
  <c r="I24" i="12"/>
  <c r="I28" i="12"/>
  <c r="I27" i="12"/>
  <c r="I23" i="12"/>
  <c r="F281" i="20"/>
  <c r="I35" i="108"/>
  <c r="M101" i="17"/>
  <c r="M97" i="17" s="1"/>
  <c r="D118" i="106"/>
  <c r="D122" i="106" s="1"/>
  <c r="E117" i="106" s="1"/>
  <c r="E124" i="106" s="1"/>
  <c r="J189" i="20"/>
  <c r="J188" i="20"/>
  <c r="J27" i="20"/>
  <c r="I52" i="106"/>
  <c r="H63" i="16"/>
  <c r="H59" i="16" s="1"/>
  <c r="H60" i="16"/>
  <c r="I36" i="108"/>
  <c r="J24" i="20"/>
  <c r="J28" i="16"/>
  <c r="I39" i="108"/>
  <c r="J23" i="20"/>
  <c r="I178" i="20"/>
  <c r="H28" i="106"/>
  <c r="J23" i="16"/>
  <c r="J22" i="16" s="1"/>
  <c r="J26" i="16" s="1"/>
  <c r="K21" i="16" s="1"/>
  <c r="J142" i="20"/>
  <c r="J140" i="20" s="1"/>
  <c r="J144" i="20" s="1"/>
  <c r="K139" i="20" s="1"/>
  <c r="J27" i="16"/>
  <c r="J35" i="107"/>
  <c r="I34" i="106"/>
  <c r="I38" i="106" s="1"/>
  <c r="J33" i="106" s="1"/>
  <c r="J39" i="106" s="1"/>
  <c r="F102" i="106"/>
  <c r="E107" i="108"/>
  <c r="E111" i="108" s="1"/>
  <c r="F106" i="108" s="1"/>
  <c r="F112" i="108" s="1"/>
  <c r="F108" i="108" s="1"/>
  <c r="F257" i="20"/>
  <c r="F261" i="20" s="1"/>
  <c r="G256" i="20" s="1"/>
  <c r="G259" i="20" s="1"/>
  <c r="G70" i="106"/>
  <c r="G74" i="106" s="1"/>
  <c r="H69" i="106" s="1"/>
  <c r="H76" i="106" s="1"/>
  <c r="H24" i="106"/>
  <c r="H22" i="106" s="1"/>
  <c r="H26" i="106" s="1"/>
  <c r="I21" i="106" s="1"/>
  <c r="I28" i="106" s="1"/>
  <c r="I181" i="20"/>
  <c r="K51" i="17"/>
  <c r="K47" i="17" s="1"/>
  <c r="G246" i="20"/>
  <c r="G250" i="20" s="1"/>
  <c r="H245" i="20" s="1"/>
  <c r="F284" i="20"/>
  <c r="F280" i="20" s="1"/>
  <c r="I177" i="20"/>
  <c r="F98" i="106"/>
  <c r="F96" i="106" s="1"/>
  <c r="F100" i="106" s="1"/>
  <c r="G95" i="106" s="1"/>
  <c r="G102" i="106" s="1"/>
  <c r="M241" i="106"/>
  <c r="M20" i="106"/>
  <c r="M160" i="106"/>
  <c r="M44" i="106"/>
  <c r="M80" i="106"/>
  <c r="M32" i="106"/>
  <c r="M56" i="106"/>
  <c r="M8" i="106"/>
  <c r="M110" i="17"/>
  <c r="M108" i="17" s="1"/>
  <c r="M112" i="17" s="1"/>
  <c r="M113" i="17"/>
  <c r="F91" i="12"/>
  <c r="F86" i="12"/>
  <c r="F87" i="12"/>
  <c r="I83" i="106"/>
  <c r="J94" i="108"/>
  <c r="K94" i="108" s="1"/>
  <c r="L94" i="108" s="1"/>
  <c r="M94" i="108" s="1"/>
  <c r="F116" i="106"/>
  <c r="I48" i="106"/>
  <c r="I47" i="106"/>
  <c r="G76" i="12"/>
  <c r="G72" i="12"/>
  <c r="G105" i="106"/>
  <c r="H105" i="106" s="1"/>
  <c r="G72" i="108"/>
  <c r="G76" i="108"/>
  <c r="G75" i="108"/>
  <c r="G71" i="108" s="1"/>
  <c r="J94" i="16"/>
  <c r="K94" i="16" s="1"/>
  <c r="L94" i="16" s="1"/>
  <c r="M94" i="16" s="1"/>
  <c r="E138" i="108"/>
  <c r="D145" i="108"/>
  <c r="D142" i="108" s="1"/>
  <c r="D141" i="108"/>
  <c r="F90" i="12"/>
  <c r="D153" i="107"/>
  <c r="D151" i="107" s="1"/>
  <c r="D155" i="107" s="1"/>
  <c r="E150" i="107" s="1"/>
  <c r="E156" i="107" s="1"/>
  <c r="E152" i="107" s="1"/>
  <c r="H94" i="106"/>
  <c r="G64" i="12"/>
  <c r="G60" i="12"/>
  <c r="G63" i="12"/>
  <c r="G59" i="12" s="1"/>
  <c r="J145" i="20"/>
  <c r="J146" i="20"/>
  <c r="D131" i="108"/>
  <c r="D130" i="108"/>
  <c r="E113" i="106"/>
  <c r="E112" i="106"/>
  <c r="E108" i="106" s="1"/>
  <c r="D108" i="12"/>
  <c r="D109" i="12"/>
  <c r="J266" i="20"/>
  <c r="K266" i="20" s="1"/>
  <c r="L266" i="20" s="1"/>
  <c r="M266" i="20" s="1"/>
  <c r="D127" i="12"/>
  <c r="B141" i="12"/>
  <c r="D174" i="107"/>
  <c r="B188" i="107"/>
  <c r="J56" i="12"/>
  <c r="D134" i="106"/>
  <c r="D131" i="106" s="1"/>
  <c r="E127" i="106"/>
  <c r="F127" i="106" s="1"/>
  <c r="H105" i="108"/>
  <c r="G116" i="108"/>
  <c r="G75" i="12"/>
  <c r="G71" i="12" s="1"/>
  <c r="G151" i="20"/>
  <c r="G155" i="20" s="1"/>
  <c r="H150" i="20" s="1"/>
  <c r="H157" i="20" s="1"/>
  <c r="G46" i="12"/>
  <c r="G50" i="12" s="1"/>
  <c r="H45" i="12" s="1"/>
  <c r="G101" i="108"/>
  <c r="G97" i="108" s="1"/>
  <c r="G98" i="108"/>
  <c r="G102" i="108"/>
  <c r="D123" i="12"/>
  <c r="D120" i="12" s="1"/>
  <c r="E116" i="12"/>
  <c r="J105" i="107"/>
  <c r="D170" i="107"/>
  <c r="D167" i="107" s="1"/>
  <c r="E163" i="107"/>
  <c r="F127" i="108"/>
  <c r="F107" i="107"/>
  <c r="F111" i="107" s="1"/>
  <c r="G106" i="107" s="1"/>
  <c r="B166" i="108"/>
  <c r="D149" i="108"/>
  <c r="E109" i="16"/>
  <c r="E146" i="107"/>
  <c r="E142" i="107"/>
  <c r="E140" i="107" s="1"/>
  <c r="E144" i="107" s="1"/>
  <c r="F139" i="107" s="1"/>
  <c r="F91" i="106"/>
  <c r="F87" i="106"/>
  <c r="F86" i="106"/>
  <c r="F90" i="106"/>
  <c r="F135" i="107"/>
  <c r="F131" i="107"/>
  <c r="F129" i="107" s="1"/>
  <c r="F133" i="107" s="1"/>
  <c r="G128" i="107" s="1"/>
  <c r="I68" i="12"/>
  <c r="J130" i="20"/>
  <c r="J134" i="20"/>
  <c r="F105" i="12"/>
  <c r="G34" i="12"/>
  <c r="G38" i="12" s="1"/>
  <c r="H33" i="12" s="1"/>
  <c r="K68" i="106"/>
  <c r="L68" i="106" s="1"/>
  <c r="M68" i="106" s="1"/>
  <c r="G138" i="107"/>
  <c r="H105" i="16"/>
  <c r="G58" i="106"/>
  <c r="G62" i="106" s="1"/>
  <c r="H57" i="106" s="1"/>
  <c r="F124" i="107"/>
  <c r="F120" i="107"/>
  <c r="F123" i="107"/>
  <c r="F119" i="107" s="1"/>
  <c r="E124" i="108"/>
  <c r="G94" i="12"/>
  <c r="B152" i="106"/>
  <c r="D138" i="106"/>
  <c r="E123" i="108"/>
  <c r="E119" i="108" s="1"/>
  <c r="H83" i="12"/>
  <c r="E102" i="12"/>
  <c r="E98" i="12"/>
  <c r="E96" i="12" s="1"/>
  <c r="E100" i="12" s="1"/>
  <c r="F95" i="12" s="1"/>
  <c r="F101" i="12" s="1"/>
  <c r="F97" i="12" s="1"/>
  <c r="F149" i="107"/>
  <c r="G58" i="108"/>
  <c r="G62" i="108" s="1"/>
  <c r="H57" i="108" s="1"/>
  <c r="E296" i="20"/>
  <c r="E300" i="20"/>
  <c r="E295" i="20"/>
  <c r="E291" i="20" s="1"/>
  <c r="E302" i="20" s="1"/>
  <c r="M125" i="17"/>
  <c r="M122" i="17"/>
  <c r="M120" i="17" s="1"/>
  <c r="M124" i="17" s="1"/>
  <c r="I116" i="107"/>
  <c r="H127" i="107"/>
  <c r="G96" i="20"/>
  <c r="G100" i="20" s="1"/>
  <c r="H95" i="20" s="1"/>
  <c r="H102" i="20" s="1"/>
  <c r="H10" i="16"/>
  <c r="H14" i="16" s="1"/>
  <c r="I9" i="16" s="1"/>
  <c r="I11" i="16" s="1"/>
  <c r="J10" i="106"/>
  <c r="J14" i="106" s="1"/>
  <c r="K9" i="106" s="1"/>
  <c r="K15" i="106" s="1"/>
  <c r="H112" i="20"/>
  <c r="H108" i="20" s="1"/>
  <c r="H109" i="20"/>
  <c r="H113" i="20"/>
  <c r="L102" i="19"/>
  <c r="L101" i="19"/>
  <c r="L98" i="19"/>
  <c r="L96" i="19" s="1"/>
  <c r="J36" i="107"/>
  <c r="J39" i="107"/>
  <c r="I60" i="107"/>
  <c r="I59" i="107"/>
  <c r="I63" i="107"/>
  <c r="I64" i="107"/>
  <c r="H220" i="20"/>
  <c r="H224" i="20" s="1"/>
  <c r="I219" i="20" s="1"/>
  <c r="H46" i="107"/>
  <c r="H50" i="107" s="1"/>
  <c r="I45" i="107" s="1"/>
  <c r="I209" i="20"/>
  <c r="I213" i="20" s="1"/>
  <c r="J208" i="20" s="1"/>
  <c r="G46" i="20"/>
  <c r="G50" i="20" s="1"/>
  <c r="H45" i="20" s="1"/>
  <c r="I10" i="12"/>
  <c r="I14" i="12" s="1"/>
  <c r="J9" i="12" s="1"/>
  <c r="J12" i="12" s="1"/>
  <c r="I91" i="20"/>
  <c r="I90" i="20"/>
  <c r="I87" i="20"/>
  <c r="I86" i="20"/>
  <c r="J12" i="13"/>
  <c r="G12" i="21" s="1"/>
  <c r="K51" i="15"/>
  <c r="K48" i="15" s="1"/>
  <c r="E10" i="15"/>
  <c r="E137" i="15"/>
  <c r="E60" i="21" s="1"/>
  <c r="G24" i="15"/>
  <c r="G22" i="15" s="1"/>
  <c r="E137" i="19"/>
  <c r="E30" i="21" s="1"/>
  <c r="F9" i="19"/>
  <c r="L91" i="15"/>
  <c r="L87" i="15" s="1"/>
  <c r="L92" i="15"/>
  <c r="L104" i="15"/>
  <c r="L100" i="15"/>
  <c r="L98" i="15" s="1"/>
  <c r="L102" i="15" s="1"/>
  <c r="M97" i="15" s="1"/>
  <c r="L103" i="15"/>
  <c r="K64" i="15"/>
  <c r="K63" i="15"/>
  <c r="K59" i="15" s="1"/>
  <c r="B119" i="19"/>
  <c r="L113" i="19"/>
  <c r="L114" i="19"/>
  <c r="L110" i="19"/>
  <c r="L108" i="19" s="1"/>
  <c r="L112" i="19" s="1"/>
  <c r="M107" i="19" s="1"/>
  <c r="L132" i="19"/>
  <c r="L26" i="21" s="1"/>
  <c r="L116" i="15"/>
  <c r="L134" i="15"/>
  <c r="L58" i="21" s="1"/>
  <c r="L115" i="15"/>
  <c r="L112" i="15"/>
  <c r="L110" i="15" s="1"/>
  <c r="L114" i="15" s="1"/>
  <c r="M109" i="15" s="1"/>
  <c r="M50" i="23"/>
  <c r="Q64" i="105"/>
  <c r="B121" i="15" s="1"/>
  <c r="P65" i="105"/>
  <c r="L44" i="23" s="1"/>
  <c r="K66" i="21"/>
  <c r="I40" i="15"/>
  <c r="I39" i="15"/>
  <c r="I35" i="15" s="1"/>
  <c r="I75" i="20"/>
  <c r="I72" i="20"/>
  <c r="I71" i="20"/>
  <c r="I76" i="20"/>
  <c r="L42" i="13"/>
  <c r="L47" i="13" s="1"/>
  <c r="L49" i="13" s="1"/>
  <c r="L41" i="13"/>
  <c r="L40" i="13" s="1"/>
  <c r="L86" i="17"/>
  <c r="L84" i="17" s="1"/>
  <c r="G24" i="17"/>
  <c r="G22" i="17" s="1"/>
  <c r="F12" i="17"/>
  <c r="H36" i="17"/>
  <c r="CU63" i="27"/>
  <c r="CX63" i="27"/>
  <c r="H13" i="24"/>
  <c r="AM64" i="27" s="1"/>
  <c r="I26" i="25"/>
  <c r="P63" i="27"/>
  <c r="DL63" i="27" s="1"/>
  <c r="H48" i="25"/>
  <c r="I47" i="25"/>
  <c r="H24" i="25"/>
  <c r="G30" i="25"/>
  <c r="L16" i="22"/>
  <c r="L19" i="22"/>
  <c r="I14" i="24" s="1"/>
  <c r="AO65" i="27" s="1"/>
  <c r="CV65" i="27" s="1"/>
  <c r="L22" i="22"/>
  <c r="I15" i="24" s="1"/>
  <c r="AP65" i="27" s="1"/>
  <c r="CW65" i="27" s="1"/>
  <c r="L13" i="22"/>
  <c r="DI65" i="27"/>
  <c r="CR65" i="27"/>
  <c r="CZ65" i="27"/>
  <c r="CQ65" i="27"/>
  <c r="H11" i="24"/>
  <c r="H17" i="24" s="1"/>
  <c r="I25" i="25"/>
  <c r="CP64" i="27"/>
  <c r="K46" i="25"/>
  <c r="J39" i="23" s="1"/>
  <c r="O66" i="27"/>
  <c r="O8" i="105"/>
  <c r="O12" i="105" s="1"/>
  <c r="M25" i="22"/>
  <c r="K22" i="25"/>
  <c r="H34" i="19"/>
  <c r="I72" i="107"/>
  <c r="I71" i="107"/>
  <c r="I75" i="107"/>
  <c r="I76" i="107"/>
  <c r="J64" i="19"/>
  <c r="J63" i="19"/>
  <c r="J59" i="19" s="1"/>
  <c r="K71" i="19"/>
  <c r="G26" i="19"/>
  <c r="K76" i="15"/>
  <c r="K88" i="19"/>
  <c r="I48" i="19"/>
  <c r="K74" i="17"/>
  <c r="I16" i="20" l="1"/>
  <c r="I15" i="20"/>
  <c r="I11" i="20" s="1"/>
  <c r="I12" i="20"/>
  <c r="H48" i="108"/>
  <c r="J135" i="20"/>
  <c r="J118" i="20"/>
  <c r="J122" i="20" s="1"/>
  <c r="K117" i="20" s="1"/>
  <c r="I165" i="20"/>
  <c r="I169" i="20" s="1"/>
  <c r="J164" i="20" s="1"/>
  <c r="J166" i="20" s="1"/>
  <c r="I198" i="20"/>
  <c r="I202" i="20" s="1"/>
  <c r="J197" i="20" s="1"/>
  <c r="J204" i="20" s="1"/>
  <c r="H52" i="16"/>
  <c r="J24" i="108"/>
  <c r="M64" i="17"/>
  <c r="H270" i="20"/>
  <c r="H51" i="16"/>
  <c r="H47" i="16" s="1"/>
  <c r="H46" i="16" s="1"/>
  <c r="H50" i="16" s="1"/>
  <c r="I45" i="16" s="1"/>
  <c r="H273" i="20"/>
  <c r="H269" i="20" s="1"/>
  <c r="E123" i="106"/>
  <c r="E119" i="106" s="1"/>
  <c r="E107" i="16"/>
  <c r="E111" i="16" s="1"/>
  <c r="F106" i="16" s="1"/>
  <c r="F113" i="16" s="1"/>
  <c r="H85" i="107"/>
  <c r="H89" i="107" s="1"/>
  <c r="I84" i="107" s="1"/>
  <c r="I34" i="20"/>
  <c r="I38" i="20" s="1"/>
  <c r="J33" i="20" s="1"/>
  <c r="J12" i="108"/>
  <c r="J22" i="107"/>
  <c r="J26" i="107" s="1"/>
  <c r="K21" i="107" s="1"/>
  <c r="K28" i="107" s="1"/>
  <c r="J11" i="108"/>
  <c r="J16" i="108"/>
  <c r="H51" i="108"/>
  <c r="H47" i="108" s="1"/>
  <c r="H46" i="108" s="1"/>
  <c r="H50" i="108" s="1"/>
  <c r="I45" i="108" s="1"/>
  <c r="I52" i="108" s="1"/>
  <c r="J187" i="20"/>
  <c r="J191" i="20" s="1"/>
  <c r="K186" i="20" s="1"/>
  <c r="J23" i="108"/>
  <c r="J27" i="108"/>
  <c r="H237" i="20"/>
  <c r="H63" i="20"/>
  <c r="H59" i="20" s="1"/>
  <c r="H58" i="20" s="1"/>
  <c r="H62" i="20" s="1"/>
  <c r="I57" i="20" s="1"/>
  <c r="H64" i="20"/>
  <c r="H236" i="20"/>
  <c r="H232" i="20" s="1"/>
  <c r="H231" i="20" s="1"/>
  <c r="H235" i="20" s="1"/>
  <c r="I230" i="20" s="1"/>
  <c r="I236" i="20" s="1"/>
  <c r="F85" i="16"/>
  <c r="F89" i="16" s="1"/>
  <c r="G84" i="16" s="1"/>
  <c r="G262" i="20"/>
  <c r="G258" i="20" s="1"/>
  <c r="G257" i="20" s="1"/>
  <c r="G261" i="20" s="1"/>
  <c r="H256" i="20" s="1"/>
  <c r="H259" i="20" s="1"/>
  <c r="H91" i="108"/>
  <c r="H90" i="108"/>
  <c r="H86" i="108" s="1"/>
  <c r="H85" i="108" s="1"/>
  <c r="H89" i="108" s="1"/>
  <c r="I84" i="108" s="1"/>
  <c r="I86" i="108" s="1"/>
  <c r="E124" i="16"/>
  <c r="E123" i="16"/>
  <c r="E119" i="16" s="1"/>
  <c r="G70" i="16"/>
  <c r="G74" i="16" s="1"/>
  <c r="H69" i="16" s="1"/>
  <c r="H72" i="16" s="1"/>
  <c r="F102" i="16"/>
  <c r="F98" i="16"/>
  <c r="F101" i="16"/>
  <c r="F97" i="16" s="1"/>
  <c r="M98" i="17"/>
  <c r="M96" i="17" s="1"/>
  <c r="M100" i="17" s="1"/>
  <c r="I102" i="107"/>
  <c r="I98" i="107"/>
  <c r="I101" i="107"/>
  <c r="I97" i="107"/>
  <c r="G263" i="20"/>
  <c r="I27" i="106"/>
  <c r="F279" i="20"/>
  <c r="F283" i="20" s="1"/>
  <c r="H58" i="16"/>
  <c r="H62" i="16" s="1"/>
  <c r="I57" i="16" s="1"/>
  <c r="I60" i="16" s="1"/>
  <c r="J39" i="16"/>
  <c r="J35" i="16"/>
  <c r="D134" i="16"/>
  <c r="D131" i="16"/>
  <c r="D129" i="16" s="1"/>
  <c r="D133" i="16" s="1"/>
  <c r="E128" i="16" s="1"/>
  <c r="E135" i="16" s="1"/>
  <c r="E127" i="16"/>
  <c r="F127" i="16" s="1"/>
  <c r="G127" i="16" s="1"/>
  <c r="J36" i="16"/>
  <c r="B152" i="16"/>
  <c r="D138" i="16"/>
  <c r="D142" i="16" s="1"/>
  <c r="J199" i="20"/>
  <c r="J203" i="20"/>
  <c r="J170" i="20"/>
  <c r="I176" i="20"/>
  <c r="I180" i="20" s="1"/>
  <c r="J175" i="20" s="1"/>
  <c r="J178" i="20" s="1"/>
  <c r="I34" i="108"/>
  <c r="I38" i="108" s="1"/>
  <c r="J33" i="108" s="1"/>
  <c r="J35" i="108" s="1"/>
  <c r="I22" i="12"/>
  <c r="I26" i="12" s="1"/>
  <c r="J21" i="12" s="1"/>
  <c r="G101" i="106"/>
  <c r="G97" i="106" s="1"/>
  <c r="I10" i="20"/>
  <c r="I14" i="20" s="1"/>
  <c r="J9" i="20" s="1"/>
  <c r="G96" i="108"/>
  <c r="G100" i="108" s="1"/>
  <c r="H95" i="108" s="1"/>
  <c r="H102" i="108" s="1"/>
  <c r="J36" i="106"/>
  <c r="J34" i="107"/>
  <c r="J38" i="107" s="1"/>
  <c r="K33" i="107" s="1"/>
  <c r="K36" i="107" s="1"/>
  <c r="J40" i="106"/>
  <c r="J35" i="106"/>
  <c r="H153" i="20"/>
  <c r="J22" i="20"/>
  <c r="J26" i="20" s="1"/>
  <c r="K21" i="20" s="1"/>
  <c r="K28" i="20" s="1"/>
  <c r="H101" i="20"/>
  <c r="H97" i="20" s="1"/>
  <c r="K27" i="16"/>
  <c r="K24" i="16"/>
  <c r="K28" i="16"/>
  <c r="K23" i="16"/>
  <c r="F109" i="108"/>
  <c r="F107" i="108" s="1"/>
  <c r="F111" i="108" s="1"/>
  <c r="G106" i="108" s="1"/>
  <c r="F113" i="108"/>
  <c r="G98" i="106"/>
  <c r="H72" i="106"/>
  <c r="H75" i="106"/>
  <c r="H71" i="106" s="1"/>
  <c r="J171" i="20"/>
  <c r="J167" i="20"/>
  <c r="J165" i="20" s="1"/>
  <c r="J169" i="20" s="1"/>
  <c r="K164" i="20" s="1"/>
  <c r="K171" i="20" s="1"/>
  <c r="J15" i="12"/>
  <c r="K48" i="17"/>
  <c r="K46" i="17" s="1"/>
  <c r="K50" i="17" s="1"/>
  <c r="L45" i="17" s="1"/>
  <c r="L51" i="17" s="1"/>
  <c r="L47" i="17" s="1"/>
  <c r="I16" i="16"/>
  <c r="I24" i="106"/>
  <c r="J11" i="12"/>
  <c r="J10" i="12" s="1"/>
  <c r="J14" i="12" s="1"/>
  <c r="K9" i="12" s="1"/>
  <c r="M60" i="17"/>
  <c r="M58" i="17" s="1"/>
  <c r="M62" i="17" s="1"/>
  <c r="I12" i="16"/>
  <c r="I10" i="16" s="1"/>
  <c r="I14" i="16" s="1"/>
  <c r="J9" i="16" s="1"/>
  <c r="I46" i="106"/>
  <c r="I50" i="106" s="1"/>
  <c r="J45" i="106" s="1"/>
  <c r="J47" i="106" s="1"/>
  <c r="I23" i="106"/>
  <c r="H156" i="20"/>
  <c r="H152" i="20" s="1"/>
  <c r="H98" i="20"/>
  <c r="J129" i="20"/>
  <c r="J133" i="20" s="1"/>
  <c r="K128" i="20" s="1"/>
  <c r="K134" i="20" s="1"/>
  <c r="D119" i="12"/>
  <c r="D118" i="12" s="1"/>
  <c r="D122" i="12" s="1"/>
  <c r="E117" i="12" s="1"/>
  <c r="E123" i="12" s="1"/>
  <c r="E119" i="12" s="1"/>
  <c r="D107" i="12"/>
  <c r="D111" i="12" s="1"/>
  <c r="E106" i="12" s="1"/>
  <c r="E112" i="12" s="1"/>
  <c r="E108" i="12" s="1"/>
  <c r="D129" i="108"/>
  <c r="D133" i="108" s="1"/>
  <c r="E128" i="108" s="1"/>
  <c r="E134" i="108" s="1"/>
  <c r="E130" i="108" s="1"/>
  <c r="H252" i="20"/>
  <c r="H248" i="20"/>
  <c r="H251" i="20"/>
  <c r="H247" i="20" s="1"/>
  <c r="I15" i="16"/>
  <c r="G70" i="108"/>
  <c r="G74" i="108" s="1"/>
  <c r="H69" i="108" s="1"/>
  <c r="H75" i="108" s="1"/>
  <c r="H71" i="108" s="1"/>
  <c r="H64" i="106"/>
  <c r="H60" i="106"/>
  <c r="H63" i="106"/>
  <c r="H59" i="106" s="1"/>
  <c r="H116" i="16"/>
  <c r="E149" i="108"/>
  <c r="D156" i="108"/>
  <c r="D152" i="108" s="1"/>
  <c r="D153" i="108"/>
  <c r="G109" i="107"/>
  <c r="G113" i="107"/>
  <c r="G112" i="107"/>
  <c r="G108" i="107" s="1"/>
  <c r="F163" i="107"/>
  <c r="F116" i="12"/>
  <c r="H116" i="108"/>
  <c r="K56" i="12"/>
  <c r="L56" i="12" s="1"/>
  <c r="M56" i="12" s="1"/>
  <c r="J116" i="107"/>
  <c r="K116" i="107" s="1"/>
  <c r="L116" i="107" s="1"/>
  <c r="M116" i="107" s="1"/>
  <c r="B166" i="106"/>
  <c r="D149" i="106"/>
  <c r="G131" i="107"/>
  <c r="G135" i="107"/>
  <c r="F146" i="107"/>
  <c r="F142" i="107"/>
  <c r="B177" i="108"/>
  <c r="D163" i="108"/>
  <c r="B199" i="107"/>
  <c r="D185" i="107"/>
  <c r="I94" i="106"/>
  <c r="G116" i="106"/>
  <c r="H116" i="106" s="1"/>
  <c r="J83" i="106"/>
  <c r="J16" i="12"/>
  <c r="K12" i="106"/>
  <c r="G134" i="107"/>
  <c r="G130" i="107" s="1"/>
  <c r="E292" i="20"/>
  <c r="G149" i="107"/>
  <c r="I83" i="12"/>
  <c r="H94" i="12"/>
  <c r="F118" i="107"/>
  <c r="F122" i="107" s="1"/>
  <c r="G117" i="107" s="1"/>
  <c r="I105" i="16"/>
  <c r="G105" i="12"/>
  <c r="G127" i="108"/>
  <c r="H48" i="12"/>
  <c r="H52" i="12"/>
  <c r="H51" i="12"/>
  <c r="H47" i="12" s="1"/>
  <c r="I105" i="108"/>
  <c r="D130" i="106"/>
  <c r="D129" i="106" s="1"/>
  <c r="D133" i="106" s="1"/>
  <c r="E128" i="106" s="1"/>
  <c r="D181" i="107"/>
  <c r="D177" i="107" s="1"/>
  <c r="E174" i="107"/>
  <c r="E120" i="16"/>
  <c r="G58" i="12"/>
  <c r="G62" i="12" s="1"/>
  <c r="H57" i="12" s="1"/>
  <c r="E157" i="107"/>
  <c r="E153" i="107"/>
  <c r="E151" i="107" s="1"/>
  <c r="E155" i="107" s="1"/>
  <c r="F150" i="107" s="1"/>
  <c r="I105" i="106"/>
  <c r="F85" i="12"/>
  <c r="F89" i="12" s="1"/>
  <c r="G84" i="12" s="1"/>
  <c r="H64" i="108"/>
  <c r="H63" i="108"/>
  <c r="H59" i="108" s="1"/>
  <c r="H60" i="108"/>
  <c r="D145" i="106"/>
  <c r="D141" i="106" s="1"/>
  <c r="E138" i="106"/>
  <c r="H138" i="107"/>
  <c r="J68" i="12"/>
  <c r="D134" i="12"/>
  <c r="D130" i="12" s="1"/>
  <c r="E127" i="12"/>
  <c r="D140" i="108"/>
  <c r="D144" i="108" s="1"/>
  <c r="E139" i="108" s="1"/>
  <c r="E145" i="108" s="1"/>
  <c r="E141" i="108" s="1"/>
  <c r="J14" i="13"/>
  <c r="J19" i="13" s="1"/>
  <c r="J21" i="13" s="1"/>
  <c r="K17" i="13" s="1"/>
  <c r="K16" i="106"/>
  <c r="I127" i="107"/>
  <c r="F102" i="12"/>
  <c r="F98" i="12"/>
  <c r="F96" i="12" s="1"/>
  <c r="F100" i="12" s="1"/>
  <c r="G95" i="12" s="1"/>
  <c r="G101" i="12" s="1"/>
  <c r="G97" i="12" s="1"/>
  <c r="E120" i="108"/>
  <c r="E118" i="108" s="1"/>
  <c r="E122" i="108" s="1"/>
  <c r="F117" i="108" s="1"/>
  <c r="F145" i="107"/>
  <c r="F141" i="107" s="1"/>
  <c r="H36" i="12"/>
  <c r="H39" i="12"/>
  <c r="H35" i="12" s="1"/>
  <c r="H40" i="12"/>
  <c r="F85" i="106"/>
  <c r="F89" i="106" s="1"/>
  <c r="G84" i="106" s="1"/>
  <c r="D166" i="107"/>
  <c r="D165" i="107" s="1"/>
  <c r="D169" i="107" s="1"/>
  <c r="E164" i="107" s="1"/>
  <c r="K105" i="107"/>
  <c r="G127" i="106"/>
  <c r="D138" i="12"/>
  <c r="B152" i="12"/>
  <c r="E120" i="106"/>
  <c r="E118" i="106" s="1"/>
  <c r="E122" i="106" s="1"/>
  <c r="F117" i="106" s="1"/>
  <c r="E109" i="106"/>
  <c r="E107" i="106" s="1"/>
  <c r="E111" i="106" s="1"/>
  <c r="F106" i="106" s="1"/>
  <c r="F138" i="108"/>
  <c r="G70" i="12"/>
  <c r="G74" i="12" s="1"/>
  <c r="H69" i="12" s="1"/>
  <c r="H107" i="20"/>
  <c r="H111" i="20" s="1"/>
  <c r="I106" i="20" s="1"/>
  <c r="I112" i="20" s="1"/>
  <c r="I232" i="20"/>
  <c r="K11" i="106"/>
  <c r="I237" i="20"/>
  <c r="I58" i="107"/>
  <c r="I62" i="107" s="1"/>
  <c r="J57" i="107" s="1"/>
  <c r="I222" i="20"/>
  <c r="I226" i="20"/>
  <c r="I225" i="20"/>
  <c r="I221" i="20"/>
  <c r="L88" i="15"/>
  <c r="L86" i="15" s="1"/>
  <c r="I47" i="107"/>
  <c r="I51" i="107"/>
  <c r="I48" i="107"/>
  <c r="I52" i="107"/>
  <c r="H48" i="20"/>
  <c r="H51" i="20"/>
  <c r="H47" i="20" s="1"/>
  <c r="H52" i="20"/>
  <c r="J214" i="20"/>
  <c r="J215" i="20"/>
  <c r="J211" i="20"/>
  <c r="J210" i="20"/>
  <c r="I85" i="20"/>
  <c r="I89" i="20" s="1"/>
  <c r="J84" i="20" s="1"/>
  <c r="K47" i="15"/>
  <c r="K46" i="15" s="1"/>
  <c r="K50" i="15" s="1"/>
  <c r="L45" i="15" s="1"/>
  <c r="M114" i="19"/>
  <c r="M113" i="19"/>
  <c r="M110" i="19"/>
  <c r="M108" i="19" s="1"/>
  <c r="F16" i="19"/>
  <c r="F131" i="19"/>
  <c r="F25" i="21" s="1"/>
  <c r="F15" i="19"/>
  <c r="F11" i="19" s="1"/>
  <c r="F134" i="19" s="1"/>
  <c r="E14" i="15"/>
  <c r="E135" i="15"/>
  <c r="E59" i="21" s="1"/>
  <c r="L66" i="21"/>
  <c r="K60" i="15"/>
  <c r="K58" i="15" s="1"/>
  <c r="K62" i="15" s="1"/>
  <c r="L57" i="15" s="1"/>
  <c r="M116" i="15"/>
  <c r="M112" i="15"/>
  <c r="M110" i="15" s="1"/>
  <c r="M114" i="15" s="1"/>
  <c r="M115" i="15"/>
  <c r="I36" i="15"/>
  <c r="I34" i="15" s="1"/>
  <c r="I38" i="15" s="1"/>
  <c r="J33" i="15" s="1"/>
  <c r="Q65" i="105"/>
  <c r="M44" i="23" s="1"/>
  <c r="M124" i="15"/>
  <c r="M122" i="15" s="1"/>
  <c r="M126" i="15" s="1"/>
  <c r="M128" i="15"/>
  <c r="M134" i="15"/>
  <c r="M58" i="21" s="1"/>
  <c r="M127" i="15"/>
  <c r="M132" i="19"/>
  <c r="M26" i="21" s="1"/>
  <c r="M126" i="19"/>
  <c r="M122" i="19"/>
  <c r="M120" i="19" s="1"/>
  <c r="M124" i="19" s="1"/>
  <c r="M125" i="19"/>
  <c r="M103" i="15"/>
  <c r="M99" i="15" s="1"/>
  <c r="M104" i="15"/>
  <c r="K141" i="20"/>
  <c r="K142" i="20"/>
  <c r="K146" i="20"/>
  <c r="K145" i="20"/>
  <c r="I70" i="107"/>
  <c r="I74" i="107" s="1"/>
  <c r="J69" i="107" s="1"/>
  <c r="J76" i="107" s="1"/>
  <c r="I70" i="20"/>
  <c r="I74" i="20" s="1"/>
  <c r="J69" i="20" s="1"/>
  <c r="M36" i="13"/>
  <c r="M45" i="13"/>
  <c r="H34" i="17"/>
  <c r="G26" i="17"/>
  <c r="F10" i="17"/>
  <c r="F135" i="17"/>
  <c r="F44" i="21" s="1"/>
  <c r="G26" i="15"/>
  <c r="M22" i="22"/>
  <c r="J15" i="24" s="1"/>
  <c r="AP66" i="27" s="1"/>
  <c r="CW66" i="27" s="1"/>
  <c r="M13" i="22"/>
  <c r="M19" i="22"/>
  <c r="J14" i="24" s="1"/>
  <c r="AO66" i="27" s="1"/>
  <c r="CV66" i="27" s="1"/>
  <c r="M16" i="22"/>
  <c r="DI66" i="27"/>
  <c r="CR66" i="27"/>
  <c r="CZ66" i="27"/>
  <c r="CQ66" i="27"/>
  <c r="J26" i="25"/>
  <c r="I13" i="24"/>
  <c r="AM65" i="27" s="1"/>
  <c r="I24" i="25"/>
  <c r="I48" i="25"/>
  <c r="J47" i="25"/>
  <c r="P64" i="27"/>
  <c r="DL64" i="27" s="1"/>
  <c r="CX64" i="27"/>
  <c r="CU64" i="27"/>
  <c r="L46" i="25"/>
  <c r="K39" i="23" s="1"/>
  <c r="O67" i="27"/>
  <c r="P8" i="105"/>
  <c r="P12" i="105" s="1"/>
  <c r="N25" i="22"/>
  <c r="L22" i="25"/>
  <c r="I11" i="24"/>
  <c r="I17" i="24" s="1"/>
  <c r="J25" i="25"/>
  <c r="CP65" i="27"/>
  <c r="H30" i="25"/>
  <c r="K119" i="20"/>
  <c r="K124" i="20"/>
  <c r="K120" i="20"/>
  <c r="K123" i="20"/>
  <c r="K193" i="20"/>
  <c r="K188" i="20"/>
  <c r="K189" i="20"/>
  <c r="K192" i="20"/>
  <c r="K72" i="17"/>
  <c r="L83" i="19"/>
  <c r="L100" i="19"/>
  <c r="L88" i="17"/>
  <c r="K74" i="15"/>
  <c r="H21" i="19"/>
  <c r="I46" i="19"/>
  <c r="K16" i="107"/>
  <c r="K15" i="107"/>
  <c r="K12" i="107"/>
  <c r="K11" i="107"/>
  <c r="K78" i="19"/>
  <c r="K77" i="19"/>
  <c r="K73" i="19" s="1"/>
  <c r="H38" i="19"/>
  <c r="J60" i="19"/>
  <c r="J181" i="20" l="1"/>
  <c r="J22" i="108"/>
  <c r="J26" i="108" s="1"/>
  <c r="K21" i="108" s="1"/>
  <c r="K28" i="108" s="1"/>
  <c r="J200" i="20"/>
  <c r="K170" i="20"/>
  <c r="H268" i="20"/>
  <c r="H272" i="20" s="1"/>
  <c r="I267" i="20" s="1"/>
  <c r="I269" i="20" s="1"/>
  <c r="J177" i="20"/>
  <c r="J182" i="20"/>
  <c r="F112" i="16"/>
  <c r="F108" i="16" s="1"/>
  <c r="F109" i="16"/>
  <c r="K24" i="107"/>
  <c r="J15" i="20"/>
  <c r="J11" i="20" s="1"/>
  <c r="K27" i="107"/>
  <c r="K23" i="107"/>
  <c r="I52" i="16"/>
  <c r="I51" i="16"/>
  <c r="I48" i="16"/>
  <c r="J198" i="20"/>
  <c r="J202" i="20" s="1"/>
  <c r="K197" i="20" s="1"/>
  <c r="K200" i="20" s="1"/>
  <c r="I96" i="107"/>
  <c r="I100" i="107" s="1"/>
  <c r="J95" i="107" s="1"/>
  <c r="J101" i="107" s="1"/>
  <c r="I47" i="16"/>
  <c r="I87" i="107"/>
  <c r="I90" i="107"/>
  <c r="I86" i="107"/>
  <c r="I91" i="107"/>
  <c r="J34" i="16"/>
  <c r="J38" i="16" s="1"/>
  <c r="K33" i="16" s="1"/>
  <c r="K40" i="16" s="1"/>
  <c r="H98" i="108"/>
  <c r="J10" i="108"/>
  <c r="J14" i="108" s="1"/>
  <c r="K9" i="108" s="1"/>
  <c r="K16" i="108" s="1"/>
  <c r="J36" i="20"/>
  <c r="J40" i="20"/>
  <c r="J35" i="20"/>
  <c r="J39" i="20"/>
  <c r="I22" i="106"/>
  <c r="I26" i="106" s="1"/>
  <c r="J21" i="106" s="1"/>
  <c r="J27" i="106" s="1"/>
  <c r="K167" i="20"/>
  <c r="I233" i="20"/>
  <c r="I231" i="20" s="1"/>
  <c r="I235" i="20" s="1"/>
  <c r="J230" i="20" s="1"/>
  <c r="H151" i="20"/>
  <c r="H155" i="20" s="1"/>
  <c r="I150" i="20" s="1"/>
  <c r="I157" i="20" s="1"/>
  <c r="G96" i="106"/>
  <c r="G100" i="106" s="1"/>
  <c r="H95" i="106" s="1"/>
  <c r="H102" i="106" s="1"/>
  <c r="J34" i="106"/>
  <c r="J38" i="106" s="1"/>
  <c r="K33" i="106" s="1"/>
  <c r="K36" i="106" s="1"/>
  <c r="I64" i="20"/>
  <c r="I63" i="20"/>
  <c r="I60" i="20"/>
  <c r="I59" i="20"/>
  <c r="K27" i="20"/>
  <c r="H96" i="20"/>
  <c r="H100" i="20" s="1"/>
  <c r="I95" i="20" s="1"/>
  <c r="I102" i="20" s="1"/>
  <c r="K35" i="107"/>
  <c r="K34" i="107" s="1"/>
  <c r="K38" i="107" s="1"/>
  <c r="L33" i="107" s="1"/>
  <c r="L36" i="107" s="1"/>
  <c r="K39" i="107"/>
  <c r="K40" i="107"/>
  <c r="J39" i="108"/>
  <c r="I87" i="108"/>
  <c r="I85" i="108" s="1"/>
  <c r="I89" i="108" s="1"/>
  <c r="J84" i="108" s="1"/>
  <c r="J86" i="108" s="1"/>
  <c r="I91" i="108"/>
  <c r="I48" i="108"/>
  <c r="I90" i="108"/>
  <c r="E131" i="16"/>
  <c r="I51" i="108"/>
  <c r="I63" i="16"/>
  <c r="I59" i="16"/>
  <c r="I58" i="16" s="1"/>
  <c r="I62" i="16" s="1"/>
  <c r="J57" i="16" s="1"/>
  <c r="G91" i="16"/>
  <c r="G90" i="16"/>
  <c r="G86" i="16" s="1"/>
  <c r="G87" i="16"/>
  <c r="E134" i="16"/>
  <c r="E130" i="16" s="1"/>
  <c r="E113" i="12"/>
  <c r="K23" i="108"/>
  <c r="J16" i="20"/>
  <c r="J36" i="108"/>
  <c r="J34" i="108" s="1"/>
  <c r="J38" i="108" s="1"/>
  <c r="K33" i="108" s="1"/>
  <c r="K24" i="108"/>
  <c r="J40" i="108"/>
  <c r="E118" i="16"/>
  <c r="E122" i="16" s="1"/>
  <c r="F117" i="16" s="1"/>
  <c r="F120" i="16" s="1"/>
  <c r="K22" i="16"/>
  <c r="K26" i="16" s="1"/>
  <c r="L21" i="16" s="1"/>
  <c r="L27" i="16" s="1"/>
  <c r="H75" i="16"/>
  <c r="H71" i="16" s="1"/>
  <c r="H70" i="16" s="1"/>
  <c r="H74" i="16" s="1"/>
  <c r="I69" i="16" s="1"/>
  <c r="H76" i="16"/>
  <c r="H70" i="106"/>
  <c r="H74" i="106" s="1"/>
  <c r="I69" i="106" s="1"/>
  <c r="I76" i="106" s="1"/>
  <c r="F96" i="16"/>
  <c r="F100" i="16" s="1"/>
  <c r="G95" i="16" s="1"/>
  <c r="I273" i="20"/>
  <c r="D149" i="16"/>
  <c r="B166" i="16"/>
  <c r="I47" i="108"/>
  <c r="I64" i="16"/>
  <c r="E138" i="16"/>
  <c r="F138" i="16" s="1"/>
  <c r="G138" i="16" s="1"/>
  <c r="D145" i="16"/>
  <c r="D141" i="16" s="1"/>
  <c r="D140" i="16" s="1"/>
  <c r="D144" i="16" s="1"/>
  <c r="E139" i="16" s="1"/>
  <c r="J28" i="12"/>
  <c r="J24" i="12"/>
  <c r="J27" i="12"/>
  <c r="J23" i="12"/>
  <c r="I274" i="20"/>
  <c r="I270" i="20"/>
  <c r="I268" i="20" s="1"/>
  <c r="I272" i="20" s="1"/>
  <c r="J267" i="20" s="1"/>
  <c r="J273" i="20" s="1"/>
  <c r="H101" i="108"/>
  <c r="H97" i="108" s="1"/>
  <c r="K23" i="20"/>
  <c r="K24" i="20"/>
  <c r="G109" i="108"/>
  <c r="G112" i="108"/>
  <c r="G108" i="108" s="1"/>
  <c r="G113" i="108"/>
  <c r="K27" i="108"/>
  <c r="K166" i="20"/>
  <c r="J48" i="106"/>
  <c r="J46" i="106" s="1"/>
  <c r="J50" i="106" s="1"/>
  <c r="K45" i="106" s="1"/>
  <c r="H58" i="108"/>
  <c r="H62" i="108" s="1"/>
  <c r="I57" i="108" s="1"/>
  <c r="I63" i="108" s="1"/>
  <c r="H262" i="20"/>
  <c r="H258" i="20" s="1"/>
  <c r="H257" i="20" s="1"/>
  <c r="H261" i="20" s="1"/>
  <c r="I256" i="20" s="1"/>
  <c r="H76" i="108"/>
  <c r="H263" i="20"/>
  <c r="K15" i="12"/>
  <c r="K12" i="12"/>
  <c r="L48" i="17"/>
  <c r="L46" i="17" s="1"/>
  <c r="L50" i="17" s="1"/>
  <c r="M45" i="17" s="1"/>
  <c r="M51" i="17" s="1"/>
  <c r="M47" i="17" s="1"/>
  <c r="J52" i="106"/>
  <c r="K10" i="106"/>
  <c r="K14" i="106" s="1"/>
  <c r="L9" i="106" s="1"/>
  <c r="L15" i="106" s="1"/>
  <c r="J51" i="106"/>
  <c r="L52" i="17"/>
  <c r="K16" i="12"/>
  <c r="D142" i="106"/>
  <c r="D140" i="106" s="1"/>
  <c r="D144" i="106" s="1"/>
  <c r="E139" i="106" s="1"/>
  <c r="E146" i="106" s="1"/>
  <c r="H72" i="108"/>
  <c r="H70" i="108" s="1"/>
  <c r="H74" i="108" s="1"/>
  <c r="I69" i="108" s="1"/>
  <c r="I75" i="108" s="1"/>
  <c r="H246" i="20"/>
  <c r="H250" i="20" s="1"/>
  <c r="I245" i="20" s="1"/>
  <c r="K11" i="12"/>
  <c r="E109" i="12"/>
  <c r="E107" i="12" s="1"/>
  <c r="E111" i="12" s="1"/>
  <c r="F106" i="12" s="1"/>
  <c r="F113" i="12" s="1"/>
  <c r="E131" i="108"/>
  <c r="E129" i="108" s="1"/>
  <c r="E133" i="108" s="1"/>
  <c r="F128" i="108" s="1"/>
  <c r="F134" i="108" s="1"/>
  <c r="F130" i="108" s="1"/>
  <c r="D152" i="16"/>
  <c r="G107" i="107"/>
  <c r="G111" i="107" s="1"/>
  <c r="H106" i="107" s="1"/>
  <c r="H113" i="107" s="1"/>
  <c r="I108" i="20"/>
  <c r="D178" i="107"/>
  <c r="D176" i="107" s="1"/>
  <c r="D180" i="107" s="1"/>
  <c r="E175" i="107" s="1"/>
  <c r="E181" i="107" s="1"/>
  <c r="E177" i="107" s="1"/>
  <c r="E135" i="108"/>
  <c r="K135" i="20"/>
  <c r="K131" i="20"/>
  <c r="K130" i="20"/>
  <c r="K8" i="13"/>
  <c r="G14" i="21"/>
  <c r="H57" i="25" s="1"/>
  <c r="H76" i="12"/>
  <c r="H72" i="12"/>
  <c r="H75" i="12"/>
  <c r="H71" i="12" s="1"/>
  <c r="F113" i="106"/>
  <c r="F109" i="106"/>
  <c r="F112" i="106"/>
  <c r="F108" i="106" s="1"/>
  <c r="J127" i="107"/>
  <c r="G91" i="12"/>
  <c r="G87" i="12"/>
  <c r="G90" i="12"/>
  <c r="G86" i="12" s="1"/>
  <c r="F157" i="107"/>
  <c r="F152" i="107"/>
  <c r="F153" i="107"/>
  <c r="H105" i="12"/>
  <c r="I105" i="12" s="1"/>
  <c r="J105" i="12" s="1"/>
  <c r="I116" i="106"/>
  <c r="D174" i="108"/>
  <c r="B188" i="108"/>
  <c r="I116" i="108"/>
  <c r="J116" i="108" s="1"/>
  <c r="G163" i="107"/>
  <c r="D151" i="108"/>
  <c r="D155" i="108" s="1"/>
  <c r="E150" i="108" s="1"/>
  <c r="E156" i="108" s="1"/>
  <c r="E152" i="108" s="1"/>
  <c r="F124" i="106"/>
  <c r="F119" i="106"/>
  <c r="F120" i="106"/>
  <c r="H127" i="106"/>
  <c r="L105" i="107"/>
  <c r="H34" i="12"/>
  <c r="H38" i="12" s="1"/>
  <c r="I33" i="12" s="1"/>
  <c r="G98" i="12"/>
  <c r="G96" i="12" s="1"/>
  <c r="G100" i="12" s="1"/>
  <c r="H95" i="12" s="1"/>
  <c r="H101" i="12" s="1"/>
  <c r="H97" i="12" s="1"/>
  <c r="G102" i="12"/>
  <c r="I138" i="107"/>
  <c r="F174" i="107"/>
  <c r="G174" i="107" s="1"/>
  <c r="E134" i="106"/>
  <c r="E130" i="106" s="1"/>
  <c r="E135" i="106"/>
  <c r="H127" i="108"/>
  <c r="I94" i="12"/>
  <c r="J83" i="12"/>
  <c r="E290" i="20"/>
  <c r="E303" i="20"/>
  <c r="F140" i="107"/>
  <c r="F144" i="107" s="1"/>
  <c r="G139" i="107" s="1"/>
  <c r="E149" i="106"/>
  <c r="D156" i="106"/>
  <c r="D153" i="106" s="1"/>
  <c r="G116" i="12"/>
  <c r="I116" i="16"/>
  <c r="G138" i="108"/>
  <c r="B166" i="12"/>
  <c r="D149" i="12"/>
  <c r="E171" i="107"/>
  <c r="G91" i="106"/>
  <c r="G87" i="106"/>
  <c r="G90" i="106"/>
  <c r="G86" i="106" s="1"/>
  <c r="E146" i="108"/>
  <c r="E142" i="108"/>
  <c r="E140" i="108" s="1"/>
  <c r="E144" i="108" s="1"/>
  <c r="F139" i="108" s="1"/>
  <c r="F127" i="12"/>
  <c r="H127" i="16"/>
  <c r="F138" i="106"/>
  <c r="H60" i="12"/>
  <c r="H64" i="12"/>
  <c r="H63" i="12"/>
  <c r="H59" i="12" s="1"/>
  <c r="H46" i="12"/>
  <c r="H50" i="12" s="1"/>
  <c r="I45" i="12" s="1"/>
  <c r="J105" i="16"/>
  <c r="F156" i="107"/>
  <c r="G129" i="107"/>
  <c r="G133" i="107" s="1"/>
  <c r="H128" i="107" s="1"/>
  <c r="K83" i="106"/>
  <c r="D192" i="107"/>
  <c r="D189" i="107" s="1"/>
  <c r="E185" i="107"/>
  <c r="B177" i="106"/>
  <c r="D163" i="106"/>
  <c r="I220" i="20"/>
  <c r="I224" i="20" s="1"/>
  <c r="J219" i="20" s="1"/>
  <c r="J226" i="20" s="1"/>
  <c r="D145" i="12"/>
  <c r="D142" i="12" s="1"/>
  <c r="E138" i="12"/>
  <c r="F124" i="108"/>
  <c r="F120" i="108"/>
  <c r="F123" i="108"/>
  <c r="F119" i="108" s="1"/>
  <c r="D131" i="12"/>
  <c r="D129" i="12" s="1"/>
  <c r="D133" i="12" s="1"/>
  <c r="E128" i="12" s="1"/>
  <c r="K68" i="12"/>
  <c r="L68" i="12" s="1"/>
  <c r="M68" i="12" s="1"/>
  <c r="J105" i="106"/>
  <c r="J105" i="108"/>
  <c r="E124" i="12"/>
  <c r="E120" i="12"/>
  <c r="E118" i="12" s="1"/>
  <c r="E122" i="12" s="1"/>
  <c r="F117" i="12" s="1"/>
  <c r="G124" i="107"/>
  <c r="G120" i="107"/>
  <c r="G123" i="107"/>
  <c r="G119" i="107" s="1"/>
  <c r="H149" i="107"/>
  <c r="F123" i="106"/>
  <c r="J94" i="106"/>
  <c r="D196" i="107"/>
  <c r="B210" i="107"/>
  <c r="E163" i="108"/>
  <c r="D170" i="108"/>
  <c r="D167" i="108" s="1"/>
  <c r="E170" i="107"/>
  <c r="E166" i="107" s="1"/>
  <c r="F149" i="108"/>
  <c r="H58" i="106"/>
  <c r="H62" i="106" s="1"/>
  <c r="I57" i="106" s="1"/>
  <c r="I109" i="20"/>
  <c r="I113" i="20"/>
  <c r="J209" i="20"/>
  <c r="J213" i="20" s="1"/>
  <c r="K208" i="20" s="1"/>
  <c r="K215" i="20" s="1"/>
  <c r="J176" i="20"/>
  <c r="J180" i="20" s="1"/>
  <c r="K175" i="20" s="1"/>
  <c r="K178" i="20" s="1"/>
  <c r="M100" i="15"/>
  <c r="M98" i="15" s="1"/>
  <c r="M102" i="15" s="1"/>
  <c r="I46" i="107"/>
  <c r="I50" i="107" s="1"/>
  <c r="J45" i="107" s="1"/>
  <c r="J16" i="16"/>
  <c r="J15" i="16"/>
  <c r="J12" i="16"/>
  <c r="J11" i="16"/>
  <c r="J60" i="107"/>
  <c r="J64" i="107"/>
  <c r="J59" i="107"/>
  <c r="J63" i="107"/>
  <c r="J72" i="107"/>
  <c r="H46" i="20"/>
  <c r="H50" i="20" s="1"/>
  <c r="I45" i="20" s="1"/>
  <c r="J86" i="20"/>
  <c r="J87" i="20"/>
  <c r="J90" i="20"/>
  <c r="J91" i="20"/>
  <c r="J75" i="107"/>
  <c r="K39" i="106"/>
  <c r="J71" i="107"/>
  <c r="K118" i="20"/>
  <c r="K122" i="20" s="1"/>
  <c r="L117" i="20" s="1"/>
  <c r="L120" i="20" s="1"/>
  <c r="F12" i="19"/>
  <c r="F135" i="19" s="1"/>
  <c r="F28" i="21" s="1"/>
  <c r="F9" i="15"/>
  <c r="E139" i="15"/>
  <c r="E62" i="21" s="1"/>
  <c r="M66" i="21"/>
  <c r="L64" i="15"/>
  <c r="L63" i="15"/>
  <c r="L59" i="15" s="1"/>
  <c r="L51" i="15"/>
  <c r="L47" i="15" s="1"/>
  <c r="L52" i="15"/>
  <c r="J39" i="15"/>
  <c r="J35" i="15" s="1"/>
  <c r="J40" i="15"/>
  <c r="K140" i="20"/>
  <c r="K144" i="20" s="1"/>
  <c r="L139" i="20" s="1"/>
  <c r="J71" i="20"/>
  <c r="J75" i="20"/>
  <c r="J76" i="20"/>
  <c r="J72" i="20"/>
  <c r="K74" i="19"/>
  <c r="K72" i="19" s="1"/>
  <c r="K187" i="20"/>
  <c r="K191" i="20" s="1"/>
  <c r="L186" i="20" s="1"/>
  <c r="L192" i="20" s="1"/>
  <c r="M42" i="13"/>
  <c r="M47" i="13" s="1"/>
  <c r="M49" i="13" s="1"/>
  <c r="M41" i="13"/>
  <c r="M40" i="13" s="1"/>
  <c r="K13" i="13"/>
  <c r="H11" i="21" s="1"/>
  <c r="H9" i="21"/>
  <c r="H21" i="15"/>
  <c r="F133" i="17"/>
  <c r="F43" i="21" s="1"/>
  <c r="F14" i="17"/>
  <c r="H38" i="17"/>
  <c r="H21" i="17"/>
  <c r="O68" i="27"/>
  <c r="M46" i="25"/>
  <c r="L39" i="23" s="1"/>
  <c r="Q8" i="105"/>
  <c r="Q12" i="105" s="1"/>
  <c r="M22" i="25"/>
  <c r="O25" i="22"/>
  <c r="K47" i="25"/>
  <c r="J48" i="25"/>
  <c r="J24" i="25"/>
  <c r="P65" i="27"/>
  <c r="DL65" i="27" s="1"/>
  <c r="N16" i="22"/>
  <c r="N19" i="22"/>
  <c r="K14" i="24" s="1"/>
  <c r="AO67" i="27" s="1"/>
  <c r="CV67" i="27" s="1"/>
  <c r="N22" i="22"/>
  <c r="K15" i="24" s="1"/>
  <c r="AP67" i="27" s="1"/>
  <c r="CW67" i="27" s="1"/>
  <c r="N13" i="22"/>
  <c r="CR67" i="27"/>
  <c r="DI67" i="27"/>
  <c r="CQ67" i="27"/>
  <c r="CZ67" i="27"/>
  <c r="I30" i="25"/>
  <c r="CU65" i="27"/>
  <c r="CX65" i="27"/>
  <c r="J13" i="24"/>
  <c r="AM66" i="27" s="1"/>
  <c r="K26" i="25"/>
  <c r="J11" i="24"/>
  <c r="J17" i="24" s="1"/>
  <c r="K25" i="25"/>
  <c r="CP66" i="27"/>
  <c r="G278" i="20"/>
  <c r="I50" i="19"/>
  <c r="H28" i="19"/>
  <c r="H27" i="19"/>
  <c r="H23" i="19" s="1"/>
  <c r="M83" i="17"/>
  <c r="M112" i="19"/>
  <c r="L90" i="19"/>
  <c r="L89" i="19"/>
  <c r="L85" i="19" s="1"/>
  <c r="K76" i="17"/>
  <c r="K10" i="107"/>
  <c r="K14" i="107" s="1"/>
  <c r="L9" i="107" s="1"/>
  <c r="J58" i="19"/>
  <c r="I33" i="19"/>
  <c r="L90" i="15"/>
  <c r="K78" i="15"/>
  <c r="M95" i="19"/>
  <c r="J12" i="20" l="1"/>
  <c r="J10" i="20" s="1"/>
  <c r="J14" i="20" s="1"/>
  <c r="K9" i="20" s="1"/>
  <c r="F107" i="16"/>
  <c r="F111" i="16" s="1"/>
  <c r="G106" i="16" s="1"/>
  <c r="G113" i="16" s="1"/>
  <c r="J102" i="107"/>
  <c r="J98" i="107"/>
  <c r="J97" i="107"/>
  <c r="L35" i="107"/>
  <c r="H101" i="106"/>
  <c r="H97" i="106" s="1"/>
  <c r="H98" i="106"/>
  <c r="L39" i="107"/>
  <c r="L40" i="107"/>
  <c r="K22" i="107"/>
  <c r="K26" i="107" s="1"/>
  <c r="L21" i="107" s="1"/>
  <c r="L28" i="107" s="1"/>
  <c r="K35" i="106"/>
  <c r="K34" i="106" s="1"/>
  <c r="K38" i="106" s="1"/>
  <c r="L33" i="106" s="1"/>
  <c r="L35" i="106" s="1"/>
  <c r="K40" i="106"/>
  <c r="K203" i="20"/>
  <c r="K199" i="20"/>
  <c r="K204" i="20"/>
  <c r="K36" i="16"/>
  <c r="J34" i="20"/>
  <c r="J38" i="20" s="1"/>
  <c r="K33" i="20" s="1"/>
  <c r="K39" i="20" s="1"/>
  <c r="I46" i="16"/>
  <c r="I50" i="16" s="1"/>
  <c r="J45" i="16" s="1"/>
  <c r="J52" i="16" s="1"/>
  <c r="K39" i="16"/>
  <c r="K35" i="16"/>
  <c r="I85" i="107"/>
  <c r="I89" i="107" s="1"/>
  <c r="J84" i="107" s="1"/>
  <c r="J90" i="107" s="1"/>
  <c r="L23" i="16"/>
  <c r="J24" i="106"/>
  <c r="K11" i="108"/>
  <c r="J237" i="20"/>
  <c r="J232" i="20"/>
  <c r="J233" i="20"/>
  <c r="J236" i="20"/>
  <c r="K165" i="20"/>
  <c r="K169" i="20" s="1"/>
  <c r="L164" i="20" s="1"/>
  <c r="L170" i="20" s="1"/>
  <c r="H96" i="108"/>
  <c r="H100" i="108" s="1"/>
  <c r="I95" i="108" s="1"/>
  <c r="I97" i="108" s="1"/>
  <c r="K12" i="108"/>
  <c r="I156" i="20"/>
  <c r="I153" i="20"/>
  <c r="I152" i="20"/>
  <c r="K15" i="108"/>
  <c r="J23" i="106"/>
  <c r="J28" i="106"/>
  <c r="I58" i="20"/>
  <c r="I62" i="20" s="1"/>
  <c r="J57" i="20" s="1"/>
  <c r="J63" i="20" s="1"/>
  <c r="L24" i="16"/>
  <c r="I75" i="106"/>
  <c r="I71" i="106"/>
  <c r="I72" i="106"/>
  <c r="K22" i="108"/>
  <c r="K26" i="108" s="1"/>
  <c r="L21" i="108" s="1"/>
  <c r="L23" i="108" s="1"/>
  <c r="I46" i="108"/>
  <c r="I50" i="108" s="1"/>
  <c r="J45" i="108" s="1"/>
  <c r="J52" i="108" s="1"/>
  <c r="I97" i="20"/>
  <c r="F123" i="16"/>
  <c r="F119" i="16" s="1"/>
  <c r="F118" i="16" s="1"/>
  <c r="F122" i="16" s="1"/>
  <c r="G117" i="16" s="1"/>
  <c r="I98" i="20"/>
  <c r="I101" i="20"/>
  <c r="F124" i="16"/>
  <c r="K39" i="108"/>
  <c r="K36" i="108"/>
  <c r="J63" i="16"/>
  <c r="J59" i="16"/>
  <c r="J60" i="16"/>
  <c r="L28" i="16"/>
  <c r="E129" i="16"/>
  <c r="E133" i="16" s="1"/>
  <c r="F128" i="16" s="1"/>
  <c r="F134" i="16" s="1"/>
  <c r="F130" i="16" s="1"/>
  <c r="G85" i="16"/>
  <c r="G89" i="16" s="1"/>
  <c r="H84" i="16" s="1"/>
  <c r="H87" i="16" s="1"/>
  <c r="I72" i="16"/>
  <c r="I71" i="16"/>
  <c r="I75" i="16"/>
  <c r="I76" i="16"/>
  <c r="J64" i="16"/>
  <c r="E146" i="16"/>
  <c r="E145" i="16"/>
  <c r="E141" i="16" s="1"/>
  <c r="G102" i="16"/>
  <c r="G98" i="16"/>
  <c r="G101" i="16"/>
  <c r="G97" i="16" s="1"/>
  <c r="J22" i="12"/>
  <c r="J26" i="12" s="1"/>
  <c r="K21" i="12" s="1"/>
  <c r="K23" i="12" s="1"/>
  <c r="D163" i="16"/>
  <c r="B177" i="16"/>
  <c r="D156" i="16"/>
  <c r="D153" i="16" s="1"/>
  <c r="D151" i="16" s="1"/>
  <c r="D155" i="16" s="1"/>
  <c r="E150" i="16" s="1"/>
  <c r="E149" i="16"/>
  <c r="F149" i="16" s="1"/>
  <c r="G149" i="16" s="1"/>
  <c r="G112" i="16"/>
  <c r="G108" i="16" s="1"/>
  <c r="J274" i="20"/>
  <c r="E182" i="107"/>
  <c r="J269" i="20"/>
  <c r="K22" i="20"/>
  <c r="K26" i="20" s="1"/>
  <c r="L21" i="20" s="1"/>
  <c r="L23" i="20" s="1"/>
  <c r="J270" i="20"/>
  <c r="F131" i="108"/>
  <c r="F129" i="108" s="1"/>
  <c r="F133" i="108" s="1"/>
  <c r="G128" i="108" s="1"/>
  <c r="K181" i="20"/>
  <c r="L16" i="106"/>
  <c r="K35" i="108"/>
  <c r="J221" i="20"/>
  <c r="L12" i="106"/>
  <c r="K40" i="108"/>
  <c r="I71" i="108"/>
  <c r="K129" i="20"/>
  <c r="K133" i="20" s="1"/>
  <c r="L128" i="20" s="1"/>
  <c r="L134" i="20" s="1"/>
  <c r="I59" i="108"/>
  <c r="I64" i="108"/>
  <c r="G109" i="16"/>
  <c r="J222" i="20"/>
  <c r="M52" i="17"/>
  <c r="L123" i="20"/>
  <c r="H109" i="107"/>
  <c r="I72" i="108"/>
  <c r="I60" i="108"/>
  <c r="M48" i="17"/>
  <c r="M46" i="17" s="1"/>
  <c r="M50" i="17" s="1"/>
  <c r="J70" i="107"/>
  <c r="J74" i="107" s="1"/>
  <c r="K69" i="107" s="1"/>
  <c r="K72" i="107" s="1"/>
  <c r="I76" i="108"/>
  <c r="K214" i="20"/>
  <c r="K10" i="12"/>
  <c r="K14" i="12" s="1"/>
  <c r="L9" i="12" s="1"/>
  <c r="L16" i="12" s="1"/>
  <c r="G107" i="108"/>
  <c r="G111" i="108" s="1"/>
  <c r="H106" i="108" s="1"/>
  <c r="F10" i="19"/>
  <c r="F133" i="19" s="1"/>
  <c r="F27" i="21" s="1"/>
  <c r="L23" i="107"/>
  <c r="L11" i="106"/>
  <c r="E145" i="106"/>
  <c r="E141" i="106" s="1"/>
  <c r="F135" i="108"/>
  <c r="K211" i="20"/>
  <c r="F151" i="107"/>
  <c r="F155" i="107" s="1"/>
  <c r="G150" i="107" s="1"/>
  <c r="G156" i="107" s="1"/>
  <c r="G152" i="107" s="1"/>
  <c r="G85" i="12"/>
  <c r="G89" i="12" s="1"/>
  <c r="H84" i="12" s="1"/>
  <c r="H87" i="12" s="1"/>
  <c r="J91" i="108"/>
  <c r="J87" i="108"/>
  <c r="J85" i="108" s="1"/>
  <c r="J89" i="108" s="1"/>
  <c r="K84" i="108" s="1"/>
  <c r="K87" i="108" s="1"/>
  <c r="J90" i="108"/>
  <c r="I248" i="20"/>
  <c r="I252" i="20"/>
  <c r="I247" i="20"/>
  <c r="I251" i="20"/>
  <c r="J225" i="20"/>
  <c r="D166" i="108"/>
  <c r="D165" i="108" s="1"/>
  <c r="D169" i="108" s="1"/>
  <c r="E164" i="108" s="1"/>
  <c r="E170" i="108" s="1"/>
  <c r="E166" i="108" s="1"/>
  <c r="F112" i="12"/>
  <c r="F108" i="12" s="1"/>
  <c r="D141" i="12"/>
  <c r="D140" i="12" s="1"/>
  <c r="D144" i="12" s="1"/>
  <c r="E139" i="12" s="1"/>
  <c r="D188" i="107"/>
  <c r="D187" i="107" s="1"/>
  <c r="D191" i="107" s="1"/>
  <c r="E186" i="107" s="1"/>
  <c r="E193" i="107" s="1"/>
  <c r="H112" i="107"/>
  <c r="H108" i="107" s="1"/>
  <c r="F109" i="12"/>
  <c r="I107" i="20"/>
  <c r="I111" i="20" s="1"/>
  <c r="J106" i="20" s="1"/>
  <c r="J113" i="20" s="1"/>
  <c r="L119" i="20"/>
  <c r="L118" i="20" s="1"/>
  <c r="L122" i="20" s="1"/>
  <c r="M117" i="20" s="1"/>
  <c r="J96" i="107"/>
  <c r="J100" i="107" s="1"/>
  <c r="K95" i="107" s="1"/>
  <c r="K101" i="107" s="1"/>
  <c r="H58" i="12"/>
  <c r="H62" i="12" s="1"/>
  <c r="I57" i="12" s="1"/>
  <c r="I63" i="12" s="1"/>
  <c r="D152" i="106"/>
  <c r="D151" i="106" s="1"/>
  <c r="D155" i="106" s="1"/>
  <c r="E150" i="106" s="1"/>
  <c r="E153" i="106" s="1"/>
  <c r="K94" i="106"/>
  <c r="E135" i="12"/>
  <c r="F185" i="107"/>
  <c r="F149" i="106"/>
  <c r="G149" i="106" s="1"/>
  <c r="M105" i="107"/>
  <c r="E142" i="16"/>
  <c r="I64" i="106"/>
  <c r="I63" i="106"/>
  <c r="I59" i="106"/>
  <c r="I60" i="106"/>
  <c r="D207" i="107"/>
  <c r="B221" i="107"/>
  <c r="H138" i="16"/>
  <c r="F138" i="12"/>
  <c r="E167" i="107"/>
  <c r="E165" i="107" s="1"/>
  <c r="E169" i="107" s="1"/>
  <c r="F164" i="107" s="1"/>
  <c r="H138" i="108"/>
  <c r="G142" i="107"/>
  <c r="G146" i="107"/>
  <c r="G145" i="107"/>
  <c r="G141" i="107" s="1"/>
  <c r="K83" i="12"/>
  <c r="I127" i="108"/>
  <c r="K116" i="108"/>
  <c r="H70" i="12"/>
  <c r="H74" i="12" s="1"/>
  <c r="I69" i="12" s="1"/>
  <c r="L124" i="20"/>
  <c r="L189" i="20"/>
  <c r="K177" i="20"/>
  <c r="K176" i="20" s="1"/>
  <c r="K180" i="20" s="1"/>
  <c r="L175" i="20" s="1"/>
  <c r="K210" i="20"/>
  <c r="D203" i="107"/>
  <c r="D199" i="107" s="1"/>
  <c r="E196" i="107"/>
  <c r="F124" i="12"/>
  <c r="F120" i="12"/>
  <c r="F118" i="108"/>
  <c r="F122" i="108" s="1"/>
  <c r="G117" i="108" s="1"/>
  <c r="D174" i="106"/>
  <c r="B188" i="106"/>
  <c r="H135" i="107"/>
  <c r="H131" i="107"/>
  <c r="H134" i="107"/>
  <c r="H130" i="107" s="1"/>
  <c r="K105" i="16"/>
  <c r="E134" i="12"/>
  <c r="E130" i="12" s="1"/>
  <c r="D156" i="12"/>
  <c r="D152" i="12" s="1"/>
  <c r="E149" i="12"/>
  <c r="E131" i="106"/>
  <c r="E129" i="106" s="1"/>
  <c r="E133" i="106" s="1"/>
  <c r="F128" i="106" s="1"/>
  <c r="H174" i="107"/>
  <c r="I35" i="12"/>
  <c r="I36" i="12"/>
  <c r="I40" i="12"/>
  <c r="I39" i="12"/>
  <c r="I127" i="106"/>
  <c r="B199" i="108"/>
  <c r="D185" i="108"/>
  <c r="K105" i="12"/>
  <c r="E178" i="107"/>
  <c r="E176" i="107" s="1"/>
  <c r="E180" i="107" s="1"/>
  <c r="F175" i="107" s="1"/>
  <c r="E142" i="106"/>
  <c r="F107" i="106"/>
  <c r="F111" i="106" s="1"/>
  <c r="G106" i="106" s="1"/>
  <c r="F163" i="108"/>
  <c r="G163" i="108" s="1"/>
  <c r="K105" i="106"/>
  <c r="F146" i="108"/>
  <c r="F141" i="108"/>
  <c r="F142" i="108"/>
  <c r="F145" i="108"/>
  <c r="H116" i="12"/>
  <c r="H102" i="12"/>
  <c r="H98" i="12"/>
  <c r="H96" i="12" s="1"/>
  <c r="H100" i="12" s="1"/>
  <c r="I95" i="12" s="1"/>
  <c r="K182" i="20"/>
  <c r="I263" i="20"/>
  <c r="I262" i="20"/>
  <c r="I259" i="20"/>
  <c r="I258" i="20"/>
  <c r="K105" i="108"/>
  <c r="E163" i="106"/>
  <c r="D170" i="106"/>
  <c r="D166" i="106" s="1"/>
  <c r="L83" i="106"/>
  <c r="I48" i="12"/>
  <c r="I51" i="12"/>
  <c r="I52" i="12"/>
  <c r="I47" i="12"/>
  <c r="I127" i="16"/>
  <c r="E157" i="108"/>
  <c r="E153" i="108"/>
  <c r="E151" i="108" s="1"/>
  <c r="E155" i="108" s="1"/>
  <c r="F150" i="108" s="1"/>
  <c r="G149" i="108"/>
  <c r="I149" i="107"/>
  <c r="G118" i="107"/>
  <c r="G122" i="107" s="1"/>
  <c r="H117" i="107" s="1"/>
  <c r="G138" i="106"/>
  <c r="G127" i="12"/>
  <c r="H127" i="12" s="1"/>
  <c r="G85" i="106"/>
  <c r="G89" i="106" s="1"/>
  <c r="H84" i="106" s="1"/>
  <c r="D163" i="12"/>
  <c r="B177" i="12"/>
  <c r="J116" i="16"/>
  <c r="F123" i="12"/>
  <c r="F119" i="12" s="1"/>
  <c r="E294" i="20"/>
  <c r="E301" i="20"/>
  <c r="J94" i="12"/>
  <c r="J138" i="107"/>
  <c r="F118" i="106"/>
  <c r="F122" i="106" s="1"/>
  <c r="G117" i="106" s="1"/>
  <c r="H163" i="107"/>
  <c r="I163" i="107" s="1"/>
  <c r="D181" i="108"/>
  <c r="D178" i="108" s="1"/>
  <c r="E174" i="108"/>
  <c r="J116" i="106"/>
  <c r="K127" i="107"/>
  <c r="J10" i="16"/>
  <c r="J14" i="16" s="1"/>
  <c r="K9" i="16" s="1"/>
  <c r="K12" i="16" s="1"/>
  <c r="J52" i="107"/>
  <c r="J48" i="107"/>
  <c r="J51" i="107"/>
  <c r="J47" i="107"/>
  <c r="J58" i="107"/>
  <c r="J62" i="107" s="1"/>
  <c r="K57" i="107" s="1"/>
  <c r="L27" i="107"/>
  <c r="I48" i="20"/>
  <c r="I47" i="20"/>
  <c r="I52" i="20"/>
  <c r="I51" i="20"/>
  <c r="L24" i="107"/>
  <c r="K52" i="106"/>
  <c r="K47" i="106"/>
  <c r="K48" i="106"/>
  <c r="K51" i="106"/>
  <c r="L188" i="20"/>
  <c r="J70" i="20"/>
  <c r="J74" i="20" s="1"/>
  <c r="K69" i="20" s="1"/>
  <c r="K76" i="20" s="1"/>
  <c r="L193" i="20"/>
  <c r="J85" i="20"/>
  <c r="J89" i="20" s="1"/>
  <c r="K84" i="20" s="1"/>
  <c r="L171" i="20"/>
  <c r="L167" i="20"/>
  <c r="K12" i="13"/>
  <c r="K14" i="13" s="1"/>
  <c r="K19" i="13" s="1"/>
  <c r="K21" i="13" s="1"/>
  <c r="L48" i="15"/>
  <c r="L46" i="15" s="1"/>
  <c r="L50" i="15" s="1"/>
  <c r="M45" i="15" s="1"/>
  <c r="F133" i="15"/>
  <c r="F57" i="21" s="1"/>
  <c r="F16" i="15"/>
  <c r="F15" i="15"/>
  <c r="F11" i="15" s="1"/>
  <c r="F136" i="15" s="1"/>
  <c r="J36" i="15"/>
  <c r="J34" i="15" s="1"/>
  <c r="J38" i="15" s="1"/>
  <c r="K33" i="15" s="1"/>
  <c r="L60" i="15"/>
  <c r="L58" i="15" s="1"/>
  <c r="L62" i="15" s="1"/>
  <c r="M57" i="15" s="1"/>
  <c r="L141" i="20"/>
  <c r="L142" i="20"/>
  <c r="L146" i="20"/>
  <c r="L145" i="20"/>
  <c r="K16" i="20"/>
  <c r="K11" i="20"/>
  <c r="K15" i="20"/>
  <c r="K12" i="20" s="1"/>
  <c r="K198" i="20"/>
  <c r="K202" i="20" s="1"/>
  <c r="L197" i="20" s="1"/>
  <c r="L200" i="20" s="1"/>
  <c r="N36" i="13"/>
  <c r="N45" i="13"/>
  <c r="H28" i="17"/>
  <c r="H27" i="17"/>
  <c r="H27" i="15"/>
  <c r="H23" i="15" s="1"/>
  <c r="H28" i="15"/>
  <c r="L86" i="19"/>
  <c r="L84" i="19" s="1"/>
  <c r="H24" i="19"/>
  <c r="H22" i="19" s="1"/>
  <c r="I33" i="17"/>
  <c r="G9" i="17"/>
  <c r="F137" i="17"/>
  <c r="F46" i="21" s="1"/>
  <c r="CP67" i="27"/>
  <c r="K11" i="24"/>
  <c r="K17" i="24" s="1"/>
  <c r="L25" i="25"/>
  <c r="J30" i="25"/>
  <c r="O22" i="22"/>
  <c r="L15" i="24" s="1"/>
  <c r="AP68" i="27" s="1"/>
  <c r="CW68" i="27" s="1"/>
  <c r="O16" i="22"/>
  <c r="O19" i="22"/>
  <c r="L14" i="24" s="1"/>
  <c r="AO68" i="27" s="1"/>
  <c r="CV68" i="27" s="1"/>
  <c r="O13" i="22"/>
  <c r="N22" i="25"/>
  <c r="N46" i="25"/>
  <c r="M39" i="23" s="1"/>
  <c r="P25" i="22"/>
  <c r="O69" i="27"/>
  <c r="CR68" i="27"/>
  <c r="DI68" i="27"/>
  <c r="CQ68" i="27"/>
  <c r="CZ68" i="27"/>
  <c r="CU66" i="27"/>
  <c r="CX66" i="27"/>
  <c r="K13" i="24"/>
  <c r="AM67" i="27" s="1"/>
  <c r="L26" i="25"/>
  <c r="K24" i="25"/>
  <c r="K48" i="25"/>
  <c r="L47" i="25"/>
  <c r="P66" i="27"/>
  <c r="DL66" i="27" s="1"/>
  <c r="M102" i="19"/>
  <c r="M101" i="19"/>
  <c r="M97" i="19" s="1"/>
  <c r="I40" i="19"/>
  <c r="I39" i="19"/>
  <c r="I35" i="19" s="1"/>
  <c r="J45" i="19"/>
  <c r="L73" i="15"/>
  <c r="M85" i="15"/>
  <c r="K76" i="19"/>
  <c r="J62" i="19"/>
  <c r="L12" i="107"/>
  <c r="L11" i="107"/>
  <c r="L15" i="107"/>
  <c r="L16" i="107"/>
  <c r="L71" i="17"/>
  <c r="M90" i="17"/>
  <c r="M89" i="17"/>
  <c r="M85" i="17" s="1"/>
  <c r="G284" i="20"/>
  <c r="G280" i="20" s="1"/>
  <c r="G285" i="20"/>
  <c r="L34" i="107"/>
  <c r="L38" i="107" s="1"/>
  <c r="M33" i="107" s="1"/>
  <c r="H96" i="106" l="1"/>
  <c r="H100" i="106" s="1"/>
  <c r="I95" i="106" s="1"/>
  <c r="L28" i="108"/>
  <c r="J51" i="16"/>
  <c r="I101" i="108"/>
  <c r="I102" i="108"/>
  <c r="K10" i="108"/>
  <c r="K14" i="108" s="1"/>
  <c r="L9" i="108" s="1"/>
  <c r="I98" i="108"/>
  <c r="I96" i="108" s="1"/>
  <c r="I100" i="108" s="1"/>
  <c r="J95" i="108" s="1"/>
  <c r="J98" i="108" s="1"/>
  <c r="J86" i="107"/>
  <c r="J87" i="107"/>
  <c r="J48" i="16"/>
  <c r="J47" i="16"/>
  <c r="J22" i="106"/>
  <c r="J26" i="106" s="1"/>
  <c r="K21" i="106" s="1"/>
  <c r="K23" i="106" s="1"/>
  <c r="L22" i="16"/>
  <c r="L26" i="16" s="1"/>
  <c r="M21" i="16" s="1"/>
  <c r="M27" i="16" s="1"/>
  <c r="J91" i="107"/>
  <c r="K36" i="20"/>
  <c r="K40" i="20"/>
  <c r="K35" i="20"/>
  <c r="J59" i="20"/>
  <c r="L27" i="108"/>
  <c r="L24" i="108"/>
  <c r="L22" i="108" s="1"/>
  <c r="L26" i="108" s="1"/>
  <c r="M21" i="108" s="1"/>
  <c r="J60" i="20"/>
  <c r="K34" i="16"/>
  <c r="K38" i="16" s="1"/>
  <c r="L33" i="16" s="1"/>
  <c r="L36" i="16" s="1"/>
  <c r="L16" i="108"/>
  <c r="L15" i="108"/>
  <c r="J64" i="20"/>
  <c r="L40" i="106"/>
  <c r="J231" i="20"/>
  <c r="J235" i="20" s="1"/>
  <c r="K230" i="20" s="1"/>
  <c r="K232" i="20" s="1"/>
  <c r="L166" i="20"/>
  <c r="J51" i="108"/>
  <c r="I151" i="20"/>
  <c r="I155" i="20" s="1"/>
  <c r="J150" i="20" s="1"/>
  <c r="J153" i="20" s="1"/>
  <c r="J85" i="107"/>
  <c r="J89" i="107" s="1"/>
  <c r="K84" i="107" s="1"/>
  <c r="I70" i="106"/>
  <c r="I74" i="106" s="1"/>
  <c r="J69" i="106" s="1"/>
  <c r="J75" i="106" s="1"/>
  <c r="J47" i="108"/>
  <c r="J48" i="108"/>
  <c r="J108" i="20"/>
  <c r="F14" i="19"/>
  <c r="G9" i="19" s="1"/>
  <c r="I96" i="20"/>
  <c r="I100" i="20" s="1"/>
  <c r="J95" i="20" s="1"/>
  <c r="J101" i="20" s="1"/>
  <c r="F131" i="16"/>
  <c r="F129" i="16" s="1"/>
  <c r="F133" i="16" s="1"/>
  <c r="G128" i="16" s="1"/>
  <c r="G107" i="16"/>
  <c r="G111" i="16" s="1"/>
  <c r="H106" i="16" s="1"/>
  <c r="H112" i="16" s="1"/>
  <c r="H108" i="16" s="1"/>
  <c r="L12" i="108"/>
  <c r="I70" i="16"/>
  <c r="I74" i="16" s="1"/>
  <c r="J69" i="16" s="1"/>
  <c r="J71" i="16" s="1"/>
  <c r="J58" i="16"/>
  <c r="J62" i="16" s="1"/>
  <c r="K57" i="16" s="1"/>
  <c r="K59" i="16" s="1"/>
  <c r="K34" i="108"/>
  <c r="K38" i="108" s="1"/>
  <c r="L33" i="108" s="1"/>
  <c r="L39" i="108" s="1"/>
  <c r="J220" i="20"/>
  <c r="J224" i="20" s="1"/>
  <c r="K219" i="20" s="1"/>
  <c r="K222" i="20" s="1"/>
  <c r="L24" i="20"/>
  <c r="L22" i="20" s="1"/>
  <c r="L26" i="20" s="1"/>
  <c r="M21" i="20" s="1"/>
  <c r="F135" i="16"/>
  <c r="L28" i="20"/>
  <c r="L135" i="20"/>
  <c r="H90" i="16"/>
  <c r="H86" i="16" s="1"/>
  <c r="H85" i="16" s="1"/>
  <c r="H89" i="16" s="1"/>
  <c r="I84" i="16" s="1"/>
  <c r="I90" i="16" s="1"/>
  <c r="L11" i="108"/>
  <c r="H91" i="16"/>
  <c r="L130" i="20"/>
  <c r="K233" i="20"/>
  <c r="K28" i="12"/>
  <c r="E140" i="16"/>
  <c r="E144" i="16" s="1"/>
  <c r="F139" i="16" s="1"/>
  <c r="F142" i="16" s="1"/>
  <c r="G134" i="108"/>
  <c r="G130" i="108" s="1"/>
  <c r="G135" i="108"/>
  <c r="H91" i="12"/>
  <c r="L27" i="20"/>
  <c r="I58" i="108"/>
  <c r="I62" i="108" s="1"/>
  <c r="J57" i="108" s="1"/>
  <c r="J63" i="108" s="1"/>
  <c r="K27" i="12"/>
  <c r="K24" i="12"/>
  <c r="K22" i="12" s="1"/>
  <c r="K26" i="12" s="1"/>
  <c r="L21" i="12" s="1"/>
  <c r="L27" i="12" s="1"/>
  <c r="G96" i="16"/>
  <c r="G100" i="16" s="1"/>
  <c r="H95" i="16" s="1"/>
  <c r="E156" i="16"/>
  <c r="E152" i="16" s="1"/>
  <c r="E157" i="16"/>
  <c r="E153" i="16"/>
  <c r="K86" i="108"/>
  <c r="K85" i="108" s="1"/>
  <c r="K89" i="108" s="1"/>
  <c r="L84" i="108" s="1"/>
  <c r="L10" i="106"/>
  <c r="L14" i="106" s="1"/>
  <c r="M9" i="106" s="1"/>
  <c r="M12" i="106" s="1"/>
  <c r="D174" i="16"/>
  <c r="B188" i="16"/>
  <c r="J268" i="20"/>
  <c r="J272" i="20" s="1"/>
  <c r="K267" i="20" s="1"/>
  <c r="K270" i="20" s="1"/>
  <c r="E163" i="16"/>
  <c r="F163" i="16" s="1"/>
  <c r="G163" i="16" s="1"/>
  <c r="D170" i="16"/>
  <c r="D166" i="16" s="1"/>
  <c r="D167" i="16"/>
  <c r="I70" i="108"/>
  <c r="I74" i="108" s="1"/>
  <c r="J69" i="108" s="1"/>
  <c r="J75" i="108" s="1"/>
  <c r="L12" i="12"/>
  <c r="K97" i="107"/>
  <c r="L11" i="12"/>
  <c r="G131" i="108"/>
  <c r="G157" i="107"/>
  <c r="L15" i="12"/>
  <c r="J109" i="20"/>
  <c r="K209" i="20"/>
  <c r="K213" i="20" s="1"/>
  <c r="L208" i="20" s="1"/>
  <c r="L211" i="20" s="1"/>
  <c r="L131" i="20"/>
  <c r="L22" i="107"/>
  <c r="L26" i="107" s="1"/>
  <c r="M21" i="107" s="1"/>
  <c r="M27" i="107" s="1"/>
  <c r="K76" i="107"/>
  <c r="H90" i="12"/>
  <c r="H86" i="12" s="1"/>
  <c r="H85" i="12" s="1"/>
  <c r="H89" i="12" s="1"/>
  <c r="I84" i="12" s="1"/>
  <c r="H112" i="108"/>
  <c r="H108" i="108" s="1"/>
  <c r="H113" i="108"/>
  <c r="H109" i="108"/>
  <c r="K71" i="107"/>
  <c r="K70" i="107" s="1"/>
  <c r="K74" i="107" s="1"/>
  <c r="L69" i="107" s="1"/>
  <c r="L71" i="107" s="1"/>
  <c r="E157" i="106"/>
  <c r="I59" i="12"/>
  <c r="E192" i="107"/>
  <c r="E188" i="107" s="1"/>
  <c r="K75" i="107"/>
  <c r="F107" i="12"/>
  <c r="F111" i="12" s="1"/>
  <c r="G106" i="12" s="1"/>
  <c r="G113" i="12" s="1"/>
  <c r="E140" i="106"/>
  <c r="E144" i="106" s="1"/>
  <c r="F139" i="106" s="1"/>
  <c r="F145" i="106" s="1"/>
  <c r="F141" i="106" s="1"/>
  <c r="H107" i="107"/>
  <c r="H111" i="107" s="1"/>
  <c r="I106" i="107" s="1"/>
  <c r="I113" i="107" s="1"/>
  <c r="I246" i="20"/>
  <c r="I250" i="20" s="1"/>
  <c r="J245" i="20" s="1"/>
  <c r="J251" i="20" s="1"/>
  <c r="K236" i="20"/>
  <c r="K75" i="20"/>
  <c r="J112" i="20"/>
  <c r="K98" i="107"/>
  <c r="E156" i="106"/>
  <c r="E152" i="106" s="1"/>
  <c r="E151" i="106" s="1"/>
  <c r="E155" i="106" s="1"/>
  <c r="F150" i="106" s="1"/>
  <c r="K27" i="106"/>
  <c r="K24" i="106"/>
  <c r="K91" i="108"/>
  <c r="G153" i="107"/>
  <c r="G151" i="107" s="1"/>
  <c r="G155" i="107" s="1"/>
  <c r="H150" i="107" s="1"/>
  <c r="H156" i="107" s="1"/>
  <c r="H152" i="107" s="1"/>
  <c r="I64" i="12"/>
  <c r="L199" i="20"/>
  <c r="L198" i="20" s="1"/>
  <c r="L202" i="20" s="1"/>
  <c r="M197" i="20" s="1"/>
  <c r="K90" i="108"/>
  <c r="K102" i="107"/>
  <c r="F118" i="12"/>
  <c r="F122" i="12" s="1"/>
  <c r="G117" i="12" s="1"/>
  <c r="G123" i="12" s="1"/>
  <c r="G119" i="12" s="1"/>
  <c r="E171" i="108"/>
  <c r="G140" i="107"/>
  <c r="G144" i="107" s="1"/>
  <c r="H139" i="107" s="1"/>
  <c r="H146" i="107" s="1"/>
  <c r="I60" i="12"/>
  <c r="D177" i="108"/>
  <c r="D176" i="108" s="1"/>
  <c r="D180" i="108" s="1"/>
  <c r="E175" i="108" s="1"/>
  <c r="E178" i="108" s="1"/>
  <c r="I97" i="12"/>
  <c r="I98" i="12"/>
  <c r="I102" i="12"/>
  <c r="I101" i="12"/>
  <c r="L127" i="107"/>
  <c r="M127" i="107" s="1"/>
  <c r="F157" i="108"/>
  <c r="F152" i="108"/>
  <c r="F153" i="108"/>
  <c r="D192" i="108"/>
  <c r="D189" i="108" s="1"/>
  <c r="E185" i="108"/>
  <c r="J127" i="106"/>
  <c r="I174" i="107"/>
  <c r="D188" i="16"/>
  <c r="L83" i="12"/>
  <c r="I138" i="16"/>
  <c r="L39" i="106"/>
  <c r="L187" i="20"/>
  <c r="L191" i="20" s="1"/>
  <c r="M186" i="20" s="1"/>
  <c r="M189" i="20" s="1"/>
  <c r="F174" i="108"/>
  <c r="K94" i="12"/>
  <c r="L94" i="12" s="1"/>
  <c r="I127" i="12"/>
  <c r="J127" i="12" s="1"/>
  <c r="F163" i="106"/>
  <c r="I116" i="12"/>
  <c r="H163" i="108"/>
  <c r="F135" i="106"/>
  <c r="F131" i="106"/>
  <c r="F134" i="106"/>
  <c r="F130" i="106" s="1"/>
  <c r="H129" i="107"/>
  <c r="H133" i="107" s="1"/>
  <c r="I128" i="107" s="1"/>
  <c r="E146" i="12"/>
  <c r="E142" i="12"/>
  <c r="I138" i="108"/>
  <c r="E145" i="12"/>
  <c r="E141" i="12" s="1"/>
  <c r="L36" i="106"/>
  <c r="L34" i="106" s="1"/>
  <c r="L38" i="106" s="1"/>
  <c r="M33" i="106" s="1"/>
  <c r="K15" i="16"/>
  <c r="D170" i="12"/>
  <c r="D166" i="12" s="1"/>
  <c r="E163" i="12"/>
  <c r="F156" i="108"/>
  <c r="D167" i="106"/>
  <c r="D165" i="106" s="1"/>
  <c r="D169" i="106" s="1"/>
  <c r="E164" i="106" s="1"/>
  <c r="G120" i="16"/>
  <c r="G124" i="16"/>
  <c r="G123" i="16"/>
  <c r="G119" i="16" s="1"/>
  <c r="I257" i="20"/>
  <c r="I261" i="20" s="1"/>
  <c r="J256" i="20" s="1"/>
  <c r="G112" i="106"/>
  <c r="G108" i="106" s="1"/>
  <c r="G113" i="106"/>
  <c r="G109" i="106"/>
  <c r="L105" i="12"/>
  <c r="D153" i="12"/>
  <c r="D151" i="12" s="1"/>
  <c r="D155" i="12" s="1"/>
  <c r="E150" i="12" s="1"/>
  <c r="G120" i="108"/>
  <c r="G124" i="108"/>
  <c r="G123" i="108"/>
  <c r="G119" i="108" s="1"/>
  <c r="E167" i="108"/>
  <c r="E165" i="108" s="1"/>
  <c r="E169" i="108" s="1"/>
  <c r="F164" i="108" s="1"/>
  <c r="I76" i="12"/>
  <c r="I71" i="12"/>
  <c r="I72" i="12"/>
  <c r="I75" i="12"/>
  <c r="J127" i="108"/>
  <c r="F171" i="107"/>
  <c r="F167" i="107"/>
  <c r="F170" i="107"/>
  <c r="F166" i="107" s="1"/>
  <c r="G138" i="12"/>
  <c r="E207" i="107"/>
  <c r="D214" i="107"/>
  <c r="D211" i="107" s="1"/>
  <c r="G185" i="107"/>
  <c r="L94" i="106"/>
  <c r="J163" i="107"/>
  <c r="K116" i="16"/>
  <c r="I97" i="106"/>
  <c r="I102" i="106"/>
  <c r="I98" i="106"/>
  <c r="I101" i="106"/>
  <c r="L105" i="108"/>
  <c r="F181" i="107"/>
  <c r="F177" i="107"/>
  <c r="F178" i="107"/>
  <c r="F182" i="107"/>
  <c r="D181" i="106"/>
  <c r="D178" i="106" s="1"/>
  <c r="E174" i="106"/>
  <c r="F196" i="107"/>
  <c r="L116" i="108"/>
  <c r="H149" i="106"/>
  <c r="G123" i="106"/>
  <c r="G119" i="106" s="1"/>
  <c r="G120" i="106"/>
  <c r="G124" i="106"/>
  <c r="H149" i="16"/>
  <c r="D174" i="12"/>
  <c r="B188" i="12"/>
  <c r="J149" i="107"/>
  <c r="M83" i="106"/>
  <c r="D196" i="108"/>
  <c r="B210" i="108"/>
  <c r="B232" i="107"/>
  <c r="D218" i="107"/>
  <c r="K116" i="106"/>
  <c r="K138" i="107"/>
  <c r="F289" i="20"/>
  <c r="E305" i="20"/>
  <c r="H87" i="106"/>
  <c r="H91" i="106"/>
  <c r="H90" i="106"/>
  <c r="H86" i="106" s="1"/>
  <c r="H138" i="106"/>
  <c r="H124" i="107"/>
  <c r="H120" i="107"/>
  <c r="H123" i="107"/>
  <c r="H119" i="107" s="1"/>
  <c r="H149" i="108"/>
  <c r="J127" i="16"/>
  <c r="I46" i="12"/>
  <c r="I50" i="12" s="1"/>
  <c r="J45" i="12" s="1"/>
  <c r="F140" i="108"/>
  <c r="F144" i="108" s="1"/>
  <c r="G139" i="108" s="1"/>
  <c r="L105" i="106"/>
  <c r="I34" i="12"/>
  <c r="I38" i="12" s="1"/>
  <c r="J33" i="12" s="1"/>
  <c r="F149" i="12"/>
  <c r="L105" i="16"/>
  <c r="D185" i="106"/>
  <c r="B199" i="106"/>
  <c r="D200" i="107"/>
  <c r="D198" i="107" s="1"/>
  <c r="D202" i="107" s="1"/>
  <c r="E197" i="107" s="1"/>
  <c r="E189" i="107"/>
  <c r="I58" i="106"/>
  <c r="I62" i="106" s="1"/>
  <c r="J57" i="106" s="1"/>
  <c r="E131" i="12"/>
  <c r="E129" i="12" s="1"/>
  <c r="E133" i="12" s="1"/>
  <c r="F128" i="12" s="1"/>
  <c r="L140" i="20"/>
  <c r="L144" i="20" s="1"/>
  <c r="M139" i="20" s="1"/>
  <c r="M141" i="20" s="1"/>
  <c r="K46" i="106"/>
  <c r="K50" i="106" s="1"/>
  <c r="L45" i="106" s="1"/>
  <c r="L51" i="106" s="1"/>
  <c r="K11" i="16"/>
  <c r="K10" i="16" s="1"/>
  <c r="K14" i="16" s="1"/>
  <c r="L9" i="16" s="1"/>
  <c r="I46" i="20"/>
  <c r="I50" i="20" s="1"/>
  <c r="J45" i="20" s="1"/>
  <c r="J47" i="20" s="1"/>
  <c r="K16" i="16"/>
  <c r="J46" i="107"/>
  <c r="J50" i="107" s="1"/>
  <c r="K45" i="107" s="1"/>
  <c r="K59" i="107"/>
  <c r="K63" i="107"/>
  <c r="K64" i="107"/>
  <c r="K60" i="107"/>
  <c r="J156" i="20"/>
  <c r="J157" i="20"/>
  <c r="J152" i="20"/>
  <c r="K72" i="20"/>
  <c r="L177" i="20"/>
  <c r="L182" i="20"/>
  <c r="L181" i="20"/>
  <c r="L178" i="20"/>
  <c r="K71" i="20"/>
  <c r="M51" i="15"/>
  <c r="M47" i="15" s="1"/>
  <c r="M52" i="15"/>
  <c r="L204" i="20"/>
  <c r="K87" i="20"/>
  <c r="K86" i="20"/>
  <c r="K90" i="20"/>
  <c r="K91" i="20"/>
  <c r="L203" i="20"/>
  <c r="L165" i="20"/>
  <c r="L169" i="20" s="1"/>
  <c r="M164" i="20" s="1"/>
  <c r="H12" i="21"/>
  <c r="F12" i="15"/>
  <c r="K39" i="15"/>
  <c r="K35" i="15" s="1"/>
  <c r="K40" i="15"/>
  <c r="H24" i="15"/>
  <c r="H22" i="15" s="1"/>
  <c r="M64" i="15"/>
  <c r="M63" i="15"/>
  <c r="M59" i="15" s="1"/>
  <c r="K10" i="20"/>
  <c r="K14" i="20" s="1"/>
  <c r="L9" i="20" s="1"/>
  <c r="L15" i="20" s="1"/>
  <c r="M98" i="19"/>
  <c r="M96" i="19" s="1"/>
  <c r="N42" i="13"/>
  <c r="N47" i="13" s="1"/>
  <c r="N49" i="13" s="1"/>
  <c r="N41" i="13"/>
  <c r="N40" i="13" s="1"/>
  <c r="H14" i="21"/>
  <c r="I57" i="25" s="1"/>
  <c r="L17" i="13"/>
  <c r="L8" i="13"/>
  <c r="G15" i="17"/>
  <c r="G11" i="17" s="1"/>
  <c r="G134" i="17" s="1"/>
  <c r="G16" i="17"/>
  <c r="G131" i="17"/>
  <c r="G41" i="21" s="1"/>
  <c r="I40" i="17"/>
  <c r="I39" i="17"/>
  <c r="I35" i="17" s="1"/>
  <c r="H24" i="17"/>
  <c r="H23" i="17"/>
  <c r="I36" i="19"/>
  <c r="I34" i="19" s="1"/>
  <c r="K30" i="25"/>
  <c r="CZ69" i="27"/>
  <c r="CQ69" i="27"/>
  <c r="DI69" i="27"/>
  <c r="CR69" i="27"/>
  <c r="L11" i="24"/>
  <c r="L17" i="24" s="1"/>
  <c r="M25" i="25"/>
  <c r="CP68" i="27"/>
  <c r="M26" i="25"/>
  <c r="L13" i="24"/>
  <c r="AM68" i="27" s="1"/>
  <c r="L24" i="25"/>
  <c r="P67" i="27"/>
  <c r="DL67" i="27" s="1"/>
  <c r="M47" i="25"/>
  <c r="L48" i="25"/>
  <c r="CX67" i="27"/>
  <c r="CU67" i="27"/>
  <c r="P13" i="22"/>
  <c r="P22" i="22"/>
  <c r="M15" i="24" s="1"/>
  <c r="AP69" i="27" s="1"/>
  <c r="CW69" i="27" s="1"/>
  <c r="P16" i="22"/>
  <c r="P19" i="22"/>
  <c r="M14" i="24" s="1"/>
  <c r="AO69" i="27" s="1"/>
  <c r="CV69" i="27" s="1"/>
  <c r="M39" i="107"/>
  <c r="M40" i="107"/>
  <c r="M35" i="107"/>
  <c r="M36" i="107"/>
  <c r="M92" i="15"/>
  <c r="M91" i="15"/>
  <c r="M87" i="15" s="1"/>
  <c r="L80" i="15"/>
  <c r="L79" i="15"/>
  <c r="L75" i="15" s="1"/>
  <c r="L10" i="107"/>
  <c r="L14" i="107" s="1"/>
  <c r="M9" i="107" s="1"/>
  <c r="L78" i="17"/>
  <c r="L77" i="17"/>
  <c r="L73" i="17" s="1"/>
  <c r="K57" i="19"/>
  <c r="L71" i="19"/>
  <c r="M120" i="20"/>
  <c r="M124" i="20"/>
  <c r="M123" i="20"/>
  <c r="M119" i="20"/>
  <c r="J52" i="19"/>
  <c r="J51" i="19"/>
  <c r="J47" i="19" s="1"/>
  <c r="H26" i="19"/>
  <c r="L88" i="19"/>
  <c r="G281" i="20"/>
  <c r="M86" i="17"/>
  <c r="L39" i="16" l="1"/>
  <c r="L40" i="16"/>
  <c r="L36" i="108"/>
  <c r="L35" i="108"/>
  <c r="L40" i="108"/>
  <c r="J46" i="16"/>
  <c r="J50" i="16" s="1"/>
  <c r="K45" i="16" s="1"/>
  <c r="K48" i="16" s="1"/>
  <c r="J46" i="108"/>
  <c r="J50" i="108" s="1"/>
  <c r="K45" i="108" s="1"/>
  <c r="J71" i="106"/>
  <c r="K28" i="106"/>
  <c r="K34" i="20"/>
  <c r="K38" i="20" s="1"/>
  <c r="L33" i="20" s="1"/>
  <c r="L36" i="20" s="1"/>
  <c r="H109" i="16"/>
  <c r="H113" i="16"/>
  <c r="J58" i="20"/>
  <c r="J62" i="20" s="1"/>
  <c r="K57" i="20" s="1"/>
  <c r="K59" i="20" s="1"/>
  <c r="K237" i="20"/>
  <c r="L35" i="16"/>
  <c r="L34" i="16" s="1"/>
  <c r="L38" i="16" s="1"/>
  <c r="M33" i="16" s="1"/>
  <c r="M36" i="16" s="1"/>
  <c r="M23" i="16"/>
  <c r="M24" i="16"/>
  <c r="M28" i="16"/>
  <c r="K231" i="20"/>
  <c r="K235" i="20" s="1"/>
  <c r="L230" i="20" s="1"/>
  <c r="L232" i="20" s="1"/>
  <c r="F145" i="16"/>
  <c r="F141" i="16" s="1"/>
  <c r="F140" i="16" s="1"/>
  <c r="F144" i="16" s="1"/>
  <c r="G139" i="16" s="1"/>
  <c r="G146" i="16" s="1"/>
  <c r="F146" i="16"/>
  <c r="J76" i="108"/>
  <c r="J76" i="16"/>
  <c r="J72" i="16"/>
  <c r="J70" i="16" s="1"/>
  <c r="J74" i="16" s="1"/>
  <c r="K69" i="16" s="1"/>
  <c r="H145" i="107"/>
  <c r="H141" i="107" s="1"/>
  <c r="F137" i="19"/>
  <c r="F30" i="21" s="1"/>
  <c r="J72" i="106"/>
  <c r="J70" i="106" s="1"/>
  <c r="J74" i="106" s="1"/>
  <c r="K69" i="106" s="1"/>
  <c r="K72" i="106" s="1"/>
  <c r="J76" i="106"/>
  <c r="G120" i="12"/>
  <c r="G118" i="12" s="1"/>
  <c r="G122" i="12" s="1"/>
  <c r="H117" i="12" s="1"/>
  <c r="K91" i="107"/>
  <c r="K86" i="107"/>
  <c r="K90" i="107"/>
  <c r="K87" i="107"/>
  <c r="J107" i="20"/>
  <c r="J111" i="20" s="1"/>
  <c r="K106" i="20" s="1"/>
  <c r="K108" i="20" s="1"/>
  <c r="G109" i="12"/>
  <c r="G134" i="16"/>
  <c r="G131" i="16"/>
  <c r="G130" i="16"/>
  <c r="G135" i="16"/>
  <c r="G129" i="108"/>
  <c r="G133" i="108" s="1"/>
  <c r="H128" i="108" s="1"/>
  <c r="H131" i="108" s="1"/>
  <c r="M28" i="20"/>
  <c r="M27" i="20"/>
  <c r="J98" i="20"/>
  <c r="J75" i="16"/>
  <c r="J59" i="108"/>
  <c r="M28" i="107"/>
  <c r="L129" i="20"/>
  <c r="L133" i="20" s="1"/>
  <c r="M128" i="20" s="1"/>
  <c r="M131" i="20" s="1"/>
  <c r="J97" i="20"/>
  <c r="J102" i="20"/>
  <c r="L10" i="108"/>
  <c r="L14" i="108" s="1"/>
  <c r="M9" i="108" s="1"/>
  <c r="M11" i="108" s="1"/>
  <c r="K221" i="20"/>
  <c r="K220" i="20" s="1"/>
  <c r="K224" i="20" s="1"/>
  <c r="L219" i="20" s="1"/>
  <c r="L225" i="20" s="1"/>
  <c r="K226" i="20"/>
  <c r="K225" i="20"/>
  <c r="M24" i="20"/>
  <c r="M23" i="20"/>
  <c r="K64" i="16"/>
  <c r="K60" i="16"/>
  <c r="K58" i="16" s="1"/>
  <c r="K62" i="16" s="1"/>
  <c r="L57" i="16" s="1"/>
  <c r="L60" i="16" s="1"/>
  <c r="K63" i="16"/>
  <c r="J60" i="108"/>
  <c r="I91" i="16"/>
  <c r="I87" i="16"/>
  <c r="I86" i="16"/>
  <c r="L210" i="20"/>
  <c r="L209" i="20" s="1"/>
  <c r="L213" i="20" s="1"/>
  <c r="M208" i="20" s="1"/>
  <c r="J72" i="108"/>
  <c r="J71" i="108"/>
  <c r="L10" i="12"/>
  <c r="L14" i="12" s="1"/>
  <c r="M9" i="12" s="1"/>
  <c r="M16" i="12" s="1"/>
  <c r="L214" i="20"/>
  <c r="I108" i="107"/>
  <c r="K269" i="20"/>
  <c r="K268" i="20" s="1"/>
  <c r="K272" i="20" s="1"/>
  <c r="L267" i="20" s="1"/>
  <c r="L269" i="20" s="1"/>
  <c r="L215" i="20"/>
  <c r="M16" i="106"/>
  <c r="J64" i="108"/>
  <c r="K273" i="20"/>
  <c r="H102" i="16"/>
  <c r="H98" i="16"/>
  <c r="H101" i="16"/>
  <c r="H97" i="16" s="1"/>
  <c r="G118" i="108"/>
  <c r="G122" i="108" s="1"/>
  <c r="H117" i="108" s="1"/>
  <c r="H124" i="108" s="1"/>
  <c r="E151" i="16"/>
  <c r="E155" i="16" s="1"/>
  <c r="F150" i="16" s="1"/>
  <c r="L28" i="12"/>
  <c r="L23" i="12"/>
  <c r="L24" i="12"/>
  <c r="D181" i="16"/>
  <c r="D177" i="16" s="1"/>
  <c r="E174" i="16"/>
  <c r="F174" i="16" s="1"/>
  <c r="G174" i="16" s="1"/>
  <c r="G112" i="12"/>
  <c r="G108" i="12" s="1"/>
  <c r="D178" i="16"/>
  <c r="K96" i="107"/>
  <c r="K100" i="107" s="1"/>
  <c r="L95" i="107" s="1"/>
  <c r="L98" i="107" s="1"/>
  <c r="D165" i="16"/>
  <c r="D169" i="16" s="1"/>
  <c r="E164" i="16" s="1"/>
  <c r="M15" i="106"/>
  <c r="M11" i="106"/>
  <c r="M10" i="106" s="1"/>
  <c r="M14" i="106" s="1"/>
  <c r="K274" i="20"/>
  <c r="B199" i="16"/>
  <c r="D185" i="16"/>
  <c r="K109" i="20"/>
  <c r="F142" i="106"/>
  <c r="F140" i="106" s="1"/>
  <c r="F144" i="106" s="1"/>
  <c r="G139" i="106" s="1"/>
  <c r="G145" i="106" s="1"/>
  <c r="G141" i="106" s="1"/>
  <c r="F153" i="106"/>
  <c r="F157" i="106"/>
  <c r="M24" i="107"/>
  <c r="E187" i="107"/>
  <c r="E191" i="107" s="1"/>
  <c r="F186" i="107" s="1"/>
  <c r="F192" i="107" s="1"/>
  <c r="F188" i="107" s="1"/>
  <c r="I112" i="107"/>
  <c r="J248" i="20"/>
  <c r="L47" i="106"/>
  <c r="I109" i="107"/>
  <c r="J252" i="20"/>
  <c r="G118" i="16"/>
  <c r="G122" i="16" s="1"/>
  <c r="H117" i="16" s="1"/>
  <c r="H120" i="16" s="1"/>
  <c r="I86" i="12"/>
  <c r="I90" i="12"/>
  <c r="I87" i="12"/>
  <c r="I91" i="12"/>
  <c r="M188" i="20"/>
  <c r="M187" i="20" s="1"/>
  <c r="M191" i="20" s="1"/>
  <c r="I58" i="12"/>
  <c r="I62" i="12" s="1"/>
  <c r="J57" i="12" s="1"/>
  <c r="J59" i="12" s="1"/>
  <c r="L76" i="107"/>
  <c r="M145" i="20"/>
  <c r="G124" i="12"/>
  <c r="L75" i="107"/>
  <c r="M23" i="107"/>
  <c r="E181" i="108"/>
  <c r="E177" i="108" s="1"/>
  <c r="E176" i="108" s="1"/>
  <c r="E180" i="108" s="1"/>
  <c r="F175" i="108" s="1"/>
  <c r="F177" i="108" s="1"/>
  <c r="J247" i="20"/>
  <c r="F146" i="106"/>
  <c r="L52" i="106"/>
  <c r="I96" i="12"/>
  <c r="I100" i="12" s="1"/>
  <c r="J95" i="12" s="1"/>
  <c r="J97" i="12" s="1"/>
  <c r="H107" i="108"/>
  <c r="H111" i="108" s="1"/>
  <c r="I106" i="108" s="1"/>
  <c r="M142" i="20"/>
  <c r="M140" i="20" s="1"/>
  <c r="M144" i="20" s="1"/>
  <c r="J48" i="20"/>
  <c r="J46" i="20" s="1"/>
  <c r="J50" i="20" s="1"/>
  <c r="K45" i="20" s="1"/>
  <c r="L72" i="107"/>
  <c r="L70" i="107" s="1"/>
  <c r="L74" i="107" s="1"/>
  <c r="M69" i="107" s="1"/>
  <c r="M146" i="20"/>
  <c r="J51" i="20"/>
  <c r="H157" i="107"/>
  <c r="J101" i="108"/>
  <c r="K22" i="106"/>
  <c r="K26" i="106" s="1"/>
  <c r="L21" i="106" s="1"/>
  <c r="L236" i="20"/>
  <c r="J52" i="20"/>
  <c r="E182" i="108"/>
  <c r="H153" i="107"/>
  <c r="H151" i="107" s="1"/>
  <c r="H155" i="107" s="1"/>
  <c r="I150" i="107" s="1"/>
  <c r="I156" i="107" s="1"/>
  <c r="E140" i="12"/>
  <c r="E144" i="12" s="1"/>
  <c r="F139" i="12" s="1"/>
  <c r="F145" i="12" s="1"/>
  <c r="F141" i="12" s="1"/>
  <c r="L233" i="20"/>
  <c r="L231" i="20" s="1"/>
  <c r="L235" i="20" s="1"/>
  <c r="M230" i="20" s="1"/>
  <c r="M232" i="20" s="1"/>
  <c r="F156" i="106"/>
  <c r="F152" i="106" s="1"/>
  <c r="L237" i="20"/>
  <c r="L11" i="20"/>
  <c r="H142" i="107"/>
  <c r="I96" i="106"/>
  <c r="I100" i="106" s="1"/>
  <c r="J95" i="106" s="1"/>
  <c r="J98" i="106" s="1"/>
  <c r="J102" i="108"/>
  <c r="J97" i="108"/>
  <c r="J96" i="108" s="1"/>
  <c r="J100" i="108" s="1"/>
  <c r="K95" i="108" s="1"/>
  <c r="H85" i="106"/>
  <c r="H89" i="106" s="1"/>
  <c r="I84" i="106" s="1"/>
  <c r="I90" i="106" s="1"/>
  <c r="G107" i="106"/>
  <c r="G111" i="106" s="1"/>
  <c r="H106" i="106" s="1"/>
  <c r="H109" i="106" s="1"/>
  <c r="D167" i="12"/>
  <c r="D165" i="12" s="1"/>
  <c r="D169" i="12" s="1"/>
  <c r="E164" i="12" s="1"/>
  <c r="F135" i="12"/>
  <c r="F131" i="12"/>
  <c r="F134" i="12"/>
  <c r="F130" i="12" s="1"/>
  <c r="E204" i="107"/>
  <c r="J39" i="12"/>
  <c r="J40" i="12"/>
  <c r="J35" i="12"/>
  <c r="J36" i="12"/>
  <c r="I138" i="106"/>
  <c r="G196" i="107"/>
  <c r="K127" i="108"/>
  <c r="J259" i="20"/>
  <c r="J262" i="20"/>
  <c r="J263" i="20"/>
  <c r="J258" i="20"/>
  <c r="I163" i="108"/>
  <c r="G163" i="106"/>
  <c r="M94" i="12"/>
  <c r="F185" i="108"/>
  <c r="M193" i="20"/>
  <c r="K51" i="108"/>
  <c r="K52" i="108"/>
  <c r="K48" i="108"/>
  <c r="K47" i="108"/>
  <c r="H118" i="107"/>
  <c r="H122" i="107" s="1"/>
  <c r="I117" i="107" s="1"/>
  <c r="I149" i="16"/>
  <c r="L116" i="16"/>
  <c r="E157" i="12"/>
  <c r="F163" i="12"/>
  <c r="F129" i="106"/>
  <c r="F133" i="106" s="1"/>
  <c r="G128" i="106" s="1"/>
  <c r="M192" i="20"/>
  <c r="L48" i="106"/>
  <c r="J151" i="20"/>
  <c r="J155" i="20" s="1"/>
  <c r="K150" i="20" s="1"/>
  <c r="K153" i="20" s="1"/>
  <c r="J64" i="106"/>
  <c r="J59" i="106"/>
  <c r="J60" i="106"/>
  <c r="J63" i="106"/>
  <c r="M105" i="16"/>
  <c r="D185" i="12"/>
  <c r="B199" i="12"/>
  <c r="I149" i="106"/>
  <c r="M116" i="108"/>
  <c r="D177" i="106"/>
  <c r="D176" i="106" s="1"/>
  <c r="D180" i="106" s="1"/>
  <c r="E175" i="106" s="1"/>
  <c r="F176" i="107"/>
  <c r="F180" i="107" s="1"/>
  <c r="G175" i="107" s="1"/>
  <c r="M105" i="108"/>
  <c r="D210" i="107"/>
  <c r="D209" i="107" s="1"/>
  <c r="D213" i="107" s="1"/>
  <c r="E208" i="107" s="1"/>
  <c r="H138" i="12"/>
  <c r="I70" i="12"/>
  <c r="I74" i="12" s="1"/>
  <c r="J69" i="12" s="1"/>
  <c r="H107" i="16"/>
  <c r="H111" i="16" s="1"/>
  <c r="I106" i="16" s="1"/>
  <c r="J116" i="12"/>
  <c r="K127" i="12"/>
  <c r="G174" i="108"/>
  <c r="M83" i="12"/>
  <c r="K127" i="106"/>
  <c r="F151" i="108"/>
  <c r="F155" i="108" s="1"/>
  <c r="G150" i="108" s="1"/>
  <c r="E185" i="106"/>
  <c r="D192" i="106"/>
  <c r="D188" i="106" s="1"/>
  <c r="G149" i="12"/>
  <c r="M105" i="106"/>
  <c r="B247" i="107"/>
  <c r="D229" i="107"/>
  <c r="D203" i="108"/>
  <c r="D200" i="108" s="1"/>
  <c r="E196" i="108"/>
  <c r="K149" i="107"/>
  <c r="L149" i="107" s="1"/>
  <c r="H163" i="16"/>
  <c r="H185" i="107"/>
  <c r="F207" i="107"/>
  <c r="E171" i="106"/>
  <c r="E167" i="106"/>
  <c r="J138" i="16"/>
  <c r="J174" i="107"/>
  <c r="G146" i="108"/>
  <c r="G142" i="108"/>
  <c r="G145" i="108"/>
  <c r="G141" i="108" s="1"/>
  <c r="K127" i="16"/>
  <c r="F296" i="20"/>
  <c r="F292" i="20"/>
  <c r="F295" i="20"/>
  <c r="F291" i="20" s="1"/>
  <c r="F302" i="20" s="1"/>
  <c r="F300" i="20"/>
  <c r="L116" i="106"/>
  <c r="F174" i="106"/>
  <c r="F165" i="107"/>
  <c r="F169" i="107" s="1"/>
  <c r="G164" i="107" s="1"/>
  <c r="F170" i="108"/>
  <c r="F171" i="108"/>
  <c r="F167" i="108"/>
  <c r="F166" i="108"/>
  <c r="J138" i="108"/>
  <c r="B210" i="106"/>
  <c r="D196" i="106"/>
  <c r="E156" i="12"/>
  <c r="E152" i="12" s="1"/>
  <c r="J47" i="12"/>
  <c r="J51" i="12"/>
  <c r="J52" i="12"/>
  <c r="J48" i="12"/>
  <c r="I149" i="108"/>
  <c r="L138" i="107"/>
  <c r="D225" i="107"/>
  <c r="D221" i="107" s="1"/>
  <c r="E218" i="107"/>
  <c r="D207" i="108"/>
  <c r="B221" i="108"/>
  <c r="D181" i="12"/>
  <c r="D177" i="12" s="1"/>
  <c r="E174" i="12"/>
  <c r="G118" i="106"/>
  <c r="G122" i="106" s="1"/>
  <c r="H117" i="106" s="1"/>
  <c r="E203" i="107"/>
  <c r="E199" i="107" s="1"/>
  <c r="K163" i="107"/>
  <c r="M94" i="106"/>
  <c r="M105" i="12"/>
  <c r="I131" i="107"/>
  <c r="I135" i="107"/>
  <c r="I130" i="107"/>
  <c r="I134" i="107"/>
  <c r="E170" i="106"/>
  <c r="E166" i="106" s="1"/>
  <c r="D188" i="108"/>
  <c r="D187" i="108" s="1"/>
  <c r="D191" i="108" s="1"/>
  <c r="E186" i="108" s="1"/>
  <c r="K58" i="107"/>
  <c r="K62" i="107" s="1"/>
  <c r="L57" i="107" s="1"/>
  <c r="L12" i="16"/>
  <c r="L15" i="16"/>
  <c r="L16" i="16"/>
  <c r="L11" i="16"/>
  <c r="L16" i="20"/>
  <c r="K85" i="20"/>
  <c r="K89" i="20" s="1"/>
  <c r="L84" i="20" s="1"/>
  <c r="L87" i="20" s="1"/>
  <c r="L176" i="20"/>
  <c r="L180" i="20" s="1"/>
  <c r="M175" i="20" s="1"/>
  <c r="M178" i="20" s="1"/>
  <c r="K52" i="107"/>
  <c r="K47" i="107"/>
  <c r="K48" i="107"/>
  <c r="K51" i="107"/>
  <c r="L12" i="20"/>
  <c r="K70" i="20"/>
  <c r="K74" i="20" s="1"/>
  <c r="L69" i="20" s="1"/>
  <c r="L72" i="20" s="1"/>
  <c r="L87" i="108"/>
  <c r="L90" i="108"/>
  <c r="L86" i="108"/>
  <c r="L91" i="108"/>
  <c r="M48" i="15"/>
  <c r="M46" i="15" s="1"/>
  <c r="M50" i="15" s="1"/>
  <c r="M39" i="106"/>
  <c r="M35" i="106"/>
  <c r="M40" i="106"/>
  <c r="M36" i="106"/>
  <c r="M170" i="20"/>
  <c r="M167" i="20"/>
  <c r="M171" i="20"/>
  <c r="M166" i="20"/>
  <c r="F10" i="15"/>
  <c r="F137" i="15"/>
  <c r="F60" i="21" s="1"/>
  <c r="G16" i="19"/>
  <c r="G15" i="19"/>
  <c r="G11" i="19" s="1"/>
  <c r="G134" i="19" s="1"/>
  <c r="G131" i="19"/>
  <c r="G25" i="21" s="1"/>
  <c r="G12" i="17"/>
  <c r="G135" i="17" s="1"/>
  <c r="G44" i="21" s="1"/>
  <c r="K36" i="15"/>
  <c r="K34" i="15" s="1"/>
  <c r="K38" i="15" s="1"/>
  <c r="L33" i="15" s="1"/>
  <c r="L40" i="15" s="1"/>
  <c r="M60" i="15"/>
  <c r="M58" i="15" s="1"/>
  <c r="M62" i="15" s="1"/>
  <c r="L34" i="108"/>
  <c r="L38" i="108" s="1"/>
  <c r="M33" i="108" s="1"/>
  <c r="M23" i="108"/>
  <c r="M28" i="108"/>
  <c r="M24" i="108"/>
  <c r="M27" i="108"/>
  <c r="M118" i="20"/>
  <c r="M122" i="20" s="1"/>
  <c r="O36" i="13"/>
  <c r="O45" i="13"/>
  <c r="L13" i="13"/>
  <c r="I11" i="21" s="1"/>
  <c r="I9" i="21"/>
  <c r="H26" i="15"/>
  <c r="I36" i="17"/>
  <c r="H22" i="17"/>
  <c r="L30" i="25"/>
  <c r="CX68" i="27"/>
  <c r="CU68" i="27"/>
  <c r="N26" i="25"/>
  <c r="M13" i="24"/>
  <c r="AM69" i="27" s="1"/>
  <c r="M11" i="24"/>
  <c r="M17" i="24" s="1"/>
  <c r="CP69" i="27"/>
  <c r="N25" i="25"/>
  <c r="N47" i="25"/>
  <c r="P68" i="27"/>
  <c r="DL68" i="27" s="1"/>
  <c r="M24" i="25"/>
  <c r="M48" i="25"/>
  <c r="M100" i="19"/>
  <c r="I38" i="19"/>
  <c r="M83" i="19"/>
  <c r="I21" i="19"/>
  <c r="M200" i="20"/>
  <c r="M204" i="20"/>
  <c r="M199" i="20"/>
  <c r="M203" i="20"/>
  <c r="J48" i="19"/>
  <c r="M88" i="15"/>
  <c r="M34" i="107"/>
  <c r="M38" i="107" s="1"/>
  <c r="M84" i="17"/>
  <c r="G279" i="20"/>
  <c r="L78" i="19"/>
  <c r="L77" i="19"/>
  <c r="L73" i="19" s="1"/>
  <c r="K64" i="19"/>
  <c r="K63" i="19"/>
  <c r="K59" i="19" s="1"/>
  <c r="M15" i="107"/>
  <c r="M16" i="107"/>
  <c r="M11" i="107"/>
  <c r="M12" i="107"/>
  <c r="L74" i="17"/>
  <c r="L76" i="15"/>
  <c r="K47" i="16" l="1"/>
  <c r="K46" i="16" s="1"/>
  <c r="K50" i="16" s="1"/>
  <c r="L45" i="16" s="1"/>
  <c r="L52" i="16" s="1"/>
  <c r="L35" i="20"/>
  <c r="K51" i="16"/>
  <c r="L48" i="16"/>
  <c r="K52" i="16"/>
  <c r="L51" i="16"/>
  <c r="L47" i="16"/>
  <c r="K113" i="20"/>
  <c r="K60" i="20"/>
  <c r="K58" i="20" s="1"/>
  <c r="K62" i="20" s="1"/>
  <c r="L57" i="20" s="1"/>
  <c r="L64" i="20" s="1"/>
  <c r="K63" i="20"/>
  <c r="K112" i="20"/>
  <c r="I86" i="106"/>
  <c r="G107" i="12"/>
  <c r="G111" i="12" s="1"/>
  <c r="H106" i="12" s="1"/>
  <c r="L101" i="107"/>
  <c r="K64" i="20"/>
  <c r="L40" i="20"/>
  <c r="L39" i="20"/>
  <c r="M22" i="16"/>
  <c r="M26" i="16" s="1"/>
  <c r="L97" i="107"/>
  <c r="L96" i="107" s="1"/>
  <c r="L100" i="107" s="1"/>
  <c r="M95" i="107" s="1"/>
  <c r="M101" i="107" s="1"/>
  <c r="L102" i="107"/>
  <c r="G129" i="16"/>
  <c r="G133" i="16" s="1"/>
  <c r="H128" i="16" s="1"/>
  <c r="H131" i="16" s="1"/>
  <c r="K85" i="107"/>
  <c r="K89" i="107" s="1"/>
  <c r="L84" i="107" s="1"/>
  <c r="L86" i="107" s="1"/>
  <c r="H140" i="107"/>
  <c r="H144" i="107" s="1"/>
  <c r="I139" i="107" s="1"/>
  <c r="I145" i="107" s="1"/>
  <c r="K76" i="16"/>
  <c r="K72" i="16"/>
  <c r="K71" i="16"/>
  <c r="K75" i="16"/>
  <c r="L59" i="16"/>
  <c r="L58" i="16" s="1"/>
  <c r="L62" i="16" s="1"/>
  <c r="M57" i="16" s="1"/>
  <c r="M63" i="16" s="1"/>
  <c r="M12" i="12"/>
  <c r="L63" i="16"/>
  <c r="L64" i="16"/>
  <c r="M15" i="12"/>
  <c r="J102" i="12"/>
  <c r="H123" i="12"/>
  <c r="H119" i="12" s="1"/>
  <c r="H124" i="12"/>
  <c r="H120" i="12"/>
  <c r="J97" i="106"/>
  <c r="L34" i="20"/>
  <c r="L38" i="20" s="1"/>
  <c r="M33" i="20" s="1"/>
  <c r="M39" i="20" s="1"/>
  <c r="K76" i="106"/>
  <c r="J96" i="20"/>
  <c r="J100" i="20" s="1"/>
  <c r="K95" i="20" s="1"/>
  <c r="K98" i="20" s="1"/>
  <c r="J58" i="108"/>
  <c r="J62" i="108" s="1"/>
  <c r="K57" i="108" s="1"/>
  <c r="K63" i="108" s="1"/>
  <c r="M22" i="20"/>
  <c r="M26" i="20" s="1"/>
  <c r="H134" i="108"/>
  <c r="H130" i="108" s="1"/>
  <c r="H129" i="108" s="1"/>
  <c r="H133" i="108" s="1"/>
  <c r="I128" i="108" s="1"/>
  <c r="H135" i="108"/>
  <c r="M35" i="16"/>
  <c r="M34" i="16" s="1"/>
  <c r="M38" i="16" s="1"/>
  <c r="M16" i="108"/>
  <c r="F193" i="107"/>
  <c r="M134" i="20"/>
  <c r="M11" i="12"/>
  <c r="M15" i="108"/>
  <c r="J70" i="108"/>
  <c r="J74" i="108" s="1"/>
  <c r="K69" i="108" s="1"/>
  <c r="K72" i="108" s="1"/>
  <c r="M12" i="108"/>
  <c r="M10" i="108" s="1"/>
  <c r="M14" i="108" s="1"/>
  <c r="L226" i="20"/>
  <c r="M135" i="20"/>
  <c r="M130" i="20"/>
  <c r="M129" i="20" s="1"/>
  <c r="M133" i="20" s="1"/>
  <c r="G142" i="106"/>
  <c r="G140" i="106" s="1"/>
  <c r="G144" i="106" s="1"/>
  <c r="H139" i="106" s="1"/>
  <c r="H145" i="106" s="1"/>
  <c r="H141" i="106" s="1"/>
  <c r="L46" i="16"/>
  <c r="L50" i="16" s="1"/>
  <c r="M45" i="16" s="1"/>
  <c r="M47" i="16" s="1"/>
  <c r="M39" i="16"/>
  <c r="J102" i="106"/>
  <c r="I107" i="107"/>
  <c r="I111" i="107" s="1"/>
  <c r="J106" i="107" s="1"/>
  <c r="J112" i="107" s="1"/>
  <c r="L270" i="20"/>
  <c r="L268" i="20" s="1"/>
  <c r="L272" i="20" s="1"/>
  <c r="M267" i="20" s="1"/>
  <c r="M270" i="20" s="1"/>
  <c r="J101" i="106"/>
  <c r="M40" i="16"/>
  <c r="I85" i="16"/>
  <c r="I89" i="16" s="1"/>
  <c r="J84" i="16" s="1"/>
  <c r="L273" i="20"/>
  <c r="L274" i="20"/>
  <c r="K107" i="20"/>
  <c r="K111" i="20" s="1"/>
  <c r="L106" i="20" s="1"/>
  <c r="L112" i="20" s="1"/>
  <c r="J101" i="12"/>
  <c r="H124" i="16"/>
  <c r="D176" i="16"/>
  <c r="D180" i="16" s="1"/>
  <c r="E175" i="16" s="1"/>
  <c r="E177" i="16" s="1"/>
  <c r="J98" i="12"/>
  <c r="J96" i="12" s="1"/>
  <c r="J100" i="12" s="1"/>
  <c r="K95" i="12" s="1"/>
  <c r="K98" i="12" s="1"/>
  <c r="J63" i="12"/>
  <c r="G146" i="106"/>
  <c r="H123" i="108"/>
  <c r="H119" i="108" s="1"/>
  <c r="H120" i="108"/>
  <c r="L22" i="12"/>
  <c r="L26" i="12" s="1"/>
  <c r="M21" i="12" s="1"/>
  <c r="H96" i="16"/>
  <c r="H100" i="16" s="1"/>
  <c r="I95" i="16" s="1"/>
  <c r="F156" i="16"/>
  <c r="F152" i="16" s="1"/>
  <c r="F157" i="16"/>
  <c r="F153" i="16"/>
  <c r="J246" i="20"/>
  <c r="J250" i="20" s="1"/>
  <c r="K245" i="20" s="1"/>
  <c r="K251" i="20" s="1"/>
  <c r="B210" i="16"/>
  <c r="D196" i="16"/>
  <c r="E171" i="16"/>
  <c r="E170" i="16"/>
  <c r="E166" i="16" s="1"/>
  <c r="E167" i="16"/>
  <c r="D192" i="16"/>
  <c r="D189" i="16" s="1"/>
  <c r="D187" i="16" s="1"/>
  <c r="D191" i="16" s="1"/>
  <c r="E186" i="16" s="1"/>
  <c r="E193" i="16" s="1"/>
  <c r="E185" i="16"/>
  <c r="F185" i="16" s="1"/>
  <c r="G185" i="16" s="1"/>
  <c r="M22" i="107"/>
  <c r="M26" i="107" s="1"/>
  <c r="L10" i="20"/>
  <c r="L14" i="20" s="1"/>
  <c r="M9" i="20" s="1"/>
  <c r="M16" i="20" s="1"/>
  <c r="M177" i="20"/>
  <c r="M176" i="20" s="1"/>
  <c r="M180" i="20" s="1"/>
  <c r="H123" i="16"/>
  <c r="H119" i="16" s="1"/>
  <c r="H118" i="16" s="1"/>
  <c r="H122" i="16" s="1"/>
  <c r="I117" i="16" s="1"/>
  <c r="F151" i="106"/>
  <c r="F155" i="106" s="1"/>
  <c r="G150" i="106" s="1"/>
  <c r="G156" i="106" s="1"/>
  <c r="I85" i="12"/>
  <c r="I89" i="12" s="1"/>
  <c r="J84" i="12" s="1"/>
  <c r="J90" i="12" s="1"/>
  <c r="L222" i="20"/>
  <c r="I87" i="106"/>
  <c r="I85" i="106" s="1"/>
  <c r="I89" i="106" s="1"/>
  <c r="J84" i="106" s="1"/>
  <c r="L221" i="20"/>
  <c r="J64" i="12"/>
  <c r="I91" i="106"/>
  <c r="H112" i="106"/>
  <c r="H108" i="106" s="1"/>
  <c r="H107" i="106" s="1"/>
  <c r="H111" i="106" s="1"/>
  <c r="I106" i="106" s="1"/>
  <c r="I112" i="106" s="1"/>
  <c r="J60" i="12"/>
  <c r="J58" i="12" s="1"/>
  <c r="J62" i="12" s="1"/>
  <c r="K57" i="12" s="1"/>
  <c r="H113" i="106"/>
  <c r="L46" i="106"/>
  <c r="L50" i="106" s="1"/>
  <c r="M45" i="106" s="1"/>
  <c r="M48" i="106" s="1"/>
  <c r="F189" i="107"/>
  <c r="F187" i="107" s="1"/>
  <c r="F191" i="107" s="1"/>
  <c r="G186" i="107" s="1"/>
  <c r="G193" i="107" s="1"/>
  <c r="F178" i="108"/>
  <c r="F176" i="108" s="1"/>
  <c r="F180" i="108" s="1"/>
  <c r="G175" i="108" s="1"/>
  <c r="G181" i="108" s="1"/>
  <c r="F181" i="108"/>
  <c r="G142" i="16"/>
  <c r="F146" i="12"/>
  <c r="G145" i="16"/>
  <c r="G141" i="16" s="1"/>
  <c r="I109" i="108"/>
  <c r="I113" i="108"/>
  <c r="I108" i="108"/>
  <c r="I112" i="108"/>
  <c r="L23" i="106"/>
  <c r="L24" i="106"/>
  <c r="L27" i="106"/>
  <c r="L28" i="106"/>
  <c r="K152" i="20"/>
  <c r="K151" i="20" s="1"/>
  <c r="K155" i="20" s="1"/>
  <c r="L150" i="20" s="1"/>
  <c r="I152" i="107"/>
  <c r="K75" i="106"/>
  <c r="I153" i="107"/>
  <c r="K71" i="106"/>
  <c r="K70" i="106" s="1"/>
  <c r="K74" i="106" s="1"/>
  <c r="L69" i="106" s="1"/>
  <c r="F182" i="108"/>
  <c r="M233" i="20"/>
  <c r="M231" i="20" s="1"/>
  <c r="M235" i="20" s="1"/>
  <c r="M182" i="20"/>
  <c r="I157" i="107"/>
  <c r="J257" i="20"/>
  <c r="J261" i="20" s="1"/>
  <c r="K256" i="20" s="1"/>
  <c r="K262" i="20" s="1"/>
  <c r="D222" i="107"/>
  <c r="D220" i="107" s="1"/>
  <c r="D224" i="107" s="1"/>
  <c r="E219" i="107" s="1"/>
  <c r="E225" i="107" s="1"/>
  <c r="E221" i="107" s="1"/>
  <c r="E165" i="106"/>
  <c r="E169" i="106" s="1"/>
  <c r="F164" i="106" s="1"/>
  <c r="F170" i="106" s="1"/>
  <c r="F166" i="106" s="1"/>
  <c r="D199" i="108"/>
  <c r="D198" i="108" s="1"/>
  <c r="D202" i="108" s="1"/>
  <c r="E197" i="108" s="1"/>
  <c r="J58" i="106"/>
  <c r="J62" i="106" s="1"/>
  <c r="K57" i="106" s="1"/>
  <c r="K64" i="106" s="1"/>
  <c r="F142" i="12"/>
  <c r="F140" i="12" s="1"/>
  <c r="F144" i="12" s="1"/>
  <c r="G139" i="12" s="1"/>
  <c r="G145" i="12" s="1"/>
  <c r="G141" i="12" s="1"/>
  <c r="L90" i="20"/>
  <c r="E182" i="106"/>
  <c r="E178" i="106"/>
  <c r="E181" i="106"/>
  <c r="E177" i="106" s="1"/>
  <c r="E193" i="108"/>
  <c r="E189" i="108"/>
  <c r="E192" i="108"/>
  <c r="E188" i="108" s="1"/>
  <c r="J149" i="108"/>
  <c r="G171" i="107"/>
  <c r="G167" i="107"/>
  <c r="G170" i="107"/>
  <c r="G166" i="107" s="1"/>
  <c r="E229" i="107"/>
  <c r="D236" i="107"/>
  <c r="D233" i="107" s="1"/>
  <c r="K98" i="108"/>
  <c r="K102" i="108"/>
  <c r="K101" i="108"/>
  <c r="K97" i="108"/>
  <c r="E215" i="107"/>
  <c r="H196" i="107"/>
  <c r="L76" i="20"/>
  <c r="H124" i="106"/>
  <c r="H120" i="106"/>
  <c r="H123" i="106"/>
  <c r="H119" i="106" s="1"/>
  <c r="F165" i="108"/>
  <c r="F169" i="108" s="1"/>
  <c r="G164" i="108" s="1"/>
  <c r="F290" i="20"/>
  <c r="F303" i="20"/>
  <c r="K174" i="107"/>
  <c r="E214" i="107"/>
  <c r="E210" i="107" s="1"/>
  <c r="F185" i="106"/>
  <c r="I124" i="107"/>
  <c r="I120" i="107"/>
  <c r="I119" i="107"/>
  <c r="I123" i="107"/>
  <c r="J138" i="106"/>
  <c r="F129" i="12"/>
  <c r="F133" i="12" s="1"/>
  <c r="G128" i="12" s="1"/>
  <c r="L86" i="20"/>
  <c r="L85" i="20" s="1"/>
  <c r="L89" i="20" s="1"/>
  <c r="M84" i="20" s="1"/>
  <c r="K156" i="20"/>
  <c r="M181" i="20"/>
  <c r="D178" i="12"/>
  <c r="D176" i="12" s="1"/>
  <c r="D180" i="12" s="1"/>
  <c r="E175" i="12" s="1"/>
  <c r="E181" i="12" s="1"/>
  <c r="E177" i="12" s="1"/>
  <c r="H174" i="16"/>
  <c r="I174" i="16" s="1"/>
  <c r="F218" i="107"/>
  <c r="D203" i="106"/>
  <c r="D200" i="106" s="1"/>
  <c r="E196" i="106"/>
  <c r="G174" i="106"/>
  <c r="G140" i="108"/>
  <c r="G144" i="108" s="1"/>
  <c r="H139" i="108" s="1"/>
  <c r="D199" i="16"/>
  <c r="G207" i="107"/>
  <c r="F196" i="108"/>
  <c r="H149" i="12"/>
  <c r="I149" i="12" s="1"/>
  <c r="K116" i="12"/>
  <c r="D196" i="12"/>
  <c r="B210" i="12"/>
  <c r="G135" i="106"/>
  <c r="G131" i="106"/>
  <c r="G134" i="106"/>
  <c r="G130" i="106" s="1"/>
  <c r="G163" i="12"/>
  <c r="M116" i="16"/>
  <c r="K46" i="108"/>
  <c r="K50" i="108" s="1"/>
  <c r="L45" i="108" s="1"/>
  <c r="L127" i="108"/>
  <c r="J34" i="12"/>
  <c r="J38" i="12" s="1"/>
  <c r="K33" i="12" s="1"/>
  <c r="E200" i="107"/>
  <c r="E198" i="107" s="1"/>
  <c r="E202" i="107" s="1"/>
  <c r="F197" i="107" s="1"/>
  <c r="D214" i="108"/>
  <c r="D211" i="108" s="1"/>
  <c r="E207" i="108"/>
  <c r="L127" i="16"/>
  <c r="I185" i="107"/>
  <c r="J149" i="16"/>
  <c r="E171" i="12"/>
  <c r="L91" i="20"/>
  <c r="K157" i="20"/>
  <c r="M138" i="107"/>
  <c r="J46" i="12"/>
  <c r="J50" i="12" s="1"/>
  <c r="K45" i="12" s="1"/>
  <c r="M116" i="106"/>
  <c r="I163" i="16"/>
  <c r="B258" i="107"/>
  <c r="D244" i="107"/>
  <c r="G157" i="108"/>
  <c r="G153" i="108"/>
  <c r="G156" i="108"/>
  <c r="G152" i="108" s="1"/>
  <c r="H174" i="108"/>
  <c r="J71" i="12"/>
  <c r="J76" i="12"/>
  <c r="J72" i="12"/>
  <c r="J75" i="12"/>
  <c r="J149" i="106"/>
  <c r="E170" i="12"/>
  <c r="E166" i="12" s="1"/>
  <c r="H163" i="106"/>
  <c r="G10" i="17"/>
  <c r="G133" i="17" s="1"/>
  <c r="G43" i="21" s="1"/>
  <c r="I129" i="107"/>
  <c r="I133" i="107" s="1"/>
  <c r="J128" i="107" s="1"/>
  <c r="L163" i="107"/>
  <c r="F174" i="12"/>
  <c r="B232" i="108"/>
  <c r="D218" i="108"/>
  <c r="D207" i="106"/>
  <c r="B221" i="106"/>
  <c r="K138" i="108"/>
  <c r="J96" i="106"/>
  <c r="J100" i="106" s="1"/>
  <c r="K95" i="106" s="1"/>
  <c r="H112" i="12"/>
  <c r="H108" i="12" s="1"/>
  <c r="H109" i="12"/>
  <c r="H113" i="12"/>
  <c r="K138" i="16"/>
  <c r="M149" i="107"/>
  <c r="D189" i="106"/>
  <c r="D187" i="106" s="1"/>
  <c r="D191" i="106" s="1"/>
  <c r="E186" i="106" s="1"/>
  <c r="L127" i="106"/>
  <c r="L127" i="12"/>
  <c r="M127" i="12" s="1"/>
  <c r="I109" i="16"/>
  <c r="I108" i="16"/>
  <c r="I113" i="16"/>
  <c r="I112" i="16"/>
  <c r="I138" i="12"/>
  <c r="G182" i="107"/>
  <c r="G178" i="107"/>
  <c r="G177" i="107"/>
  <c r="G181" i="107"/>
  <c r="E185" i="12"/>
  <c r="D192" i="12"/>
  <c r="D189" i="12" s="1"/>
  <c r="E153" i="12"/>
  <c r="E151" i="12" s="1"/>
  <c r="E155" i="12" s="1"/>
  <c r="F150" i="12" s="1"/>
  <c r="G185" i="108"/>
  <c r="J163" i="108"/>
  <c r="M22" i="108"/>
  <c r="M26" i="108" s="1"/>
  <c r="L10" i="16"/>
  <c r="L14" i="16" s="1"/>
  <c r="M9" i="16" s="1"/>
  <c r="M11" i="16" s="1"/>
  <c r="L63" i="107"/>
  <c r="L60" i="107"/>
  <c r="L64" i="107"/>
  <c r="L59" i="107"/>
  <c r="M165" i="20"/>
  <c r="M169" i="20" s="1"/>
  <c r="K46" i="107"/>
  <c r="K50" i="107" s="1"/>
  <c r="L45" i="107" s="1"/>
  <c r="L71" i="20"/>
  <c r="L70" i="20" s="1"/>
  <c r="L74" i="20" s="1"/>
  <c r="M69" i="20" s="1"/>
  <c r="L75" i="20"/>
  <c r="M34" i="106"/>
  <c r="M38" i="106" s="1"/>
  <c r="M237" i="20"/>
  <c r="L85" i="108"/>
  <c r="L89" i="108" s="1"/>
  <c r="M84" i="108" s="1"/>
  <c r="K48" i="20"/>
  <c r="K52" i="20"/>
  <c r="K47" i="20"/>
  <c r="K51" i="20"/>
  <c r="M236" i="20"/>
  <c r="M210" i="20"/>
  <c r="M211" i="20"/>
  <c r="M214" i="20"/>
  <c r="M215" i="20"/>
  <c r="F14" i="15"/>
  <c r="F135" i="15"/>
  <c r="F59" i="21" s="1"/>
  <c r="L39" i="15"/>
  <c r="L35" i="15" s="1"/>
  <c r="G12" i="19"/>
  <c r="M35" i="108"/>
  <c r="M40" i="108"/>
  <c r="M36" i="108"/>
  <c r="M39" i="108"/>
  <c r="M10" i="107"/>
  <c r="M14" i="107" s="1"/>
  <c r="O42" i="13"/>
  <c r="O47" i="13" s="1"/>
  <c r="O49" i="13" s="1"/>
  <c r="O41" i="13"/>
  <c r="O40" i="13" s="1"/>
  <c r="L12" i="13"/>
  <c r="I34" i="17"/>
  <c r="H26" i="17"/>
  <c r="I21" i="15"/>
  <c r="M30" i="25"/>
  <c r="N24" i="25"/>
  <c r="N48" i="25"/>
  <c r="P69" i="27"/>
  <c r="DL69" i="27" s="1"/>
  <c r="CU69" i="27"/>
  <c r="CX69" i="27"/>
  <c r="L74" i="15"/>
  <c r="M75" i="107"/>
  <c r="M71" i="107"/>
  <c r="M76" i="107"/>
  <c r="M72" i="107"/>
  <c r="J46" i="19"/>
  <c r="I28" i="19"/>
  <c r="I27" i="19"/>
  <c r="I23" i="19" s="1"/>
  <c r="M90" i="19"/>
  <c r="M89" i="19"/>
  <c r="M85" i="19" s="1"/>
  <c r="M198" i="20"/>
  <c r="M202" i="20" s="1"/>
  <c r="L72" i="17"/>
  <c r="G283" i="20"/>
  <c r="M88" i="17"/>
  <c r="M86" i="15"/>
  <c r="J33" i="19"/>
  <c r="K60" i="19"/>
  <c r="L74" i="19"/>
  <c r="L59" i="20" l="1"/>
  <c r="I142" i="107"/>
  <c r="L63" i="20"/>
  <c r="L60" i="20"/>
  <c r="L58" i="20" s="1"/>
  <c r="L62" i="20" s="1"/>
  <c r="M57" i="20" s="1"/>
  <c r="I146" i="107"/>
  <c r="I141" i="107"/>
  <c r="M10" i="12"/>
  <c r="M14" i="12" s="1"/>
  <c r="K248" i="20"/>
  <c r="L90" i="107"/>
  <c r="H134" i="16"/>
  <c r="H130" i="16" s="1"/>
  <c r="H129" i="16" s="1"/>
  <c r="H133" i="16" s="1"/>
  <c r="I128" i="16" s="1"/>
  <c r="I134" i="16" s="1"/>
  <c r="H135" i="16"/>
  <c r="K60" i="108"/>
  <c r="K70" i="16"/>
  <c r="K74" i="16" s="1"/>
  <c r="L69" i="16" s="1"/>
  <c r="K59" i="108"/>
  <c r="K97" i="20"/>
  <c r="K96" i="20" s="1"/>
  <c r="K100" i="20" s="1"/>
  <c r="L95" i="20" s="1"/>
  <c r="L102" i="20" s="1"/>
  <c r="K64" i="108"/>
  <c r="L91" i="107"/>
  <c r="L87" i="107"/>
  <c r="L85" i="107" s="1"/>
  <c r="L89" i="107" s="1"/>
  <c r="M84" i="107" s="1"/>
  <c r="M86" i="107" s="1"/>
  <c r="K71" i="108"/>
  <c r="K70" i="108" s="1"/>
  <c r="K74" i="108" s="1"/>
  <c r="L69" i="108" s="1"/>
  <c r="L76" i="108" s="1"/>
  <c r="K76" i="108"/>
  <c r="K75" i="108"/>
  <c r="M40" i="20"/>
  <c r="M35" i="20"/>
  <c r="K102" i="20"/>
  <c r="H118" i="12"/>
  <c r="H122" i="12" s="1"/>
  <c r="I117" i="12" s="1"/>
  <c r="M36" i="20"/>
  <c r="K101" i="20"/>
  <c r="J113" i="107"/>
  <c r="J108" i="107"/>
  <c r="I131" i="108"/>
  <c r="I130" i="108"/>
  <c r="I135" i="108"/>
  <c r="I134" i="108"/>
  <c r="J109" i="107"/>
  <c r="M48" i="16"/>
  <c r="M46" i="16" s="1"/>
  <c r="M50" i="16" s="1"/>
  <c r="M273" i="20"/>
  <c r="M274" i="20"/>
  <c r="M269" i="20"/>
  <c r="M268" i="20" s="1"/>
  <c r="M272" i="20" s="1"/>
  <c r="M51" i="16"/>
  <c r="M52" i="16"/>
  <c r="M47" i="106"/>
  <c r="M46" i="106" s="1"/>
  <c r="M50" i="106" s="1"/>
  <c r="L113" i="20"/>
  <c r="L109" i="20"/>
  <c r="M15" i="20"/>
  <c r="M11" i="20" s="1"/>
  <c r="E178" i="16"/>
  <c r="E176" i="16" s="1"/>
  <c r="E180" i="16" s="1"/>
  <c r="F175" i="16" s="1"/>
  <c r="F182" i="16" s="1"/>
  <c r="E182" i="16"/>
  <c r="E181" i="16"/>
  <c r="I151" i="107"/>
  <c r="I155" i="107" s="1"/>
  <c r="J150" i="107" s="1"/>
  <c r="J156" i="107" s="1"/>
  <c r="H118" i="108"/>
  <c r="H122" i="108" s="1"/>
  <c r="I117" i="108" s="1"/>
  <c r="I123" i="108" s="1"/>
  <c r="J90" i="16"/>
  <c r="J87" i="16"/>
  <c r="J86" i="16"/>
  <c r="J91" i="16"/>
  <c r="G140" i="16"/>
  <c r="G144" i="16" s="1"/>
  <c r="H139" i="16" s="1"/>
  <c r="H142" i="16" s="1"/>
  <c r="K252" i="20"/>
  <c r="L108" i="20"/>
  <c r="K259" i="20"/>
  <c r="K247" i="20"/>
  <c r="K263" i="20"/>
  <c r="K258" i="20"/>
  <c r="G153" i="106"/>
  <c r="G142" i="12"/>
  <c r="G140" i="12" s="1"/>
  <c r="G144" i="12" s="1"/>
  <c r="H139" i="12" s="1"/>
  <c r="H146" i="12" s="1"/>
  <c r="G157" i="106"/>
  <c r="G152" i="106"/>
  <c r="E165" i="16"/>
  <c r="E169" i="16" s="1"/>
  <c r="F164" i="16" s="1"/>
  <c r="F166" i="16" s="1"/>
  <c r="L72" i="16"/>
  <c r="L71" i="16"/>
  <c r="L76" i="16"/>
  <c r="L75" i="16"/>
  <c r="F151" i="16"/>
  <c r="F155" i="16" s="1"/>
  <c r="G150" i="16" s="1"/>
  <c r="I98" i="16"/>
  <c r="I102" i="16"/>
  <c r="I101" i="16"/>
  <c r="I97" i="16"/>
  <c r="M27" i="12"/>
  <c r="M24" i="12"/>
  <c r="M23" i="12"/>
  <c r="M28" i="12"/>
  <c r="J91" i="12"/>
  <c r="E189" i="16"/>
  <c r="E196" i="16"/>
  <c r="F196" i="16" s="1"/>
  <c r="G196" i="16" s="1"/>
  <c r="D203" i="16"/>
  <c r="D200" i="16" s="1"/>
  <c r="D198" i="16" s="1"/>
  <c r="D202" i="16" s="1"/>
  <c r="E197" i="16" s="1"/>
  <c r="D207" i="16"/>
  <c r="B221" i="16"/>
  <c r="F167" i="106"/>
  <c r="F165" i="106" s="1"/>
  <c r="F169" i="106" s="1"/>
  <c r="G164" i="106" s="1"/>
  <c r="G167" i="106" s="1"/>
  <c r="E192" i="16"/>
  <c r="E188" i="16" s="1"/>
  <c r="J87" i="12"/>
  <c r="I108" i="106"/>
  <c r="J86" i="12"/>
  <c r="I113" i="106"/>
  <c r="I130" i="16"/>
  <c r="I131" i="16"/>
  <c r="M97" i="107"/>
  <c r="G189" i="107"/>
  <c r="M102" i="107"/>
  <c r="I107" i="108"/>
  <c r="I111" i="108" s="1"/>
  <c r="J106" i="108" s="1"/>
  <c r="J108" i="108" s="1"/>
  <c r="L220" i="20"/>
  <c r="L224" i="20" s="1"/>
  <c r="M219" i="20" s="1"/>
  <c r="M221" i="20" s="1"/>
  <c r="G192" i="107"/>
  <c r="G188" i="107" s="1"/>
  <c r="M51" i="106"/>
  <c r="M12" i="16"/>
  <c r="M10" i="16" s="1"/>
  <c r="M14" i="16" s="1"/>
  <c r="F171" i="106"/>
  <c r="H142" i="106"/>
  <c r="H140" i="106" s="1"/>
  <c r="H144" i="106" s="1"/>
  <c r="I139" i="106" s="1"/>
  <c r="I145" i="106" s="1"/>
  <c r="M52" i="106"/>
  <c r="M60" i="16"/>
  <c r="K97" i="12"/>
  <c r="K96" i="12" s="1"/>
  <c r="K100" i="12" s="1"/>
  <c r="L95" i="12" s="1"/>
  <c r="L102" i="12" s="1"/>
  <c r="K63" i="106"/>
  <c r="K96" i="108"/>
  <c r="K100" i="108" s="1"/>
  <c r="L95" i="108" s="1"/>
  <c r="L97" i="108" s="1"/>
  <c r="G176" i="107"/>
  <c r="G180" i="107" s="1"/>
  <c r="H175" i="107" s="1"/>
  <c r="H178" i="107" s="1"/>
  <c r="M64" i="16"/>
  <c r="K59" i="106"/>
  <c r="H146" i="106"/>
  <c r="I109" i="106"/>
  <c r="K102" i="12"/>
  <c r="E226" i="107"/>
  <c r="M98" i="107"/>
  <c r="E176" i="106"/>
  <c r="E180" i="106" s="1"/>
  <c r="F175" i="106" s="1"/>
  <c r="F181" i="106" s="1"/>
  <c r="F177" i="106" s="1"/>
  <c r="L22" i="106"/>
  <c r="L26" i="106" s="1"/>
  <c r="M21" i="106" s="1"/>
  <c r="G14" i="17"/>
  <c r="H9" i="17" s="1"/>
  <c r="K101" i="12"/>
  <c r="E200" i="108"/>
  <c r="E203" i="108"/>
  <c r="E199" i="108" s="1"/>
  <c r="E204" i="108"/>
  <c r="G146" i="12"/>
  <c r="G129" i="106"/>
  <c r="G133" i="106" s="1"/>
  <c r="H128" i="106" s="1"/>
  <c r="H135" i="106" s="1"/>
  <c r="I118" i="107"/>
  <c r="I122" i="107" s="1"/>
  <c r="J117" i="107" s="1"/>
  <c r="J120" i="107" s="1"/>
  <c r="E187" i="108"/>
  <c r="E191" i="108" s="1"/>
  <c r="F186" i="108" s="1"/>
  <c r="F192" i="108" s="1"/>
  <c r="F188" i="108" s="1"/>
  <c r="M15" i="16"/>
  <c r="K60" i="106"/>
  <c r="G151" i="108"/>
  <c r="G155" i="108" s="1"/>
  <c r="H150" i="108" s="1"/>
  <c r="H153" i="108" s="1"/>
  <c r="M59" i="16"/>
  <c r="J70" i="12"/>
  <c r="J74" i="12" s="1"/>
  <c r="K69" i="12" s="1"/>
  <c r="K71" i="12" s="1"/>
  <c r="F157" i="12"/>
  <c r="F153" i="12"/>
  <c r="F152" i="12"/>
  <c r="F156" i="12"/>
  <c r="F185" i="12"/>
  <c r="J163" i="16"/>
  <c r="F204" i="107"/>
  <c r="F199" i="107"/>
  <c r="F200" i="107"/>
  <c r="F203" i="107"/>
  <c r="G196" i="108"/>
  <c r="F196" i="106"/>
  <c r="K102" i="106"/>
  <c r="K97" i="106"/>
  <c r="K98" i="106"/>
  <c r="K101" i="106"/>
  <c r="D229" i="108"/>
  <c r="B247" i="108"/>
  <c r="D251" i="107"/>
  <c r="D247" i="107" s="1"/>
  <c r="E244" i="107"/>
  <c r="F207" i="108"/>
  <c r="K36" i="12"/>
  <c r="K35" i="12"/>
  <c r="K40" i="12"/>
  <c r="K39" i="12"/>
  <c r="H163" i="12"/>
  <c r="D221" i="16"/>
  <c r="G182" i="108"/>
  <c r="G178" i="108"/>
  <c r="G177" i="108"/>
  <c r="H174" i="106"/>
  <c r="F301" i="20"/>
  <c r="F294" i="20"/>
  <c r="M16" i="16"/>
  <c r="K163" i="108"/>
  <c r="D188" i="12"/>
  <c r="D187" i="12" s="1"/>
  <c r="D191" i="12" s="1"/>
  <c r="E186" i="12" s="1"/>
  <c r="J138" i="12"/>
  <c r="I107" i="16"/>
  <c r="I111" i="16" s="1"/>
  <c r="J106" i="16" s="1"/>
  <c r="M127" i="106"/>
  <c r="E193" i="106"/>
  <c r="E189" i="106"/>
  <c r="D218" i="106"/>
  <c r="B232" i="106"/>
  <c r="M163" i="107"/>
  <c r="K149" i="106"/>
  <c r="D255" i="107"/>
  <c r="B269" i="107"/>
  <c r="D210" i="108"/>
  <c r="D209" i="108" s="1"/>
  <c r="D213" i="108" s="1"/>
  <c r="E208" i="108" s="1"/>
  <c r="E214" i="108" s="1"/>
  <c r="E210" i="108" s="1"/>
  <c r="J149" i="12"/>
  <c r="H142" i="108"/>
  <c r="H146" i="108"/>
  <c r="H145" i="108"/>
  <c r="H141" i="108" s="1"/>
  <c r="I119" i="16"/>
  <c r="I120" i="16"/>
  <c r="I124" i="16"/>
  <c r="I123" i="16"/>
  <c r="L75" i="106"/>
  <c r="L71" i="106"/>
  <c r="L76" i="106"/>
  <c r="L72" i="106"/>
  <c r="J174" i="16"/>
  <c r="K138" i="106"/>
  <c r="E192" i="106"/>
  <c r="E188" i="106" s="1"/>
  <c r="L174" i="107"/>
  <c r="G171" i="108"/>
  <c r="G167" i="108"/>
  <c r="G170" i="108"/>
  <c r="G166" i="108" s="1"/>
  <c r="H118" i="106"/>
  <c r="H122" i="106" s="1"/>
  <c r="I117" i="106" s="1"/>
  <c r="I196" i="107"/>
  <c r="D232" i="107"/>
  <c r="D231" i="107" s="1"/>
  <c r="D235" i="107" s="1"/>
  <c r="E230" i="107" s="1"/>
  <c r="E236" i="107" s="1"/>
  <c r="E232" i="107" s="1"/>
  <c r="G165" i="107"/>
  <c r="G169" i="107" s="1"/>
  <c r="H164" i="107" s="1"/>
  <c r="E218" i="108"/>
  <c r="D225" i="108"/>
  <c r="D222" i="108" s="1"/>
  <c r="J135" i="107"/>
  <c r="J131" i="107"/>
  <c r="J130" i="107"/>
  <c r="J134" i="107"/>
  <c r="K149" i="16"/>
  <c r="L51" i="108"/>
  <c r="L48" i="108"/>
  <c r="L47" i="108"/>
  <c r="L52" i="108"/>
  <c r="D203" i="12"/>
  <c r="D199" i="12" s="1"/>
  <c r="E196" i="12"/>
  <c r="L116" i="12"/>
  <c r="G218" i="107"/>
  <c r="K59" i="12"/>
  <c r="K60" i="12"/>
  <c r="K64" i="12"/>
  <c r="K63" i="12"/>
  <c r="G134" i="12"/>
  <c r="G130" i="12" s="1"/>
  <c r="G131" i="12"/>
  <c r="G135" i="12"/>
  <c r="H185" i="16"/>
  <c r="F229" i="107"/>
  <c r="H185" i="108"/>
  <c r="I174" i="108"/>
  <c r="E167" i="12"/>
  <c r="E165" i="12" s="1"/>
  <c r="E169" i="12" s="1"/>
  <c r="F164" i="12" s="1"/>
  <c r="M127" i="16"/>
  <c r="L138" i="16"/>
  <c r="H107" i="12"/>
  <c r="H111" i="12" s="1"/>
  <c r="I106" i="12" s="1"/>
  <c r="L138" i="108"/>
  <c r="E207" i="106"/>
  <c r="F207" i="106" s="1"/>
  <c r="D214" i="106"/>
  <c r="D211" i="106" s="1"/>
  <c r="G174" i="12"/>
  <c r="I163" i="106"/>
  <c r="K52" i="12"/>
  <c r="K47" i="12"/>
  <c r="K51" i="12"/>
  <c r="K48" i="12"/>
  <c r="J185" i="107"/>
  <c r="M127" i="108"/>
  <c r="B221" i="12"/>
  <c r="D207" i="12"/>
  <c r="H207" i="107"/>
  <c r="D199" i="106"/>
  <c r="D198" i="106" s="1"/>
  <c r="D202" i="106" s="1"/>
  <c r="E197" i="106" s="1"/>
  <c r="E203" i="106" s="1"/>
  <c r="E199" i="106" s="1"/>
  <c r="E182" i="12"/>
  <c r="E178" i="12"/>
  <c r="E176" i="12" s="1"/>
  <c r="E180" i="12" s="1"/>
  <c r="F175" i="12" s="1"/>
  <c r="G185" i="106"/>
  <c r="J86" i="106"/>
  <c r="J91" i="106"/>
  <c r="J87" i="106"/>
  <c r="J90" i="106"/>
  <c r="E222" i="107"/>
  <c r="E220" i="107" s="1"/>
  <c r="E224" i="107" s="1"/>
  <c r="F219" i="107" s="1"/>
  <c r="E211" i="107"/>
  <c r="E209" i="107" s="1"/>
  <c r="E213" i="107" s="1"/>
  <c r="F208" i="107" s="1"/>
  <c r="K149" i="108"/>
  <c r="L58" i="107"/>
  <c r="L62" i="107" s="1"/>
  <c r="M57" i="107" s="1"/>
  <c r="M63" i="107" s="1"/>
  <c r="M75" i="20"/>
  <c r="M72" i="20"/>
  <c r="M71" i="20"/>
  <c r="M76" i="20"/>
  <c r="M209" i="20"/>
  <c r="M213" i="20" s="1"/>
  <c r="M34" i="108"/>
  <c r="M38" i="108" s="1"/>
  <c r="L52" i="107"/>
  <c r="L47" i="107"/>
  <c r="L51" i="107"/>
  <c r="L48" i="107"/>
  <c r="L157" i="20"/>
  <c r="L156" i="20"/>
  <c r="L152" i="20"/>
  <c r="L153" i="20"/>
  <c r="M87" i="108"/>
  <c r="M90" i="108"/>
  <c r="M86" i="108"/>
  <c r="M91" i="108"/>
  <c r="K46" i="20"/>
  <c r="K50" i="20" s="1"/>
  <c r="L45" i="20" s="1"/>
  <c r="M91" i="20"/>
  <c r="M87" i="20"/>
  <c r="M86" i="20"/>
  <c r="M90" i="20"/>
  <c r="L36" i="15"/>
  <c r="L34" i="15" s="1"/>
  <c r="L38" i="15" s="1"/>
  <c r="M33" i="15" s="1"/>
  <c r="M39" i="15" s="1"/>
  <c r="M35" i="15" s="1"/>
  <c r="G135" i="19"/>
  <c r="G28" i="21" s="1"/>
  <c r="G10" i="19"/>
  <c r="G9" i="15"/>
  <c r="F139" i="15"/>
  <c r="F62" i="21" s="1"/>
  <c r="M87" i="107"/>
  <c r="I24" i="19"/>
  <c r="I22" i="19" s="1"/>
  <c r="P36" i="13"/>
  <c r="P45" i="13"/>
  <c r="I12" i="21"/>
  <c r="L14" i="13"/>
  <c r="L19" i="13" s="1"/>
  <c r="L21" i="13" s="1"/>
  <c r="I27" i="15"/>
  <c r="I23" i="15" s="1"/>
  <c r="I28" i="15"/>
  <c r="I38" i="17"/>
  <c r="I21" i="17"/>
  <c r="N30" i="25"/>
  <c r="L72" i="19"/>
  <c r="M90" i="15"/>
  <c r="L78" i="15"/>
  <c r="M86" i="19"/>
  <c r="M70" i="107"/>
  <c r="M74" i="107" s="1"/>
  <c r="K58" i="19"/>
  <c r="J40" i="19"/>
  <c r="J39" i="19"/>
  <c r="J35" i="19" s="1"/>
  <c r="H278" i="20"/>
  <c r="L76" i="17"/>
  <c r="J50" i="19"/>
  <c r="M12" i="20" l="1"/>
  <c r="J152" i="107"/>
  <c r="I135" i="16"/>
  <c r="I140" i="107"/>
  <c r="I144" i="107" s="1"/>
  <c r="J139" i="107" s="1"/>
  <c r="J145" i="107" s="1"/>
  <c r="M60" i="20"/>
  <c r="M63" i="20"/>
  <c r="M64" i="20"/>
  <c r="M59" i="20"/>
  <c r="M91" i="107"/>
  <c r="M90" i="107"/>
  <c r="K246" i="20"/>
  <c r="K250" i="20" s="1"/>
  <c r="L245" i="20" s="1"/>
  <c r="L252" i="20" s="1"/>
  <c r="M10" i="20"/>
  <c r="M14" i="20" s="1"/>
  <c r="K58" i="108"/>
  <c r="K62" i="108" s="1"/>
  <c r="L57" i="108" s="1"/>
  <c r="L60" i="108" s="1"/>
  <c r="L97" i="20"/>
  <c r="L101" i="20"/>
  <c r="L98" i="20"/>
  <c r="M34" i="20"/>
  <c r="M38" i="20" s="1"/>
  <c r="I123" i="12"/>
  <c r="I124" i="12"/>
  <c r="I119" i="12"/>
  <c r="I120" i="12"/>
  <c r="M226" i="20"/>
  <c r="L63" i="108"/>
  <c r="M222" i="20"/>
  <c r="M220" i="20" s="1"/>
  <c r="M224" i="20" s="1"/>
  <c r="J107" i="107"/>
  <c r="J111" i="107" s="1"/>
  <c r="K106" i="107" s="1"/>
  <c r="K109" i="107" s="1"/>
  <c r="I129" i="108"/>
  <c r="I133" i="108" s="1"/>
  <c r="J128" i="108" s="1"/>
  <c r="J153" i="107"/>
  <c r="J151" i="107" s="1"/>
  <c r="J155" i="107" s="1"/>
  <c r="K150" i="107" s="1"/>
  <c r="K156" i="107" s="1"/>
  <c r="G151" i="106"/>
  <c r="G155" i="106" s="1"/>
  <c r="H150" i="106" s="1"/>
  <c r="H153" i="106" s="1"/>
  <c r="J113" i="108"/>
  <c r="J157" i="107"/>
  <c r="H145" i="16"/>
  <c r="H141" i="16" s="1"/>
  <c r="H140" i="16" s="1"/>
  <c r="H144" i="16" s="1"/>
  <c r="I139" i="16" s="1"/>
  <c r="I142" i="16" s="1"/>
  <c r="L107" i="20"/>
  <c r="L111" i="20" s="1"/>
  <c r="M106" i="20" s="1"/>
  <c r="M108" i="20" s="1"/>
  <c r="H145" i="12"/>
  <c r="H141" i="12" s="1"/>
  <c r="H142" i="12"/>
  <c r="I124" i="108"/>
  <c r="I107" i="106"/>
  <c r="I111" i="106" s="1"/>
  <c r="J106" i="106" s="1"/>
  <c r="J108" i="106" s="1"/>
  <c r="H157" i="108"/>
  <c r="K72" i="12"/>
  <c r="K70" i="12" s="1"/>
  <c r="K74" i="12" s="1"/>
  <c r="L69" i="12" s="1"/>
  <c r="L76" i="12" s="1"/>
  <c r="J142" i="107"/>
  <c r="I119" i="108"/>
  <c r="K75" i="12"/>
  <c r="J141" i="107"/>
  <c r="I120" i="108"/>
  <c r="G171" i="106"/>
  <c r="F181" i="16"/>
  <c r="F177" i="16" s="1"/>
  <c r="F178" i="16"/>
  <c r="J85" i="16"/>
  <c r="J89" i="16" s="1"/>
  <c r="K84" i="16" s="1"/>
  <c r="K87" i="16" s="1"/>
  <c r="K257" i="20"/>
  <c r="K261" i="20" s="1"/>
  <c r="L256" i="20" s="1"/>
  <c r="L258" i="20" s="1"/>
  <c r="J112" i="108"/>
  <c r="H146" i="16"/>
  <c r="E187" i="16"/>
  <c r="E191" i="16" s="1"/>
  <c r="F186" i="16" s="1"/>
  <c r="F189" i="16" s="1"/>
  <c r="F167" i="16"/>
  <c r="F165" i="16" s="1"/>
  <c r="F169" i="16" s="1"/>
  <c r="G164" i="16" s="1"/>
  <c r="M96" i="107"/>
  <c r="M100" i="107" s="1"/>
  <c r="M225" i="20"/>
  <c r="K76" i="12"/>
  <c r="K58" i="106"/>
  <c r="K62" i="106" s="1"/>
  <c r="L57" i="106" s="1"/>
  <c r="L64" i="106" s="1"/>
  <c r="G170" i="106"/>
  <c r="G166" i="106" s="1"/>
  <c r="G165" i="106" s="1"/>
  <c r="G169" i="106" s="1"/>
  <c r="H164" i="106" s="1"/>
  <c r="I129" i="16"/>
  <c r="I133" i="16" s="1"/>
  <c r="J128" i="16" s="1"/>
  <c r="J134" i="16" s="1"/>
  <c r="F170" i="16"/>
  <c r="F171" i="16"/>
  <c r="E203" i="16"/>
  <c r="E199" i="16" s="1"/>
  <c r="E200" i="16"/>
  <c r="M22" i="12"/>
  <c r="M26" i="12" s="1"/>
  <c r="I96" i="16"/>
  <c r="I100" i="16" s="1"/>
  <c r="J95" i="16" s="1"/>
  <c r="G157" i="16"/>
  <c r="G156" i="16"/>
  <c r="G152" i="16" s="1"/>
  <c r="G153" i="16"/>
  <c r="L70" i="16"/>
  <c r="L74" i="16" s="1"/>
  <c r="M69" i="16" s="1"/>
  <c r="J85" i="12"/>
  <c r="J89" i="12" s="1"/>
  <c r="K84" i="12" s="1"/>
  <c r="K90" i="12" s="1"/>
  <c r="D214" i="16"/>
  <c r="D210" i="16" s="1"/>
  <c r="E207" i="16"/>
  <c r="F207" i="16" s="1"/>
  <c r="G207" i="16" s="1"/>
  <c r="J146" i="107"/>
  <c r="J109" i="108"/>
  <c r="J107" i="108" s="1"/>
  <c r="J111" i="108" s="1"/>
  <c r="K106" i="108" s="1"/>
  <c r="K113" i="108" s="1"/>
  <c r="L248" i="20"/>
  <c r="D211" i="16"/>
  <c r="E204" i="16"/>
  <c r="B232" i="16"/>
  <c r="D218" i="16"/>
  <c r="G187" i="107"/>
  <c r="G191" i="107" s="1"/>
  <c r="H186" i="107" s="1"/>
  <c r="H192" i="107" s="1"/>
  <c r="H188" i="107" s="1"/>
  <c r="I142" i="106"/>
  <c r="F182" i="106"/>
  <c r="L247" i="20"/>
  <c r="I146" i="106"/>
  <c r="L98" i="108"/>
  <c r="L96" i="108" s="1"/>
  <c r="L100" i="108" s="1"/>
  <c r="M95" i="108" s="1"/>
  <c r="M98" i="108" s="1"/>
  <c r="F178" i="106"/>
  <c r="F176" i="106" s="1"/>
  <c r="F180" i="106" s="1"/>
  <c r="G175" i="106" s="1"/>
  <c r="G182" i="106" s="1"/>
  <c r="H131" i="106"/>
  <c r="L101" i="108"/>
  <c r="M58" i="16"/>
  <c r="M62" i="16" s="1"/>
  <c r="L102" i="108"/>
  <c r="F151" i="12"/>
  <c r="F155" i="12" s="1"/>
  <c r="G150" i="12" s="1"/>
  <c r="G157" i="12" s="1"/>
  <c r="I141" i="106"/>
  <c r="H140" i="108"/>
  <c r="H144" i="108" s="1"/>
  <c r="I139" i="108" s="1"/>
  <c r="I141" i="108" s="1"/>
  <c r="H181" i="107"/>
  <c r="H177" i="107" s="1"/>
  <c r="H176" i="107" s="1"/>
  <c r="H180" i="107" s="1"/>
  <c r="I175" i="107" s="1"/>
  <c r="I182" i="107" s="1"/>
  <c r="F189" i="108"/>
  <c r="F187" i="108" s="1"/>
  <c r="F191" i="108" s="1"/>
  <c r="G186" i="108" s="1"/>
  <c r="G192" i="108" s="1"/>
  <c r="G188" i="108" s="1"/>
  <c r="J85" i="106"/>
  <c r="J89" i="106" s="1"/>
  <c r="K84" i="106" s="1"/>
  <c r="K87" i="106" s="1"/>
  <c r="H182" i="107"/>
  <c r="I118" i="16"/>
  <c r="I122" i="16" s="1"/>
  <c r="J117" i="16" s="1"/>
  <c r="J120" i="16" s="1"/>
  <c r="L72" i="108"/>
  <c r="H156" i="108"/>
  <c r="H152" i="108" s="1"/>
  <c r="H151" i="108" s="1"/>
  <c r="H155" i="108" s="1"/>
  <c r="I150" i="108" s="1"/>
  <c r="J119" i="107"/>
  <c r="J118" i="107" s="1"/>
  <c r="J122" i="107" s="1"/>
  <c r="K117" i="107" s="1"/>
  <c r="G137" i="17"/>
  <c r="G46" i="21" s="1"/>
  <c r="M60" i="107"/>
  <c r="J124" i="107"/>
  <c r="H134" i="106"/>
  <c r="H130" i="106" s="1"/>
  <c r="L101" i="12"/>
  <c r="G129" i="12"/>
  <c r="G133" i="12" s="1"/>
  <c r="H128" i="12" s="1"/>
  <c r="H134" i="12" s="1"/>
  <c r="H130" i="12" s="1"/>
  <c r="K58" i="12"/>
  <c r="K62" i="12" s="1"/>
  <c r="L57" i="12" s="1"/>
  <c r="L60" i="12" s="1"/>
  <c r="M23" i="106"/>
  <c r="M24" i="106"/>
  <c r="M27" i="106"/>
  <c r="M28" i="106"/>
  <c r="L98" i="12"/>
  <c r="L71" i="108"/>
  <c r="K96" i="106"/>
  <c r="K100" i="106" s="1"/>
  <c r="L95" i="106" s="1"/>
  <c r="L101" i="106" s="1"/>
  <c r="F193" i="108"/>
  <c r="J123" i="107"/>
  <c r="L75" i="108"/>
  <c r="L97" i="12"/>
  <c r="E187" i="106"/>
  <c r="E191" i="106" s="1"/>
  <c r="F186" i="106" s="1"/>
  <c r="F193" i="106" s="1"/>
  <c r="K34" i="12"/>
  <c r="K38" i="12" s="1"/>
  <c r="L33" i="12" s="1"/>
  <c r="L36" i="12" s="1"/>
  <c r="M64" i="107"/>
  <c r="D210" i="106"/>
  <c r="D209" i="106" s="1"/>
  <c r="D213" i="106" s="1"/>
  <c r="E208" i="106" s="1"/>
  <c r="D221" i="108"/>
  <c r="D220" i="108" s="1"/>
  <c r="D224" i="108" s="1"/>
  <c r="E219" i="108" s="1"/>
  <c r="E222" i="108" s="1"/>
  <c r="E198" i="108"/>
  <c r="E202" i="108" s="1"/>
  <c r="F197" i="108" s="1"/>
  <c r="H185" i="106"/>
  <c r="G207" i="106"/>
  <c r="H170" i="107"/>
  <c r="H166" i="107" s="1"/>
  <c r="H171" i="107"/>
  <c r="H167" i="107"/>
  <c r="D225" i="106"/>
  <c r="D222" i="106" s="1"/>
  <c r="E218" i="106"/>
  <c r="F218" i="106" s="1"/>
  <c r="K157" i="107"/>
  <c r="K152" i="107"/>
  <c r="K163" i="16"/>
  <c r="K185" i="107"/>
  <c r="J174" i="108"/>
  <c r="G229" i="107"/>
  <c r="E237" i="107"/>
  <c r="E233" i="107"/>
  <c r="E231" i="107" s="1"/>
  <c r="E235" i="107" s="1"/>
  <c r="F230" i="107" s="1"/>
  <c r="F236" i="107" s="1"/>
  <c r="F232" i="107" s="1"/>
  <c r="M174" i="107"/>
  <c r="D262" i="107"/>
  <c r="D259" i="107" s="1"/>
  <c r="E255" i="107"/>
  <c r="E193" i="12"/>
  <c r="E189" i="12"/>
  <c r="F244" i="107"/>
  <c r="F226" i="107"/>
  <c r="F222" i="107"/>
  <c r="K46" i="12"/>
  <c r="K50" i="12" s="1"/>
  <c r="L45" i="12" s="1"/>
  <c r="J163" i="106"/>
  <c r="M138" i="108"/>
  <c r="M116" i="12"/>
  <c r="J129" i="107"/>
  <c r="J133" i="107" s="1"/>
  <c r="K128" i="107" s="1"/>
  <c r="F218" i="108"/>
  <c r="G165" i="108"/>
  <c r="G169" i="108" s="1"/>
  <c r="H164" i="108" s="1"/>
  <c r="K174" i="16"/>
  <c r="G207" i="108"/>
  <c r="D248" i="107"/>
  <c r="D246" i="107" s="1"/>
  <c r="D250" i="107" s="1"/>
  <c r="E245" i="107" s="1"/>
  <c r="E251" i="107" s="1"/>
  <c r="E247" i="107" s="1"/>
  <c r="G196" i="106"/>
  <c r="F198" i="107"/>
  <c r="F202" i="107" s="1"/>
  <c r="G197" i="107" s="1"/>
  <c r="B232" i="12"/>
  <c r="D218" i="12"/>
  <c r="H174" i="12"/>
  <c r="H218" i="107"/>
  <c r="I218" i="107" s="1"/>
  <c r="F196" i="12"/>
  <c r="I120" i="106"/>
  <c r="I119" i="106"/>
  <c r="I124" i="106"/>
  <c r="I123" i="106"/>
  <c r="L138" i="106"/>
  <c r="D266" i="107"/>
  <c r="B280" i="107"/>
  <c r="B258" i="108"/>
  <c r="D244" i="108"/>
  <c r="H196" i="108"/>
  <c r="G185" i="12"/>
  <c r="F215" i="107"/>
  <c r="F210" i="107"/>
  <c r="F211" i="107"/>
  <c r="F214" i="107"/>
  <c r="F182" i="12"/>
  <c r="F178" i="12"/>
  <c r="I207" i="107"/>
  <c r="M138" i="16"/>
  <c r="J108" i="16"/>
  <c r="J113" i="16"/>
  <c r="J109" i="16"/>
  <c r="J112" i="16"/>
  <c r="G289" i="20"/>
  <c r="F305" i="20"/>
  <c r="I174" i="106"/>
  <c r="G176" i="108"/>
  <c r="G180" i="108" s="1"/>
  <c r="H175" i="108" s="1"/>
  <c r="E229" i="108"/>
  <c r="D236" i="108"/>
  <c r="D233" i="108" s="1"/>
  <c r="D232" i="108"/>
  <c r="M59" i="107"/>
  <c r="L149" i="108"/>
  <c r="E204" i="106"/>
  <c r="E200" i="106"/>
  <c r="E198" i="106" s="1"/>
  <c r="E202" i="106" s="1"/>
  <c r="F197" i="106" s="1"/>
  <c r="F203" i="106" s="1"/>
  <c r="F199" i="106" s="1"/>
  <c r="D214" i="12"/>
  <c r="D211" i="12" s="1"/>
  <c r="E207" i="12"/>
  <c r="E215" i="108"/>
  <c r="E211" i="108"/>
  <c r="E209" i="108" s="1"/>
  <c r="E213" i="108" s="1"/>
  <c r="F208" i="108" s="1"/>
  <c r="F214" i="108" s="1"/>
  <c r="F181" i="12"/>
  <c r="F177" i="12" s="1"/>
  <c r="I112" i="12"/>
  <c r="I109" i="12"/>
  <c r="I113" i="12"/>
  <c r="I108" i="12"/>
  <c r="F171" i="12"/>
  <c r="F167" i="12"/>
  <c r="F170" i="12"/>
  <c r="F166" i="12" s="1"/>
  <c r="I185" i="108"/>
  <c r="I185" i="16"/>
  <c r="F225" i="107"/>
  <c r="F221" i="107" s="1"/>
  <c r="D200" i="12"/>
  <c r="D198" i="12" s="1"/>
  <c r="D202" i="12" s="1"/>
  <c r="E197" i="12" s="1"/>
  <c r="L46" i="108"/>
  <c r="L50" i="108" s="1"/>
  <c r="M45" i="108" s="1"/>
  <c r="L149" i="16"/>
  <c r="J196" i="107"/>
  <c r="K196" i="107" s="1"/>
  <c r="L70" i="106"/>
  <c r="L74" i="106" s="1"/>
  <c r="M69" i="106" s="1"/>
  <c r="K149" i="12"/>
  <c r="L149" i="106"/>
  <c r="B247" i="106"/>
  <c r="D229" i="106"/>
  <c r="K138" i="12"/>
  <c r="L163" i="108"/>
  <c r="I163" i="12"/>
  <c r="H196" i="16"/>
  <c r="E192" i="12"/>
  <c r="E188" i="12" s="1"/>
  <c r="G153" i="12"/>
  <c r="L46" i="107"/>
  <c r="L50" i="107" s="1"/>
  <c r="M45" i="107" s="1"/>
  <c r="M51" i="107" s="1"/>
  <c r="M70" i="20"/>
  <c r="M74" i="20" s="1"/>
  <c r="M40" i="15"/>
  <c r="M85" i="108"/>
  <c r="M89" i="108" s="1"/>
  <c r="M85" i="20"/>
  <c r="M89" i="20" s="1"/>
  <c r="L52" i="20"/>
  <c r="L47" i="20"/>
  <c r="L48" i="20"/>
  <c r="L51" i="20"/>
  <c r="L151" i="20"/>
  <c r="L155" i="20" s="1"/>
  <c r="M150" i="20" s="1"/>
  <c r="I24" i="15"/>
  <c r="I22" i="15" s="1"/>
  <c r="G133" i="19"/>
  <c r="G27" i="21" s="1"/>
  <c r="G14" i="19"/>
  <c r="G133" i="15"/>
  <c r="G57" i="21" s="1"/>
  <c r="G16" i="15"/>
  <c r="G15" i="15"/>
  <c r="G11" i="15" s="1"/>
  <c r="G136" i="15" s="1"/>
  <c r="M36" i="15"/>
  <c r="M34" i="15" s="1"/>
  <c r="M38" i="15" s="1"/>
  <c r="M85" i="107"/>
  <c r="M89" i="107" s="1"/>
  <c r="P42" i="13"/>
  <c r="P47" i="13" s="1"/>
  <c r="P49" i="13" s="1"/>
  <c r="P41" i="13"/>
  <c r="P40" i="13" s="1"/>
  <c r="M17" i="13"/>
  <c r="I14" i="21"/>
  <c r="J57" i="25" s="1"/>
  <c r="M8" i="13"/>
  <c r="J33" i="17"/>
  <c r="H16" i="17"/>
  <c r="H15" i="17"/>
  <c r="H11" i="17" s="1"/>
  <c r="H134" i="17" s="1"/>
  <c r="H131" i="17"/>
  <c r="H41" i="21" s="1"/>
  <c r="I28" i="17"/>
  <c r="I27" i="17"/>
  <c r="I23" i="17" s="1"/>
  <c r="K45" i="19"/>
  <c r="M71" i="17"/>
  <c r="M84" i="19"/>
  <c r="M73" i="15"/>
  <c r="L76" i="19"/>
  <c r="J36" i="19"/>
  <c r="I26" i="19"/>
  <c r="H284" i="20"/>
  <c r="H280" i="20" s="1"/>
  <c r="H285" i="20"/>
  <c r="K62" i="19"/>
  <c r="L64" i="108" l="1"/>
  <c r="M58" i="20"/>
  <c r="M62" i="20" s="1"/>
  <c r="K153" i="107"/>
  <c r="L96" i="20"/>
  <c r="L100" i="20" s="1"/>
  <c r="M95" i="20" s="1"/>
  <c r="L251" i="20"/>
  <c r="M113" i="20"/>
  <c r="M112" i="20"/>
  <c r="L59" i="108"/>
  <c r="L58" i="108" s="1"/>
  <c r="L62" i="108" s="1"/>
  <c r="M57" i="108" s="1"/>
  <c r="M109" i="20"/>
  <c r="M107" i="20" s="1"/>
  <c r="M111" i="20" s="1"/>
  <c r="H157" i="106"/>
  <c r="K112" i="107"/>
  <c r="H156" i="106"/>
  <c r="H152" i="106" s="1"/>
  <c r="H151" i="106" s="1"/>
  <c r="H155" i="106" s="1"/>
  <c r="I150" i="106" s="1"/>
  <c r="I156" i="106" s="1"/>
  <c r="I118" i="12"/>
  <c r="I122" i="12" s="1"/>
  <c r="J117" i="12" s="1"/>
  <c r="K108" i="107"/>
  <c r="K107" i="107" s="1"/>
  <c r="K111" i="107" s="1"/>
  <c r="L106" i="107" s="1"/>
  <c r="K113" i="107"/>
  <c r="J130" i="108"/>
  <c r="J131" i="108"/>
  <c r="J135" i="108"/>
  <c r="J134" i="108"/>
  <c r="H140" i="12"/>
  <c r="H144" i="12" s="1"/>
  <c r="I139" i="12" s="1"/>
  <c r="I146" i="12" s="1"/>
  <c r="K91" i="12"/>
  <c r="J113" i="106"/>
  <c r="J112" i="106"/>
  <c r="J109" i="106"/>
  <c r="J107" i="106" s="1"/>
  <c r="J111" i="106" s="1"/>
  <c r="K106" i="106" s="1"/>
  <c r="J135" i="16"/>
  <c r="K86" i="12"/>
  <c r="G156" i="12"/>
  <c r="G152" i="12" s="1"/>
  <c r="K87" i="12"/>
  <c r="J130" i="16"/>
  <c r="M97" i="20"/>
  <c r="M98" i="20"/>
  <c r="M102" i="20"/>
  <c r="M101" i="20"/>
  <c r="L63" i="106"/>
  <c r="I146" i="108"/>
  <c r="H193" i="107"/>
  <c r="J140" i="107"/>
  <c r="J144" i="107" s="1"/>
  <c r="K139" i="107" s="1"/>
  <c r="K146" i="107" s="1"/>
  <c r="G181" i="106"/>
  <c r="G177" i="106" s="1"/>
  <c r="L59" i="106"/>
  <c r="K86" i="16"/>
  <c r="K85" i="16" s="1"/>
  <c r="K89" i="16" s="1"/>
  <c r="L84" i="16" s="1"/>
  <c r="L86" i="16" s="1"/>
  <c r="K91" i="16"/>
  <c r="K90" i="16"/>
  <c r="L263" i="20"/>
  <c r="H135" i="12"/>
  <c r="L259" i="20"/>
  <c r="L257" i="20" s="1"/>
  <c r="L261" i="20" s="1"/>
  <c r="M256" i="20" s="1"/>
  <c r="M258" i="20" s="1"/>
  <c r="G178" i="106"/>
  <c r="L262" i="20"/>
  <c r="I118" i="108"/>
  <c r="I122" i="108" s="1"/>
  <c r="J117" i="108" s="1"/>
  <c r="J124" i="108" s="1"/>
  <c r="F192" i="16"/>
  <c r="F188" i="16" s="1"/>
  <c r="F187" i="16" s="1"/>
  <c r="F191" i="16" s="1"/>
  <c r="G186" i="16" s="1"/>
  <c r="G192" i="16" s="1"/>
  <c r="G188" i="16" s="1"/>
  <c r="F176" i="16"/>
  <c r="F180" i="16" s="1"/>
  <c r="G175" i="16" s="1"/>
  <c r="I140" i="106"/>
  <c r="I144" i="106" s="1"/>
  <c r="J139" i="106" s="1"/>
  <c r="J146" i="106" s="1"/>
  <c r="D209" i="16"/>
  <c r="D213" i="16" s="1"/>
  <c r="E208" i="16" s="1"/>
  <c r="E215" i="16" s="1"/>
  <c r="I142" i="108"/>
  <c r="I140" i="108" s="1"/>
  <c r="I144" i="108" s="1"/>
  <c r="J139" i="108" s="1"/>
  <c r="L246" i="20"/>
  <c r="L250" i="20" s="1"/>
  <c r="M245" i="20" s="1"/>
  <c r="M247" i="20" s="1"/>
  <c r="I145" i="108"/>
  <c r="I141" i="16"/>
  <c r="I140" i="16" s="1"/>
  <c r="I144" i="16" s="1"/>
  <c r="J139" i="16" s="1"/>
  <c r="J146" i="16" s="1"/>
  <c r="K108" i="108"/>
  <c r="F193" i="16"/>
  <c r="I146" i="16"/>
  <c r="I178" i="107"/>
  <c r="L60" i="106"/>
  <c r="E226" i="108"/>
  <c r="E225" i="108"/>
  <c r="E221" i="108" s="1"/>
  <c r="E220" i="108" s="1"/>
  <c r="E224" i="108" s="1"/>
  <c r="F219" i="108" s="1"/>
  <c r="F222" i="108" s="1"/>
  <c r="K109" i="108"/>
  <c r="M97" i="108"/>
  <c r="M96" i="108" s="1"/>
  <c r="M100" i="108" s="1"/>
  <c r="J131" i="16"/>
  <c r="G151" i="16"/>
  <c r="G155" i="16" s="1"/>
  <c r="H150" i="16" s="1"/>
  <c r="H153" i="16" s="1"/>
  <c r="E198" i="16"/>
  <c r="E202" i="16" s="1"/>
  <c r="F197" i="16" s="1"/>
  <c r="M75" i="16"/>
  <c r="M72" i="16"/>
  <c r="M71" i="16"/>
  <c r="M76" i="16"/>
  <c r="J97" i="16"/>
  <c r="J101" i="16"/>
  <c r="J102" i="16"/>
  <c r="J98" i="16"/>
  <c r="G167" i="16"/>
  <c r="G171" i="16"/>
  <c r="G170" i="16"/>
  <c r="G166" i="16" s="1"/>
  <c r="H189" i="107"/>
  <c r="H187" i="107" s="1"/>
  <c r="H191" i="107" s="1"/>
  <c r="I186" i="107" s="1"/>
  <c r="L59" i="12"/>
  <c r="L58" i="12" s="1"/>
  <c r="L62" i="12" s="1"/>
  <c r="M57" i="12" s="1"/>
  <c r="M59" i="12" s="1"/>
  <c r="E218" i="16"/>
  <c r="F218" i="16" s="1"/>
  <c r="G218" i="16" s="1"/>
  <c r="D225" i="16"/>
  <c r="D222" i="16" s="1"/>
  <c r="D220" i="16" s="1"/>
  <c r="D224" i="16" s="1"/>
  <c r="E219" i="16" s="1"/>
  <c r="E226" i="16" s="1"/>
  <c r="D229" i="16"/>
  <c r="D233" i="16" s="1"/>
  <c r="B247" i="16"/>
  <c r="G193" i="108"/>
  <c r="K112" i="108"/>
  <c r="L98" i="106"/>
  <c r="K91" i="106"/>
  <c r="H129" i="106"/>
  <c r="H133" i="106" s="1"/>
  <c r="I128" i="106" s="1"/>
  <c r="I134" i="106" s="1"/>
  <c r="M58" i="107"/>
  <c r="M62" i="107" s="1"/>
  <c r="K90" i="106"/>
  <c r="K86" i="106"/>
  <c r="K85" i="106" s="1"/>
  <c r="K89" i="106" s="1"/>
  <c r="L84" i="106" s="1"/>
  <c r="I145" i="16"/>
  <c r="I157" i="108"/>
  <c r="I156" i="108"/>
  <c r="I153" i="108"/>
  <c r="L72" i="12"/>
  <c r="M101" i="108"/>
  <c r="L35" i="12"/>
  <c r="L34" i="12" s="1"/>
  <c r="L38" i="12" s="1"/>
  <c r="M33" i="12" s="1"/>
  <c r="M40" i="12" s="1"/>
  <c r="F189" i="106"/>
  <c r="L71" i="12"/>
  <c r="M102" i="108"/>
  <c r="L64" i="12"/>
  <c r="G189" i="108"/>
  <c r="G187" i="108" s="1"/>
  <c r="G191" i="108" s="1"/>
  <c r="H186" i="108" s="1"/>
  <c r="L39" i="12"/>
  <c r="L96" i="12"/>
  <c r="L100" i="12" s="1"/>
  <c r="M95" i="12" s="1"/>
  <c r="M97" i="12" s="1"/>
  <c r="L70" i="108"/>
  <c r="L74" i="108" s="1"/>
  <c r="M69" i="108" s="1"/>
  <c r="M72" i="108" s="1"/>
  <c r="L46" i="20"/>
  <c r="L50" i="20" s="1"/>
  <c r="M45" i="20" s="1"/>
  <c r="M48" i="20" s="1"/>
  <c r="F192" i="106"/>
  <c r="F188" i="106" s="1"/>
  <c r="J123" i="16"/>
  <c r="J124" i="16"/>
  <c r="L63" i="12"/>
  <c r="I152" i="108"/>
  <c r="J119" i="16"/>
  <c r="J118" i="16" s="1"/>
  <c r="J122" i="16" s="1"/>
  <c r="K117" i="16" s="1"/>
  <c r="K120" i="16" s="1"/>
  <c r="L40" i="12"/>
  <c r="I118" i="106"/>
  <c r="I122" i="106" s="1"/>
  <c r="J117" i="106" s="1"/>
  <c r="J124" i="106" s="1"/>
  <c r="I177" i="107"/>
  <c r="L75" i="12"/>
  <c r="H131" i="12"/>
  <c r="H129" i="12" s="1"/>
  <c r="H133" i="12" s="1"/>
  <c r="I128" i="12" s="1"/>
  <c r="I130" i="12" s="1"/>
  <c r="L102" i="106"/>
  <c r="M22" i="106"/>
  <c r="M26" i="106" s="1"/>
  <c r="E214" i="106"/>
  <c r="E210" i="106" s="1"/>
  <c r="E215" i="106"/>
  <c r="E211" i="106"/>
  <c r="M48" i="107"/>
  <c r="M47" i="107"/>
  <c r="I181" i="107"/>
  <c r="D231" i="108"/>
  <c r="D235" i="108" s="1"/>
  <c r="E230" i="108" s="1"/>
  <c r="E237" i="108" s="1"/>
  <c r="E187" i="12"/>
  <c r="E191" i="12" s="1"/>
  <c r="F186" i="12" s="1"/>
  <c r="F189" i="12" s="1"/>
  <c r="L97" i="106"/>
  <c r="M52" i="107"/>
  <c r="F165" i="12"/>
  <c r="F169" i="12" s="1"/>
  <c r="G164" i="12" s="1"/>
  <c r="G171" i="12" s="1"/>
  <c r="I107" i="12"/>
  <c r="I111" i="12" s="1"/>
  <c r="J106" i="12" s="1"/>
  <c r="J112" i="12" s="1"/>
  <c r="F209" i="107"/>
  <c r="F213" i="107" s="1"/>
  <c r="G208" i="107" s="1"/>
  <c r="G211" i="107" s="1"/>
  <c r="F200" i="108"/>
  <c r="F203" i="108"/>
  <c r="F199" i="108" s="1"/>
  <c r="F204" i="108"/>
  <c r="M48" i="108"/>
  <c r="M51" i="108"/>
  <c r="M52" i="108"/>
  <c r="M47" i="108"/>
  <c r="J185" i="16"/>
  <c r="L174" i="16"/>
  <c r="G218" i="106"/>
  <c r="G151" i="12"/>
  <c r="G155" i="12" s="1"/>
  <c r="H150" i="12" s="1"/>
  <c r="I196" i="16"/>
  <c r="M163" i="108"/>
  <c r="E244" i="108"/>
  <c r="D248" i="108"/>
  <c r="D251" i="108"/>
  <c r="D247" i="108" s="1"/>
  <c r="H196" i="106"/>
  <c r="H207" i="108"/>
  <c r="H167" i="108"/>
  <c r="H171" i="108"/>
  <c r="H170" i="108"/>
  <c r="H166" i="108" s="1"/>
  <c r="H167" i="106"/>
  <c r="H171" i="106"/>
  <c r="H170" i="106"/>
  <c r="H166" i="106" s="1"/>
  <c r="K174" i="108"/>
  <c r="H207" i="106"/>
  <c r="M75" i="106"/>
  <c r="M71" i="106"/>
  <c r="M76" i="106"/>
  <c r="M72" i="106"/>
  <c r="F176" i="12"/>
  <c r="F180" i="12" s="1"/>
  <c r="G175" i="12" s="1"/>
  <c r="H185" i="12"/>
  <c r="D255" i="108"/>
  <c r="B269" i="108"/>
  <c r="B291" i="107"/>
  <c r="D288" i="107" s="1"/>
  <c r="D277" i="107"/>
  <c r="J218" i="107"/>
  <c r="K131" i="107"/>
  <c r="K130" i="107"/>
  <c r="K135" i="107"/>
  <c r="K134" i="107"/>
  <c r="F220" i="107"/>
  <c r="F224" i="107" s="1"/>
  <c r="G219" i="107" s="1"/>
  <c r="F255" i="107"/>
  <c r="K151" i="107"/>
  <c r="K155" i="107" s="1"/>
  <c r="L150" i="107" s="1"/>
  <c r="H165" i="107"/>
  <c r="H169" i="107" s="1"/>
  <c r="I164" i="107" s="1"/>
  <c r="D236" i="106"/>
  <c r="D232" i="106" s="1"/>
  <c r="E229" i="106"/>
  <c r="I196" i="108"/>
  <c r="G196" i="12"/>
  <c r="B247" i="12"/>
  <c r="D229" i="12"/>
  <c r="L48" i="12"/>
  <c r="L47" i="12"/>
  <c r="L51" i="12"/>
  <c r="L52" i="12"/>
  <c r="B258" i="106"/>
  <c r="D244" i="106"/>
  <c r="L149" i="12"/>
  <c r="L196" i="107"/>
  <c r="E200" i="12"/>
  <c r="E204" i="12"/>
  <c r="F204" i="106"/>
  <c r="F200" i="106"/>
  <c r="F198" i="106" s="1"/>
  <c r="F202" i="106" s="1"/>
  <c r="G197" i="106" s="1"/>
  <c r="H178" i="108"/>
  <c r="H182" i="108"/>
  <c r="H181" i="108"/>
  <c r="H177" i="108" s="1"/>
  <c r="G296" i="20"/>
  <c r="G295" i="20"/>
  <c r="G291" i="20" s="1"/>
  <c r="G302" i="20" s="1"/>
  <c r="G292" i="20"/>
  <c r="G300" i="20"/>
  <c r="J207" i="107"/>
  <c r="D247" i="16"/>
  <c r="G218" i="108"/>
  <c r="L185" i="107"/>
  <c r="J185" i="108"/>
  <c r="D210" i="12"/>
  <c r="D209" i="12" s="1"/>
  <c r="D213" i="12" s="1"/>
  <c r="E208" i="12" s="1"/>
  <c r="E214" i="12" s="1"/>
  <c r="E210" i="12" s="1"/>
  <c r="M149" i="108"/>
  <c r="J163" i="12"/>
  <c r="L138" i="12"/>
  <c r="M149" i="106"/>
  <c r="M149" i="16"/>
  <c r="F215" i="108"/>
  <c r="F210" i="108"/>
  <c r="F211" i="108"/>
  <c r="F207" i="12"/>
  <c r="K124" i="107"/>
  <c r="K123" i="107"/>
  <c r="K120" i="107"/>
  <c r="K119" i="107"/>
  <c r="F229" i="108"/>
  <c r="J174" i="106"/>
  <c r="J107" i="16"/>
  <c r="J111" i="16" s="1"/>
  <c r="K106" i="16" s="1"/>
  <c r="D273" i="107"/>
  <c r="D269" i="107" s="1"/>
  <c r="E266" i="107"/>
  <c r="M138" i="106"/>
  <c r="E203" i="12"/>
  <c r="E199" i="12" s="1"/>
  <c r="I174" i="12"/>
  <c r="D225" i="12"/>
  <c r="D221" i="12" s="1"/>
  <c r="E218" i="12"/>
  <c r="G204" i="107"/>
  <c r="G199" i="107"/>
  <c r="G200" i="107"/>
  <c r="G203" i="107"/>
  <c r="E252" i="107"/>
  <c r="E248" i="107"/>
  <c r="E246" i="107" s="1"/>
  <c r="E250" i="107" s="1"/>
  <c r="F245" i="107" s="1"/>
  <c r="F251" i="107" s="1"/>
  <c r="H207" i="16"/>
  <c r="K163" i="106"/>
  <c r="G244" i="107"/>
  <c r="D258" i="107"/>
  <c r="D257" i="107" s="1"/>
  <c r="D261" i="107" s="1"/>
  <c r="E256" i="107" s="1"/>
  <c r="F233" i="107"/>
  <c r="F231" i="107" s="1"/>
  <c r="F235" i="107" s="1"/>
  <c r="G230" i="107" s="1"/>
  <c r="G236" i="107" s="1"/>
  <c r="G232" i="107" s="1"/>
  <c r="F237" i="107"/>
  <c r="H229" i="107"/>
  <c r="L163" i="16"/>
  <c r="D221" i="106"/>
  <c r="D220" i="106" s="1"/>
  <c r="D224" i="106" s="1"/>
  <c r="E219" i="106" s="1"/>
  <c r="I185" i="106"/>
  <c r="M156" i="20"/>
  <c r="M152" i="20"/>
  <c r="M153" i="20"/>
  <c r="M157" i="20"/>
  <c r="H9" i="19"/>
  <c r="G137" i="19"/>
  <c r="G30" i="21" s="1"/>
  <c r="G12" i="15"/>
  <c r="M13" i="13"/>
  <c r="J11" i="21" s="1"/>
  <c r="J9" i="21"/>
  <c r="I24" i="17"/>
  <c r="I22" i="17" s="1"/>
  <c r="J40" i="17"/>
  <c r="J39" i="17"/>
  <c r="J35" i="17" s="1"/>
  <c r="H12" i="17"/>
  <c r="I26" i="15"/>
  <c r="L57" i="19"/>
  <c r="J21" i="19"/>
  <c r="M71" i="19"/>
  <c r="M80" i="15"/>
  <c r="M79" i="15"/>
  <c r="M75" i="15" s="1"/>
  <c r="M88" i="19"/>
  <c r="M78" i="17"/>
  <c r="M77" i="17"/>
  <c r="M73" i="17" s="1"/>
  <c r="K52" i="19"/>
  <c r="K51" i="19"/>
  <c r="K47" i="19" s="1"/>
  <c r="H281" i="20"/>
  <c r="J34" i="19"/>
  <c r="I142" i="12" l="1"/>
  <c r="I152" i="106"/>
  <c r="I153" i="106"/>
  <c r="I157" i="106"/>
  <c r="I145" i="12"/>
  <c r="I141" i="12"/>
  <c r="M63" i="108"/>
  <c r="M59" i="108"/>
  <c r="M64" i="108"/>
  <c r="M60" i="108"/>
  <c r="J120" i="108"/>
  <c r="J119" i="108"/>
  <c r="M96" i="20"/>
  <c r="M100" i="20" s="1"/>
  <c r="J129" i="108"/>
  <c r="J133" i="108" s="1"/>
  <c r="K128" i="108" s="1"/>
  <c r="J124" i="12"/>
  <c r="J119" i="12"/>
  <c r="J120" i="12"/>
  <c r="J123" i="12"/>
  <c r="L112" i="107"/>
  <c r="L108" i="107"/>
  <c r="L113" i="107"/>
  <c r="L109" i="107"/>
  <c r="J129" i="16"/>
  <c r="J133" i="16" s="1"/>
  <c r="K128" i="16" s="1"/>
  <c r="K131" i="16" s="1"/>
  <c r="K112" i="106"/>
  <c r="K108" i="106"/>
  <c r="K109" i="106"/>
  <c r="K85" i="12"/>
  <c r="K89" i="12" s="1"/>
  <c r="L84" i="12" s="1"/>
  <c r="L90" i="12" s="1"/>
  <c r="E211" i="16"/>
  <c r="E214" i="16"/>
  <c r="E210" i="16" s="1"/>
  <c r="K142" i="107"/>
  <c r="M71" i="108"/>
  <c r="M70" i="108" s="1"/>
  <c r="M74" i="108" s="1"/>
  <c r="J123" i="108"/>
  <c r="K141" i="107"/>
  <c r="K145" i="107"/>
  <c r="I135" i="106"/>
  <c r="K113" i="106"/>
  <c r="G176" i="106"/>
  <c r="G180" i="106" s="1"/>
  <c r="H175" i="106" s="1"/>
  <c r="H178" i="106" s="1"/>
  <c r="L58" i="106"/>
  <c r="L62" i="106" s="1"/>
  <c r="M57" i="106" s="1"/>
  <c r="J145" i="106"/>
  <c r="M259" i="20"/>
  <c r="M257" i="20" s="1"/>
  <c r="M261" i="20" s="1"/>
  <c r="J141" i="106"/>
  <c r="M263" i="20"/>
  <c r="M262" i="20"/>
  <c r="J142" i="106"/>
  <c r="I176" i="107"/>
  <c r="I180" i="107" s="1"/>
  <c r="J175" i="107" s="1"/>
  <c r="J177" i="107" s="1"/>
  <c r="G193" i="16"/>
  <c r="G189" i="16"/>
  <c r="G187" i="16" s="1"/>
  <c r="G191" i="16" s="1"/>
  <c r="H186" i="16" s="1"/>
  <c r="M248" i="20"/>
  <c r="M246" i="20" s="1"/>
  <c r="M250" i="20" s="1"/>
  <c r="M102" i="12"/>
  <c r="M252" i="20"/>
  <c r="M251" i="20"/>
  <c r="G178" i="16"/>
  <c r="G182" i="16"/>
  <c r="G181" i="16"/>
  <c r="G177" i="16" s="1"/>
  <c r="J146" i="108"/>
  <c r="J145" i="108"/>
  <c r="H157" i="16"/>
  <c r="K107" i="108"/>
  <c r="K111" i="108" s="1"/>
  <c r="L106" i="108" s="1"/>
  <c r="L108" i="108" s="1"/>
  <c r="L90" i="16"/>
  <c r="L91" i="16"/>
  <c r="L87" i="16"/>
  <c r="L85" i="16" s="1"/>
  <c r="L89" i="16" s="1"/>
  <c r="M84" i="16" s="1"/>
  <c r="M91" i="16" s="1"/>
  <c r="F221" i="108"/>
  <c r="F220" i="108" s="1"/>
  <c r="F224" i="108" s="1"/>
  <c r="G219" i="108" s="1"/>
  <c r="G225" i="108" s="1"/>
  <c r="G221" i="108" s="1"/>
  <c r="H156" i="16"/>
  <c r="H152" i="16" s="1"/>
  <c r="H151" i="16" s="1"/>
  <c r="H155" i="16" s="1"/>
  <c r="I150" i="16" s="1"/>
  <c r="J141" i="108"/>
  <c r="J145" i="16"/>
  <c r="M75" i="108"/>
  <c r="I130" i="106"/>
  <c r="J96" i="16"/>
  <c r="J100" i="16" s="1"/>
  <c r="K95" i="16" s="1"/>
  <c r="K101" i="16" s="1"/>
  <c r="F200" i="16"/>
  <c r="F203" i="16"/>
  <c r="F199" i="16" s="1"/>
  <c r="F204" i="16"/>
  <c r="M70" i="16"/>
  <c r="M74" i="16" s="1"/>
  <c r="M60" i="12"/>
  <c r="M58" i="12" s="1"/>
  <c r="M62" i="12" s="1"/>
  <c r="E229" i="16"/>
  <c r="F229" i="16" s="1"/>
  <c r="G229" i="16" s="1"/>
  <c r="D236" i="16"/>
  <c r="D232" i="16" s="1"/>
  <c r="D231" i="16" s="1"/>
  <c r="D235" i="16" s="1"/>
  <c r="E230" i="16" s="1"/>
  <c r="M76" i="108"/>
  <c r="J142" i="108"/>
  <c r="I131" i="106"/>
  <c r="E225" i="16"/>
  <c r="E221" i="16" s="1"/>
  <c r="E222" i="16"/>
  <c r="B258" i="16"/>
  <c r="D244" i="16"/>
  <c r="G165" i="16"/>
  <c r="G169" i="16" s="1"/>
  <c r="H164" i="16" s="1"/>
  <c r="L86" i="106"/>
  <c r="L87" i="106"/>
  <c r="F209" i="108"/>
  <c r="F213" i="108" s="1"/>
  <c r="G208" i="108" s="1"/>
  <c r="G214" i="108" s="1"/>
  <c r="F192" i="12"/>
  <c r="M98" i="12"/>
  <c r="M96" i="12" s="1"/>
  <c r="M100" i="12" s="1"/>
  <c r="J142" i="16"/>
  <c r="I151" i="108"/>
  <c r="I155" i="108" s="1"/>
  <c r="J150" i="108" s="1"/>
  <c r="J153" i="108" s="1"/>
  <c r="M101" i="12"/>
  <c r="J141" i="16"/>
  <c r="F188" i="12"/>
  <c r="F187" i="12" s="1"/>
  <c r="F191" i="12" s="1"/>
  <c r="G186" i="12" s="1"/>
  <c r="L96" i="106"/>
  <c r="L100" i="106" s="1"/>
  <c r="M95" i="106" s="1"/>
  <c r="M101" i="106" s="1"/>
  <c r="J120" i="106"/>
  <c r="J119" i="106"/>
  <c r="G215" i="107"/>
  <c r="F193" i="12"/>
  <c r="M39" i="12"/>
  <c r="L70" i="12"/>
  <c r="L74" i="12" s="1"/>
  <c r="M69" i="12" s="1"/>
  <c r="M71" i="12" s="1"/>
  <c r="F187" i="106"/>
  <c r="F191" i="106" s="1"/>
  <c r="G186" i="106" s="1"/>
  <c r="G189" i="106" s="1"/>
  <c r="M52" i="20"/>
  <c r="M51" i="20"/>
  <c r="G170" i="12"/>
  <c r="G166" i="12" s="1"/>
  <c r="M47" i="20"/>
  <c r="M46" i="20" s="1"/>
  <c r="M50" i="20" s="1"/>
  <c r="J123" i="106"/>
  <c r="I131" i="12"/>
  <c r="I129" i="12" s="1"/>
  <c r="I133" i="12" s="1"/>
  <c r="J128" i="12" s="1"/>
  <c r="J113" i="12"/>
  <c r="I134" i="12"/>
  <c r="F226" i="108"/>
  <c r="F198" i="108"/>
  <c r="F202" i="108" s="1"/>
  <c r="G197" i="108" s="1"/>
  <c r="G200" i="108" s="1"/>
  <c r="F225" i="108"/>
  <c r="L46" i="12"/>
  <c r="L50" i="12" s="1"/>
  <c r="M45" i="12" s="1"/>
  <c r="M48" i="12" s="1"/>
  <c r="G167" i="12"/>
  <c r="I135" i="12"/>
  <c r="L90" i="106"/>
  <c r="K123" i="16"/>
  <c r="L91" i="106"/>
  <c r="D246" i="108"/>
  <c r="D250" i="108" s="1"/>
  <c r="E245" i="108" s="1"/>
  <c r="E252" i="108" s="1"/>
  <c r="K124" i="16"/>
  <c r="M46" i="108"/>
  <c r="M50" i="108" s="1"/>
  <c r="K119" i="16"/>
  <c r="K118" i="16" s="1"/>
  <c r="K122" i="16" s="1"/>
  <c r="L117" i="16" s="1"/>
  <c r="L124" i="16" s="1"/>
  <c r="G214" i="107"/>
  <c r="G210" i="107" s="1"/>
  <c r="G209" i="107" s="1"/>
  <c r="G213" i="107" s="1"/>
  <c r="H208" i="107" s="1"/>
  <c r="M46" i="107"/>
  <c r="M50" i="107" s="1"/>
  <c r="M70" i="106"/>
  <c r="M74" i="106" s="1"/>
  <c r="E209" i="106"/>
  <c r="E213" i="106" s="1"/>
  <c r="F208" i="106" s="1"/>
  <c r="F214" i="106" s="1"/>
  <c r="F210" i="106" s="1"/>
  <c r="D270" i="107"/>
  <c r="D268" i="107" s="1"/>
  <c r="D272" i="107" s="1"/>
  <c r="E267" i="107" s="1"/>
  <c r="E273" i="107" s="1"/>
  <c r="E269" i="107" s="1"/>
  <c r="J109" i="12"/>
  <c r="M35" i="12"/>
  <c r="E236" i="108"/>
  <c r="E233" i="108" s="1"/>
  <c r="H176" i="108"/>
  <c r="H180" i="108" s="1"/>
  <c r="I175" i="108" s="1"/>
  <c r="I182" i="108" s="1"/>
  <c r="E198" i="12"/>
  <c r="E202" i="12" s="1"/>
  <c r="F197" i="12" s="1"/>
  <c r="F204" i="12" s="1"/>
  <c r="J108" i="12"/>
  <c r="M64" i="12"/>
  <c r="M36" i="12"/>
  <c r="M63" i="12"/>
  <c r="G198" i="107"/>
  <c r="G202" i="107" s="1"/>
  <c r="H197" i="107" s="1"/>
  <c r="H204" i="107" s="1"/>
  <c r="D222" i="12"/>
  <c r="D220" i="12" s="1"/>
  <c r="D224" i="12" s="1"/>
  <c r="E219" i="12" s="1"/>
  <c r="F266" i="107"/>
  <c r="G266" i="107" s="1"/>
  <c r="K113" i="16"/>
  <c r="K108" i="16"/>
  <c r="K109" i="16"/>
  <c r="K112" i="16"/>
  <c r="G207" i="12"/>
  <c r="H207" i="12" s="1"/>
  <c r="H218" i="108"/>
  <c r="M149" i="12"/>
  <c r="G255" i="107"/>
  <c r="B280" i="108"/>
  <c r="D266" i="108"/>
  <c r="H244" i="107"/>
  <c r="I207" i="16"/>
  <c r="K174" i="106"/>
  <c r="M138" i="12"/>
  <c r="K163" i="12"/>
  <c r="M163" i="16"/>
  <c r="E263" i="107"/>
  <c r="L163" i="106"/>
  <c r="E232" i="108"/>
  <c r="K118" i="107"/>
  <c r="K122" i="107" s="1"/>
  <c r="L117" i="107" s="1"/>
  <c r="K185" i="108"/>
  <c r="H193" i="108"/>
  <c r="H189" i="108"/>
  <c r="H192" i="108"/>
  <c r="H188" i="108" s="1"/>
  <c r="G290" i="20"/>
  <c r="G303" i="20"/>
  <c r="B258" i="12"/>
  <c r="D244" i="12"/>
  <c r="D233" i="106"/>
  <c r="D231" i="106" s="1"/>
  <c r="D235" i="106" s="1"/>
  <c r="E230" i="106" s="1"/>
  <c r="E236" i="106" s="1"/>
  <c r="E232" i="106" s="1"/>
  <c r="L157" i="107"/>
  <c r="L152" i="107"/>
  <c r="L153" i="107"/>
  <c r="L156" i="107"/>
  <c r="I193" i="107"/>
  <c r="I189" i="107"/>
  <c r="I188" i="107"/>
  <c r="I192" i="107"/>
  <c r="D295" i="107"/>
  <c r="D291" i="107" s="1"/>
  <c r="E288" i="107"/>
  <c r="I185" i="12"/>
  <c r="L174" i="108"/>
  <c r="H156" i="12"/>
  <c r="H152" i="12" s="1"/>
  <c r="H153" i="12"/>
  <c r="H157" i="12"/>
  <c r="I229" i="107"/>
  <c r="I207" i="108"/>
  <c r="G229" i="108"/>
  <c r="E211" i="12"/>
  <c r="E209" i="12" s="1"/>
  <c r="E213" i="12" s="1"/>
  <c r="F208" i="12" s="1"/>
  <c r="F214" i="12" s="1"/>
  <c r="F210" i="12" s="1"/>
  <c r="E215" i="12"/>
  <c r="G200" i="106"/>
  <c r="G204" i="106"/>
  <c r="D251" i="106"/>
  <c r="D248" i="106" s="1"/>
  <c r="E244" i="106"/>
  <c r="H196" i="12"/>
  <c r="I196" i="12" s="1"/>
  <c r="G222" i="107"/>
  <c r="G226" i="107"/>
  <c r="G225" i="107"/>
  <c r="G221" i="107" s="1"/>
  <c r="K218" i="107"/>
  <c r="E255" i="108"/>
  <c r="D262" i="108"/>
  <c r="D259" i="108" s="1"/>
  <c r="G203" i="106"/>
  <c r="G199" i="106" s="1"/>
  <c r="F244" i="108"/>
  <c r="H218" i="106"/>
  <c r="I218" i="106" s="1"/>
  <c r="J185" i="106"/>
  <c r="F218" i="12"/>
  <c r="J174" i="12"/>
  <c r="H218" i="16"/>
  <c r="F229" i="106"/>
  <c r="G182" i="12"/>
  <c r="G178" i="12"/>
  <c r="G181" i="12"/>
  <c r="G177" i="12" s="1"/>
  <c r="I207" i="106"/>
  <c r="L86" i="12"/>
  <c r="L87" i="12"/>
  <c r="E225" i="106"/>
  <c r="E221" i="106" s="1"/>
  <c r="E226" i="106"/>
  <c r="F252" i="107"/>
  <c r="F248" i="107"/>
  <c r="F247" i="107"/>
  <c r="G237" i="107"/>
  <c r="G233" i="107"/>
  <c r="G231" i="107" s="1"/>
  <c r="G235" i="107" s="1"/>
  <c r="H230" i="107" s="1"/>
  <c r="M185" i="107"/>
  <c r="K207" i="107"/>
  <c r="M196" i="107"/>
  <c r="B269" i="106"/>
  <c r="D255" i="106"/>
  <c r="D236" i="12"/>
  <c r="D233" i="12" s="1"/>
  <c r="E229" i="12"/>
  <c r="J196" i="108"/>
  <c r="I166" i="107"/>
  <c r="I171" i="107"/>
  <c r="I167" i="107"/>
  <c r="I170" i="107"/>
  <c r="E262" i="107"/>
  <c r="E258" i="107" s="1"/>
  <c r="K129" i="107"/>
  <c r="K133" i="107" s="1"/>
  <c r="L128" i="107" s="1"/>
  <c r="D284" i="107"/>
  <c r="D281" i="107" s="1"/>
  <c r="E277" i="107"/>
  <c r="H165" i="106"/>
  <c r="H169" i="106" s="1"/>
  <c r="I164" i="106" s="1"/>
  <c r="H165" i="108"/>
  <c r="H169" i="108" s="1"/>
  <c r="I164" i="108" s="1"/>
  <c r="I196" i="106"/>
  <c r="J196" i="16"/>
  <c r="M174" i="16"/>
  <c r="K185" i="16"/>
  <c r="M151" i="20"/>
  <c r="M155" i="20" s="1"/>
  <c r="M12" i="13"/>
  <c r="J12" i="21" s="1"/>
  <c r="G10" i="15"/>
  <c r="G137" i="15"/>
  <c r="G60" i="21" s="1"/>
  <c r="H131" i="19"/>
  <c r="H25" i="21" s="1"/>
  <c r="H15" i="19"/>
  <c r="H11" i="19" s="1"/>
  <c r="H134" i="19" s="1"/>
  <c r="H16" i="19"/>
  <c r="J21" i="15"/>
  <c r="H10" i="17"/>
  <c r="H135" i="17"/>
  <c r="H44" i="21" s="1"/>
  <c r="J36" i="17"/>
  <c r="I26" i="17"/>
  <c r="J38" i="19"/>
  <c r="M78" i="19"/>
  <c r="M77" i="19"/>
  <c r="M73" i="19" s="1"/>
  <c r="J28" i="19"/>
  <c r="J27" i="19"/>
  <c r="J23" i="19" s="1"/>
  <c r="L64" i="19"/>
  <c r="L63" i="19"/>
  <c r="L59" i="19" s="1"/>
  <c r="K48" i="19"/>
  <c r="M74" i="17"/>
  <c r="H279" i="20"/>
  <c r="M76" i="15"/>
  <c r="L113" i="108" l="1"/>
  <c r="L112" i="108"/>
  <c r="I151" i="106"/>
  <c r="I155" i="106" s="1"/>
  <c r="J150" i="106" s="1"/>
  <c r="J157" i="106" s="1"/>
  <c r="I140" i="12"/>
  <c r="I144" i="12" s="1"/>
  <c r="J139" i="12" s="1"/>
  <c r="J145" i="12" s="1"/>
  <c r="L91" i="12"/>
  <c r="H193" i="16"/>
  <c r="H189" i="16"/>
  <c r="J118" i="108"/>
  <c r="J122" i="108" s="1"/>
  <c r="K117" i="108" s="1"/>
  <c r="K119" i="108" s="1"/>
  <c r="M58" i="108"/>
  <c r="M62" i="108" s="1"/>
  <c r="K134" i="16"/>
  <c r="L109" i="108"/>
  <c r="J118" i="12"/>
  <c r="J122" i="12" s="1"/>
  <c r="K117" i="12" s="1"/>
  <c r="K123" i="12" s="1"/>
  <c r="H181" i="106"/>
  <c r="H177" i="106" s="1"/>
  <c r="H176" i="106" s="1"/>
  <c r="H180" i="106" s="1"/>
  <c r="I175" i="106" s="1"/>
  <c r="I177" i="106" s="1"/>
  <c r="H182" i="106"/>
  <c r="K135" i="108"/>
  <c r="K131" i="108"/>
  <c r="K134" i="108"/>
  <c r="K130" i="108"/>
  <c r="K135" i="16"/>
  <c r="E209" i="16"/>
  <c r="E213" i="16" s="1"/>
  <c r="F208" i="16" s="1"/>
  <c r="F214" i="16" s="1"/>
  <c r="F210" i="16" s="1"/>
  <c r="K130" i="16"/>
  <c r="K129" i="16" s="1"/>
  <c r="K133" i="16" s="1"/>
  <c r="L128" i="16" s="1"/>
  <c r="L131" i="16" s="1"/>
  <c r="J181" i="107"/>
  <c r="J141" i="12"/>
  <c r="K107" i="106"/>
  <c r="K111" i="106" s="1"/>
  <c r="L106" i="106" s="1"/>
  <c r="L108" i="106" s="1"/>
  <c r="L107" i="107"/>
  <c r="L111" i="107" s="1"/>
  <c r="M106" i="107" s="1"/>
  <c r="K140" i="107"/>
  <c r="K144" i="107" s="1"/>
  <c r="L139" i="107" s="1"/>
  <c r="L145" i="107" s="1"/>
  <c r="G215" i="108"/>
  <c r="G192" i="106"/>
  <c r="G188" i="106" s="1"/>
  <c r="G187" i="106" s="1"/>
  <c r="G191" i="106" s="1"/>
  <c r="H186" i="106" s="1"/>
  <c r="M102" i="106"/>
  <c r="J140" i="106"/>
  <c r="J144" i="106" s="1"/>
  <c r="K139" i="106" s="1"/>
  <c r="K145" i="106" s="1"/>
  <c r="L85" i="106"/>
  <c r="L89" i="106" s="1"/>
  <c r="M84" i="106" s="1"/>
  <c r="M91" i="106" s="1"/>
  <c r="J157" i="108"/>
  <c r="M98" i="106"/>
  <c r="G193" i="106"/>
  <c r="K102" i="16"/>
  <c r="J140" i="108"/>
  <c r="J144" i="108" s="1"/>
  <c r="K139" i="108" s="1"/>
  <c r="K145" i="108" s="1"/>
  <c r="H192" i="16"/>
  <c r="H188" i="16" s="1"/>
  <c r="H187" i="16" s="1"/>
  <c r="H191" i="16" s="1"/>
  <c r="I186" i="16" s="1"/>
  <c r="I129" i="106"/>
  <c r="I133" i="106" s="1"/>
  <c r="J128" i="106" s="1"/>
  <c r="J130" i="106" s="1"/>
  <c r="M60" i="106"/>
  <c r="M63" i="106"/>
  <c r="M64" i="106"/>
  <c r="M59" i="106"/>
  <c r="J178" i="107"/>
  <c r="J176" i="107" s="1"/>
  <c r="J180" i="107" s="1"/>
  <c r="K175" i="107" s="1"/>
  <c r="K178" i="107" s="1"/>
  <c r="J182" i="107"/>
  <c r="M86" i="16"/>
  <c r="J118" i="106"/>
  <c r="J122" i="106" s="1"/>
  <c r="K117" i="106" s="1"/>
  <c r="K123" i="106" s="1"/>
  <c r="M90" i="16"/>
  <c r="G176" i="16"/>
  <c r="G180" i="16" s="1"/>
  <c r="H175" i="16" s="1"/>
  <c r="M47" i="12"/>
  <c r="M46" i="12" s="1"/>
  <c r="M50" i="12" s="1"/>
  <c r="M87" i="16"/>
  <c r="K97" i="16"/>
  <c r="G165" i="12"/>
  <c r="G169" i="12" s="1"/>
  <c r="H164" i="12" s="1"/>
  <c r="H171" i="12" s="1"/>
  <c r="I178" i="108"/>
  <c r="J152" i="108"/>
  <c r="J151" i="108" s="1"/>
  <c r="J155" i="108" s="1"/>
  <c r="K150" i="108" s="1"/>
  <c r="K152" i="108" s="1"/>
  <c r="J156" i="108"/>
  <c r="K98" i="16"/>
  <c r="M97" i="106"/>
  <c r="F198" i="16"/>
  <c r="F202" i="16" s="1"/>
  <c r="G197" i="16" s="1"/>
  <c r="E220" i="16"/>
  <c r="E224" i="16" s="1"/>
  <c r="F219" i="16" s="1"/>
  <c r="F226" i="16" s="1"/>
  <c r="I153" i="16"/>
  <c r="I152" i="16"/>
  <c r="I157" i="16"/>
  <c r="I156" i="16"/>
  <c r="E236" i="16"/>
  <c r="E232" i="16" s="1"/>
  <c r="E237" i="16"/>
  <c r="E233" i="16"/>
  <c r="H171" i="16"/>
  <c r="H167" i="16"/>
  <c r="H170" i="16"/>
  <c r="H166" i="16" s="1"/>
  <c r="G204" i="108"/>
  <c r="J140" i="16"/>
  <c r="J144" i="16" s="1"/>
  <c r="K139" i="16" s="1"/>
  <c r="K145" i="16" s="1"/>
  <c r="D251" i="16"/>
  <c r="D248" i="16" s="1"/>
  <c r="D246" i="16" s="1"/>
  <c r="D250" i="16" s="1"/>
  <c r="E245" i="16" s="1"/>
  <c r="E252" i="16" s="1"/>
  <c r="E244" i="16"/>
  <c r="F244" i="16" s="1"/>
  <c r="G244" i="16" s="1"/>
  <c r="D255" i="16"/>
  <c r="B269" i="16"/>
  <c r="G211" i="108"/>
  <c r="F215" i="106"/>
  <c r="G222" i="108"/>
  <c r="G220" i="108" s="1"/>
  <c r="G224" i="108" s="1"/>
  <c r="H219" i="108" s="1"/>
  <c r="H226" i="108" s="1"/>
  <c r="G203" i="108"/>
  <c r="G199" i="108" s="1"/>
  <c r="G198" i="108" s="1"/>
  <c r="G202" i="108" s="1"/>
  <c r="H197" i="108" s="1"/>
  <c r="G210" i="108"/>
  <c r="M51" i="12"/>
  <c r="M75" i="12"/>
  <c r="M76" i="12"/>
  <c r="M72" i="12"/>
  <c r="M70" i="12" s="1"/>
  <c r="M74" i="12" s="1"/>
  <c r="J142" i="12"/>
  <c r="J146" i="12"/>
  <c r="M52" i="12"/>
  <c r="L112" i="106"/>
  <c r="H203" i="107"/>
  <c r="H199" i="107" s="1"/>
  <c r="L107" i="108"/>
  <c r="L111" i="108" s="1"/>
  <c r="M106" i="108" s="1"/>
  <c r="M113" i="108" s="1"/>
  <c r="E251" i="108"/>
  <c r="E247" i="108" s="1"/>
  <c r="E248" i="108"/>
  <c r="G198" i="106"/>
  <c r="G202" i="106" s="1"/>
  <c r="H197" i="106" s="1"/>
  <c r="H200" i="106" s="1"/>
  <c r="F211" i="106"/>
  <c r="F209" i="106" s="1"/>
  <c r="F213" i="106" s="1"/>
  <c r="G208" i="106" s="1"/>
  <c r="J107" i="12"/>
  <c r="J111" i="12" s="1"/>
  <c r="K106" i="12" s="1"/>
  <c r="K109" i="12" s="1"/>
  <c r="I177" i="108"/>
  <c r="L151" i="107"/>
  <c r="L155" i="107" s="1"/>
  <c r="M150" i="107" s="1"/>
  <c r="M152" i="107" s="1"/>
  <c r="H211" i="107"/>
  <c r="H214" i="107"/>
  <c r="H210" i="107" s="1"/>
  <c r="H215" i="107"/>
  <c r="E270" i="107"/>
  <c r="E268" i="107" s="1"/>
  <c r="E272" i="107" s="1"/>
  <c r="F267" i="107" s="1"/>
  <c r="F274" i="107" s="1"/>
  <c r="J152" i="106"/>
  <c r="L85" i="12"/>
  <c r="L89" i="12" s="1"/>
  <c r="M84" i="12" s="1"/>
  <c r="M90" i="12" s="1"/>
  <c r="L123" i="16"/>
  <c r="E274" i="107"/>
  <c r="H200" i="107"/>
  <c r="F200" i="12"/>
  <c r="M34" i="12"/>
  <c r="M38" i="12" s="1"/>
  <c r="E231" i="108"/>
  <c r="E235" i="108" s="1"/>
  <c r="F230" i="108" s="1"/>
  <c r="F233" i="108" s="1"/>
  <c r="D280" i="107"/>
  <c r="D279" i="107" s="1"/>
  <c r="D283" i="107" s="1"/>
  <c r="E278" i="107" s="1"/>
  <c r="E284" i="107" s="1"/>
  <c r="E280" i="107" s="1"/>
  <c r="F203" i="12"/>
  <c r="F199" i="12" s="1"/>
  <c r="L119" i="16"/>
  <c r="I165" i="107"/>
  <c r="I169" i="107" s="1"/>
  <c r="J164" i="107" s="1"/>
  <c r="J171" i="107" s="1"/>
  <c r="D247" i="106"/>
  <c r="D246" i="106" s="1"/>
  <c r="D250" i="106" s="1"/>
  <c r="E245" i="106" s="1"/>
  <c r="E252" i="106" s="1"/>
  <c r="D232" i="12"/>
  <c r="D231" i="12" s="1"/>
  <c r="D235" i="12" s="1"/>
  <c r="E230" i="12" s="1"/>
  <c r="E237" i="12" s="1"/>
  <c r="I181" i="108"/>
  <c r="L120" i="16"/>
  <c r="G220" i="107"/>
  <c r="G224" i="107" s="1"/>
  <c r="H219" i="107" s="1"/>
  <c r="H225" i="107" s="1"/>
  <c r="H221" i="107" s="1"/>
  <c r="H187" i="108"/>
  <c r="H191" i="108" s="1"/>
  <c r="I186" i="108" s="1"/>
  <c r="I192" i="108" s="1"/>
  <c r="G226" i="108"/>
  <c r="F246" i="107"/>
  <c r="F250" i="107" s="1"/>
  <c r="G245" i="107" s="1"/>
  <c r="G252" i="107" s="1"/>
  <c r="D258" i="108"/>
  <c r="D257" i="108" s="1"/>
  <c r="D261" i="108" s="1"/>
  <c r="E256" i="108" s="1"/>
  <c r="E262" i="108" s="1"/>
  <c r="E258" i="108" s="1"/>
  <c r="H151" i="12"/>
  <c r="H155" i="12" s="1"/>
  <c r="I150" i="12" s="1"/>
  <c r="I156" i="12" s="1"/>
  <c r="I167" i="106"/>
  <c r="I171" i="106"/>
  <c r="I166" i="106"/>
  <c r="I170" i="106"/>
  <c r="F277" i="107"/>
  <c r="D262" i="106"/>
  <c r="D258" i="106" s="1"/>
  <c r="E255" i="106"/>
  <c r="J207" i="106"/>
  <c r="K185" i="106"/>
  <c r="E226" i="12"/>
  <c r="E222" i="12"/>
  <c r="J229" i="107"/>
  <c r="M174" i="108"/>
  <c r="G301" i="20"/>
  <c r="G294" i="20"/>
  <c r="L163" i="12"/>
  <c r="L174" i="106"/>
  <c r="H233" i="107"/>
  <c r="H237" i="107"/>
  <c r="H229" i="108"/>
  <c r="E237" i="106"/>
  <c r="E233" i="106"/>
  <c r="E231" i="106" s="1"/>
  <c r="E235" i="106" s="1"/>
  <c r="F230" i="106" s="1"/>
  <c r="L185" i="108"/>
  <c r="H255" i="107"/>
  <c r="E222" i="106"/>
  <c r="E220" i="106" s="1"/>
  <c r="E224" i="106" s="1"/>
  <c r="F219" i="106" s="1"/>
  <c r="G176" i="12"/>
  <c r="G180" i="12" s="1"/>
  <c r="H175" i="12" s="1"/>
  <c r="G218" i="12"/>
  <c r="J218" i="106"/>
  <c r="J196" i="12"/>
  <c r="J207" i="108"/>
  <c r="K182" i="107"/>
  <c r="F288" i="107"/>
  <c r="L124" i="107"/>
  <c r="L119" i="107"/>
  <c r="L123" i="107"/>
  <c r="L120" i="107"/>
  <c r="M163" i="106"/>
  <c r="J207" i="16"/>
  <c r="E266" i="108"/>
  <c r="D273" i="108"/>
  <c r="D270" i="108" s="1"/>
  <c r="H229" i="16"/>
  <c r="J135" i="12"/>
  <c r="J131" i="12"/>
  <c r="J130" i="12"/>
  <c r="J134" i="12"/>
  <c r="I218" i="16"/>
  <c r="G244" i="108"/>
  <c r="D255" i="12"/>
  <c r="B269" i="12"/>
  <c r="L185" i="16"/>
  <c r="F229" i="12"/>
  <c r="D266" i="106"/>
  <c r="B280" i="106"/>
  <c r="G229" i="106"/>
  <c r="E225" i="12"/>
  <c r="E221" i="12" s="1"/>
  <c r="L218" i="107"/>
  <c r="G189" i="12"/>
  <c r="G193" i="12"/>
  <c r="G192" i="12"/>
  <c r="G188" i="12" s="1"/>
  <c r="J185" i="12"/>
  <c r="I244" i="107"/>
  <c r="I207" i="12"/>
  <c r="J196" i="106"/>
  <c r="K196" i="108"/>
  <c r="L207" i="107"/>
  <c r="K196" i="16"/>
  <c r="I167" i="108"/>
  <c r="I171" i="108"/>
  <c r="I166" i="108"/>
  <c r="I170" i="108"/>
  <c r="L135" i="107"/>
  <c r="L131" i="107"/>
  <c r="L130" i="107"/>
  <c r="L134" i="107"/>
  <c r="K174" i="12"/>
  <c r="L174" i="12" s="1"/>
  <c r="F255" i="108"/>
  <c r="F244" i="106"/>
  <c r="F215" i="12"/>
  <c r="F211" i="12"/>
  <c r="F209" i="12" s="1"/>
  <c r="F213" i="12" s="1"/>
  <c r="G208" i="12" s="1"/>
  <c r="H236" i="107"/>
  <c r="H232" i="107" s="1"/>
  <c r="D292" i="107"/>
  <c r="I187" i="107"/>
  <c r="I191" i="107" s="1"/>
  <c r="J186" i="107" s="1"/>
  <c r="D251" i="12"/>
  <c r="D247" i="12" s="1"/>
  <c r="E244" i="12"/>
  <c r="E259" i="107"/>
  <c r="E257" i="107" s="1"/>
  <c r="E261" i="107" s="1"/>
  <c r="F256" i="107" s="1"/>
  <c r="B291" i="108"/>
  <c r="D288" i="108" s="1"/>
  <c r="D277" i="108"/>
  <c r="I218" i="108"/>
  <c r="K107" i="16"/>
  <c r="K111" i="16" s="1"/>
  <c r="L106" i="16" s="1"/>
  <c r="H266" i="107"/>
  <c r="M14" i="13"/>
  <c r="M19" i="13" s="1"/>
  <c r="M21" i="13" s="1"/>
  <c r="N17" i="13" s="1"/>
  <c r="H12" i="19"/>
  <c r="G135" i="15"/>
  <c r="G59" i="21" s="1"/>
  <c r="G14" i="15"/>
  <c r="J24" i="19"/>
  <c r="J22" i="19" s="1"/>
  <c r="J21" i="17"/>
  <c r="J34" i="17"/>
  <c r="H133" i="17"/>
  <c r="H43" i="21" s="1"/>
  <c r="H14" i="17"/>
  <c r="J28" i="15"/>
  <c r="J27" i="15"/>
  <c r="J23" i="15" s="1"/>
  <c r="M72" i="17"/>
  <c r="M74" i="15"/>
  <c r="H283" i="20"/>
  <c r="K46" i="19"/>
  <c r="K33" i="19"/>
  <c r="L60" i="19"/>
  <c r="M74" i="19"/>
  <c r="K124" i="108" l="1"/>
  <c r="K120" i="108"/>
  <c r="K118" i="108" s="1"/>
  <c r="K122" i="108" s="1"/>
  <c r="L117" i="108" s="1"/>
  <c r="L119" i="108" s="1"/>
  <c r="K123" i="108"/>
  <c r="J153" i="106"/>
  <c r="J151" i="106" s="1"/>
  <c r="J155" i="106" s="1"/>
  <c r="K150" i="106" s="1"/>
  <c r="K157" i="106" s="1"/>
  <c r="J156" i="106"/>
  <c r="K177" i="107"/>
  <c r="L113" i="106"/>
  <c r="K124" i="12"/>
  <c r="L109" i="106"/>
  <c r="L107" i="106" s="1"/>
  <c r="L111" i="106" s="1"/>
  <c r="M106" i="106" s="1"/>
  <c r="M113" i="106" s="1"/>
  <c r="M87" i="106"/>
  <c r="K120" i="12"/>
  <c r="K119" i="12"/>
  <c r="F215" i="16"/>
  <c r="K96" i="16"/>
  <c r="K100" i="16" s="1"/>
  <c r="L95" i="16" s="1"/>
  <c r="L97" i="16" s="1"/>
  <c r="F211" i="16"/>
  <c r="F209" i="16" s="1"/>
  <c r="F213" i="16" s="1"/>
  <c r="G208" i="16" s="1"/>
  <c r="G214" i="16" s="1"/>
  <c r="G210" i="16" s="1"/>
  <c r="K142" i="108"/>
  <c r="K181" i="107"/>
  <c r="K129" i="108"/>
  <c r="K133" i="108" s="1"/>
  <c r="L128" i="108" s="1"/>
  <c r="L142" i="107"/>
  <c r="J140" i="12"/>
  <c r="J144" i="12" s="1"/>
  <c r="K139" i="12" s="1"/>
  <c r="K145" i="12" s="1"/>
  <c r="M109" i="107"/>
  <c r="M113" i="107"/>
  <c r="M112" i="107"/>
  <c r="M108" i="107"/>
  <c r="J131" i="106"/>
  <c r="J129" i="106" s="1"/>
  <c r="J133" i="106" s="1"/>
  <c r="K128" i="106" s="1"/>
  <c r="K141" i="106"/>
  <c r="K142" i="106"/>
  <c r="K146" i="106"/>
  <c r="L141" i="107"/>
  <c r="L146" i="107"/>
  <c r="K119" i="106"/>
  <c r="M90" i="106"/>
  <c r="M86" i="106"/>
  <c r="M85" i="106" s="1"/>
  <c r="M89" i="106" s="1"/>
  <c r="K124" i="106"/>
  <c r="I192" i="16"/>
  <c r="I189" i="16"/>
  <c r="K120" i="106"/>
  <c r="J134" i="106"/>
  <c r="M96" i="106"/>
  <c r="M100" i="106" s="1"/>
  <c r="M58" i="106"/>
  <c r="M62" i="106" s="1"/>
  <c r="J135" i="106"/>
  <c r="H203" i="108"/>
  <c r="H199" i="108" s="1"/>
  <c r="H204" i="108"/>
  <c r="K141" i="108"/>
  <c r="K146" i="108"/>
  <c r="H170" i="12"/>
  <c r="H166" i="12" s="1"/>
  <c r="H167" i="12"/>
  <c r="M85" i="16"/>
  <c r="M89" i="16" s="1"/>
  <c r="G209" i="108"/>
  <c r="G213" i="108" s="1"/>
  <c r="H208" i="108" s="1"/>
  <c r="H211" i="108" s="1"/>
  <c r="K142" i="16"/>
  <c r="K156" i="108"/>
  <c r="L134" i="16"/>
  <c r="E247" i="16"/>
  <c r="K157" i="108"/>
  <c r="K146" i="16"/>
  <c r="H181" i="16"/>
  <c r="H177" i="16" s="1"/>
  <c r="H178" i="16"/>
  <c r="H182" i="16"/>
  <c r="L135" i="16"/>
  <c r="L130" i="16"/>
  <c r="L129" i="16" s="1"/>
  <c r="L133" i="16" s="1"/>
  <c r="M128" i="16" s="1"/>
  <c r="I188" i="16"/>
  <c r="I193" i="16"/>
  <c r="K153" i="108"/>
  <c r="K151" i="108" s="1"/>
  <c r="K155" i="108" s="1"/>
  <c r="L150" i="108" s="1"/>
  <c r="I151" i="16"/>
  <c r="I155" i="16" s="1"/>
  <c r="J150" i="16" s="1"/>
  <c r="J152" i="16" s="1"/>
  <c r="D302" i="107"/>
  <c r="E281" i="107"/>
  <c r="E279" i="107" s="1"/>
  <c r="E283" i="107" s="1"/>
  <c r="F278" i="107" s="1"/>
  <c r="F284" i="107" s="1"/>
  <c r="F280" i="107" s="1"/>
  <c r="K108" i="12"/>
  <c r="K107" i="12" s="1"/>
  <c r="K111" i="12" s="1"/>
  <c r="L106" i="12" s="1"/>
  <c r="I176" i="108"/>
  <c r="I180" i="108" s="1"/>
  <c r="J175" i="108" s="1"/>
  <c r="J177" i="108" s="1"/>
  <c r="E251" i="16"/>
  <c r="E248" i="16" s="1"/>
  <c r="E246" i="16" s="1"/>
  <c r="E250" i="16" s="1"/>
  <c r="F245" i="16" s="1"/>
  <c r="F251" i="16" s="1"/>
  <c r="F247" i="16" s="1"/>
  <c r="G203" i="16"/>
  <c r="G199" i="16" s="1"/>
  <c r="G204" i="16"/>
  <c r="G200" i="16"/>
  <c r="E231" i="16"/>
  <c r="E235" i="16" s="1"/>
  <c r="F230" i="16" s="1"/>
  <c r="F225" i="16"/>
  <c r="F221" i="16" s="1"/>
  <c r="F222" i="16"/>
  <c r="D262" i="16"/>
  <c r="D258" i="16" s="1"/>
  <c r="E255" i="16"/>
  <c r="F255" i="16" s="1"/>
  <c r="G255" i="16" s="1"/>
  <c r="H200" i="108"/>
  <c r="H198" i="108" s="1"/>
  <c r="H202" i="108" s="1"/>
  <c r="I197" i="108" s="1"/>
  <c r="H198" i="107"/>
  <c r="H202" i="107" s="1"/>
  <c r="I197" i="107" s="1"/>
  <c r="I203" i="107" s="1"/>
  <c r="K141" i="16"/>
  <c r="M109" i="106"/>
  <c r="D259" i="16"/>
  <c r="K113" i="12"/>
  <c r="E246" i="108"/>
  <c r="E250" i="108" s="1"/>
  <c r="F245" i="108" s="1"/>
  <c r="F251" i="108" s="1"/>
  <c r="D266" i="16"/>
  <c r="B280" i="16"/>
  <c r="H165" i="16"/>
  <c r="H169" i="16" s="1"/>
  <c r="I164" i="16" s="1"/>
  <c r="H222" i="108"/>
  <c r="M156" i="107"/>
  <c r="H225" i="108"/>
  <c r="H221" i="108" s="1"/>
  <c r="I188" i="108"/>
  <c r="M108" i="108"/>
  <c r="K141" i="12"/>
  <c r="K142" i="12"/>
  <c r="K146" i="12"/>
  <c r="M112" i="106"/>
  <c r="I182" i="106"/>
  <c r="J166" i="107"/>
  <c r="M108" i="106"/>
  <c r="I193" i="108"/>
  <c r="F237" i="108"/>
  <c r="F236" i="108"/>
  <c r="F232" i="108" s="1"/>
  <c r="F231" i="108" s="1"/>
  <c r="F235" i="108" s="1"/>
  <c r="G230" i="108" s="1"/>
  <c r="M112" i="108"/>
  <c r="I181" i="106"/>
  <c r="H209" i="107"/>
  <c r="H213" i="107" s="1"/>
  <c r="I208" i="107" s="1"/>
  <c r="I210" i="107" s="1"/>
  <c r="M109" i="108"/>
  <c r="I165" i="108"/>
  <c r="I169" i="108" s="1"/>
  <c r="J164" i="108" s="1"/>
  <c r="J167" i="108" s="1"/>
  <c r="G187" i="12"/>
  <c r="G191" i="12" s="1"/>
  <c r="H186" i="12" s="1"/>
  <c r="H192" i="12" s="1"/>
  <c r="H188" i="12" s="1"/>
  <c r="M153" i="107"/>
  <c r="M151" i="107" s="1"/>
  <c r="M155" i="107" s="1"/>
  <c r="G247" i="107"/>
  <c r="G251" i="107"/>
  <c r="M91" i="12"/>
  <c r="H204" i="106"/>
  <c r="G248" i="107"/>
  <c r="E236" i="12"/>
  <c r="E232" i="12" s="1"/>
  <c r="I165" i="106"/>
  <c r="I169" i="106" s="1"/>
  <c r="J164" i="106" s="1"/>
  <c r="J167" i="106" s="1"/>
  <c r="M157" i="107"/>
  <c r="L118" i="16"/>
  <c r="L122" i="16" s="1"/>
  <c r="M117" i="16" s="1"/>
  <c r="M123" i="16" s="1"/>
  <c r="E251" i="106"/>
  <c r="E247" i="106" s="1"/>
  <c r="F270" i="107"/>
  <c r="K112" i="12"/>
  <c r="G214" i="106"/>
  <c r="G215" i="106"/>
  <c r="G210" i="106"/>
  <c r="G211" i="106"/>
  <c r="H203" i="106"/>
  <c r="H199" i="106" s="1"/>
  <c r="H198" i="106" s="1"/>
  <c r="H202" i="106" s="1"/>
  <c r="I197" i="106" s="1"/>
  <c r="J129" i="12"/>
  <c r="J133" i="12" s="1"/>
  <c r="K128" i="12" s="1"/>
  <c r="K135" i="12" s="1"/>
  <c r="E285" i="107"/>
  <c r="F198" i="12"/>
  <c r="F202" i="12" s="1"/>
  <c r="G197" i="12" s="1"/>
  <c r="G204" i="12" s="1"/>
  <c r="L118" i="107"/>
  <c r="L122" i="107" s="1"/>
  <c r="M117" i="107" s="1"/>
  <c r="M124" i="107" s="1"/>
  <c r="H226" i="107"/>
  <c r="I157" i="12"/>
  <c r="H222" i="107"/>
  <c r="H220" i="107" s="1"/>
  <c r="H224" i="107" s="1"/>
  <c r="I219" i="107" s="1"/>
  <c r="I226" i="107" s="1"/>
  <c r="I152" i="12"/>
  <c r="J170" i="107"/>
  <c r="F269" i="107"/>
  <c r="I153" i="12"/>
  <c r="M87" i="12"/>
  <c r="D259" i="106"/>
  <c r="D257" i="106" s="1"/>
  <c r="D261" i="106" s="1"/>
  <c r="E256" i="106" s="1"/>
  <c r="E263" i="106" s="1"/>
  <c r="E220" i="12"/>
  <c r="E224" i="12" s="1"/>
  <c r="F219" i="12" s="1"/>
  <c r="F225" i="12" s="1"/>
  <c r="F221" i="12" s="1"/>
  <c r="J167" i="107"/>
  <c r="F273" i="107"/>
  <c r="M86" i="12"/>
  <c r="D269" i="16"/>
  <c r="L129" i="107"/>
  <c r="L133" i="107" s="1"/>
  <c r="M128" i="107" s="1"/>
  <c r="M135" i="107" s="1"/>
  <c r="I178" i="106"/>
  <c r="I176" i="106" s="1"/>
  <c r="I180" i="106" s="1"/>
  <c r="J175" i="106" s="1"/>
  <c r="I189" i="108"/>
  <c r="F263" i="107"/>
  <c r="F259" i="107"/>
  <c r="F262" i="107"/>
  <c r="F258" i="107" s="1"/>
  <c r="M218" i="107"/>
  <c r="F266" i="108"/>
  <c r="H178" i="12"/>
  <c r="H182" i="12"/>
  <c r="H181" i="12"/>
  <c r="H177" i="12" s="1"/>
  <c r="F237" i="106"/>
  <c r="F233" i="106"/>
  <c r="G277" i="107"/>
  <c r="G255" i="108"/>
  <c r="K185" i="12"/>
  <c r="D262" i="12"/>
  <c r="D259" i="12" s="1"/>
  <c r="E255" i="12"/>
  <c r="G288" i="107"/>
  <c r="H288" i="107" s="1"/>
  <c r="F226" i="106"/>
  <c r="F222" i="106"/>
  <c r="F225" i="106"/>
  <c r="F221" i="106" s="1"/>
  <c r="I255" i="107"/>
  <c r="D284" i="108"/>
  <c r="D281" i="108" s="1"/>
  <c r="E277" i="108"/>
  <c r="D290" i="107"/>
  <c r="D303" i="107"/>
  <c r="D36" i="21" s="1"/>
  <c r="L196" i="108"/>
  <c r="J244" i="107"/>
  <c r="D273" i="106"/>
  <c r="D269" i="106" s="1"/>
  <c r="E266" i="106"/>
  <c r="M185" i="16"/>
  <c r="J218" i="16"/>
  <c r="D269" i="108"/>
  <c r="D268" i="108" s="1"/>
  <c r="D272" i="108" s="1"/>
  <c r="E267" i="108" s="1"/>
  <c r="E273" i="108" s="1"/>
  <c r="E269" i="108" s="1"/>
  <c r="H189" i="106"/>
  <c r="H193" i="106"/>
  <c r="H192" i="106"/>
  <c r="H188" i="106" s="1"/>
  <c r="E233" i="12"/>
  <c r="L185" i="106"/>
  <c r="M185" i="106" s="1"/>
  <c r="F255" i="106"/>
  <c r="L108" i="16"/>
  <c r="L113" i="16"/>
  <c r="L109" i="16"/>
  <c r="L112" i="16"/>
  <c r="G214" i="12"/>
  <c r="G210" i="12" s="1"/>
  <c r="G215" i="12"/>
  <c r="G211" i="12"/>
  <c r="M174" i="12"/>
  <c r="L196" i="16"/>
  <c r="M207" i="107"/>
  <c r="K196" i="106"/>
  <c r="H229" i="106"/>
  <c r="G229" i="12"/>
  <c r="B280" i="12"/>
  <c r="D266" i="12"/>
  <c r="H244" i="108"/>
  <c r="K207" i="108"/>
  <c r="E263" i="108"/>
  <c r="E259" i="108"/>
  <c r="E257" i="108" s="1"/>
  <c r="E261" i="108" s="1"/>
  <c r="F256" i="108" s="1"/>
  <c r="F262" i="108" s="1"/>
  <c r="F258" i="108" s="1"/>
  <c r="K229" i="107"/>
  <c r="K207" i="106"/>
  <c r="J188" i="107"/>
  <c r="J189" i="107"/>
  <c r="J193" i="107"/>
  <c r="J192" i="107"/>
  <c r="J207" i="12"/>
  <c r="D277" i="106"/>
  <c r="B291" i="106"/>
  <c r="D288" i="106" s="1"/>
  <c r="K176" i="107"/>
  <c r="K180" i="107" s="1"/>
  <c r="L175" i="107" s="1"/>
  <c r="K218" i="106"/>
  <c r="M174" i="106"/>
  <c r="N8" i="13"/>
  <c r="D248" i="12"/>
  <c r="D246" i="12" s="1"/>
  <c r="D250" i="12" s="1"/>
  <c r="E245" i="12" s="1"/>
  <c r="E251" i="12" s="1"/>
  <c r="E247" i="12" s="1"/>
  <c r="I266" i="107"/>
  <c r="J218" i="108"/>
  <c r="E288" i="108"/>
  <c r="D295" i="108"/>
  <c r="D292" i="108" s="1"/>
  <c r="F244" i="12"/>
  <c r="G244" i="106"/>
  <c r="H244" i="16"/>
  <c r="F236" i="106"/>
  <c r="F232" i="106" s="1"/>
  <c r="I229" i="16"/>
  <c r="J229" i="16" s="1"/>
  <c r="K229" i="16" s="1"/>
  <c r="L229" i="16" s="1"/>
  <c r="M229" i="16" s="1"/>
  <c r="K207" i="16"/>
  <c r="K196" i="12"/>
  <c r="H218" i="12"/>
  <c r="M185" i="108"/>
  <c r="I229" i="108"/>
  <c r="H231" i="107"/>
  <c r="H235" i="107" s="1"/>
  <c r="I230" i="107" s="1"/>
  <c r="M163" i="12"/>
  <c r="H289" i="20"/>
  <c r="G305" i="20"/>
  <c r="E248" i="106"/>
  <c r="J14" i="21"/>
  <c r="K57" i="25" s="1"/>
  <c r="H9" i="15"/>
  <c r="G139" i="15"/>
  <c r="G62" i="21" s="1"/>
  <c r="H135" i="19"/>
  <c r="H28" i="21" s="1"/>
  <c r="H10" i="19"/>
  <c r="J24" i="15"/>
  <c r="J22" i="15" s="1"/>
  <c r="N13" i="13"/>
  <c r="K11" i="21" s="1"/>
  <c r="K9" i="21"/>
  <c r="J38" i="17"/>
  <c r="J28" i="17"/>
  <c r="J27" i="17"/>
  <c r="J23" i="17" s="1"/>
  <c r="I9" i="17"/>
  <c r="H137" i="17"/>
  <c r="H46" i="21" s="1"/>
  <c r="M72" i="19"/>
  <c r="L58" i="19"/>
  <c r="M78" i="15"/>
  <c r="J26" i="19"/>
  <c r="M76" i="17"/>
  <c r="K40" i="19"/>
  <c r="K39" i="19"/>
  <c r="K35" i="19" s="1"/>
  <c r="K50" i="19"/>
  <c r="I278" i="20"/>
  <c r="L102" i="16" l="1"/>
  <c r="L101" i="16"/>
  <c r="L98" i="16"/>
  <c r="L123" i="108"/>
  <c r="L124" i="108"/>
  <c r="L120" i="108"/>
  <c r="L118" i="108" s="1"/>
  <c r="L122" i="108" s="1"/>
  <c r="M117" i="108" s="1"/>
  <c r="M119" i="108" s="1"/>
  <c r="G211" i="16"/>
  <c r="G209" i="16" s="1"/>
  <c r="G213" i="16" s="1"/>
  <c r="H208" i="16" s="1"/>
  <c r="H211" i="16" s="1"/>
  <c r="G215" i="16"/>
  <c r="I200" i="107"/>
  <c r="K140" i="108"/>
  <c r="K144" i="108" s="1"/>
  <c r="L139" i="108" s="1"/>
  <c r="L142" i="108" s="1"/>
  <c r="H165" i="12"/>
  <c r="H169" i="12" s="1"/>
  <c r="I164" i="12" s="1"/>
  <c r="K118" i="12"/>
  <c r="K122" i="12" s="1"/>
  <c r="L117" i="12" s="1"/>
  <c r="L123" i="12" s="1"/>
  <c r="F247" i="108"/>
  <c r="K140" i="106"/>
  <c r="K144" i="106" s="1"/>
  <c r="L139" i="106" s="1"/>
  <c r="L141" i="106" s="1"/>
  <c r="F248" i="108"/>
  <c r="L131" i="108"/>
  <c r="L130" i="108"/>
  <c r="L134" i="108"/>
  <c r="L135" i="108"/>
  <c r="L140" i="107"/>
  <c r="L144" i="107" s="1"/>
  <c r="M139" i="107" s="1"/>
  <c r="M146" i="107" s="1"/>
  <c r="H193" i="12"/>
  <c r="K130" i="106"/>
  <c r="K134" i="106"/>
  <c r="M107" i="107"/>
  <c r="M111" i="107" s="1"/>
  <c r="K118" i="106"/>
  <c r="K122" i="106" s="1"/>
  <c r="L117" i="106" s="1"/>
  <c r="I187" i="16"/>
  <c r="I191" i="16" s="1"/>
  <c r="J186" i="16" s="1"/>
  <c r="J193" i="16" s="1"/>
  <c r="K140" i="16"/>
  <c r="K144" i="16" s="1"/>
  <c r="L139" i="16" s="1"/>
  <c r="L141" i="16" s="1"/>
  <c r="H189" i="12"/>
  <c r="H187" i="12" s="1"/>
  <c r="H191" i="12" s="1"/>
  <c r="I186" i="12" s="1"/>
  <c r="K131" i="106"/>
  <c r="K135" i="106"/>
  <c r="D257" i="16"/>
  <c r="D261" i="16" s="1"/>
  <c r="E256" i="16" s="1"/>
  <c r="E263" i="16" s="1"/>
  <c r="I199" i="107"/>
  <c r="I198" i="107" s="1"/>
  <c r="I202" i="107" s="1"/>
  <c r="J197" i="107" s="1"/>
  <c r="H214" i="108"/>
  <c r="H210" i="108" s="1"/>
  <c r="H209" i="108" s="1"/>
  <c r="H213" i="108" s="1"/>
  <c r="I208" i="108" s="1"/>
  <c r="H215" i="108"/>
  <c r="I215" i="107"/>
  <c r="J182" i="108"/>
  <c r="J181" i="108"/>
  <c r="M134" i="16"/>
  <c r="M130" i="16"/>
  <c r="M131" i="16"/>
  <c r="M135" i="16"/>
  <c r="J165" i="107"/>
  <c r="J169" i="107" s="1"/>
  <c r="K164" i="107" s="1"/>
  <c r="K167" i="107" s="1"/>
  <c r="J156" i="16"/>
  <c r="K131" i="12"/>
  <c r="J157" i="16"/>
  <c r="H176" i="16"/>
  <c r="H180" i="16" s="1"/>
  <c r="I175" i="16" s="1"/>
  <c r="I187" i="108"/>
  <c r="I191" i="108" s="1"/>
  <c r="J186" i="108" s="1"/>
  <c r="J189" i="108" s="1"/>
  <c r="J178" i="108"/>
  <c r="J176" i="108" s="1"/>
  <c r="J180" i="108" s="1"/>
  <c r="K175" i="108" s="1"/>
  <c r="K178" i="108" s="1"/>
  <c r="F252" i="108"/>
  <c r="J153" i="16"/>
  <c r="J151" i="16" s="1"/>
  <c r="J155" i="16" s="1"/>
  <c r="K150" i="16" s="1"/>
  <c r="I211" i="107"/>
  <c r="I209" i="107" s="1"/>
  <c r="I213" i="107" s="1"/>
  <c r="J208" i="107" s="1"/>
  <c r="J215" i="107" s="1"/>
  <c r="E231" i="12"/>
  <c r="E235" i="12" s="1"/>
  <c r="F230" i="12" s="1"/>
  <c r="F233" i="12" s="1"/>
  <c r="G198" i="16"/>
  <c r="G202" i="16" s="1"/>
  <c r="H197" i="16" s="1"/>
  <c r="H204" i="16" s="1"/>
  <c r="M107" i="106"/>
  <c r="M111" i="106" s="1"/>
  <c r="G200" i="12"/>
  <c r="F220" i="16"/>
  <c r="F224" i="16" s="1"/>
  <c r="G219" i="16" s="1"/>
  <c r="L96" i="16"/>
  <c r="L100" i="16" s="1"/>
  <c r="M95" i="16" s="1"/>
  <c r="M102" i="16" s="1"/>
  <c r="F268" i="107"/>
  <c r="F272" i="107" s="1"/>
  <c r="G267" i="107" s="1"/>
  <c r="G274" i="107" s="1"/>
  <c r="H220" i="108"/>
  <c r="H224" i="108" s="1"/>
  <c r="I219" i="108" s="1"/>
  <c r="I221" i="108" s="1"/>
  <c r="F236" i="16"/>
  <c r="F232" i="16" s="1"/>
  <c r="F233" i="16"/>
  <c r="F237" i="16"/>
  <c r="D277" i="16"/>
  <c r="B291" i="16"/>
  <c r="D288" i="16" s="1"/>
  <c r="I204" i="107"/>
  <c r="M123" i="107"/>
  <c r="K130" i="12"/>
  <c r="K156" i="106"/>
  <c r="E266" i="16"/>
  <c r="F266" i="16" s="1"/>
  <c r="G266" i="16" s="1"/>
  <c r="D273" i="16"/>
  <c r="D270" i="16" s="1"/>
  <c r="D268" i="16" s="1"/>
  <c r="D272" i="16" s="1"/>
  <c r="E267" i="16" s="1"/>
  <c r="E274" i="16" s="1"/>
  <c r="F222" i="12"/>
  <c r="F220" i="12" s="1"/>
  <c r="F224" i="12" s="1"/>
  <c r="G219" i="12" s="1"/>
  <c r="G222" i="12" s="1"/>
  <c r="K134" i="12"/>
  <c r="M107" i="108"/>
  <c r="M111" i="108" s="1"/>
  <c r="F226" i="12"/>
  <c r="I167" i="16"/>
  <c r="I166" i="16"/>
  <c r="I170" i="16"/>
  <c r="I171" i="16"/>
  <c r="F248" i="16"/>
  <c r="F246" i="16" s="1"/>
  <c r="F250" i="16" s="1"/>
  <c r="G245" i="16" s="1"/>
  <c r="G251" i="16" s="1"/>
  <c r="G247" i="16" s="1"/>
  <c r="K152" i="106"/>
  <c r="M120" i="108"/>
  <c r="M118" i="108" s="1"/>
  <c r="M122" i="108" s="1"/>
  <c r="M124" i="108"/>
  <c r="M123" i="108"/>
  <c r="K140" i="12"/>
  <c r="K144" i="12" s="1"/>
  <c r="L139" i="12" s="1"/>
  <c r="L146" i="12" s="1"/>
  <c r="J170" i="106"/>
  <c r="J171" i="106"/>
  <c r="M119" i="107"/>
  <c r="G246" i="107"/>
  <c r="G250" i="107" s="1"/>
  <c r="H245" i="107" s="1"/>
  <c r="H251" i="107" s="1"/>
  <c r="H247" i="107" s="1"/>
  <c r="F281" i="107"/>
  <c r="F279" i="107" s="1"/>
  <c r="F283" i="107" s="1"/>
  <c r="G278" i="107" s="1"/>
  <c r="G285" i="107" s="1"/>
  <c r="H176" i="12"/>
  <c r="H180" i="12" s="1"/>
  <c r="I175" i="12" s="1"/>
  <c r="I177" i="12" s="1"/>
  <c r="G203" i="12"/>
  <c r="G199" i="12" s="1"/>
  <c r="F285" i="107"/>
  <c r="M120" i="107"/>
  <c r="K153" i="106"/>
  <c r="G209" i="106"/>
  <c r="G213" i="106" s="1"/>
  <c r="H208" i="106" s="1"/>
  <c r="H214" i="106" s="1"/>
  <c r="H210" i="106" s="1"/>
  <c r="J170" i="108"/>
  <c r="E246" i="106"/>
  <c r="E250" i="106" s="1"/>
  <c r="F245" i="106" s="1"/>
  <c r="F251" i="106" s="1"/>
  <c r="F247" i="106" s="1"/>
  <c r="J171" i="108"/>
  <c r="I151" i="12"/>
  <c r="I155" i="12" s="1"/>
  <c r="J150" i="12" s="1"/>
  <c r="J152" i="12" s="1"/>
  <c r="I214" i="107"/>
  <c r="M134" i="107"/>
  <c r="J166" i="108"/>
  <c r="J165" i="108" s="1"/>
  <c r="J169" i="108" s="1"/>
  <c r="K164" i="108" s="1"/>
  <c r="I225" i="107"/>
  <c r="M124" i="16"/>
  <c r="J166" i="106"/>
  <c r="J165" i="106" s="1"/>
  <c r="J169" i="106" s="1"/>
  <c r="K164" i="106" s="1"/>
  <c r="M119" i="16"/>
  <c r="M120" i="16"/>
  <c r="M85" i="12"/>
  <c r="M89" i="12" s="1"/>
  <c r="I221" i="107"/>
  <c r="M131" i="107"/>
  <c r="I222" i="107"/>
  <c r="M130" i="107"/>
  <c r="F257" i="107"/>
  <c r="F261" i="107" s="1"/>
  <c r="G256" i="107" s="1"/>
  <c r="G259" i="107" s="1"/>
  <c r="F231" i="106"/>
  <c r="F235" i="106" s="1"/>
  <c r="G230" i="106" s="1"/>
  <c r="G236" i="106" s="1"/>
  <c r="G232" i="106" s="1"/>
  <c r="I200" i="108"/>
  <c r="I204" i="108"/>
  <c r="I199" i="108"/>
  <c r="I203" i="108"/>
  <c r="E262" i="106"/>
  <c r="E258" i="106" s="1"/>
  <c r="D258" i="12"/>
  <c r="D257" i="12" s="1"/>
  <c r="D261" i="12" s="1"/>
  <c r="E256" i="12" s="1"/>
  <c r="E263" i="12" s="1"/>
  <c r="J187" i="107"/>
  <c r="J191" i="107" s="1"/>
  <c r="K186" i="107" s="1"/>
  <c r="K189" i="107" s="1"/>
  <c r="G209" i="12"/>
  <c r="G213" i="12" s="1"/>
  <c r="H208" i="12" s="1"/>
  <c r="H211" i="12" s="1"/>
  <c r="F252" i="16"/>
  <c r="L108" i="12"/>
  <c r="L109" i="12"/>
  <c r="L112" i="12"/>
  <c r="L113" i="12"/>
  <c r="H255" i="16"/>
  <c r="B291" i="12"/>
  <c r="D288" i="12" s="1"/>
  <c r="D277" i="12"/>
  <c r="I229" i="106"/>
  <c r="K218" i="16"/>
  <c r="E252" i="12"/>
  <c r="E248" i="12"/>
  <c r="E246" i="12" s="1"/>
  <c r="E250" i="12" s="1"/>
  <c r="F245" i="12" s="1"/>
  <c r="F251" i="12" s="1"/>
  <c r="F247" i="12" s="1"/>
  <c r="L207" i="106"/>
  <c r="M207" i="106" s="1"/>
  <c r="M196" i="16"/>
  <c r="D294" i="107"/>
  <c r="D301" i="107"/>
  <c r="D35" i="21" s="1"/>
  <c r="H277" i="107"/>
  <c r="I237" i="107"/>
  <c r="I232" i="107"/>
  <c r="I233" i="107"/>
  <c r="I236" i="107"/>
  <c r="H244" i="106"/>
  <c r="D291" i="108"/>
  <c r="D290" i="108" s="1"/>
  <c r="D294" i="108" s="1"/>
  <c r="E289" i="108" s="1"/>
  <c r="K218" i="108"/>
  <c r="L218" i="106"/>
  <c r="L178" i="107"/>
  <c r="L177" i="107"/>
  <c r="L182" i="107"/>
  <c r="L181" i="107"/>
  <c r="L207" i="108"/>
  <c r="I244" i="108"/>
  <c r="H229" i="12"/>
  <c r="L107" i="16"/>
  <c r="L111" i="16" s="1"/>
  <c r="M106" i="16" s="1"/>
  <c r="F266" i="106"/>
  <c r="D280" i="108"/>
  <c r="D279" i="108" s="1"/>
  <c r="D283" i="108" s="1"/>
  <c r="E278" i="108" s="1"/>
  <c r="F255" i="12"/>
  <c r="L185" i="12"/>
  <c r="J229" i="108"/>
  <c r="G270" i="107"/>
  <c r="F288" i="108"/>
  <c r="J266" i="107"/>
  <c r="K266" i="107" s="1"/>
  <c r="E277" i="106"/>
  <c r="D284" i="106"/>
  <c r="D280" i="106" s="1"/>
  <c r="M196" i="108"/>
  <c r="I288" i="107"/>
  <c r="L153" i="108"/>
  <c r="L157" i="108"/>
  <c r="L152" i="108"/>
  <c r="L156" i="108"/>
  <c r="I244" i="16"/>
  <c r="G244" i="12"/>
  <c r="L196" i="106"/>
  <c r="G233" i="108"/>
  <c r="G237" i="108"/>
  <c r="G236" i="108"/>
  <c r="G232" i="108" s="1"/>
  <c r="E274" i="108"/>
  <c r="E270" i="108"/>
  <c r="E268" i="108" s="1"/>
  <c r="E272" i="108" s="1"/>
  <c r="F267" i="108" s="1"/>
  <c r="I200" i="106"/>
  <c r="I204" i="106"/>
  <c r="I199" i="106"/>
  <c r="I203" i="106"/>
  <c r="D270" i="106"/>
  <c r="D268" i="106" s="1"/>
  <c r="D272" i="106" s="1"/>
  <c r="E267" i="106" s="1"/>
  <c r="J177" i="106"/>
  <c r="J178" i="106"/>
  <c r="J182" i="106"/>
  <c r="J181" i="106"/>
  <c r="K182" i="108"/>
  <c r="K177" i="108"/>
  <c r="K181" i="108"/>
  <c r="F220" i="106"/>
  <c r="F224" i="106" s="1"/>
  <c r="G219" i="106" s="1"/>
  <c r="H255" i="108"/>
  <c r="H295" i="20"/>
  <c r="H291" i="20" s="1"/>
  <c r="H302" i="20" s="1"/>
  <c r="H296" i="20"/>
  <c r="H292" i="20"/>
  <c r="H300" i="20"/>
  <c r="I218" i="12"/>
  <c r="L196" i="12"/>
  <c r="M196" i="12" s="1"/>
  <c r="L207" i="16"/>
  <c r="I166" i="12"/>
  <c r="I171" i="12"/>
  <c r="I167" i="12"/>
  <c r="I170" i="12"/>
  <c r="D295" i="106"/>
  <c r="D292" i="106" s="1"/>
  <c r="E288" i="106"/>
  <c r="K207" i="12"/>
  <c r="D292" i="16"/>
  <c r="L229" i="107"/>
  <c r="F263" i="108"/>
  <c r="F259" i="108"/>
  <c r="F257" i="108" s="1"/>
  <c r="F261" i="108" s="1"/>
  <c r="G256" i="108" s="1"/>
  <c r="G262" i="108" s="1"/>
  <c r="G258" i="108" s="1"/>
  <c r="D273" i="12"/>
  <c r="D269" i="12" s="1"/>
  <c r="E266" i="12"/>
  <c r="G252" i="16"/>
  <c r="G255" i="106"/>
  <c r="H187" i="106"/>
  <c r="H191" i="106" s="1"/>
  <c r="I186" i="106" s="1"/>
  <c r="K244" i="107"/>
  <c r="F277" i="108"/>
  <c r="J255" i="107"/>
  <c r="E259" i="106"/>
  <c r="G266" i="108"/>
  <c r="H266" i="108" s="1"/>
  <c r="N12" i="13"/>
  <c r="K12" i="21" s="1"/>
  <c r="H133" i="19"/>
  <c r="H27" i="21" s="1"/>
  <c r="H14" i="19"/>
  <c r="H15" i="15"/>
  <c r="H11" i="15" s="1"/>
  <c r="H136" i="15" s="1"/>
  <c r="H133" i="15"/>
  <c r="H57" i="21" s="1"/>
  <c r="H16" i="15"/>
  <c r="K36" i="19"/>
  <c r="K34" i="19" s="1"/>
  <c r="I16" i="17"/>
  <c r="I15" i="17"/>
  <c r="I11" i="17" s="1"/>
  <c r="I134" i="17" s="1"/>
  <c r="I131" i="17"/>
  <c r="I41" i="21" s="1"/>
  <c r="J26" i="15"/>
  <c r="J24" i="17"/>
  <c r="K33" i="17"/>
  <c r="I280" i="20"/>
  <c r="I285" i="20"/>
  <c r="I281" i="20"/>
  <c r="I284" i="20"/>
  <c r="L45" i="19"/>
  <c r="K21" i="19"/>
  <c r="L62" i="19"/>
  <c r="M76" i="19"/>
  <c r="M142" i="107" l="1"/>
  <c r="L141" i="108"/>
  <c r="H214" i="16"/>
  <c r="H210" i="16" s="1"/>
  <c r="H209" i="16" s="1"/>
  <c r="H213" i="16" s="1"/>
  <c r="I208" i="16" s="1"/>
  <c r="H215" i="16"/>
  <c r="I222" i="108"/>
  <c r="K166" i="107"/>
  <c r="K165" i="107" s="1"/>
  <c r="K169" i="107" s="1"/>
  <c r="L164" i="107" s="1"/>
  <c r="L166" i="107" s="1"/>
  <c r="L146" i="106"/>
  <c r="G273" i="107"/>
  <c r="G269" i="107" s="1"/>
  <c r="G268" i="107" s="1"/>
  <c r="G272" i="107" s="1"/>
  <c r="H267" i="107" s="1"/>
  <c r="J193" i="108"/>
  <c r="J192" i="108"/>
  <c r="L146" i="108"/>
  <c r="L145" i="108"/>
  <c r="F246" i="108"/>
  <c r="F250" i="108" s="1"/>
  <c r="G245" i="108" s="1"/>
  <c r="G248" i="108" s="1"/>
  <c r="L142" i="106"/>
  <c r="L140" i="106" s="1"/>
  <c r="L144" i="106" s="1"/>
  <c r="M139" i="106" s="1"/>
  <c r="M142" i="106" s="1"/>
  <c r="L145" i="106"/>
  <c r="L120" i="12"/>
  <c r="L124" i="12"/>
  <c r="L119" i="12"/>
  <c r="L146" i="16"/>
  <c r="L142" i="16"/>
  <c r="L140" i="16" s="1"/>
  <c r="L144" i="16" s="1"/>
  <c r="M139" i="16" s="1"/>
  <c r="M145" i="16" s="1"/>
  <c r="J188" i="108"/>
  <c r="J187" i="108" s="1"/>
  <c r="J191" i="108" s="1"/>
  <c r="K186" i="108" s="1"/>
  <c r="K193" i="108" s="1"/>
  <c r="L129" i="108"/>
  <c r="L133" i="108" s="1"/>
  <c r="M128" i="108" s="1"/>
  <c r="M130" i="108" s="1"/>
  <c r="M141" i="107"/>
  <c r="M140" i="107" s="1"/>
  <c r="M144" i="107" s="1"/>
  <c r="M145" i="107"/>
  <c r="G225" i="12"/>
  <c r="G221" i="12" s="1"/>
  <c r="K170" i="107"/>
  <c r="J192" i="16"/>
  <c r="I211" i="108"/>
  <c r="I215" i="108"/>
  <c r="J188" i="16"/>
  <c r="E259" i="16"/>
  <c r="J189" i="16"/>
  <c r="E262" i="16"/>
  <c r="E258" i="16" s="1"/>
  <c r="L145" i="16"/>
  <c r="H248" i="107"/>
  <c r="H246" i="107" s="1"/>
  <c r="H250" i="107" s="1"/>
  <c r="I245" i="107" s="1"/>
  <c r="I248" i="107" s="1"/>
  <c r="K129" i="106"/>
  <c r="K133" i="106" s="1"/>
  <c r="L128" i="106" s="1"/>
  <c r="L134" i="106" s="1"/>
  <c r="L140" i="108"/>
  <c r="L144" i="108" s="1"/>
  <c r="M139" i="108" s="1"/>
  <c r="L120" i="106"/>
  <c r="L119" i="106"/>
  <c r="L124" i="106"/>
  <c r="L123" i="106"/>
  <c r="I210" i="108"/>
  <c r="I214" i="108"/>
  <c r="M129" i="16"/>
  <c r="M133" i="16" s="1"/>
  <c r="K171" i="107"/>
  <c r="G226" i="12"/>
  <c r="K129" i="12"/>
  <c r="K133" i="12" s="1"/>
  <c r="L128" i="12" s="1"/>
  <c r="L130" i="12" s="1"/>
  <c r="G252" i="108"/>
  <c r="G251" i="108"/>
  <c r="H203" i="16"/>
  <c r="H199" i="16" s="1"/>
  <c r="I182" i="16"/>
  <c r="I177" i="16"/>
  <c r="I181" i="16"/>
  <c r="I178" i="16"/>
  <c r="F237" i="12"/>
  <c r="E262" i="12"/>
  <c r="E258" i="12" s="1"/>
  <c r="F236" i="12"/>
  <c r="F232" i="12" s="1"/>
  <c r="F231" i="12" s="1"/>
  <c r="F235" i="12" s="1"/>
  <c r="G230" i="12" s="1"/>
  <c r="I226" i="108"/>
  <c r="H200" i="16"/>
  <c r="G247" i="108"/>
  <c r="G246" i="108" s="1"/>
  <c r="G250" i="108" s="1"/>
  <c r="H245" i="108" s="1"/>
  <c r="H251" i="108" s="1"/>
  <c r="H247" i="108" s="1"/>
  <c r="M98" i="16"/>
  <c r="G263" i="107"/>
  <c r="L142" i="12"/>
  <c r="H211" i="106"/>
  <c r="H209" i="106" s="1"/>
  <c r="H213" i="106" s="1"/>
  <c r="I208" i="106" s="1"/>
  <c r="I220" i="108"/>
  <c r="I224" i="108" s="1"/>
  <c r="J219" i="108" s="1"/>
  <c r="J222" i="108" s="1"/>
  <c r="M101" i="16"/>
  <c r="I225" i="108"/>
  <c r="M97" i="16"/>
  <c r="G198" i="12"/>
  <c r="G202" i="12" s="1"/>
  <c r="H197" i="12" s="1"/>
  <c r="H203" i="12" s="1"/>
  <c r="H199" i="12" s="1"/>
  <c r="I178" i="12"/>
  <c r="I176" i="12" s="1"/>
  <c r="I180" i="12" s="1"/>
  <c r="J175" i="12" s="1"/>
  <c r="J156" i="12"/>
  <c r="G225" i="16"/>
  <c r="G221" i="16" s="1"/>
  <c r="G226" i="16"/>
  <c r="G222" i="16"/>
  <c r="F231" i="16"/>
  <c r="F235" i="16" s="1"/>
  <c r="G230" i="16" s="1"/>
  <c r="G233" i="16" s="1"/>
  <c r="K153" i="16"/>
  <c r="K157" i="16"/>
  <c r="K152" i="16"/>
  <c r="K156" i="16"/>
  <c r="D284" i="16"/>
  <c r="D280" i="16" s="1"/>
  <c r="E277" i="16"/>
  <c r="J210" i="107"/>
  <c r="E269" i="16"/>
  <c r="F248" i="106"/>
  <c r="F246" i="106" s="1"/>
  <c r="F250" i="106" s="1"/>
  <c r="G245" i="106" s="1"/>
  <c r="G251" i="106" s="1"/>
  <c r="G247" i="106" s="1"/>
  <c r="H252" i="107"/>
  <c r="D281" i="16"/>
  <c r="D303" i="16" s="1"/>
  <c r="D303" i="108" s="1"/>
  <c r="D52" i="21" s="1"/>
  <c r="CG60" i="27" s="1"/>
  <c r="J157" i="12"/>
  <c r="K151" i="106"/>
  <c r="K155" i="106" s="1"/>
  <c r="L150" i="106" s="1"/>
  <c r="L153" i="106" s="1"/>
  <c r="M118" i="107"/>
  <c r="M122" i="107" s="1"/>
  <c r="J153" i="12"/>
  <c r="J151" i="12" s="1"/>
  <c r="J155" i="12" s="1"/>
  <c r="K150" i="12" s="1"/>
  <c r="K153" i="12" s="1"/>
  <c r="L141" i="12"/>
  <c r="L145" i="12"/>
  <c r="H215" i="12"/>
  <c r="E273" i="16"/>
  <c r="E270" i="16" s="1"/>
  <c r="I165" i="16"/>
  <c r="I169" i="16" s="1"/>
  <c r="J164" i="16" s="1"/>
  <c r="D295" i="16"/>
  <c r="D291" i="16" s="1"/>
  <c r="D302" i="16" s="1"/>
  <c r="D302" i="108" s="1"/>
  <c r="E288" i="16"/>
  <c r="F288" i="16" s="1"/>
  <c r="G288" i="16" s="1"/>
  <c r="G248" i="16"/>
  <c r="G246" i="16" s="1"/>
  <c r="G250" i="16" s="1"/>
  <c r="H245" i="16" s="1"/>
  <c r="H248" i="16" s="1"/>
  <c r="J214" i="107"/>
  <c r="H214" i="12"/>
  <c r="H210" i="12" s="1"/>
  <c r="H209" i="12" s="1"/>
  <c r="H213" i="12" s="1"/>
  <c r="I208" i="12" s="1"/>
  <c r="I220" i="107"/>
  <c r="I224" i="107" s="1"/>
  <c r="J219" i="107" s="1"/>
  <c r="J226" i="107" s="1"/>
  <c r="J211" i="107"/>
  <c r="I181" i="12"/>
  <c r="M118" i="16"/>
  <c r="M122" i="16" s="1"/>
  <c r="I182" i="12"/>
  <c r="M129" i="107"/>
  <c r="M133" i="107" s="1"/>
  <c r="F252" i="106"/>
  <c r="H215" i="106"/>
  <c r="G233" i="106"/>
  <c r="G231" i="106" s="1"/>
  <c r="G235" i="106" s="1"/>
  <c r="H230" i="106" s="1"/>
  <c r="K193" i="107"/>
  <c r="J176" i="106"/>
  <c r="J180" i="106" s="1"/>
  <c r="K175" i="106" s="1"/>
  <c r="K177" i="106" s="1"/>
  <c r="G262" i="107"/>
  <c r="G258" i="107" s="1"/>
  <c r="G257" i="107" s="1"/>
  <c r="G261" i="107" s="1"/>
  <c r="H256" i="107" s="1"/>
  <c r="K192" i="107"/>
  <c r="N14" i="13"/>
  <c r="N19" i="13" s="1"/>
  <c r="N21" i="13" s="1"/>
  <c r="O17" i="13" s="1"/>
  <c r="G281" i="107"/>
  <c r="G284" i="107"/>
  <c r="G280" i="107" s="1"/>
  <c r="L107" i="12"/>
  <c r="L111" i="12" s="1"/>
  <c r="M106" i="12" s="1"/>
  <c r="M109" i="12" s="1"/>
  <c r="E257" i="106"/>
  <c r="E261" i="106" s="1"/>
  <c r="F256" i="106" s="1"/>
  <c r="F262" i="106" s="1"/>
  <c r="F258" i="106" s="1"/>
  <c r="G231" i="108"/>
  <c r="G235" i="108" s="1"/>
  <c r="H230" i="108" s="1"/>
  <c r="H236" i="108" s="1"/>
  <c r="H232" i="108" s="1"/>
  <c r="K188" i="107"/>
  <c r="K187" i="107" s="1"/>
  <c r="K191" i="107" s="1"/>
  <c r="L186" i="107" s="1"/>
  <c r="D281" i="106"/>
  <c r="D279" i="106" s="1"/>
  <c r="D283" i="106" s="1"/>
  <c r="E278" i="106" s="1"/>
  <c r="E285" i="106" s="1"/>
  <c r="G237" i="106"/>
  <c r="I165" i="12"/>
  <c r="I169" i="12" s="1"/>
  <c r="J164" i="12" s="1"/>
  <c r="J170" i="12" s="1"/>
  <c r="L151" i="108"/>
  <c r="L155" i="108" s="1"/>
  <c r="M150" i="108" s="1"/>
  <c r="M156" i="108" s="1"/>
  <c r="I198" i="108"/>
  <c r="I202" i="108" s="1"/>
  <c r="J197" i="108" s="1"/>
  <c r="E285" i="108"/>
  <c r="E284" i="108"/>
  <c r="E280" i="108" s="1"/>
  <c r="L244" i="107"/>
  <c r="F266" i="12"/>
  <c r="E274" i="106"/>
  <c r="E270" i="106"/>
  <c r="M185" i="12"/>
  <c r="E273" i="106"/>
  <c r="E269" i="106" s="1"/>
  <c r="G277" i="108"/>
  <c r="L266" i="107"/>
  <c r="M266" i="107" s="1"/>
  <c r="G266" i="106"/>
  <c r="M146" i="16"/>
  <c r="M229" i="107"/>
  <c r="L207" i="12"/>
  <c r="J203" i="107"/>
  <c r="J199" i="107"/>
  <c r="J200" i="107"/>
  <c r="J204" i="107"/>
  <c r="M207" i="16"/>
  <c r="J218" i="12"/>
  <c r="H290" i="20"/>
  <c r="H303" i="20"/>
  <c r="I255" i="108"/>
  <c r="I198" i="106"/>
  <c r="I202" i="106" s="1"/>
  <c r="J197" i="106" s="1"/>
  <c r="H244" i="12"/>
  <c r="F277" i="106"/>
  <c r="K166" i="108"/>
  <c r="K171" i="108"/>
  <c r="K167" i="108"/>
  <c r="K170" i="108"/>
  <c r="G255" i="12"/>
  <c r="I229" i="12"/>
  <c r="M207" i="108"/>
  <c r="L176" i="107"/>
  <c r="L180" i="107" s="1"/>
  <c r="M175" i="107" s="1"/>
  <c r="I244" i="106"/>
  <c r="I231" i="107"/>
  <c r="I235" i="107" s="1"/>
  <c r="J230" i="107" s="1"/>
  <c r="I211" i="16"/>
  <c r="I215" i="16"/>
  <c r="I210" i="16"/>
  <c r="I214" i="16"/>
  <c r="J229" i="106"/>
  <c r="I255" i="16"/>
  <c r="I189" i="12"/>
  <c r="I188" i="12"/>
  <c r="I193" i="12"/>
  <c r="I192" i="12"/>
  <c r="F288" i="106"/>
  <c r="H266" i="16"/>
  <c r="J288" i="107"/>
  <c r="G288" i="108"/>
  <c r="J244" i="108"/>
  <c r="E296" i="108"/>
  <c r="E292" i="108"/>
  <c r="I277" i="107"/>
  <c r="E289" i="107"/>
  <c r="D305" i="107"/>
  <c r="D295" i="12"/>
  <c r="D291" i="12" s="1"/>
  <c r="E288" i="12"/>
  <c r="D292" i="12"/>
  <c r="K255" i="107"/>
  <c r="I193" i="106"/>
  <c r="I189" i="106"/>
  <c r="I188" i="106"/>
  <c r="I192" i="106"/>
  <c r="F274" i="108"/>
  <c r="F270" i="108"/>
  <c r="J244" i="16"/>
  <c r="K244" i="16" s="1"/>
  <c r="K229" i="108"/>
  <c r="M218" i="106"/>
  <c r="E259" i="12"/>
  <c r="L218" i="16"/>
  <c r="G220" i="12"/>
  <c r="G224" i="12" s="1"/>
  <c r="H219" i="12" s="1"/>
  <c r="F273" i="108"/>
  <c r="F269" i="108" s="1"/>
  <c r="I266" i="108"/>
  <c r="H255" i="106"/>
  <c r="D270" i="12"/>
  <c r="D268" i="12" s="1"/>
  <c r="D272" i="12" s="1"/>
  <c r="E267" i="12" s="1"/>
  <c r="E273" i="12" s="1"/>
  <c r="E269" i="12" s="1"/>
  <c r="G259" i="108"/>
  <c r="G257" i="108" s="1"/>
  <c r="G261" i="108" s="1"/>
  <c r="H256" i="108" s="1"/>
  <c r="G263" i="108"/>
  <c r="K171" i="106"/>
  <c r="K167" i="106"/>
  <c r="K166" i="106"/>
  <c r="K170" i="106"/>
  <c r="D291" i="106"/>
  <c r="D290" i="106" s="1"/>
  <c r="D294" i="106" s="1"/>
  <c r="E289" i="106" s="1"/>
  <c r="G226" i="106"/>
  <c r="G222" i="106"/>
  <c r="G225" i="106"/>
  <c r="G221" i="106" s="1"/>
  <c r="K176" i="108"/>
  <c r="K180" i="108" s="1"/>
  <c r="L175" i="108" s="1"/>
  <c r="M196" i="106"/>
  <c r="E295" i="108"/>
  <c r="E291" i="108" s="1"/>
  <c r="M141" i="108"/>
  <c r="M142" i="108"/>
  <c r="M146" i="108"/>
  <c r="M145" i="108"/>
  <c r="M108" i="16"/>
  <c r="M113" i="16"/>
  <c r="M109" i="16"/>
  <c r="M112" i="16"/>
  <c r="L218" i="108"/>
  <c r="F252" i="12"/>
  <c r="F248" i="12"/>
  <c r="F246" i="12" s="1"/>
  <c r="F250" i="12" s="1"/>
  <c r="G245" i="12" s="1"/>
  <c r="D284" i="12"/>
  <c r="D281" i="12" s="1"/>
  <c r="E277" i="12"/>
  <c r="H12" i="15"/>
  <c r="H10" i="15" s="1"/>
  <c r="H137" i="19"/>
  <c r="H30" i="21" s="1"/>
  <c r="I9" i="19"/>
  <c r="J22" i="17"/>
  <c r="K21" i="15"/>
  <c r="I12" i="17"/>
  <c r="K40" i="17"/>
  <c r="K39" i="17"/>
  <c r="K35" i="17" s="1"/>
  <c r="K28" i="19"/>
  <c r="K27" i="19"/>
  <c r="K23" i="19" s="1"/>
  <c r="K38" i="19"/>
  <c r="L52" i="19"/>
  <c r="L51" i="19"/>
  <c r="L47" i="19" s="1"/>
  <c r="I279" i="20"/>
  <c r="M57" i="19"/>
  <c r="M141" i="16" l="1"/>
  <c r="M142" i="16"/>
  <c r="I209" i="108"/>
  <c r="I213" i="108" s="1"/>
  <c r="J208" i="108" s="1"/>
  <c r="J221" i="107"/>
  <c r="L131" i="12"/>
  <c r="M131" i="108"/>
  <c r="M129" i="108" s="1"/>
  <c r="M133" i="108" s="1"/>
  <c r="L118" i="12"/>
  <c r="L122" i="12" s="1"/>
  <c r="M117" i="12" s="1"/>
  <c r="M120" i="12" s="1"/>
  <c r="M135" i="108"/>
  <c r="K189" i="108"/>
  <c r="K192" i="108"/>
  <c r="K188" i="108"/>
  <c r="L134" i="12"/>
  <c r="M134" i="108"/>
  <c r="L167" i="107"/>
  <c r="L165" i="107" s="1"/>
  <c r="L169" i="107" s="1"/>
  <c r="M164" i="107" s="1"/>
  <c r="L171" i="107"/>
  <c r="L170" i="107"/>
  <c r="E257" i="16"/>
  <c r="E261" i="16" s="1"/>
  <c r="F256" i="16" s="1"/>
  <c r="F262" i="16" s="1"/>
  <c r="F258" i="16" s="1"/>
  <c r="J187" i="16"/>
  <c r="J191" i="16" s="1"/>
  <c r="K186" i="16" s="1"/>
  <c r="K192" i="16" s="1"/>
  <c r="L118" i="106"/>
  <c r="L122" i="106" s="1"/>
  <c r="M117" i="106" s="1"/>
  <c r="M124" i="106" s="1"/>
  <c r="J225" i="108"/>
  <c r="L130" i="106"/>
  <c r="L131" i="106"/>
  <c r="L135" i="106"/>
  <c r="H198" i="16"/>
  <c r="H202" i="16" s="1"/>
  <c r="I197" i="16" s="1"/>
  <c r="I204" i="16" s="1"/>
  <c r="L140" i="12"/>
  <c r="L144" i="12" s="1"/>
  <c r="M139" i="12" s="1"/>
  <c r="M141" i="12" s="1"/>
  <c r="J221" i="108"/>
  <c r="J220" i="108" s="1"/>
  <c r="J224" i="108" s="1"/>
  <c r="K219" i="108" s="1"/>
  <c r="J225" i="107"/>
  <c r="L135" i="12"/>
  <c r="J226" i="108"/>
  <c r="D290" i="16"/>
  <c r="D294" i="16" s="1"/>
  <c r="G237" i="16"/>
  <c r="L156" i="106"/>
  <c r="M96" i="16"/>
  <c r="M100" i="16" s="1"/>
  <c r="H251" i="16"/>
  <c r="H247" i="16" s="1"/>
  <c r="H246" i="16" s="1"/>
  <c r="H250" i="16" s="1"/>
  <c r="I245" i="16" s="1"/>
  <c r="H252" i="16"/>
  <c r="L152" i="106"/>
  <c r="L151" i="106" s="1"/>
  <c r="L155" i="106" s="1"/>
  <c r="M150" i="106" s="1"/>
  <c r="M152" i="106" s="1"/>
  <c r="J209" i="107"/>
  <c r="J213" i="107" s="1"/>
  <c r="K208" i="107" s="1"/>
  <c r="K211" i="107" s="1"/>
  <c r="I176" i="16"/>
  <c r="I180" i="16" s="1"/>
  <c r="J175" i="16" s="1"/>
  <c r="E257" i="12"/>
  <c r="E261" i="12" s="1"/>
  <c r="F256" i="12" s="1"/>
  <c r="F262" i="12" s="1"/>
  <c r="F258" i="12" s="1"/>
  <c r="G236" i="16"/>
  <c r="G232" i="16" s="1"/>
  <c r="G231" i="16" s="1"/>
  <c r="G235" i="16" s="1"/>
  <c r="H230" i="16" s="1"/>
  <c r="J222" i="107"/>
  <c r="J220" i="107" s="1"/>
  <c r="J224" i="107" s="1"/>
  <c r="K219" i="107" s="1"/>
  <c r="K221" i="107" s="1"/>
  <c r="J171" i="12"/>
  <c r="G220" i="16"/>
  <c r="G224" i="16" s="1"/>
  <c r="H219" i="16" s="1"/>
  <c r="H225" i="16" s="1"/>
  <c r="H221" i="16" s="1"/>
  <c r="H248" i="108"/>
  <c r="H246" i="108" s="1"/>
  <c r="H250" i="108" s="1"/>
  <c r="I245" i="108" s="1"/>
  <c r="H237" i="108"/>
  <c r="L157" i="106"/>
  <c r="H200" i="12"/>
  <c r="H198" i="12" s="1"/>
  <c r="H202" i="12" s="1"/>
  <c r="I197" i="12" s="1"/>
  <c r="I204" i="12" s="1"/>
  <c r="K152" i="12"/>
  <c r="K151" i="12" s="1"/>
  <c r="K155" i="12" s="1"/>
  <c r="L150" i="12" s="1"/>
  <c r="L153" i="12" s="1"/>
  <c r="G252" i="106"/>
  <c r="H204" i="12"/>
  <c r="K151" i="16"/>
  <c r="K155" i="16" s="1"/>
  <c r="L150" i="16" s="1"/>
  <c r="L152" i="16" s="1"/>
  <c r="E268" i="16"/>
  <c r="E272" i="16" s="1"/>
  <c r="F267" i="16" s="1"/>
  <c r="F273" i="16" s="1"/>
  <c r="F269" i="16" s="1"/>
  <c r="D279" i="16"/>
  <c r="D283" i="16" s="1"/>
  <c r="E278" i="16" s="1"/>
  <c r="E285" i="16" s="1"/>
  <c r="M141" i="106"/>
  <c r="M140" i="106" s="1"/>
  <c r="M144" i="106" s="1"/>
  <c r="J171" i="16"/>
  <c r="J170" i="16"/>
  <c r="J167" i="16"/>
  <c r="J166" i="16"/>
  <c r="H252" i="108"/>
  <c r="F277" i="16"/>
  <c r="G277" i="16" s="1"/>
  <c r="H277" i="16" s="1"/>
  <c r="I277" i="16" s="1"/>
  <c r="J166" i="12"/>
  <c r="M145" i="106"/>
  <c r="M146" i="106"/>
  <c r="K157" i="12"/>
  <c r="E281" i="106"/>
  <c r="K156" i="12"/>
  <c r="G248" i="106"/>
  <c r="G246" i="106" s="1"/>
  <c r="G250" i="106" s="1"/>
  <c r="H245" i="106" s="1"/>
  <c r="H251" i="106" s="1"/>
  <c r="H247" i="106" s="1"/>
  <c r="E284" i="106"/>
  <c r="E280" i="106" s="1"/>
  <c r="O8" i="13"/>
  <c r="K14" i="21"/>
  <c r="L57" i="25" s="1"/>
  <c r="K181" i="106"/>
  <c r="M157" i="108"/>
  <c r="M152" i="108"/>
  <c r="I214" i="106"/>
  <c r="I210" i="106"/>
  <c r="I211" i="106"/>
  <c r="I215" i="106"/>
  <c r="K182" i="106"/>
  <c r="H259" i="107"/>
  <c r="H263" i="107"/>
  <c r="I247" i="107"/>
  <c r="I246" i="107" s="1"/>
  <c r="I250" i="107" s="1"/>
  <c r="J245" i="107" s="1"/>
  <c r="J252" i="107" s="1"/>
  <c r="K178" i="106"/>
  <c r="K176" i="106" s="1"/>
  <c r="K180" i="106" s="1"/>
  <c r="L175" i="106" s="1"/>
  <c r="I252" i="107"/>
  <c r="M107" i="16"/>
  <c r="M111" i="16" s="1"/>
  <c r="F259" i="106"/>
  <c r="F257" i="106" s="1"/>
  <c r="F261" i="106" s="1"/>
  <c r="G256" i="106" s="1"/>
  <c r="G262" i="106" s="1"/>
  <c r="G258" i="106" s="1"/>
  <c r="M113" i="12"/>
  <c r="I251" i="107"/>
  <c r="K187" i="108"/>
  <c r="K191" i="108" s="1"/>
  <c r="L186" i="108" s="1"/>
  <c r="L189" i="108" s="1"/>
  <c r="J167" i="12"/>
  <c r="M153" i="108"/>
  <c r="H233" i="108"/>
  <c r="H231" i="108" s="1"/>
  <c r="H235" i="108" s="1"/>
  <c r="I230" i="108" s="1"/>
  <c r="M108" i="12"/>
  <c r="M107" i="12" s="1"/>
  <c r="M111" i="12" s="1"/>
  <c r="M112" i="12"/>
  <c r="I187" i="106"/>
  <c r="I191" i="106" s="1"/>
  <c r="J186" i="106" s="1"/>
  <c r="J189" i="106" s="1"/>
  <c r="G279" i="107"/>
  <c r="G283" i="107" s="1"/>
  <c r="H278" i="107" s="1"/>
  <c r="L193" i="107"/>
  <c r="L188" i="107"/>
  <c r="L192" i="107"/>
  <c r="L189" i="107"/>
  <c r="H262" i="107"/>
  <c r="H258" i="107" s="1"/>
  <c r="J200" i="108"/>
  <c r="J203" i="108"/>
  <c r="J199" i="108"/>
  <c r="J204" i="108"/>
  <c r="E290" i="108"/>
  <c r="E294" i="108" s="1"/>
  <c r="F289" i="108" s="1"/>
  <c r="F296" i="108" s="1"/>
  <c r="I187" i="12"/>
  <c r="I191" i="12" s="1"/>
  <c r="J186" i="12" s="1"/>
  <c r="J189" i="12" s="1"/>
  <c r="F263" i="106"/>
  <c r="M140" i="16"/>
  <c r="M144" i="16" s="1"/>
  <c r="H137" i="15"/>
  <c r="H60" i="21" s="1"/>
  <c r="G252" i="12"/>
  <c r="G248" i="12"/>
  <c r="H259" i="108"/>
  <c r="H263" i="108"/>
  <c r="E296" i="106"/>
  <c r="J266" i="108"/>
  <c r="F268" i="108"/>
  <c r="F272" i="108" s="1"/>
  <c r="G267" i="108" s="1"/>
  <c r="F288" i="12"/>
  <c r="E295" i="106"/>
  <c r="E291" i="106" s="1"/>
  <c r="K229" i="106"/>
  <c r="L229" i="106" s="1"/>
  <c r="I209" i="16"/>
  <c r="I213" i="16" s="1"/>
  <c r="J208" i="16" s="1"/>
  <c r="H274" i="107"/>
  <c r="H270" i="107"/>
  <c r="H273" i="107"/>
  <c r="H269" i="107" s="1"/>
  <c r="G251" i="12"/>
  <c r="G247" i="12" s="1"/>
  <c r="J204" i="106"/>
  <c r="J199" i="106"/>
  <c r="J200" i="106"/>
  <c r="J203" i="106"/>
  <c r="H301" i="20"/>
  <c r="H294" i="20"/>
  <c r="H266" i="106"/>
  <c r="D280" i="12"/>
  <c r="D279" i="12" s="1"/>
  <c r="D283" i="12" s="1"/>
  <c r="E278" i="12" s="1"/>
  <c r="G220" i="106"/>
  <c r="G224" i="106" s="1"/>
  <c r="H219" i="106" s="1"/>
  <c r="I255" i="106"/>
  <c r="M218" i="16"/>
  <c r="L244" i="16"/>
  <c r="J277" i="107"/>
  <c r="H288" i="16"/>
  <c r="H288" i="108"/>
  <c r="K288" i="107"/>
  <c r="L288" i="107" s="1"/>
  <c r="K165" i="108"/>
  <c r="K169" i="108" s="1"/>
  <c r="L164" i="108" s="1"/>
  <c r="I244" i="12"/>
  <c r="H262" i="108"/>
  <c r="H258" i="108" s="1"/>
  <c r="M244" i="107"/>
  <c r="M218" i="108"/>
  <c r="G237" i="12"/>
  <c r="G233" i="12"/>
  <c r="G236" i="12"/>
  <c r="G232" i="12" s="1"/>
  <c r="D309" i="107"/>
  <c r="D38" i="21"/>
  <c r="E59" i="25" s="1"/>
  <c r="I266" i="16"/>
  <c r="J255" i="16"/>
  <c r="J178" i="12"/>
  <c r="J177" i="12"/>
  <c r="J182" i="12"/>
  <c r="J181" i="12"/>
  <c r="J244" i="106"/>
  <c r="G277" i="106"/>
  <c r="J215" i="108"/>
  <c r="J210" i="108"/>
  <c r="J211" i="108"/>
  <c r="J214" i="108"/>
  <c r="J255" i="108"/>
  <c r="K218" i="12"/>
  <c r="L218" i="12" s="1"/>
  <c r="H233" i="106"/>
  <c r="H237" i="106"/>
  <c r="H236" i="106"/>
  <c r="H232" i="106" s="1"/>
  <c r="F277" i="12"/>
  <c r="M140" i="108"/>
  <c r="M144" i="108" s="1"/>
  <c r="L177" i="108"/>
  <c r="L178" i="108"/>
  <c r="L182" i="108"/>
  <c r="L181" i="108"/>
  <c r="K165" i="106"/>
  <c r="K169" i="106" s="1"/>
  <c r="L164" i="106" s="1"/>
  <c r="E274" i="12"/>
  <c r="E270" i="12"/>
  <c r="E268" i="12" s="1"/>
  <c r="E272" i="12" s="1"/>
  <c r="F267" i="12" s="1"/>
  <c r="F273" i="12" s="1"/>
  <c r="F269" i="12" s="1"/>
  <c r="H226" i="12"/>
  <c r="H222" i="12"/>
  <c r="H225" i="12"/>
  <c r="H221" i="12" s="1"/>
  <c r="L229" i="108"/>
  <c r="L255" i="107"/>
  <c r="D290" i="12"/>
  <c r="D303" i="12"/>
  <c r="D303" i="106" s="1"/>
  <c r="D20" i="21" s="1"/>
  <c r="CF60" i="27" s="1"/>
  <c r="E292" i="107"/>
  <c r="E296" i="107"/>
  <c r="E300" i="107"/>
  <c r="E33" i="21" s="1"/>
  <c r="E295" i="107"/>
  <c r="E291" i="107" s="1"/>
  <c r="E302" i="107" s="1"/>
  <c r="K244" i="108"/>
  <c r="G288" i="106"/>
  <c r="J232" i="107"/>
  <c r="J237" i="107"/>
  <c r="J233" i="107"/>
  <c r="J236" i="107"/>
  <c r="M182" i="107"/>
  <c r="M178" i="107"/>
  <c r="M177" i="107"/>
  <c r="M181" i="107"/>
  <c r="J229" i="12"/>
  <c r="H255" i="12"/>
  <c r="I211" i="12"/>
  <c r="I215" i="12"/>
  <c r="I210" i="12"/>
  <c r="I214" i="12"/>
  <c r="J198" i="107"/>
  <c r="J202" i="107" s="1"/>
  <c r="K197" i="107" s="1"/>
  <c r="M207" i="12"/>
  <c r="L129" i="12"/>
  <c r="L133" i="12" s="1"/>
  <c r="M128" i="12" s="1"/>
  <c r="H277" i="108"/>
  <c r="I277" i="108" s="1"/>
  <c r="E268" i="106"/>
  <c r="E272" i="106" s="1"/>
  <c r="F267" i="106" s="1"/>
  <c r="G266" i="12"/>
  <c r="H266" i="12" s="1"/>
  <c r="E281" i="108"/>
  <c r="E279" i="108" s="1"/>
  <c r="E283" i="108" s="1"/>
  <c r="F278" i="108" s="1"/>
  <c r="I131" i="19"/>
  <c r="I25" i="21" s="1"/>
  <c r="I15" i="19"/>
  <c r="I11" i="19" s="1"/>
  <c r="I134" i="19" s="1"/>
  <c r="I16" i="19"/>
  <c r="H135" i="15"/>
  <c r="H59" i="21" s="1"/>
  <c r="H14" i="15"/>
  <c r="O13" i="13"/>
  <c r="L11" i="21" s="1"/>
  <c r="L9" i="21"/>
  <c r="K36" i="17"/>
  <c r="K34" i="17" s="1"/>
  <c r="I10" i="17"/>
  <c r="I135" i="17"/>
  <c r="I44" i="21" s="1"/>
  <c r="J26" i="17"/>
  <c r="K27" i="15"/>
  <c r="K23" i="15" s="1"/>
  <c r="K28" i="15"/>
  <c r="M64" i="19"/>
  <c r="M63" i="19"/>
  <c r="M59" i="19" s="1"/>
  <c r="L48" i="19"/>
  <c r="K24" i="19"/>
  <c r="I283" i="20"/>
  <c r="L33" i="19"/>
  <c r="M119" i="12" l="1"/>
  <c r="M123" i="12"/>
  <c r="M124" i="12"/>
  <c r="I199" i="16"/>
  <c r="K188" i="16"/>
  <c r="K189" i="16"/>
  <c r="K187" i="16" s="1"/>
  <c r="K191" i="16" s="1"/>
  <c r="L186" i="16" s="1"/>
  <c r="M118" i="12"/>
  <c r="M122" i="12" s="1"/>
  <c r="L129" i="106"/>
  <c r="L133" i="106" s="1"/>
  <c r="M128" i="106" s="1"/>
  <c r="M131" i="106" s="1"/>
  <c r="F259" i="16"/>
  <c r="F257" i="16" s="1"/>
  <c r="F261" i="16" s="1"/>
  <c r="G256" i="16" s="1"/>
  <c r="G262" i="16" s="1"/>
  <c r="G258" i="16" s="1"/>
  <c r="F263" i="16"/>
  <c r="K193" i="16"/>
  <c r="I203" i="16"/>
  <c r="M145" i="12"/>
  <c r="M142" i="12"/>
  <c r="M146" i="12"/>
  <c r="M120" i="106"/>
  <c r="M123" i="106"/>
  <c r="M119" i="106"/>
  <c r="I200" i="16"/>
  <c r="I198" i="16" s="1"/>
  <c r="I202" i="16" s="1"/>
  <c r="J197" i="16" s="1"/>
  <c r="K215" i="107"/>
  <c r="K214" i="107"/>
  <c r="G263" i="106"/>
  <c r="K210" i="107"/>
  <c r="K209" i="107" s="1"/>
  <c r="K213" i="107" s="1"/>
  <c r="L208" i="107" s="1"/>
  <c r="H226" i="16"/>
  <c r="J193" i="12"/>
  <c r="F263" i="12"/>
  <c r="J178" i="16"/>
  <c r="J182" i="16"/>
  <c r="J177" i="16"/>
  <c r="J181" i="16"/>
  <c r="F259" i="12"/>
  <c r="F257" i="12" s="1"/>
  <c r="F261" i="12" s="1"/>
  <c r="G256" i="12" s="1"/>
  <c r="G262" i="12" s="1"/>
  <c r="G258" i="12" s="1"/>
  <c r="J165" i="12"/>
  <c r="J169" i="12" s="1"/>
  <c r="K164" i="12" s="1"/>
  <c r="K167" i="12" s="1"/>
  <c r="G263" i="16"/>
  <c r="J192" i="12"/>
  <c r="H222" i="16"/>
  <c r="H220" i="16" s="1"/>
  <c r="H224" i="16" s="1"/>
  <c r="I219" i="16" s="1"/>
  <c r="E281" i="16"/>
  <c r="D301" i="16"/>
  <c r="D301" i="108" s="1"/>
  <c r="D51" i="21" s="1"/>
  <c r="I200" i="12"/>
  <c r="L192" i="108"/>
  <c r="J165" i="16"/>
  <c r="J169" i="16" s="1"/>
  <c r="K164" i="16" s="1"/>
  <c r="K167" i="16" s="1"/>
  <c r="L153" i="16"/>
  <c r="L151" i="16" s="1"/>
  <c r="L155" i="16" s="1"/>
  <c r="M150" i="16" s="1"/>
  <c r="L157" i="16"/>
  <c r="L156" i="16"/>
  <c r="I203" i="12"/>
  <c r="I199" i="12"/>
  <c r="E284" i="16"/>
  <c r="E280" i="16" s="1"/>
  <c r="H236" i="16"/>
  <c r="H232" i="16" s="1"/>
  <c r="H237" i="16"/>
  <c r="H233" i="16"/>
  <c r="F274" i="16"/>
  <c r="F270" i="16"/>
  <c r="F268" i="16" s="1"/>
  <c r="F272" i="16" s="1"/>
  <c r="G267" i="16" s="1"/>
  <c r="J188" i="12"/>
  <c r="J187" i="12" s="1"/>
  <c r="J191" i="12" s="1"/>
  <c r="K186" i="12" s="1"/>
  <c r="E279" i="106"/>
  <c r="E283" i="106" s="1"/>
  <c r="F278" i="106" s="1"/>
  <c r="F284" i="106" s="1"/>
  <c r="F280" i="106" s="1"/>
  <c r="J251" i="107"/>
  <c r="L152" i="12"/>
  <c r="L151" i="12" s="1"/>
  <c r="L155" i="12" s="1"/>
  <c r="M150" i="12" s="1"/>
  <c r="K226" i="107"/>
  <c r="L188" i="108"/>
  <c r="L187" i="108" s="1"/>
  <c r="L191" i="108" s="1"/>
  <c r="M186" i="108" s="1"/>
  <c r="H248" i="106"/>
  <c r="H246" i="106" s="1"/>
  <c r="H250" i="106" s="1"/>
  <c r="I245" i="106" s="1"/>
  <c r="I251" i="106" s="1"/>
  <c r="J247" i="107"/>
  <c r="H252" i="106"/>
  <c r="M151" i="108"/>
  <c r="M155" i="108" s="1"/>
  <c r="M153" i="106"/>
  <c r="M151" i="106" s="1"/>
  <c r="M155" i="106" s="1"/>
  <c r="M157" i="106"/>
  <c r="H257" i="107"/>
  <c r="H261" i="107" s="1"/>
  <c r="I256" i="107" s="1"/>
  <c r="I258" i="107" s="1"/>
  <c r="K225" i="108"/>
  <c r="K221" i="108"/>
  <c r="K222" i="108"/>
  <c r="K226" i="108"/>
  <c r="J192" i="106"/>
  <c r="M156" i="106"/>
  <c r="J193" i="106"/>
  <c r="G259" i="106"/>
  <c r="G257" i="106" s="1"/>
  <c r="G261" i="106" s="1"/>
  <c r="H256" i="106" s="1"/>
  <c r="H262" i="106" s="1"/>
  <c r="H258" i="106" s="1"/>
  <c r="I209" i="106"/>
  <c r="I213" i="106" s="1"/>
  <c r="J208" i="106" s="1"/>
  <c r="L181" i="106"/>
  <c r="L182" i="106"/>
  <c r="L178" i="106"/>
  <c r="K225" i="107"/>
  <c r="L193" i="108"/>
  <c r="L187" i="107"/>
  <c r="L191" i="107" s="1"/>
  <c r="M186" i="107" s="1"/>
  <c r="M192" i="107" s="1"/>
  <c r="K222" i="107"/>
  <c r="K220" i="107" s="1"/>
  <c r="K224" i="107" s="1"/>
  <c r="L219" i="107" s="1"/>
  <c r="L222" i="107" s="1"/>
  <c r="J248" i="107"/>
  <c r="M140" i="12"/>
  <c r="M144" i="12" s="1"/>
  <c r="L157" i="12"/>
  <c r="L177" i="106"/>
  <c r="H268" i="107"/>
  <c r="H272" i="107" s="1"/>
  <c r="I267" i="107" s="1"/>
  <c r="I269" i="107" s="1"/>
  <c r="J188" i="106"/>
  <c r="J187" i="106" s="1"/>
  <c r="J191" i="106" s="1"/>
  <c r="K186" i="106" s="1"/>
  <c r="M176" i="107"/>
  <c r="M180" i="107" s="1"/>
  <c r="H285" i="107"/>
  <c r="H281" i="107"/>
  <c r="H284" i="107"/>
  <c r="H280" i="107" s="1"/>
  <c r="L156" i="12"/>
  <c r="J176" i="12"/>
  <c r="J180" i="12" s="1"/>
  <c r="K175" i="12" s="1"/>
  <c r="K181" i="12" s="1"/>
  <c r="I209" i="12"/>
  <c r="I213" i="12" s="1"/>
  <c r="J208" i="12" s="1"/>
  <c r="J215" i="12" s="1"/>
  <c r="F295" i="108"/>
  <c r="F291" i="108" s="1"/>
  <c r="F292" i="108"/>
  <c r="H220" i="12"/>
  <c r="H224" i="12" s="1"/>
  <c r="I219" i="12" s="1"/>
  <c r="I221" i="12" s="1"/>
  <c r="H231" i="106"/>
  <c r="H235" i="106" s="1"/>
  <c r="I230" i="106" s="1"/>
  <c r="I237" i="106" s="1"/>
  <c r="D68" i="21"/>
  <c r="D25" i="24" s="1"/>
  <c r="D302" i="12"/>
  <c r="D302" i="106" s="1"/>
  <c r="J198" i="108"/>
  <c r="J202" i="108" s="1"/>
  <c r="K197" i="108" s="1"/>
  <c r="E285" i="12"/>
  <c r="E284" i="12"/>
  <c r="E280" i="12" s="1"/>
  <c r="F274" i="106"/>
  <c r="F270" i="106"/>
  <c r="F269" i="106"/>
  <c r="F273" i="106"/>
  <c r="J277" i="16"/>
  <c r="M229" i="106"/>
  <c r="E292" i="106"/>
  <c r="E290" i="106" s="1"/>
  <c r="E294" i="106" s="1"/>
  <c r="F289" i="106" s="1"/>
  <c r="K229" i="12"/>
  <c r="L244" i="108"/>
  <c r="E290" i="107"/>
  <c r="E303" i="107"/>
  <c r="E36" i="21" s="1"/>
  <c r="M255" i="107"/>
  <c r="G231" i="12"/>
  <c r="G235" i="12" s="1"/>
  <c r="H230" i="12" s="1"/>
  <c r="J244" i="12"/>
  <c r="M288" i="107"/>
  <c r="I288" i="16"/>
  <c r="J255" i="106"/>
  <c r="I247" i="108"/>
  <c r="I248" i="108"/>
  <c r="I252" i="108"/>
  <c r="I251" i="108"/>
  <c r="J277" i="108"/>
  <c r="F274" i="12"/>
  <c r="F270" i="12"/>
  <c r="F268" i="12" s="1"/>
  <c r="F272" i="12" s="1"/>
  <c r="G267" i="12" s="1"/>
  <c r="M218" i="12"/>
  <c r="J209" i="108"/>
  <c r="J213" i="108" s="1"/>
  <c r="K208" i="108" s="1"/>
  <c r="H277" i="106"/>
  <c r="K255" i="16"/>
  <c r="J266" i="16"/>
  <c r="L166" i="108"/>
  <c r="L171" i="108"/>
  <c r="L167" i="108"/>
  <c r="L170" i="108"/>
  <c r="M244" i="16"/>
  <c r="H225" i="106"/>
  <c r="H221" i="106" s="1"/>
  <c r="H222" i="106"/>
  <c r="H226" i="106"/>
  <c r="I266" i="106"/>
  <c r="J210" i="16"/>
  <c r="J215" i="16"/>
  <c r="J211" i="16"/>
  <c r="J214" i="16"/>
  <c r="G246" i="12"/>
  <c r="G250" i="12" s="1"/>
  <c r="H245" i="12" s="1"/>
  <c r="M131" i="12"/>
  <c r="M135" i="12"/>
  <c r="M130" i="12"/>
  <c r="M134" i="12"/>
  <c r="L166" i="106"/>
  <c r="L167" i="106"/>
  <c r="L171" i="106"/>
  <c r="L170" i="106"/>
  <c r="G277" i="12"/>
  <c r="K255" i="108"/>
  <c r="K244" i="106"/>
  <c r="E289" i="16"/>
  <c r="D305" i="16"/>
  <c r="D305" i="108" s="1"/>
  <c r="I289" i="20"/>
  <c r="H305" i="20"/>
  <c r="G273" i="108"/>
  <c r="G269" i="108" s="1"/>
  <c r="G270" i="108"/>
  <c r="G274" i="108"/>
  <c r="F285" i="108"/>
  <c r="F281" i="108"/>
  <c r="F284" i="108"/>
  <c r="F280" i="108" s="1"/>
  <c r="I266" i="12"/>
  <c r="M171" i="107"/>
  <c r="M167" i="107"/>
  <c r="M166" i="107"/>
  <c r="M170" i="107"/>
  <c r="K200" i="107"/>
  <c r="K199" i="107"/>
  <c r="K204" i="107"/>
  <c r="K203" i="107"/>
  <c r="I255" i="12"/>
  <c r="J231" i="107"/>
  <c r="J235" i="107" s="1"/>
  <c r="K230" i="107" s="1"/>
  <c r="H288" i="106"/>
  <c r="D294" i="12"/>
  <c r="D301" i="12"/>
  <c r="D301" i="106" s="1"/>
  <c r="D19" i="21" s="1"/>
  <c r="M229" i="108"/>
  <c r="L176" i="108"/>
  <c r="L180" i="108" s="1"/>
  <c r="M175" i="108" s="1"/>
  <c r="I237" i="108"/>
  <c r="I233" i="108"/>
  <c r="I232" i="108"/>
  <c r="I236" i="108"/>
  <c r="H257" i="108"/>
  <c r="H261" i="108" s="1"/>
  <c r="I256" i="108" s="1"/>
  <c r="I288" i="108"/>
  <c r="K277" i="107"/>
  <c r="J198" i="106"/>
  <c r="J202" i="106" s="1"/>
  <c r="K197" i="106" s="1"/>
  <c r="I252" i="16"/>
  <c r="I248" i="16"/>
  <c r="I247" i="16"/>
  <c r="I251" i="16"/>
  <c r="G288" i="12"/>
  <c r="K266" i="108"/>
  <c r="O12" i="13"/>
  <c r="O14" i="13" s="1"/>
  <c r="O19" i="13" s="1"/>
  <c r="O21" i="13" s="1"/>
  <c r="I12" i="19"/>
  <c r="H139" i="15"/>
  <c r="H62" i="21" s="1"/>
  <c r="I9" i="15"/>
  <c r="K38" i="17"/>
  <c r="K21" i="17"/>
  <c r="I133" i="17"/>
  <c r="I43" i="21" s="1"/>
  <c r="I14" i="17"/>
  <c r="M60" i="19"/>
  <c r="M58" i="19" s="1"/>
  <c r="K24" i="15"/>
  <c r="L46" i="19"/>
  <c r="L40" i="19"/>
  <c r="L39" i="19"/>
  <c r="L35" i="19" s="1"/>
  <c r="J278" i="20"/>
  <c r="K22" i="19"/>
  <c r="M130" i="106" l="1"/>
  <c r="M129" i="106" s="1"/>
  <c r="M133" i="106" s="1"/>
  <c r="G259" i="16"/>
  <c r="K170" i="12"/>
  <c r="G263" i="12"/>
  <c r="L192" i="16"/>
  <c r="L188" i="16"/>
  <c r="L189" i="16"/>
  <c r="G259" i="12"/>
  <c r="M135" i="106"/>
  <c r="M134" i="106"/>
  <c r="L193" i="16"/>
  <c r="M118" i="106"/>
  <c r="M122" i="106" s="1"/>
  <c r="I248" i="106"/>
  <c r="G257" i="16"/>
  <c r="G261" i="16" s="1"/>
  <c r="H256" i="16" s="1"/>
  <c r="H262" i="16" s="1"/>
  <c r="H258" i="16" s="1"/>
  <c r="J204" i="16"/>
  <c r="J200" i="16"/>
  <c r="I259" i="107"/>
  <c r="K166" i="12"/>
  <c r="K165" i="12" s="1"/>
  <c r="K169" i="12" s="1"/>
  <c r="L164" i="12" s="1"/>
  <c r="L170" i="12" s="1"/>
  <c r="K171" i="12"/>
  <c r="E279" i="16"/>
  <c r="E283" i="16" s="1"/>
  <c r="F278" i="16" s="1"/>
  <c r="F285" i="16" s="1"/>
  <c r="J176" i="16"/>
  <c r="J180" i="16" s="1"/>
  <c r="K175" i="16" s="1"/>
  <c r="D67" i="21"/>
  <c r="D16" i="24" s="1"/>
  <c r="I198" i="12"/>
  <c r="I202" i="12" s="1"/>
  <c r="J197" i="12" s="1"/>
  <c r="K166" i="16"/>
  <c r="K165" i="16" s="1"/>
  <c r="K169" i="16" s="1"/>
  <c r="L164" i="16" s="1"/>
  <c r="J199" i="16"/>
  <c r="J203" i="16"/>
  <c r="L221" i="107"/>
  <c r="L220" i="107" s="1"/>
  <c r="L224" i="107" s="1"/>
  <c r="M219" i="107" s="1"/>
  <c r="K188" i="12"/>
  <c r="K192" i="12"/>
  <c r="I252" i="106"/>
  <c r="I247" i="106"/>
  <c r="K171" i="16"/>
  <c r="K170" i="16"/>
  <c r="I233" i="106"/>
  <c r="F281" i="106"/>
  <c r="F279" i="106" s="1"/>
  <c r="F283" i="106" s="1"/>
  <c r="G278" i="106" s="1"/>
  <c r="F280" i="16"/>
  <c r="I226" i="16"/>
  <c r="I222" i="16"/>
  <c r="I221" i="16"/>
  <c r="I225" i="16"/>
  <c r="M157" i="16"/>
  <c r="M152" i="16"/>
  <c r="M153" i="16"/>
  <c r="M156" i="16"/>
  <c r="G273" i="16"/>
  <c r="G269" i="16" s="1"/>
  <c r="G274" i="16"/>
  <c r="G270" i="16"/>
  <c r="H231" i="16"/>
  <c r="H235" i="16" s="1"/>
  <c r="I230" i="16" s="1"/>
  <c r="K220" i="108"/>
  <c r="K224" i="108" s="1"/>
  <c r="L219" i="108" s="1"/>
  <c r="L222" i="108" s="1"/>
  <c r="F285" i="106"/>
  <c r="I262" i="107"/>
  <c r="I263" i="107"/>
  <c r="H263" i="106"/>
  <c r="G268" i="108"/>
  <c r="G272" i="108" s="1"/>
  <c r="H267" i="108" s="1"/>
  <c r="H270" i="108" s="1"/>
  <c r="L226" i="107"/>
  <c r="J246" i="107"/>
  <c r="J250" i="107" s="1"/>
  <c r="K245" i="107" s="1"/>
  <c r="K247" i="107" s="1"/>
  <c r="K193" i="12"/>
  <c r="K189" i="12"/>
  <c r="I257" i="107"/>
  <c r="I261" i="107" s="1"/>
  <c r="J256" i="107" s="1"/>
  <c r="J262" i="107" s="1"/>
  <c r="K178" i="12"/>
  <c r="J210" i="12"/>
  <c r="K182" i="12"/>
  <c r="J214" i="106"/>
  <c r="J215" i="106"/>
  <c r="J211" i="106"/>
  <c r="J210" i="106"/>
  <c r="I270" i="107"/>
  <c r="I268" i="107" s="1"/>
  <c r="I272" i="107" s="1"/>
  <c r="J267" i="107" s="1"/>
  <c r="L176" i="106"/>
  <c r="L180" i="106" s="1"/>
  <c r="M175" i="106" s="1"/>
  <c r="M182" i="106" s="1"/>
  <c r="H259" i="106"/>
  <c r="H257" i="106" s="1"/>
  <c r="H261" i="106" s="1"/>
  <c r="I256" i="106" s="1"/>
  <c r="I262" i="106" s="1"/>
  <c r="M129" i="12"/>
  <c r="M133" i="12" s="1"/>
  <c r="M188" i="107"/>
  <c r="M193" i="107"/>
  <c r="M189" i="107"/>
  <c r="I236" i="106"/>
  <c r="I232" i="106"/>
  <c r="L225" i="107"/>
  <c r="I274" i="107"/>
  <c r="J209" i="16"/>
  <c r="J213" i="16" s="1"/>
  <c r="K208" i="16" s="1"/>
  <c r="K210" i="16" s="1"/>
  <c r="K188" i="106"/>
  <c r="K193" i="106"/>
  <c r="K192" i="106"/>
  <c r="K189" i="106"/>
  <c r="I231" i="108"/>
  <c r="I235" i="108" s="1"/>
  <c r="J230" i="108" s="1"/>
  <c r="J233" i="108" s="1"/>
  <c r="I226" i="12"/>
  <c r="I273" i="107"/>
  <c r="K177" i="12"/>
  <c r="F290" i="108"/>
  <c r="F294" i="108" s="1"/>
  <c r="G289" i="108" s="1"/>
  <c r="G295" i="108" s="1"/>
  <c r="G291" i="108" s="1"/>
  <c r="H279" i="107"/>
  <c r="H283" i="107" s="1"/>
  <c r="I278" i="107" s="1"/>
  <c r="K198" i="107"/>
  <c r="K202" i="107" s="1"/>
  <c r="L197" i="107" s="1"/>
  <c r="L203" i="107" s="1"/>
  <c r="M165" i="107"/>
  <c r="M169" i="107" s="1"/>
  <c r="I222" i="12"/>
  <c r="I220" i="12" s="1"/>
  <c r="I224" i="12" s="1"/>
  <c r="J219" i="12" s="1"/>
  <c r="J222" i="12" s="1"/>
  <c r="J214" i="12"/>
  <c r="I225" i="12"/>
  <c r="J211" i="12"/>
  <c r="K203" i="108"/>
  <c r="K204" i="108"/>
  <c r="K199" i="108"/>
  <c r="K200" i="108"/>
  <c r="F268" i="106"/>
  <c r="F272" i="106" s="1"/>
  <c r="G267" i="106" s="1"/>
  <c r="G274" i="106" s="1"/>
  <c r="H263" i="16"/>
  <c r="L12" i="21"/>
  <c r="D5" i="23"/>
  <c r="K200" i="106"/>
  <c r="K204" i="106"/>
  <c r="K199" i="106"/>
  <c r="K203" i="106"/>
  <c r="I258" i="108"/>
  <c r="I259" i="108"/>
  <c r="I263" i="108"/>
  <c r="I262" i="108"/>
  <c r="M157" i="12"/>
  <c r="M152" i="12"/>
  <c r="M153" i="12"/>
  <c r="M156" i="12"/>
  <c r="E289" i="12"/>
  <c r="D305" i="12"/>
  <c r="D305" i="106" s="1"/>
  <c r="J266" i="12"/>
  <c r="I292" i="20"/>
  <c r="I296" i="20"/>
  <c r="I295" i="20"/>
  <c r="I291" i="20"/>
  <c r="I302" i="20" s="1"/>
  <c r="I300" i="20"/>
  <c r="L244" i="106"/>
  <c r="H277" i="12"/>
  <c r="J266" i="106"/>
  <c r="L255" i="16"/>
  <c r="G273" i="12"/>
  <c r="G269" i="12" s="1"/>
  <c r="G270" i="12"/>
  <c r="G274" i="12"/>
  <c r="K277" i="108"/>
  <c r="I246" i="108"/>
  <c r="I250" i="108" s="1"/>
  <c r="J245" i="108" s="1"/>
  <c r="M244" i="108"/>
  <c r="L266" i="108"/>
  <c r="J288" i="108"/>
  <c r="J255" i="12"/>
  <c r="D54" i="21"/>
  <c r="D311" i="108"/>
  <c r="J200" i="12"/>
  <c r="J204" i="12"/>
  <c r="J199" i="12"/>
  <c r="J203" i="12"/>
  <c r="K244" i="12"/>
  <c r="K277" i="16"/>
  <c r="I246" i="16"/>
  <c r="I250" i="16" s="1"/>
  <c r="J245" i="16" s="1"/>
  <c r="I288" i="106"/>
  <c r="J288" i="106" s="1"/>
  <c r="F279" i="108"/>
  <c r="F283" i="108" s="1"/>
  <c r="G278" i="108" s="1"/>
  <c r="E296" i="16"/>
  <c r="E300" i="16"/>
  <c r="E300" i="108" s="1"/>
  <c r="E49" i="21" s="1"/>
  <c r="E295" i="16"/>
  <c r="E291" i="16" s="1"/>
  <c r="E302" i="16" s="1"/>
  <c r="E302" i="108" s="1"/>
  <c r="L255" i="108"/>
  <c r="H252" i="12"/>
  <c r="H248" i="12"/>
  <c r="H251" i="12"/>
  <c r="H247" i="12" s="1"/>
  <c r="H220" i="106"/>
  <c r="H224" i="106" s="1"/>
  <c r="I219" i="106" s="1"/>
  <c r="K266" i="16"/>
  <c r="L266" i="16" s="1"/>
  <c r="M266" i="16" s="1"/>
  <c r="I277" i="106"/>
  <c r="L215" i="107"/>
  <c r="L211" i="107"/>
  <c r="L210" i="107"/>
  <c r="L214" i="107"/>
  <c r="H233" i="12"/>
  <c r="H237" i="12"/>
  <c r="H236" i="12"/>
  <c r="H232" i="12" s="1"/>
  <c r="E294" i="107"/>
  <c r="E301" i="107"/>
  <c r="E35" i="21" s="1"/>
  <c r="L229" i="12"/>
  <c r="E281" i="12"/>
  <c r="E279" i="12" s="1"/>
  <c r="E283" i="12" s="1"/>
  <c r="F278" i="12" s="1"/>
  <c r="J288" i="16"/>
  <c r="H288" i="12"/>
  <c r="L277" i="107"/>
  <c r="M178" i="108"/>
  <c r="M182" i="108"/>
  <c r="M177" i="108"/>
  <c r="M181" i="108"/>
  <c r="K233" i="107"/>
  <c r="K237" i="107"/>
  <c r="K232" i="107"/>
  <c r="K236" i="107"/>
  <c r="L165" i="106"/>
  <c r="L169" i="106" s="1"/>
  <c r="M164" i="106" s="1"/>
  <c r="L165" i="108"/>
  <c r="L169" i="108" s="1"/>
  <c r="M164" i="108" s="1"/>
  <c r="M188" i="108"/>
  <c r="M189" i="108"/>
  <c r="M193" i="108"/>
  <c r="M192" i="108"/>
  <c r="K211" i="108"/>
  <c r="K215" i="108"/>
  <c r="K210" i="108"/>
  <c r="K214" i="108"/>
  <c r="K255" i="106"/>
  <c r="F296" i="106"/>
  <c r="F292" i="106"/>
  <c r="F295" i="106"/>
  <c r="F291" i="106" s="1"/>
  <c r="G257" i="12"/>
  <c r="G261" i="12" s="1"/>
  <c r="H256" i="12" s="1"/>
  <c r="I10" i="19"/>
  <c r="I135" i="19"/>
  <c r="I28" i="21" s="1"/>
  <c r="I16" i="15"/>
  <c r="I15" i="15"/>
  <c r="I11" i="15" s="1"/>
  <c r="I136" i="15" s="1"/>
  <c r="I133" i="15"/>
  <c r="I57" i="21" s="1"/>
  <c r="L14" i="21"/>
  <c r="M57" i="25" s="1"/>
  <c r="P17" i="13"/>
  <c r="P8" i="13"/>
  <c r="K22" i="15"/>
  <c r="J9" i="17"/>
  <c r="I137" i="17"/>
  <c r="I46" i="21" s="1"/>
  <c r="L33" i="17"/>
  <c r="K27" i="17"/>
  <c r="K23" i="17" s="1"/>
  <c r="K28" i="17"/>
  <c r="K26" i="19"/>
  <c r="J281" i="20"/>
  <c r="J284" i="20"/>
  <c r="J285" i="20"/>
  <c r="J280" i="20"/>
  <c r="M62" i="19"/>
  <c r="L50" i="19"/>
  <c r="L36" i="19"/>
  <c r="L187" i="16" l="1"/>
  <c r="L191" i="16" s="1"/>
  <c r="M186" i="16" s="1"/>
  <c r="H259" i="16"/>
  <c r="G296" i="108"/>
  <c r="K252" i="107"/>
  <c r="I246" i="106"/>
  <c r="I250" i="106" s="1"/>
  <c r="J245" i="106" s="1"/>
  <c r="J251" i="106" s="1"/>
  <c r="I231" i="106"/>
  <c r="I235" i="106" s="1"/>
  <c r="J230" i="106" s="1"/>
  <c r="J233" i="106" s="1"/>
  <c r="J198" i="16"/>
  <c r="J202" i="16" s="1"/>
  <c r="K197" i="16" s="1"/>
  <c r="K203" i="16" s="1"/>
  <c r="K251" i="107"/>
  <c r="F284" i="16"/>
  <c r="F281" i="16"/>
  <c r="F279" i="16" s="1"/>
  <c r="F283" i="16" s="1"/>
  <c r="G278" i="16" s="1"/>
  <c r="G284" i="16" s="1"/>
  <c r="G280" i="16" s="1"/>
  <c r="AU60" i="27"/>
  <c r="K248" i="107"/>
  <c r="K246" i="107" s="1"/>
  <c r="K250" i="107" s="1"/>
  <c r="L245" i="107" s="1"/>
  <c r="H274" i="108"/>
  <c r="H273" i="108"/>
  <c r="H269" i="108" s="1"/>
  <c r="H268" i="108" s="1"/>
  <c r="H272" i="108" s="1"/>
  <c r="I267" i="108" s="1"/>
  <c r="K187" i="12"/>
  <c r="K191" i="12" s="1"/>
  <c r="L186" i="12" s="1"/>
  <c r="L188" i="12" s="1"/>
  <c r="K211" i="16"/>
  <c r="K209" i="16" s="1"/>
  <c r="K213" i="16" s="1"/>
  <c r="L208" i="16" s="1"/>
  <c r="L171" i="12"/>
  <c r="M181" i="106"/>
  <c r="M178" i="106"/>
  <c r="M177" i="106"/>
  <c r="J263" i="107"/>
  <c r="J258" i="107"/>
  <c r="K177" i="16"/>
  <c r="K178" i="16"/>
  <c r="K182" i="16"/>
  <c r="K181" i="16"/>
  <c r="G268" i="16"/>
  <c r="G272" i="16" s="1"/>
  <c r="H267" i="16" s="1"/>
  <c r="G284" i="106"/>
  <c r="G280" i="106" s="1"/>
  <c r="G281" i="106"/>
  <c r="G285" i="106"/>
  <c r="M151" i="16"/>
  <c r="M155" i="16" s="1"/>
  <c r="I220" i="16"/>
  <c r="I224" i="16" s="1"/>
  <c r="J219" i="16" s="1"/>
  <c r="I237" i="16"/>
  <c r="I233" i="16"/>
  <c r="I236" i="16"/>
  <c r="I232" i="16"/>
  <c r="J259" i="107"/>
  <c r="L170" i="16"/>
  <c r="L166" i="16"/>
  <c r="L167" i="16"/>
  <c r="L171" i="16"/>
  <c r="G292" i="108"/>
  <c r="G290" i="108" s="1"/>
  <c r="G294" i="108" s="1"/>
  <c r="H289" i="108" s="1"/>
  <c r="L166" i="12"/>
  <c r="J209" i="12"/>
  <c r="J213" i="12" s="1"/>
  <c r="K208" i="12" s="1"/>
  <c r="K214" i="12" s="1"/>
  <c r="L225" i="108"/>
  <c r="L226" i="108"/>
  <c r="L221" i="108"/>
  <c r="L220" i="108" s="1"/>
  <c r="L224" i="108" s="1"/>
  <c r="M219" i="108" s="1"/>
  <c r="I258" i="106"/>
  <c r="K214" i="16"/>
  <c r="J225" i="12"/>
  <c r="K198" i="108"/>
  <c r="K202" i="108" s="1"/>
  <c r="L197" i="108" s="1"/>
  <c r="L199" i="108" s="1"/>
  <c r="K176" i="12"/>
  <c r="K180" i="12" s="1"/>
  <c r="L175" i="12" s="1"/>
  <c r="L181" i="12" s="1"/>
  <c r="K187" i="106"/>
  <c r="K191" i="106" s="1"/>
  <c r="L186" i="106" s="1"/>
  <c r="L189" i="106" s="1"/>
  <c r="I263" i="106"/>
  <c r="K215" i="16"/>
  <c r="M187" i="107"/>
  <c r="M191" i="107" s="1"/>
  <c r="H257" i="16"/>
  <c r="H261" i="16" s="1"/>
  <c r="I256" i="16" s="1"/>
  <c r="I258" i="16" s="1"/>
  <c r="J236" i="108"/>
  <c r="J232" i="108"/>
  <c r="J231" i="108" s="1"/>
  <c r="J235" i="108" s="1"/>
  <c r="K230" i="108" s="1"/>
  <c r="J237" i="108"/>
  <c r="I259" i="106"/>
  <c r="J209" i="106"/>
  <c r="J213" i="106" s="1"/>
  <c r="K208" i="106" s="1"/>
  <c r="L167" i="12"/>
  <c r="L200" i="107"/>
  <c r="H231" i="12"/>
  <c r="H235" i="12" s="1"/>
  <c r="I230" i="12" s="1"/>
  <c r="I233" i="12" s="1"/>
  <c r="L199" i="107"/>
  <c r="M151" i="12"/>
  <c r="M155" i="12" s="1"/>
  <c r="L204" i="107"/>
  <c r="J226" i="12"/>
  <c r="I284" i="107"/>
  <c r="I280" i="107"/>
  <c r="I281" i="107"/>
  <c r="I285" i="107"/>
  <c r="J248" i="106"/>
  <c r="G270" i="106"/>
  <c r="L209" i="107"/>
  <c r="L213" i="107" s="1"/>
  <c r="M208" i="107" s="1"/>
  <c r="M215" i="107" s="1"/>
  <c r="G273" i="106"/>
  <c r="G269" i="106" s="1"/>
  <c r="J221" i="12"/>
  <c r="J220" i="12" s="1"/>
  <c r="J224" i="12" s="1"/>
  <c r="K219" i="12" s="1"/>
  <c r="K198" i="106"/>
  <c r="K202" i="106" s="1"/>
  <c r="L197" i="106" s="1"/>
  <c r="L204" i="106" s="1"/>
  <c r="J247" i="106"/>
  <c r="G268" i="12"/>
  <c r="G272" i="12" s="1"/>
  <c r="H267" i="12" s="1"/>
  <c r="H274" i="12" s="1"/>
  <c r="D14" i="23"/>
  <c r="D18" i="23" s="1"/>
  <c r="D20" i="23" s="1"/>
  <c r="J273" i="107"/>
  <c r="J270" i="107"/>
  <c r="J274" i="107"/>
  <c r="J269" i="107"/>
  <c r="M277" i="107"/>
  <c r="J277" i="106"/>
  <c r="M255" i="108"/>
  <c r="K288" i="106"/>
  <c r="J248" i="108"/>
  <c r="J247" i="108"/>
  <c r="J252" i="108"/>
  <c r="J251" i="108"/>
  <c r="K266" i="106"/>
  <c r="M244" i="106"/>
  <c r="M171" i="108"/>
  <c r="M166" i="108"/>
  <c r="M167" i="108"/>
  <c r="M170" i="108"/>
  <c r="M167" i="106"/>
  <c r="M166" i="106"/>
  <c r="M171" i="106"/>
  <c r="M170" i="106"/>
  <c r="F289" i="107"/>
  <c r="E305" i="107"/>
  <c r="E38" i="21" s="1"/>
  <c r="F59" i="25" s="1"/>
  <c r="H246" i="12"/>
  <c r="H250" i="12" s="1"/>
  <c r="I245" i="12" s="1"/>
  <c r="E62" i="25"/>
  <c r="AA60" i="27" s="1"/>
  <c r="K288" i="108"/>
  <c r="F290" i="106"/>
  <c r="F294" i="106" s="1"/>
  <c r="G289" i="106" s="1"/>
  <c r="K209" i="108"/>
  <c r="K213" i="108" s="1"/>
  <c r="L208" i="108" s="1"/>
  <c r="M187" i="108"/>
  <c r="M191" i="108" s="1"/>
  <c r="M221" i="107"/>
  <c r="M226" i="107"/>
  <c r="M222" i="107"/>
  <c r="M225" i="107"/>
  <c r="I288" i="12"/>
  <c r="G285" i="108"/>
  <c r="G281" i="108"/>
  <c r="G284" i="108"/>
  <c r="G280" i="108" s="1"/>
  <c r="L244" i="12"/>
  <c r="L277" i="108"/>
  <c r="I277" i="12"/>
  <c r="D22" i="21"/>
  <c r="E58" i="25" s="1"/>
  <c r="Z60" i="27" s="1"/>
  <c r="D311" i="106"/>
  <c r="D26" i="23"/>
  <c r="K288" i="16"/>
  <c r="K266" i="12"/>
  <c r="H263" i="12"/>
  <c r="H259" i="12"/>
  <c r="H262" i="12"/>
  <c r="H258" i="12" s="1"/>
  <c r="L255" i="106"/>
  <c r="K231" i="107"/>
  <c r="K235" i="107" s="1"/>
  <c r="L230" i="107" s="1"/>
  <c r="M176" i="108"/>
  <c r="M180" i="108" s="1"/>
  <c r="F285" i="12"/>
  <c r="F281" i="12"/>
  <c r="F284" i="12"/>
  <c r="F280" i="12" s="1"/>
  <c r="M229" i="12"/>
  <c r="I221" i="106"/>
  <c r="I226" i="106"/>
  <c r="I222" i="106"/>
  <c r="I225" i="106"/>
  <c r="E292" i="16"/>
  <c r="J251" i="16"/>
  <c r="J252" i="16"/>
  <c r="J247" i="16"/>
  <c r="J248" i="16"/>
  <c r="L277" i="16"/>
  <c r="J198" i="12"/>
  <c r="J202" i="12" s="1"/>
  <c r="K197" i="12" s="1"/>
  <c r="K255" i="12"/>
  <c r="L255" i="12" s="1"/>
  <c r="M255" i="12" s="1"/>
  <c r="M266" i="108"/>
  <c r="M255" i="16"/>
  <c r="I290" i="20"/>
  <c r="I303" i="20"/>
  <c r="E296" i="12"/>
  <c r="E292" i="12"/>
  <c r="E300" i="12"/>
  <c r="E300" i="106" s="1"/>
  <c r="E17" i="21" s="1"/>
  <c r="E65" i="21" s="1"/>
  <c r="E295" i="12"/>
  <c r="E291" i="12" s="1"/>
  <c r="E302" i="12" s="1"/>
  <c r="E302" i="106" s="1"/>
  <c r="I257" i="108"/>
  <c r="I261" i="108" s="1"/>
  <c r="J256" i="108" s="1"/>
  <c r="K24" i="17"/>
  <c r="K22" i="17" s="1"/>
  <c r="I12" i="15"/>
  <c r="I137" i="15" s="1"/>
  <c r="I60" i="21" s="1"/>
  <c r="I133" i="19"/>
  <c r="I27" i="21" s="1"/>
  <c r="I14" i="19"/>
  <c r="P13" i="13"/>
  <c r="M11" i="21" s="1"/>
  <c r="M9" i="21"/>
  <c r="L39" i="17"/>
  <c r="L35" i="17" s="1"/>
  <c r="L40" i="17"/>
  <c r="J15" i="17"/>
  <c r="J11" i="17" s="1"/>
  <c r="J134" i="17" s="1"/>
  <c r="J16" i="17"/>
  <c r="J131" i="17"/>
  <c r="J41" i="21" s="1"/>
  <c r="K26" i="15"/>
  <c r="L34" i="19"/>
  <c r="M45" i="19"/>
  <c r="J279" i="20"/>
  <c r="L21" i="19"/>
  <c r="L193" i="106" l="1"/>
  <c r="J236" i="106"/>
  <c r="J252" i="106"/>
  <c r="J237" i="106"/>
  <c r="J232" i="106"/>
  <c r="J231" i="106" s="1"/>
  <c r="J235" i="106" s="1"/>
  <c r="K230" i="106" s="1"/>
  <c r="K232" i="106" s="1"/>
  <c r="M188" i="16"/>
  <c r="M193" i="16"/>
  <c r="M189" i="16"/>
  <c r="M187" i="16" s="1"/>
  <c r="M191" i="16" s="1"/>
  <c r="M192" i="16"/>
  <c r="K200" i="16"/>
  <c r="K199" i="16"/>
  <c r="K204" i="16"/>
  <c r="M176" i="106"/>
  <c r="M180" i="106" s="1"/>
  <c r="L192" i="12"/>
  <c r="L193" i="12"/>
  <c r="L189" i="12"/>
  <c r="L187" i="12" s="1"/>
  <c r="L191" i="12" s="1"/>
  <c r="M186" i="12" s="1"/>
  <c r="M192" i="12" s="1"/>
  <c r="L178" i="12"/>
  <c r="J257" i="107"/>
  <c r="J261" i="107" s="1"/>
  <c r="K256" i="107" s="1"/>
  <c r="K263" i="107" s="1"/>
  <c r="K211" i="12"/>
  <c r="G285" i="16"/>
  <c r="G281" i="16"/>
  <c r="G279" i="16" s="1"/>
  <c r="G283" i="16" s="1"/>
  <c r="H278" i="16" s="1"/>
  <c r="K176" i="16"/>
  <c r="K180" i="16" s="1"/>
  <c r="L175" i="16" s="1"/>
  <c r="L177" i="16" s="1"/>
  <c r="H270" i="12"/>
  <c r="K210" i="12"/>
  <c r="I257" i="106"/>
  <c r="I261" i="106" s="1"/>
  <c r="J256" i="106" s="1"/>
  <c r="J262" i="106" s="1"/>
  <c r="I263" i="16"/>
  <c r="DG60" i="27"/>
  <c r="I259" i="16"/>
  <c r="I257" i="16" s="1"/>
  <c r="I261" i="16" s="1"/>
  <c r="J256" i="16" s="1"/>
  <c r="L182" i="12"/>
  <c r="L177" i="12"/>
  <c r="G279" i="106"/>
  <c r="G283" i="106" s="1"/>
  <c r="H278" i="106" s="1"/>
  <c r="L200" i="108"/>
  <c r="L198" i="108" s="1"/>
  <c r="L202" i="108" s="1"/>
  <c r="M197" i="108" s="1"/>
  <c r="H270" i="16"/>
  <c r="H274" i="16"/>
  <c r="H273" i="16"/>
  <c r="H269" i="16" s="1"/>
  <c r="K215" i="12"/>
  <c r="I236" i="12"/>
  <c r="J225" i="16"/>
  <c r="J222" i="16"/>
  <c r="J226" i="16"/>
  <c r="J221" i="16"/>
  <c r="L165" i="12"/>
  <c r="L169" i="12" s="1"/>
  <c r="M164" i="12" s="1"/>
  <c r="M171" i="12" s="1"/>
  <c r="I231" i="16"/>
  <c r="I235" i="16" s="1"/>
  <c r="J230" i="16" s="1"/>
  <c r="M226" i="108"/>
  <c r="M221" i="108"/>
  <c r="I262" i="16"/>
  <c r="L192" i="106"/>
  <c r="L188" i="106"/>
  <c r="L187" i="106" s="1"/>
  <c r="L191" i="106" s="1"/>
  <c r="M186" i="106" s="1"/>
  <c r="L165" i="16"/>
  <c r="L169" i="16" s="1"/>
  <c r="M164" i="16" s="1"/>
  <c r="J246" i="16"/>
  <c r="J250" i="16" s="1"/>
  <c r="K245" i="16" s="1"/>
  <c r="K247" i="16" s="1"/>
  <c r="M225" i="108"/>
  <c r="I237" i="12"/>
  <c r="L203" i="108"/>
  <c r="M222" i="108"/>
  <c r="I232" i="12"/>
  <c r="I231" i="12" s="1"/>
  <c r="I235" i="12" s="1"/>
  <c r="J230" i="12" s="1"/>
  <c r="L204" i="108"/>
  <c r="I279" i="107"/>
  <c r="I283" i="107" s="1"/>
  <c r="J278" i="107" s="1"/>
  <c r="J285" i="107" s="1"/>
  <c r="K210" i="106"/>
  <c r="K214" i="106"/>
  <c r="K211" i="106"/>
  <c r="K215" i="106"/>
  <c r="M214" i="107"/>
  <c r="M211" i="107"/>
  <c r="J246" i="108"/>
  <c r="J250" i="108" s="1"/>
  <c r="K245" i="108" s="1"/>
  <c r="K247" i="108" s="1"/>
  <c r="L198" i="107"/>
  <c r="L202" i="107" s="1"/>
  <c r="M197" i="107" s="1"/>
  <c r="L203" i="106"/>
  <c r="I220" i="106"/>
  <c r="I224" i="106" s="1"/>
  <c r="J219" i="106" s="1"/>
  <c r="J222" i="106" s="1"/>
  <c r="H273" i="12"/>
  <c r="H269" i="12" s="1"/>
  <c r="G268" i="106"/>
  <c r="G272" i="106" s="1"/>
  <c r="H267" i="106" s="1"/>
  <c r="H270" i="106" s="1"/>
  <c r="D6" i="24"/>
  <c r="D24" i="23"/>
  <c r="L200" i="106"/>
  <c r="M210" i="107"/>
  <c r="J246" i="106"/>
  <c r="J250" i="106" s="1"/>
  <c r="K245" i="106" s="1"/>
  <c r="K248" i="106" s="1"/>
  <c r="L199" i="106"/>
  <c r="F279" i="12"/>
  <c r="F283" i="12" s="1"/>
  <c r="G278" i="12" s="1"/>
  <c r="L288" i="16"/>
  <c r="K225" i="12"/>
  <c r="K226" i="12"/>
  <c r="K221" i="12"/>
  <c r="K222" i="12"/>
  <c r="M277" i="108"/>
  <c r="F296" i="107"/>
  <c r="F292" i="107"/>
  <c r="F300" i="107"/>
  <c r="F33" i="21" s="1"/>
  <c r="F295" i="107"/>
  <c r="F291" i="107" s="1"/>
  <c r="F302" i="107" s="1"/>
  <c r="E290" i="12"/>
  <c r="E303" i="12"/>
  <c r="E303" i="106" s="1"/>
  <c r="E20" i="21" s="1"/>
  <c r="CF61" i="27" s="1"/>
  <c r="M255" i="106"/>
  <c r="J277" i="12"/>
  <c r="M244" i="12"/>
  <c r="J288" i="12"/>
  <c r="L288" i="108"/>
  <c r="M165" i="108"/>
  <c r="M169" i="108" s="1"/>
  <c r="L288" i="106"/>
  <c r="K277" i="106"/>
  <c r="J268" i="107"/>
  <c r="J272" i="107" s="1"/>
  <c r="K267" i="107" s="1"/>
  <c r="E61" i="25"/>
  <c r="K237" i="108"/>
  <c r="K232" i="108"/>
  <c r="K233" i="108"/>
  <c r="K236" i="108"/>
  <c r="D70" i="21"/>
  <c r="I301" i="20"/>
  <c r="I294" i="20"/>
  <c r="M277" i="16"/>
  <c r="L232" i="107"/>
  <c r="L237" i="107"/>
  <c r="L233" i="107"/>
  <c r="L236" i="107"/>
  <c r="H257" i="12"/>
  <c r="H261" i="12" s="1"/>
  <c r="I256" i="12" s="1"/>
  <c r="L266" i="12"/>
  <c r="L215" i="16"/>
  <c r="L211" i="16"/>
  <c r="L210" i="16"/>
  <c r="L214" i="16"/>
  <c r="G279" i="108"/>
  <c r="G283" i="108" s="1"/>
  <c r="H278" i="108" s="1"/>
  <c r="L247" i="107"/>
  <c r="L252" i="107"/>
  <c r="L248" i="107"/>
  <c r="L251" i="107"/>
  <c r="I269" i="108"/>
  <c r="I270" i="108"/>
  <c r="I274" i="108"/>
  <c r="I273" i="108"/>
  <c r="M165" i="106"/>
  <c r="M169" i="106" s="1"/>
  <c r="M170" i="12"/>
  <c r="G296" i="106"/>
  <c r="G292" i="106"/>
  <c r="G295" i="106"/>
  <c r="G291" i="106" s="1"/>
  <c r="J259" i="108"/>
  <c r="J263" i="108"/>
  <c r="J258" i="108"/>
  <c r="J262" i="108"/>
  <c r="K204" i="12"/>
  <c r="K199" i="12"/>
  <c r="K200" i="12"/>
  <c r="K203" i="12"/>
  <c r="E290" i="16"/>
  <c r="E303" i="16"/>
  <c r="E303" i="108" s="1"/>
  <c r="E52" i="21" s="1"/>
  <c r="H296" i="108"/>
  <c r="H292" i="108"/>
  <c r="H295" i="108"/>
  <c r="H291" i="108" s="1"/>
  <c r="M220" i="107"/>
  <c r="M224" i="107" s="1"/>
  <c r="L210" i="108"/>
  <c r="L211" i="108"/>
  <c r="L215" i="108"/>
  <c r="L214" i="108"/>
  <c r="I252" i="12"/>
  <c r="I247" i="12"/>
  <c r="I248" i="12"/>
  <c r="I251" i="12"/>
  <c r="L266" i="106"/>
  <c r="I10" i="15"/>
  <c r="I14" i="15" s="1"/>
  <c r="I137" i="19"/>
  <c r="I30" i="21" s="1"/>
  <c r="J9" i="19"/>
  <c r="P12" i="13"/>
  <c r="L36" i="17"/>
  <c r="L34" i="17" s="1"/>
  <c r="K26" i="17"/>
  <c r="L21" i="15"/>
  <c r="J12" i="17"/>
  <c r="L28" i="19"/>
  <c r="L27" i="19"/>
  <c r="L23" i="19" s="1"/>
  <c r="J283" i="20"/>
  <c r="M52" i="19"/>
  <c r="M51" i="19"/>
  <c r="M47" i="19" s="1"/>
  <c r="L38" i="19"/>
  <c r="K198" i="16" l="1"/>
  <c r="K202" i="16" s="1"/>
  <c r="L197" i="16" s="1"/>
  <c r="K259" i="107"/>
  <c r="L182" i="16"/>
  <c r="K209" i="12"/>
  <c r="K213" i="12" s="1"/>
  <c r="L208" i="12" s="1"/>
  <c r="L215" i="12" s="1"/>
  <c r="L176" i="12"/>
  <c r="L180" i="12" s="1"/>
  <c r="M175" i="12" s="1"/>
  <c r="J284" i="107"/>
  <c r="AF60" i="27"/>
  <c r="BT60" i="27"/>
  <c r="L178" i="16"/>
  <c r="L176" i="16" s="1"/>
  <c r="L180" i="16" s="1"/>
  <c r="M175" i="16" s="1"/>
  <c r="K258" i="107"/>
  <c r="K262" i="107"/>
  <c r="L181" i="16"/>
  <c r="M189" i="12"/>
  <c r="J280" i="107"/>
  <c r="K236" i="106"/>
  <c r="J281" i="107"/>
  <c r="J263" i="106"/>
  <c r="H268" i="12"/>
  <c r="H272" i="12" s="1"/>
  <c r="I267" i="12" s="1"/>
  <c r="I273" i="12" s="1"/>
  <c r="J258" i="106"/>
  <c r="J259" i="106"/>
  <c r="M220" i="108"/>
  <c r="M224" i="108" s="1"/>
  <c r="H268" i="16"/>
  <c r="H272" i="16" s="1"/>
  <c r="I267" i="16" s="1"/>
  <c r="I273" i="16" s="1"/>
  <c r="H284" i="16"/>
  <c r="H280" i="16" s="1"/>
  <c r="H281" i="16"/>
  <c r="H285" i="16"/>
  <c r="L203" i="16"/>
  <c r="L199" i="16"/>
  <c r="L204" i="16"/>
  <c r="L200" i="16"/>
  <c r="K252" i="16"/>
  <c r="H285" i="106"/>
  <c r="H281" i="106"/>
  <c r="M166" i="12"/>
  <c r="H284" i="106"/>
  <c r="H280" i="106" s="1"/>
  <c r="K248" i="16"/>
  <c r="K246" i="16" s="1"/>
  <c r="K250" i="16" s="1"/>
  <c r="L245" i="16" s="1"/>
  <c r="M167" i="12"/>
  <c r="J220" i="16"/>
  <c r="J224" i="16" s="1"/>
  <c r="K219" i="16" s="1"/>
  <c r="J237" i="16"/>
  <c r="J236" i="16"/>
  <c r="J232" i="16"/>
  <c r="J233" i="16"/>
  <c r="M188" i="106"/>
  <c r="M189" i="106"/>
  <c r="M192" i="106"/>
  <c r="M193" i="106"/>
  <c r="K251" i="16"/>
  <c r="E32" i="25"/>
  <c r="B144" i="110" s="1"/>
  <c r="M170" i="16"/>
  <c r="M166" i="16"/>
  <c r="M167" i="16"/>
  <c r="M171" i="16"/>
  <c r="M209" i="107"/>
  <c r="M213" i="107" s="1"/>
  <c r="K251" i="108"/>
  <c r="K209" i="106"/>
  <c r="K213" i="106" s="1"/>
  <c r="L208" i="106" s="1"/>
  <c r="L214" i="106" s="1"/>
  <c r="M188" i="12"/>
  <c r="J225" i="106"/>
  <c r="J221" i="106"/>
  <c r="J220" i="106" s="1"/>
  <c r="J224" i="106" s="1"/>
  <c r="K219" i="106" s="1"/>
  <c r="J226" i="106"/>
  <c r="K251" i="106"/>
  <c r="L198" i="106"/>
  <c r="L202" i="106" s="1"/>
  <c r="M197" i="106" s="1"/>
  <c r="M204" i="106" s="1"/>
  <c r="I268" i="108"/>
  <c r="I272" i="108" s="1"/>
  <c r="J267" i="108" s="1"/>
  <c r="J269" i="108" s="1"/>
  <c r="K247" i="106"/>
  <c r="K246" i="106" s="1"/>
  <c r="K250" i="106" s="1"/>
  <c r="L245" i="106" s="1"/>
  <c r="M200" i="107"/>
  <c r="M199" i="107"/>
  <c r="M204" i="107"/>
  <c r="M203" i="107"/>
  <c r="K252" i="108"/>
  <c r="H274" i="106"/>
  <c r="M193" i="12"/>
  <c r="K248" i="108"/>
  <c r="K246" i="108" s="1"/>
  <c r="K250" i="108" s="1"/>
  <c r="L245" i="108" s="1"/>
  <c r="L251" i="108" s="1"/>
  <c r="H273" i="106"/>
  <c r="H269" i="106" s="1"/>
  <c r="H268" i="106" s="1"/>
  <c r="H272" i="106" s="1"/>
  <c r="I267" i="106" s="1"/>
  <c r="I269" i="106" s="1"/>
  <c r="J257" i="108"/>
  <c r="J261" i="108" s="1"/>
  <c r="K256" i="108" s="1"/>
  <c r="K259" i="108" s="1"/>
  <c r="L209" i="108"/>
  <c r="L213" i="108" s="1"/>
  <c r="M208" i="108" s="1"/>
  <c r="M214" i="108" s="1"/>
  <c r="E27" i="25"/>
  <c r="D18" i="24"/>
  <c r="AQ60" i="27" s="1"/>
  <c r="D10" i="24"/>
  <c r="E19" i="25"/>
  <c r="D22" i="23" s="1"/>
  <c r="K252" i="106"/>
  <c r="K233" i="106"/>
  <c r="K231" i="106" s="1"/>
  <c r="K235" i="106" s="1"/>
  <c r="L230" i="106" s="1"/>
  <c r="L233" i="106" s="1"/>
  <c r="K237" i="106"/>
  <c r="J258" i="16"/>
  <c r="J263" i="16"/>
  <c r="J259" i="16"/>
  <c r="J262" i="16"/>
  <c r="L209" i="16"/>
  <c r="L213" i="16" s="1"/>
  <c r="M208" i="16" s="1"/>
  <c r="M215" i="16" s="1"/>
  <c r="M203" i="108"/>
  <c r="M199" i="108"/>
  <c r="M204" i="108"/>
  <c r="M200" i="108"/>
  <c r="I135" i="15"/>
  <c r="I59" i="21" s="1"/>
  <c r="I258" i="12"/>
  <c r="I259" i="12"/>
  <c r="I263" i="12"/>
  <c r="I262" i="12"/>
  <c r="CG61" i="27"/>
  <c r="E68" i="21"/>
  <c r="H290" i="108"/>
  <c r="H294" i="108" s="1"/>
  <c r="I289" i="108" s="1"/>
  <c r="E294" i="16"/>
  <c r="E301" i="16"/>
  <c r="E301" i="108" s="1"/>
  <c r="E51" i="21" s="1"/>
  <c r="M288" i="106"/>
  <c r="M288" i="108"/>
  <c r="G290" i="106"/>
  <c r="G294" i="106" s="1"/>
  <c r="H289" i="106" s="1"/>
  <c r="L246" i="107"/>
  <c r="L250" i="107" s="1"/>
  <c r="M245" i="107" s="1"/>
  <c r="L231" i="107"/>
  <c r="L235" i="107" s="1"/>
  <c r="M230" i="107" s="1"/>
  <c r="K288" i="12"/>
  <c r="K277" i="12"/>
  <c r="L277" i="12" s="1"/>
  <c r="M277" i="12" s="1"/>
  <c r="E301" i="12"/>
  <c r="E301" i="106" s="1"/>
  <c r="E19" i="21" s="1"/>
  <c r="E294" i="12"/>
  <c r="F290" i="107"/>
  <c r="F303" i="107"/>
  <c r="F36" i="21" s="1"/>
  <c r="K220" i="12"/>
  <c r="K224" i="12" s="1"/>
  <c r="L219" i="12" s="1"/>
  <c r="K274" i="107"/>
  <c r="K269" i="107"/>
  <c r="K270" i="107"/>
  <c r="K273" i="107"/>
  <c r="M178" i="12"/>
  <c r="M177" i="12"/>
  <c r="M182" i="12"/>
  <c r="M181" i="12"/>
  <c r="M288" i="16"/>
  <c r="M266" i="106"/>
  <c r="H284" i="108"/>
  <c r="H280" i="108" s="1"/>
  <c r="H285" i="108"/>
  <c r="H281" i="108"/>
  <c r="J289" i="20"/>
  <c r="I305" i="20"/>
  <c r="G285" i="12"/>
  <c r="G281" i="12"/>
  <c r="G284" i="12"/>
  <c r="G280" i="12" s="1"/>
  <c r="I269" i="12"/>
  <c r="I270" i="12"/>
  <c r="I274" i="12"/>
  <c r="I246" i="12"/>
  <c r="I250" i="12" s="1"/>
  <c r="J245" i="12" s="1"/>
  <c r="K198" i="12"/>
  <c r="K202" i="12" s="1"/>
  <c r="L197" i="12" s="1"/>
  <c r="J232" i="12"/>
  <c r="J233" i="12"/>
  <c r="J237" i="12"/>
  <c r="J236" i="12"/>
  <c r="M266" i="12"/>
  <c r="K231" i="108"/>
  <c r="K235" i="108" s="1"/>
  <c r="L230" i="108" s="1"/>
  <c r="L277" i="106"/>
  <c r="J16" i="19"/>
  <c r="J15" i="19"/>
  <c r="J11" i="19" s="1"/>
  <c r="J134" i="19" s="1"/>
  <c r="J131" i="19"/>
  <c r="J25" i="21" s="1"/>
  <c r="J9" i="15"/>
  <c r="I139" i="15"/>
  <c r="I62" i="21" s="1"/>
  <c r="M12" i="21"/>
  <c r="P14" i="13"/>
  <c r="P19" i="13" s="1"/>
  <c r="P21" i="13" s="1"/>
  <c r="M14" i="21" s="1"/>
  <c r="N57" i="25" s="1"/>
  <c r="J10" i="17"/>
  <c r="J135" i="17"/>
  <c r="J44" i="21" s="1"/>
  <c r="L38" i="17"/>
  <c r="L27" i="15"/>
  <c r="L23" i="15" s="1"/>
  <c r="L28" i="15"/>
  <c r="M48" i="19"/>
  <c r="M46" i="19" s="1"/>
  <c r="L21" i="17"/>
  <c r="M33" i="19"/>
  <c r="K278" i="20"/>
  <c r="L24" i="19"/>
  <c r="M165" i="12" l="1"/>
  <c r="M169" i="12" s="1"/>
  <c r="L214" i="12"/>
  <c r="L210" i="12"/>
  <c r="L211" i="12"/>
  <c r="K257" i="107"/>
  <c r="K261" i="107" s="1"/>
  <c r="L256" i="107" s="1"/>
  <c r="L258" i="107" s="1"/>
  <c r="M187" i="12"/>
  <c r="M191" i="12" s="1"/>
  <c r="I270" i="16"/>
  <c r="J279" i="107"/>
  <c r="J283" i="107" s="1"/>
  <c r="K278" i="107" s="1"/>
  <c r="K281" i="107" s="1"/>
  <c r="M200" i="106"/>
  <c r="I274" i="16"/>
  <c r="M214" i="16"/>
  <c r="L209" i="12"/>
  <c r="L213" i="12" s="1"/>
  <c r="M208" i="12" s="1"/>
  <c r="M215" i="12" s="1"/>
  <c r="M210" i="16"/>
  <c r="L247" i="108"/>
  <c r="J257" i="106"/>
  <c r="J261" i="106" s="1"/>
  <c r="K256" i="106" s="1"/>
  <c r="H279" i="16"/>
  <c r="H283" i="16" s="1"/>
  <c r="I278" i="16" s="1"/>
  <c r="I284" i="16" s="1"/>
  <c r="M187" i="106"/>
  <c r="M191" i="106" s="1"/>
  <c r="M178" i="16"/>
  <c r="M177" i="16"/>
  <c r="M182" i="16"/>
  <c r="M181" i="16"/>
  <c r="I269" i="16"/>
  <c r="L198" i="16"/>
  <c r="L202" i="16" s="1"/>
  <c r="M197" i="16" s="1"/>
  <c r="L248" i="16"/>
  <c r="L247" i="16"/>
  <c r="L251" i="16"/>
  <c r="L252" i="16"/>
  <c r="J274" i="108"/>
  <c r="M211" i="16"/>
  <c r="M203" i="106"/>
  <c r="H279" i="106"/>
  <c r="H283" i="106" s="1"/>
  <c r="I278" i="106" s="1"/>
  <c r="I270" i="106"/>
  <c r="I268" i="106" s="1"/>
  <c r="I272" i="106" s="1"/>
  <c r="J267" i="106" s="1"/>
  <c r="L215" i="106"/>
  <c r="J231" i="16"/>
  <c r="J235" i="16" s="1"/>
  <c r="K230" i="16" s="1"/>
  <c r="K233" i="16" s="1"/>
  <c r="K225" i="16"/>
  <c r="K221" i="16"/>
  <c r="K222" i="16"/>
  <c r="K226" i="16"/>
  <c r="L211" i="106"/>
  <c r="CI60" i="27"/>
  <c r="DO60" i="27" s="1"/>
  <c r="DT60" i="27"/>
  <c r="DU60" i="27"/>
  <c r="DV60" i="27"/>
  <c r="CY60" i="27"/>
  <c r="M199" i="106"/>
  <c r="E16" i="25"/>
  <c r="DQ60" i="27"/>
  <c r="L210" i="106"/>
  <c r="M165" i="16"/>
  <c r="M169" i="16" s="1"/>
  <c r="L248" i="108"/>
  <c r="L232" i="106"/>
  <c r="L231" i="106" s="1"/>
  <c r="L235" i="106" s="1"/>
  <c r="M230" i="106" s="1"/>
  <c r="M233" i="106" s="1"/>
  <c r="M198" i="108"/>
  <c r="M202" i="108" s="1"/>
  <c r="J257" i="16"/>
  <c r="J261" i="16" s="1"/>
  <c r="K256" i="16" s="1"/>
  <c r="K258" i="16" s="1"/>
  <c r="M198" i="107"/>
  <c r="M202" i="107" s="1"/>
  <c r="L252" i="108"/>
  <c r="J273" i="108"/>
  <c r="I273" i="106"/>
  <c r="J270" i="108"/>
  <c r="J268" i="108" s="1"/>
  <c r="J272" i="108" s="1"/>
  <c r="K267" i="108" s="1"/>
  <c r="K274" i="108" s="1"/>
  <c r="I274" i="106"/>
  <c r="M215" i="108"/>
  <c r="M211" i="108"/>
  <c r="L236" i="106"/>
  <c r="M210" i="108"/>
  <c r="K258" i="108"/>
  <c r="K257" i="108" s="1"/>
  <c r="K261" i="108" s="1"/>
  <c r="L256" i="108" s="1"/>
  <c r="K262" i="108"/>
  <c r="K263" i="108"/>
  <c r="E18" i="25"/>
  <c r="D9" i="23"/>
  <c r="D11" i="23" s="1"/>
  <c r="D7" i="23" s="1"/>
  <c r="D21" i="24"/>
  <c r="AW60" i="27" s="1"/>
  <c r="E20" i="25"/>
  <c r="E29" i="25"/>
  <c r="L237" i="106"/>
  <c r="J231" i="12"/>
  <c r="J235" i="12" s="1"/>
  <c r="K230" i="12" s="1"/>
  <c r="K233" i="12" s="1"/>
  <c r="I268" i="12"/>
  <c r="I272" i="12" s="1"/>
  <c r="J267" i="12" s="1"/>
  <c r="J274" i="12" s="1"/>
  <c r="E67" i="21"/>
  <c r="E16" i="24" s="1"/>
  <c r="H292" i="106"/>
  <c r="H296" i="106"/>
  <c r="H295" i="106"/>
  <c r="H291" i="106" s="1"/>
  <c r="M277" i="106"/>
  <c r="J295" i="20"/>
  <c r="J292" i="20"/>
  <c r="J291" i="20"/>
  <c r="J302" i="20" s="1"/>
  <c r="J296" i="20"/>
  <c r="J300" i="20"/>
  <c r="F294" i="107"/>
  <c r="F301" i="107"/>
  <c r="F35" i="21" s="1"/>
  <c r="L203" i="12"/>
  <c r="L199" i="12"/>
  <c r="L204" i="12"/>
  <c r="L200" i="12"/>
  <c r="H279" i="108"/>
  <c r="H283" i="108" s="1"/>
  <c r="I278" i="108" s="1"/>
  <c r="F289" i="12"/>
  <c r="E305" i="12"/>
  <c r="E305" i="106" s="1"/>
  <c r="E22" i="21" s="1"/>
  <c r="F58" i="25" s="1"/>
  <c r="K226" i="106"/>
  <c r="K222" i="106"/>
  <c r="K221" i="106"/>
  <c r="K225" i="106"/>
  <c r="M252" i="107"/>
  <c r="M248" i="107"/>
  <c r="M247" i="107"/>
  <c r="M251" i="107"/>
  <c r="I292" i="108"/>
  <c r="I291" i="108"/>
  <c r="I296" i="108"/>
  <c r="I295" i="108"/>
  <c r="L288" i="12"/>
  <c r="M288" i="12" s="1"/>
  <c r="M176" i="12"/>
  <c r="M180" i="12" s="1"/>
  <c r="L252" i="106"/>
  <c r="L248" i="106"/>
  <c r="L247" i="106"/>
  <c r="L251" i="106"/>
  <c r="M232" i="107"/>
  <c r="M237" i="107"/>
  <c r="M233" i="107"/>
  <c r="M236" i="107"/>
  <c r="F289" i="16"/>
  <c r="E305" i="16"/>
  <c r="E305" i="108" s="1"/>
  <c r="E54" i="21" s="1"/>
  <c r="L232" i="108"/>
  <c r="L237" i="108"/>
  <c r="L233" i="108"/>
  <c r="L236" i="108"/>
  <c r="J252" i="12"/>
  <c r="J247" i="12"/>
  <c r="J248" i="12"/>
  <c r="J251" i="12"/>
  <c r="G279" i="12"/>
  <c r="G283" i="12" s="1"/>
  <c r="H278" i="12" s="1"/>
  <c r="K268" i="107"/>
  <c r="K272" i="107" s="1"/>
  <c r="L267" i="107" s="1"/>
  <c r="L222" i="12"/>
  <c r="L226" i="12"/>
  <c r="L221" i="12"/>
  <c r="L225" i="12"/>
  <c r="E25" i="24"/>
  <c r="I257" i="12"/>
  <c r="I261" i="12" s="1"/>
  <c r="J256" i="12" s="1"/>
  <c r="J12" i="19"/>
  <c r="J10" i="19" s="1"/>
  <c r="J133" i="15"/>
  <c r="J57" i="21" s="1"/>
  <c r="J16" i="15"/>
  <c r="J15" i="15"/>
  <c r="J11" i="15" s="1"/>
  <c r="J136" i="15" s="1"/>
  <c r="L24" i="15"/>
  <c r="L22" i="15" s="1"/>
  <c r="L27" i="17"/>
  <c r="L23" i="17" s="1"/>
  <c r="L28" i="17"/>
  <c r="J133" i="17"/>
  <c r="J43" i="21" s="1"/>
  <c r="J14" i="17"/>
  <c r="M33" i="17"/>
  <c r="M50" i="19"/>
  <c r="K284" i="20"/>
  <c r="K285" i="20"/>
  <c r="K280" i="20"/>
  <c r="K281" i="20"/>
  <c r="M40" i="19"/>
  <c r="M39" i="19"/>
  <c r="M35" i="19" s="1"/>
  <c r="L22" i="19"/>
  <c r="L259" i="107" l="1"/>
  <c r="L257" i="107" s="1"/>
  <c r="L261" i="107" s="1"/>
  <c r="M256" i="107" s="1"/>
  <c r="M262" i="107" s="1"/>
  <c r="L263" i="107"/>
  <c r="L262" i="107"/>
  <c r="M198" i="106"/>
  <c r="M202" i="106" s="1"/>
  <c r="M211" i="12"/>
  <c r="K280" i="107"/>
  <c r="K279" i="107" s="1"/>
  <c r="K283" i="107" s="1"/>
  <c r="L278" i="107" s="1"/>
  <c r="L281" i="107" s="1"/>
  <c r="K284" i="107"/>
  <c r="K285" i="107"/>
  <c r="M210" i="12"/>
  <c r="M209" i="12" s="1"/>
  <c r="M213" i="12" s="1"/>
  <c r="M214" i="12"/>
  <c r="I268" i="16"/>
  <c r="I272" i="16" s="1"/>
  <c r="J267" i="16" s="1"/>
  <c r="J274" i="16" s="1"/>
  <c r="M209" i="16"/>
  <c r="M213" i="16" s="1"/>
  <c r="L246" i="108"/>
  <c r="L250" i="108" s="1"/>
  <c r="M245" i="108" s="1"/>
  <c r="M252" i="108" s="1"/>
  <c r="M176" i="16"/>
  <c r="M180" i="16" s="1"/>
  <c r="K237" i="12"/>
  <c r="I285" i="16"/>
  <c r="I280" i="16"/>
  <c r="I281" i="16"/>
  <c r="K262" i="106"/>
  <c r="K263" i="106"/>
  <c r="K258" i="106"/>
  <c r="K259" i="106"/>
  <c r="J270" i="12"/>
  <c r="M204" i="16"/>
  <c r="M199" i="16"/>
  <c r="M200" i="16"/>
  <c r="M203" i="16"/>
  <c r="K237" i="16"/>
  <c r="L246" i="16"/>
  <c r="L250" i="16" s="1"/>
  <c r="M245" i="16" s="1"/>
  <c r="M252" i="16" s="1"/>
  <c r="K236" i="16"/>
  <c r="K232" i="16"/>
  <c r="K231" i="16" s="1"/>
  <c r="K235" i="16" s="1"/>
  <c r="M258" i="107"/>
  <c r="M263" i="107"/>
  <c r="M259" i="107"/>
  <c r="I280" i="106"/>
  <c r="I284" i="106"/>
  <c r="I281" i="106"/>
  <c r="I285" i="106"/>
  <c r="K236" i="12"/>
  <c r="K220" i="16"/>
  <c r="K224" i="16" s="1"/>
  <c r="L219" i="16" s="1"/>
  <c r="L221" i="16" s="1"/>
  <c r="L209" i="106"/>
  <c r="L213" i="106" s="1"/>
  <c r="M208" i="106" s="1"/>
  <c r="M214" i="106" s="1"/>
  <c r="E15" i="25"/>
  <c r="CE60" i="27" s="1"/>
  <c r="DP60" i="27"/>
  <c r="K262" i="16"/>
  <c r="L284" i="107"/>
  <c r="J273" i="12"/>
  <c r="K259" i="16"/>
  <c r="K257" i="16" s="1"/>
  <c r="K261" i="16" s="1"/>
  <c r="L256" i="16" s="1"/>
  <c r="K263" i="16"/>
  <c r="M209" i="108"/>
  <c r="M213" i="108" s="1"/>
  <c r="L259" i="108"/>
  <c r="L258" i="108"/>
  <c r="L246" i="106"/>
  <c r="L250" i="106" s="1"/>
  <c r="M245" i="106" s="1"/>
  <c r="M248" i="106" s="1"/>
  <c r="M237" i="106"/>
  <c r="M232" i="106"/>
  <c r="M231" i="106" s="1"/>
  <c r="M235" i="106" s="1"/>
  <c r="L263" i="108"/>
  <c r="K273" i="108"/>
  <c r="K270" i="108"/>
  <c r="L262" i="108"/>
  <c r="K269" i="108"/>
  <c r="E17" i="25"/>
  <c r="CD60" i="27" s="1"/>
  <c r="E63" i="25"/>
  <c r="E64" i="25" s="1"/>
  <c r="E33" i="25"/>
  <c r="D24" i="24"/>
  <c r="D26" i="24" s="1"/>
  <c r="D39" i="24" s="1"/>
  <c r="D46" i="24" s="1"/>
  <c r="D57" i="24" s="1"/>
  <c r="E34" i="25"/>
  <c r="E55" i="25"/>
  <c r="Y60" i="27" s="1"/>
  <c r="J135" i="19"/>
  <c r="J28" i="21" s="1"/>
  <c r="L198" i="12"/>
  <c r="L202" i="12" s="1"/>
  <c r="M197" i="12" s="1"/>
  <c r="M199" i="12" s="1"/>
  <c r="M236" i="106"/>
  <c r="K232" i="12"/>
  <c r="K231" i="12" s="1"/>
  <c r="K235" i="12" s="1"/>
  <c r="L230" i="12" s="1"/>
  <c r="L231" i="108"/>
  <c r="L235" i="108" s="1"/>
  <c r="M230" i="108" s="1"/>
  <c r="M233" i="108" s="1"/>
  <c r="L220" i="12"/>
  <c r="L224" i="12" s="1"/>
  <c r="M219" i="12" s="1"/>
  <c r="M221" i="12" s="1"/>
  <c r="M231" i="107"/>
  <c r="M235" i="107" s="1"/>
  <c r="J269" i="12"/>
  <c r="H290" i="106"/>
  <c r="H294" i="106" s="1"/>
  <c r="I289" i="106" s="1"/>
  <c r="I291" i="106" s="1"/>
  <c r="F296" i="12"/>
  <c r="F292" i="12"/>
  <c r="F300" i="12"/>
  <c r="F300" i="106" s="1"/>
  <c r="F17" i="21" s="1"/>
  <c r="F295" i="12"/>
  <c r="F291" i="12" s="1"/>
  <c r="F302" i="12" s="1"/>
  <c r="F302" i="106" s="1"/>
  <c r="J246" i="12"/>
  <c r="J250" i="12" s="1"/>
  <c r="K245" i="12" s="1"/>
  <c r="AU61" i="27"/>
  <c r="E26" i="23"/>
  <c r="Z61" i="27"/>
  <c r="F61" i="25"/>
  <c r="I285" i="108"/>
  <c r="I281" i="108"/>
  <c r="I280" i="108"/>
  <c r="I284" i="108"/>
  <c r="G289" i="107"/>
  <c r="F305" i="107"/>
  <c r="F38" i="21" s="1"/>
  <c r="G59" i="25" s="1"/>
  <c r="H285" i="12"/>
  <c r="H281" i="12"/>
  <c r="H284" i="12"/>
  <c r="H280" i="12" s="1"/>
  <c r="F296" i="16"/>
  <c r="F292" i="16"/>
  <c r="F300" i="16"/>
  <c r="F300" i="108" s="1"/>
  <c r="F49" i="21" s="1"/>
  <c r="F295" i="16"/>
  <c r="F291" i="16" s="1"/>
  <c r="F302" i="16" s="1"/>
  <c r="F302" i="108" s="1"/>
  <c r="M246" i="107"/>
  <c r="M250" i="107" s="1"/>
  <c r="K220" i="106"/>
  <c r="K224" i="106" s="1"/>
  <c r="L219" i="106" s="1"/>
  <c r="J270" i="106"/>
  <c r="J269" i="106"/>
  <c r="J274" i="106"/>
  <c r="J273" i="106"/>
  <c r="E70" i="21"/>
  <c r="F62" i="25"/>
  <c r="AA61" i="27" s="1"/>
  <c r="J290" i="20"/>
  <c r="J303" i="20"/>
  <c r="J259" i="12"/>
  <c r="J258" i="12"/>
  <c r="J263" i="12"/>
  <c r="J262" i="12"/>
  <c r="L273" i="107"/>
  <c r="L274" i="107"/>
  <c r="L270" i="107"/>
  <c r="L269" i="107"/>
  <c r="I290" i="108"/>
  <c r="I294" i="108" s="1"/>
  <c r="J289" i="108" s="1"/>
  <c r="J133" i="19"/>
  <c r="J27" i="21" s="1"/>
  <c r="J14" i="19"/>
  <c r="J12" i="15"/>
  <c r="L24" i="17"/>
  <c r="L22" i="17" s="1"/>
  <c r="L26" i="15"/>
  <c r="K9" i="17"/>
  <c r="J137" i="17"/>
  <c r="J46" i="21" s="1"/>
  <c r="M39" i="17"/>
  <c r="M35" i="17" s="1"/>
  <c r="M40" i="17"/>
  <c r="L26" i="19"/>
  <c r="K279" i="20"/>
  <c r="M36" i="19"/>
  <c r="L285" i="107" l="1"/>
  <c r="L280" i="107"/>
  <c r="L279" i="107" s="1"/>
  <c r="L283" i="107" s="1"/>
  <c r="M278" i="107" s="1"/>
  <c r="M280" i="107" s="1"/>
  <c r="J268" i="12"/>
  <c r="J272" i="12" s="1"/>
  <c r="K267" i="12" s="1"/>
  <c r="K269" i="12" s="1"/>
  <c r="M251" i="108"/>
  <c r="M248" i="108"/>
  <c r="M248" i="16"/>
  <c r="M251" i="16"/>
  <c r="M247" i="108"/>
  <c r="M247" i="16"/>
  <c r="J270" i="16"/>
  <c r="J273" i="16"/>
  <c r="J269" i="16"/>
  <c r="K257" i="106"/>
  <c r="K261" i="106" s="1"/>
  <c r="L256" i="106" s="1"/>
  <c r="L259" i="106" s="1"/>
  <c r="I295" i="106"/>
  <c r="I279" i="16"/>
  <c r="I283" i="16" s="1"/>
  <c r="J278" i="16" s="1"/>
  <c r="J284" i="16" s="1"/>
  <c r="M211" i="106"/>
  <c r="M257" i="107"/>
  <c r="M261" i="107" s="1"/>
  <c r="M215" i="106"/>
  <c r="M210" i="106"/>
  <c r="L222" i="16"/>
  <c r="L220" i="16" s="1"/>
  <c r="L224" i="16" s="1"/>
  <c r="M219" i="16" s="1"/>
  <c r="M222" i="16" s="1"/>
  <c r="L226" i="16"/>
  <c r="L225" i="16"/>
  <c r="M198" i="16"/>
  <c r="M202" i="16" s="1"/>
  <c r="I279" i="106"/>
  <c r="I283" i="106" s="1"/>
  <c r="J278" i="106" s="1"/>
  <c r="J281" i="106" s="1"/>
  <c r="L257" i="108"/>
  <c r="L261" i="108" s="1"/>
  <c r="M256" i="108" s="1"/>
  <c r="M262" i="108" s="1"/>
  <c r="D30" i="23"/>
  <c r="DS60" i="27"/>
  <c r="I292" i="106"/>
  <c r="I290" i="106" s="1"/>
  <c r="I294" i="106" s="1"/>
  <c r="J289" i="106" s="1"/>
  <c r="J292" i="106" s="1"/>
  <c r="M251" i="106"/>
  <c r="M204" i="12"/>
  <c r="M247" i="106"/>
  <c r="M246" i="106" s="1"/>
  <c r="M250" i="106" s="1"/>
  <c r="J257" i="12"/>
  <c r="J261" i="12" s="1"/>
  <c r="K256" i="12" s="1"/>
  <c r="K259" i="12" s="1"/>
  <c r="M226" i="12"/>
  <c r="M232" i="108"/>
  <c r="M231" i="108" s="1"/>
  <c r="M235" i="108" s="1"/>
  <c r="K268" i="108"/>
  <c r="K272" i="108" s="1"/>
  <c r="L267" i="108" s="1"/>
  <c r="M252" i="106"/>
  <c r="M236" i="108"/>
  <c r="I296" i="106"/>
  <c r="M225" i="12"/>
  <c r="M200" i="12"/>
  <c r="M198" i="12" s="1"/>
  <c r="M202" i="12" s="1"/>
  <c r="M237" i="108"/>
  <c r="E65" i="25"/>
  <c r="E66" i="25" s="1"/>
  <c r="AE60" i="27" s="1"/>
  <c r="D32" i="23"/>
  <c r="D34" i="23" s="1"/>
  <c r="D47" i="23" s="1"/>
  <c r="D62" i="23" s="1"/>
  <c r="D63" i="23" s="1"/>
  <c r="M222" i="12"/>
  <c r="M220" i="12" s="1"/>
  <c r="M224" i="12" s="1"/>
  <c r="M203" i="12"/>
  <c r="H279" i="12"/>
  <c r="H283" i="12" s="1"/>
  <c r="I278" i="12" s="1"/>
  <c r="I284" i="12" s="1"/>
  <c r="F65" i="21"/>
  <c r="L259" i="16"/>
  <c r="L262" i="16"/>
  <c r="L263" i="16"/>
  <c r="L258" i="16"/>
  <c r="J301" i="20"/>
  <c r="J294" i="20"/>
  <c r="G295" i="107"/>
  <c r="G291" i="107" s="1"/>
  <c r="G302" i="107" s="1"/>
  <c r="G296" i="107"/>
  <c r="G292" i="107"/>
  <c r="G300" i="107"/>
  <c r="G33" i="21" s="1"/>
  <c r="L268" i="107"/>
  <c r="L272" i="107" s="1"/>
  <c r="M267" i="107" s="1"/>
  <c r="J291" i="108"/>
  <c r="J292" i="108"/>
  <c r="J296" i="108"/>
  <c r="J295" i="108"/>
  <c r="F290" i="12"/>
  <c r="F303" i="12"/>
  <c r="F303" i="106" s="1"/>
  <c r="F20" i="21" s="1"/>
  <c r="CF62" i="27" s="1"/>
  <c r="DG61" i="27"/>
  <c r="L221" i="106"/>
  <c r="L226" i="106"/>
  <c r="L222" i="106"/>
  <c r="L225" i="106"/>
  <c r="F290" i="16"/>
  <c r="F303" i="16"/>
  <c r="F303" i="108" s="1"/>
  <c r="F52" i="21" s="1"/>
  <c r="D42" i="23"/>
  <c r="H39" i="105" s="1"/>
  <c r="E49" i="25"/>
  <c r="I279" i="108"/>
  <c r="I283" i="108" s="1"/>
  <c r="J278" i="108" s="1"/>
  <c r="K252" i="12"/>
  <c r="K248" i="12"/>
  <c r="K247" i="12"/>
  <c r="K251" i="12"/>
  <c r="J268" i="106"/>
  <c r="J272" i="106" s="1"/>
  <c r="K267" i="106" s="1"/>
  <c r="L233" i="12"/>
  <c r="L232" i="12"/>
  <c r="L237" i="12"/>
  <c r="L236" i="12"/>
  <c r="J137" i="15"/>
  <c r="J60" i="21" s="1"/>
  <c r="J10" i="15"/>
  <c r="K9" i="19"/>
  <c r="J137" i="19"/>
  <c r="J30" i="21" s="1"/>
  <c r="L26" i="17"/>
  <c r="K15" i="17"/>
  <c r="K11" i="17" s="1"/>
  <c r="K134" i="17" s="1"/>
  <c r="K16" i="17"/>
  <c r="K131" i="17"/>
  <c r="K41" i="21" s="1"/>
  <c r="M36" i="17"/>
  <c r="M21" i="15"/>
  <c r="M34" i="19"/>
  <c r="K283" i="20"/>
  <c r="M21" i="19"/>
  <c r="L230" i="16"/>
  <c r="M246" i="16" l="1"/>
  <c r="M250" i="16" s="1"/>
  <c r="K273" i="12"/>
  <c r="K274" i="12"/>
  <c r="K270" i="12"/>
  <c r="M259" i="108"/>
  <c r="M246" i="108"/>
  <c r="M250" i="108" s="1"/>
  <c r="L263" i="106"/>
  <c r="J268" i="16"/>
  <c r="J272" i="16" s="1"/>
  <c r="K267" i="16" s="1"/>
  <c r="K269" i="16" s="1"/>
  <c r="L258" i="106"/>
  <c r="L257" i="106" s="1"/>
  <c r="L261" i="106" s="1"/>
  <c r="M256" i="106" s="1"/>
  <c r="E19" i="24"/>
  <c r="E52" i="25"/>
  <c r="L262" i="106"/>
  <c r="M209" i="106"/>
  <c r="M213" i="106" s="1"/>
  <c r="J280" i="16"/>
  <c r="M281" i="107"/>
  <c r="M279" i="107" s="1"/>
  <c r="M283" i="107" s="1"/>
  <c r="M258" i="108"/>
  <c r="M257" i="108" s="1"/>
  <c r="M261" i="108" s="1"/>
  <c r="M263" i="108"/>
  <c r="J285" i="16"/>
  <c r="J281" i="16"/>
  <c r="J284" i="106"/>
  <c r="J285" i="106"/>
  <c r="M284" i="107"/>
  <c r="M285" i="107"/>
  <c r="K270" i="16"/>
  <c r="J280" i="106"/>
  <c r="J279" i="106" s="1"/>
  <c r="J283" i="106" s="1"/>
  <c r="K278" i="106" s="1"/>
  <c r="M225" i="16"/>
  <c r="M226" i="16"/>
  <c r="M221" i="16"/>
  <c r="M220" i="16" s="1"/>
  <c r="M224" i="16" s="1"/>
  <c r="K258" i="12"/>
  <c r="K257" i="12" s="1"/>
  <c r="K261" i="12" s="1"/>
  <c r="L256" i="12" s="1"/>
  <c r="L258" i="12" s="1"/>
  <c r="DR60" i="27"/>
  <c r="I281" i="12"/>
  <c r="K263" i="12"/>
  <c r="K262" i="12"/>
  <c r="I280" i="12"/>
  <c r="J295" i="106"/>
  <c r="L270" i="108"/>
  <c r="L269" i="108"/>
  <c r="L273" i="108"/>
  <c r="L274" i="108"/>
  <c r="J291" i="106"/>
  <c r="J290" i="106" s="1"/>
  <c r="J294" i="106" s="1"/>
  <c r="K289" i="106" s="1"/>
  <c r="K268" i="12"/>
  <c r="K272" i="12" s="1"/>
  <c r="L267" i="12" s="1"/>
  <c r="L274" i="12" s="1"/>
  <c r="J296" i="106"/>
  <c r="I285" i="12"/>
  <c r="L257" i="16"/>
  <c r="L261" i="16" s="1"/>
  <c r="M256" i="16" s="1"/>
  <c r="K269" i="106"/>
  <c r="K274" i="106"/>
  <c r="K270" i="106"/>
  <c r="K273" i="106"/>
  <c r="J281" i="108"/>
  <c r="J280" i="108"/>
  <c r="J285" i="108"/>
  <c r="J284" i="108"/>
  <c r="F294" i="16"/>
  <c r="F301" i="16"/>
  <c r="F301" i="108" s="1"/>
  <c r="F51" i="21" s="1"/>
  <c r="M274" i="107"/>
  <c r="M269" i="107"/>
  <c r="M270" i="107"/>
  <c r="M273" i="107"/>
  <c r="L231" i="12"/>
  <c r="L235" i="12" s="1"/>
  <c r="M230" i="12" s="1"/>
  <c r="K246" i="12"/>
  <c r="K250" i="12" s="1"/>
  <c r="L245" i="12" s="1"/>
  <c r="L220" i="106"/>
  <c r="L224" i="106" s="1"/>
  <c r="M219" i="106" s="1"/>
  <c r="J290" i="108"/>
  <c r="J294" i="108" s="1"/>
  <c r="K289" i="108" s="1"/>
  <c r="G290" i="107"/>
  <c r="G303" i="107"/>
  <c r="G36" i="21" s="1"/>
  <c r="K289" i="20"/>
  <c r="J305" i="20"/>
  <c r="E23" i="25"/>
  <c r="D38" i="23" s="1"/>
  <c r="E38" i="24"/>
  <c r="E46" i="24" s="1"/>
  <c r="F301" i="12"/>
  <c r="F301" i="106" s="1"/>
  <c r="F19" i="21" s="1"/>
  <c r="F294" i="12"/>
  <c r="CG62" i="27"/>
  <c r="F68" i="21"/>
  <c r="K15" i="19"/>
  <c r="K11" i="19" s="1"/>
  <c r="K134" i="19" s="1"/>
  <c r="K16" i="19"/>
  <c r="K131" i="19"/>
  <c r="K25" i="21" s="1"/>
  <c r="J135" i="15"/>
  <c r="J59" i="21" s="1"/>
  <c r="J14" i="15"/>
  <c r="K12" i="17"/>
  <c r="K135" i="17" s="1"/>
  <c r="K44" i="21" s="1"/>
  <c r="M28" i="15"/>
  <c r="M27" i="15"/>
  <c r="M23" i="15" s="1"/>
  <c r="M34" i="17"/>
  <c r="M21" i="17"/>
  <c r="L237" i="16"/>
  <c r="L233" i="16"/>
  <c r="L232" i="16"/>
  <c r="L236" i="16"/>
  <c r="M28" i="19"/>
  <c r="M27" i="19"/>
  <c r="M23" i="19" s="1"/>
  <c r="M38" i="19"/>
  <c r="L278" i="20"/>
  <c r="M259" i="106" l="1"/>
  <c r="M263" i="106"/>
  <c r="K274" i="16"/>
  <c r="K273" i="16"/>
  <c r="M262" i="106"/>
  <c r="M258" i="106"/>
  <c r="J279" i="16"/>
  <c r="J283" i="16" s="1"/>
  <c r="K278" i="16" s="1"/>
  <c r="K285" i="16" s="1"/>
  <c r="V60" i="27"/>
  <c r="E14" i="25"/>
  <c r="K268" i="16"/>
  <c r="K272" i="16" s="1"/>
  <c r="L267" i="16" s="1"/>
  <c r="I279" i="12"/>
  <c r="I283" i="12" s="1"/>
  <c r="J278" i="12" s="1"/>
  <c r="J280" i="12" s="1"/>
  <c r="K280" i="106"/>
  <c r="K285" i="106"/>
  <c r="K281" i="106"/>
  <c r="K284" i="106"/>
  <c r="L268" i="108"/>
  <c r="L272" i="108" s="1"/>
  <c r="M267" i="108" s="1"/>
  <c r="L269" i="12"/>
  <c r="L259" i="12"/>
  <c r="L257" i="12" s="1"/>
  <c r="L261" i="12" s="1"/>
  <c r="M256" i="12" s="1"/>
  <c r="L262" i="12"/>
  <c r="K291" i="106"/>
  <c r="K292" i="106"/>
  <c r="K295" i="106"/>
  <c r="K296" i="106"/>
  <c r="L273" i="12"/>
  <c r="L263" i="12"/>
  <c r="L270" i="12"/>
  <c r="J279" i="108"/>
  <c r="J283" i="108" s="1"/>
  <c r="K278" i="108" s="1"/>
  <c r="K285" i="108" s="1"/>
  <c r="M259" i="16"/>
  <c r="M262" i="16"/>
  <c r="M263" i="16"/>
  <c r="M258" i="16"/>
  <c r="K268" i="106"/>
  <c r="K272" i="106" s="1"/>
  <c r="L267" i="106" s="1"/>
  <c r="L274" i="106" s="1"/>
  <c r="K12" i="19"/>
  <c r="K135" i="19" s="1"/>
  <c r="K28" i="21" s="1"/>
  <c r="M268" i="107"/>
  <c r="M272" i="107" s="1"/>
  <c r="E57" i="24"/>
  <c r="E32" i="23"/>
  <c r="E34" i="23" s="1"/>
  <c r="K296" i="20"/>
  <c r="K295" i="20"/>
  <c r="K291" i="20"/>
  <c r="K302" i="20" s="1"/>
  <c r="K292" i="20"/>
  <c r="K300" i="20"/>
  <c r="M222" i="106"/>
  <c r="M221" i="106"/>
  <c r="M226" i="106"/>
  <c r="M225" i="106"/>
  <c r="K292" i="108"/>
  <c r="K291" i="108"/>
  <c r="K296" i="108"/>
  <c r="K295" i="108"/>
  <c r="M232" i="12"/>
  <c r="M233" i="12"/>
  <c r="M237" i="12"/>
  <c r="M236" i="12"/>
  <c r="AR61" i="27"/>
  <c r="E5" i="23"/>
  <c r="E14" i="23" s="1"/>
  <c r="E18" i="23" s="1"/>
  <c r="F67" i="21"/>
  <c r="F63" i="25" s="1"/>
  <c r="F25" i="24"/>
  <c r="G289" i="12"/>
  <c r="F305" i="12"/>
  <c r="F305" i="106" s="1"/>
  <c r="F22" i="21" s="1"/>
  <c r="G58" i="25" s="1"/>
  <c r="G294" i="107"/>
  <c r="G301" i="107"/>
  <c r="G35" i="21" s="1"/>
  <c r="L252" i="12"/>
  <c r="L247" i="12"/>
  <c r="L248" i="12"/>
  <c r="L251" i="12"/>
  <c r="G289" i="16"/>
  <c r="F305" i="16"/>
  <c r="F305" i="108" s="1"/>
  <c r="F54" i="21" s="1"/>
  <c r="K10" i="17"/>
  <c r="K133" i="17" s="1"/>
  <c r="K43" i="21" s="1"/>
  <c r="J139" i="15"/>
  <c r="J62" i="21" s="1"/>
  <c r="K9" i="15"/>
  <c r="M24" i="15"/>
  <c r="M22" i="15" s="1"/>
  <c r="M27" i="17"/>
  <c r="M23" i="17" s="1"/>
  <c r="M28" i="17"/>
  <c r="M38" i="17"/>
  <c r="L281" i="20"/>
  <c r="L284" i="20"/>
  <c r="L285" i="20"/>
  <c r="L280" i="20"/>
  <c r="L231" i="16"/>
  <c r="M24" i="19"/>
  <c r="J285" i="12" l="1"/>
  <c r="M257" i="106"/>
  <c r="M261" i="106" s="1"/>
  <c r="K284" i="16"/>
  <c r="K281" i="16"/>
  <c r="K280" i="16"/>
  <c r="CH60" i="27"/>
  <c r="D28" i="23"/>
  <c r="J284" i="12"/>
  <c r="J281" i="12"/>
  <c r="J279" i="12" s="1"/>
  <c r="J283" i="12" s="1"/>
  <c r="K278" i="12" s="1"/>
  <c r="L274" i="16"/>
  <c r="L270" i="16"/>
  <c r="L273" i="16"/>
  <c r="L269" i="16"/>
  <c r="K279" i="106"/>
  <c r="K283" i="106" s="1"/>
  <c r="L278" i="106" s="1"/>
  <c r="L285" i="106" s="1"/>
  <c r="L268" i="12"/>
  <c r="L272" i="12" s="1"/>
  <c r="M267" i="12" s="1"/>
  <c r="M274" i="12" s="1"/>
  <c r="K281" i="108"/>
  <c r="K284" i="108"/>
  <c r="K290" i="106"/>
  <c r="K294" i="106" s="1"/>
  <c r="L289" i="106" s="1"/>
  <c r="L292" i="106" s="1"/>
  <c r="M274" i="108"/>
  <c r="M273" i="108"/>
  <c r="M269" i="108"/>
  <c r="M270" i="108"/>
  <c r="M259" i="12"/>
  <c r="M262" i="12"/>
  <c r="M258" i="12"/>
  <c r="L273" i="106"/>
  <c r="K10" i="19"/>
  <c r="K14" i="19" s="1"/>
  <c r="K14" i="17"/>
  <c r="K137" i="17" s="1"/>
  <c r="K46" i="21" s="1"/>
  <c r="K280" i="108"/>
  <c r="L246" i="12"/>
  <c r="L250" i="12" s="1"/>
  <c r="M245" i="12" s="1"/>
  <c r="M251" i="12" s="1"/>
  <c r="M263" i="12"/>
  <c r="M220" i="106"/>
  <c r="M224" i="106" s="1"/>
  <c r="L269" i="106"/>
  <c r="L270" i="106"/>
  <c r="M231" i="12"/>
  <c r="M235" i="12" s="1"/>
  <c r="M257" i="16"/>
  <c r="M261" i="16" s="1"/>
  <c r="G292" i="12"/>
  <c r="G296" i="12"/>
  <c r="G300" i="12"/>
  <c r="G300" i="106" s="1"/>
  <c r="G17" i="21" s="1"/>
  <c r="G295" i="12"/>
  <c r="G291" i="12" s="1"/>
  <c r="G302" i="12" s="1"/>
  <c r="G302" i="106" s="1"/>
  <c r="E6" i="24"/>
  <c r="E20" i="23"/>
  <c r="E24" i="23"/>
  <c r="G62" i="25"/>
  <c r="AA62" i="27" s="1"/>
  <c r="F70" i="21"/>
  <c r="G61" i="25"/>
  <c r="Z62" i="27"/>
  <c r="F16" i="24"/>
  <c r="K290" i="108"/>
  <c r="K294" i="108" s="1"/>
  <c r="L289" i="108" s="1"/>
  <c r="K290" i="20"/>
  <c r="K303" i="20"/>
  <c r="E62" i="23"/>
  <c r="E63" i="23" s="1"/>
  <c r="E47" i="23"/>
  <c r="H289" i="107"/>
  <c r="G305" i="107"/>
  <c r="G38" i="21" s="1"/>
  <c r="H59" i="25" s="1"/>
  <c r="F65" i="25"/>
  <c r="F64" i="25"/>
  <c r="G296" i="16"/>
  <c r="G292" i="16"/>
  <c r="G300" i="16"/>
  <c r="G300" i="108" s="1"/>
  <c r="G49" i="21" s="1"/>
  <c r="G295" i="16"/>
  <c r="G291" i="16" s="1"/>
  <c r="G302" i="16" s="1"/>
  <c r="G302" i="108" s="1"/>
  <c r="F49" i="25"/>
  <c r="E42" i="23"/>
  <c r="I39" i="105" s="1"/>
  <c r="M24" i="17"/>
  <c r="M22" i="17" s="1"/>
  <c r="K133" i="15"/>
  <c r="K57" i="21" s="1"/>
  <c r="K16" i="15"/>
  <c r="K15" i="15"/>
  <c r="K11" i="15" s="1"/>
  <c r="K136" i="15" s="1"/>
  <c r="M26" i="15"/>
  <c r="L235" i="16"/>
  <c r="L279" i="20"/>
  <c r="M22" i="19"/>
  <c r="K279" i="16" l="1"/>
  <c r="K283" i="16" s="1"/>
  <c r="L278" i="16" s="1"/>
  <c r="L280" i="16" s="1"/>
  <c r="M270" i="12"/>
  <c r="M247" i="12"/>
  <c r="F19" i="24"/>
  <c r="F52" i="25"/>
  <c r="V61" i="27" s="1"/>
  <c r="L284" i="106"/>
  <c r="M269" i="12"/>
  <c r="M268" i="12" s="1"/>
  <c r="M272" i="12" s="1"/>
  <c r="M273" i="12"/>
  <c r="L268" i="16"/>
  <c r="L272" i="16" s="1"/>
  <c r="M267" i="16" s="1"/>
  <c r="L9" i="17"/>
  <c r="L16" i="17" s="1"/>
  <c r="K279" i="108"/>
  <c r="K283" i="108" s="1"/>
  <c r="L278" i="108" s="1"/>
  <c r="L281" i="108" s="1"/>
  <c r="L280" i="106"/>
  <c r="L281" i="106"/>
  <c r="M248" i="12"/>
  <c r="M252" i="12"/>
  <c r="L291" i="106"/>
  <c r="L290" i="106" s="1"/>
  <c r="L294" i="106" s="1"/>
  <c r="M289" i="106" s="1"/>
  <c r="M296" i="106" s="1"/>
  <c r="L296" i="106"/>
  <c r="M257" i="12"/>
  <c r="M261" i="12" s="1"/>
  <c r="L295" i="106"/>
  <c r="K133" i="19"/>
  <c r="K27" i="21" s="1"/>
  <c r="M268" i="108"/>
  <c r="M272" i="108" s="1"/>
  <c r="L268" i="106"/>
  <c r="L272" i="106" s="1"/>
  <c r="M267" i="106" s="1"/>
  <c r="M273" i="106" s="1"/>
  <c r="L292" i="108"/>
  <c r="L296" i="108"/>
  <c r="L291" i="108"/>
  <c r="L295" i="108"/>
  <c r="K281" i="12"/>
  <c r="K285" i="12"/>
  <c r="K280" i="12"/>
  <c r="K284" i="12"/>
  <c r="H292" i="107"/>
  <c r="H296" i="107"/>
  <c r="H295" i="107"/>
  <c r="H291" i="107" s="1"/>
  <c r="H302" i="107" s="1"/>
  <c r="H300" i="107"/>
  <c r="H33" i="21" s="1"/>
  <c r="K301" i="20"/>
  <c r="K294" i="20"/>
  <c r="F26" i="23"/>
  <c r="AU62" i="27"/>
  <c r="DG62" i="27"/>
  <c r="G290" i="12"/>
  <c r="G303" i="12"/>
  <c r="G303" i="106" s="1"/>
  <c r="G20" i="21" s="1"/>
  <c r="CF63" i="27" s="1"/>
  <c r="G65" i="21"/>
  <c r="F23" i="25"/>
  <c r="E38" i="23" s="1"/>
  <c r="F38" i="24"/>
  <c r="F46" i="24" s="1"/>
  <c r="G290" i="16"/>
  <c r="G303" i="16"/>
  <c r="G303" i="108" s="1"/>
  <c r="G52" i="21" s="1"/>
  <c r="E18" i="24"/>
  <c r="E10" i="24"/>
  <c r="AF61" i="27"/>
  <c r="BT61" i="27"/>
  <c r="F32" i="25"/>
  <c r="B145" i="110" s="1"/>
  <c r="F19" i="25"/>
  <c r="F27" i="25"/>
  <c r="L9" i="19"/>
  <c r="K137" i="19"/>
  <c r="K30" i="21" s="1"/>
  <c r="K12" i="15"/>
  <c r="M26" i="17"/>
  <c r="L283" i="20"/>
  <c r="M26" i="19"/>
  <c r="M230" i="16"/>
  <c r="M246" i="12" l="1"/>
  <c r="M250" i="12" s="1"/>
  <c r="L285" i="16"/>
  <c r="L281" i="16"/>
  <c r="L279" i="16" s="1"/>
  <c r="L283" i="16" s="1"/>
  <c r="M278" i="16" s="1"/>
  <c r="M281" i="16" s="1"/>
  <c r="L284" i="16"/>
  <c r="L284" i="108"/>
  <c r="L15" i="17"/>
  <c r="L11" i="17" s="1"/>
  <c r="L134" i="17" s="1"/>
  <c r="L131" i="17"/>
  <c r="L41" i="21" s="1"/>
  <c r="M269" i="16"/>
  <c r="M270" i="16"/>
  <c r="M273" i="16"/>
  <c r="M274" i="16"/>
  <c r="L280" i="108"/>
  <c r="L279" i="108" s="1"/>
  <c r="L283" i="108" s="1"/>
  <c r="M278" i="108" s="1"/>
  <c r="M284" i="108" s="1"/>
  <c r="L285" i="108"/>
  <c r="L279" i="106"/>
  <c r="L283" i="106" s="1"/>
  <c r="M278" i="106" s="1"/>
  <c r="M292" i="106"/>
  <c r="M291" i="106"/>
  <c r="M295" i="106"/>
  <c r="K279" i="12"/>
  <c r="K283" i="12" s="1"/>
  <c r="L278" i="12" s="1"/>
  <c r="L280" i="12" s="1"/>
  <c r="M269" i="106"/>
  <c r="M274" i="106"/>
  <c r="M270" i="106"/>
  <c r="L290" i="108"/>
  <c r="L294" i="108" s="1"/>
  <c r="M289" i="108" s="1"/>
  <c r="M296" i="108" s="1"/>
  <c r="AR62" i="27"/>
  <c r="F5" i="23"/>
  <c r="F14" i="23" s="1"/>
  <c r="F18" i="23" s="1"/>
  <c r="CG63" i="27"/>
  <c r="G68" i="21"/>
  <c r="F29" i="25"/>
  <c r="F16" i="25"/>
  <c r="E21" i="24"/>
  <c r="E9" i="23"/>
  <c r="E11" i="23" s="1"/>
  <c r="E7" i="23" s="1"/>
  <c r="F18" i="25"/>
  <c r="AQ61" i="27"/>
  <c r="DQ61" i="27" s="1"/>
  <c r="F57" i="24"/>
  <c r="F32" i="23"/>
  <c r="F34" i="23" s="1"/>
  <c r="H290" i="107"/>
  <c r="H303" i="107"/>
  <c r="H36" i="21" s="1"/>
  <c r="DV61" i="27"/>
  <c r="DT61" i="27"/>
  <c r="CI61" i="27"/>
  <c r="DO61" i="27" s="1"/>
  <c r="DU61" i="27"/>
  <c r="CY61" i="27"/>
  <c r="E22" i="23"/>
  <c r="F20" i="25"/>
  <c r="G294" i="16"/>
  <c r="G301" i="16"/>
  <c r="G301" i="108" s="1"/>
  <c r="G51" i="21" s="1"/>
  <c r="G301" i="12"/>
  <c r="G301" i="106" s="1"/>
  <c r="G19" i="21" s="1"/>
  <c r="G294" i="12"/>
  <c r="L289" i="20"/>
  <c r="K305" i="20"/>
  <c r="K137" i="15"/>
  <c r="K60" i="21" s="1"/>
  <c r="K10" i="15"/>
  <c r="L15" i="19"/>
  <c r="L11" i="19" s="1"/>
  <c r="L134" i="19" s="1"/>
  <c r="L16" i="19"/>
  <c r="L131" i="19"/>
  <c r="L25" i="21" s="1"/>
  <c r="M232" i="16"/>
  <c r="M233" i="16"/>
  <c r="M237" i="16"/>
  <c r="M236" i="16"/>
  <c r="M278" i="20"/>
  <c r="L12" i="17" l="1"/>
  <c r="L10" i="17" s="1"/>
  <c r="M280" i="16"/>
  <c r="M279" i="16" s="1"/>
  <c r="M283" i="16" s="1"/>
  <c r="M285" i="16"/>
  <c r="M284" i="16"/>
  <c r="M268" i="16"/>
  <c r="M272" i="16" s="1"/>
  <c r="M290" i="106"/>
  <c r="M294" i="106" s="1"/>
  <c r="M285" i="106"/>
  <c r="M281" i="106"/>
  <c r="M280" i="106"/>
  <c r="M284" i="106"/>
  <c r="M268" i="106"/>
  <c r="M272" i="106" s="1"/>
  <c r="L281" i="12"/>
  <c r="L279" i="12" s="1"/>
  <c r="L283" i="12" s="1"/>
  <c r="M278" i="12" s="1"/>
  <c r="L284" i="12"/>
  <c r="M281" i="108"/>
  <c r="L285" i="12"/>
  <c r="M295" i="108"/>
  <c r="M285" i="108"/>
  <c r="M280" i="108"/>
  <c r="M291" i="108"/>
  <c r="M292" i="108"/>
  <c r="G67" i="21"/>
  <c r="G16" i="24" s="1"/>
  <c r="H289" i="16"/>
  <c r="G305" i="16"/>
  <c r="G305" i="108" s="1"/>
  <c r="G54" i="21" s="1"/>
  <c r="F47" i="23"/>
  <c r="F62" i="23"/>
  <c r="F63" i="23" s="1"/>
  <c r="F6" i="24"/>
  <c r="F24" i="23"/>
  <c r="F20" i="23"/>
  <c r="H294" i="107"/>
  <c r="H301" i="107"/>
  <c r="H35" i="21" s="1"/>
  <c r="L296" i="20"/>
  <c r="L292" i="20"/>
  <c r="L295" i="20"/>
  <c r="L291" i="20"/>
  <c r="L302" i="20" s="1"/>
  <c r="L300" i="20"/>
  <c r="H289" i="12"/>
  <c r="G305" i="12"/>
  <c r="G305" i="106" s="1"/>
  <c r="G22" i="21" s="1"/>
  <c r="H58" i="25" s="1"/>
  <c r="F42" i="23"/>
  <c r="J39" i="105" s="1"/>
  <c r="G49" i="25"/>
  <c r="F17" i="25"/>
  <c r="CD61" i="27" s="1"/>
  <c r="F15" i="25"/>
  <c r="AW61" i="27"/>
  <c r="DP61" i="27" s="1"/>
  <c r="E24" i="24"/>
  <c r="E26" i="24" s="1"/>
  <c r="E39" i="24" s="1"/>
  <c r="F34" i="25"/>
  <c r="F33" i="25"/>
  <c r="F55" i="25"/>
  <c r="G25" i="24"/>
  <c r="L12" i="19"/>
  <c r="L10" i="19" s="1"/>
  <c r="K135" i="15"/>
  <c r="K59" i="21" s="1"/>
  <c r="K14" i="15"/>
  <c r="M284" i="20"/>
  <c r="M285" i="20"/>
  <c r="M280" i="20"/>
  <c r="M281" i="20"/>
  <c r="M231" i="16"/>
  <c r="L135" i="17" l="1"/>
  <c r="L44" i="21" s="1"/>
  <c r="L133" i="17"/>
  <c r="L43" i="21" s="1"/>
  <c r="L14" i="17"/>
  <c r="G19" i="24"/>
  <c r="G52" i="25"/>
  <c r="V62" i="27" s="1"/>
  <c r="M280" i="12"/>
  <c r="M281" i="12"/>
  <c r="M279" i="106"/>
  <c r="M283" i="106" s="1"/>
  <c r="M279" i="108"/>
  <c r="M283" i="108" s="1"/>
  <c r="M284" i="12"/>
  <c r="M285" i="12"/>
  <c r="M290" i="108"/>
  <c r="M294" i="108" s="1"/>
  <c r="G63" i="25"/>
  <c r="G65" i="25" s="1"/>
  <c r="L135" i="19"/>
  <c r="L28" i="21" s="1"/>
  <c r="E30" i="23"/>
  <c r="CE61" i="27"/>
  <c r="H61" i="25"/>
  <c r="Z63" i="27"/>
  <c r="F14" i="25"/>
  <c r="F66" i="25"/>
  <c r="AE61" i="27" s="1"/>
  <c r="Y61" i="27"/>
  <c r="DS61" i="27" s="1"/>
  <c r="G38" i="24"/>
  <c r="G46" i="24" s="1"/>
  <c r="G23" i="25"/>
  <c r="F38" i="23" s="1"/>
  <c r="L290" i="20"/>
  <c r="L303" i="20"/>
  <c r="G70" i="21"/>
  <c r="H62" i="25"/>
  <c r="AA63" i="27" s="1"/>
  <c r="F10" i="24"/>
  <c r="G32" i="25"/>
  <c r="B146" i="110" s="1"/>
  <c r="G19" i="25"/>
  <c r="G27" i="25"/>
  <c r="BT62" i="27"/>
  <c r="F18" i="24"/>
  <c r="AF62" i="27"/>
  <c r="H296" i="16"/>
  <c r="H292" i="16"/>
  <c r="H300" i="16"/>
  <c r="H300" i="108" s="1"/>
  <c r="H49" i="21" s="1"/>
  <c r="H295" i="16"/>
  <c r="H291" i="16" s="1"/>
  <c r="H302" i="16" s="1"/>
  <c r="H302" i="108" s="1"/>
  <c r="I289" i="107"/>
  <c r="H305" i="107"/>
  <c r="H38" i="21" s="1"/>
  <c r="I59" i="25" s="1"/>
  <c r="G26" i="23"/>
  <c r="AU63" i="27"/>
  <c r="H292" i="12"/>
  <c r="H296" i="12"/>
  <c r="H300" i="12"/>
  <c r="H300" i="106" s="1"/>
  <c r="H17" i="21" s="1"/>
  <c r="H295" i="12"/>
  <c r="H291" i="12" s="1"/>
  <c r="H302" i="12" s="1"/>
  <c r="H302" i="106" s="1"/>
  <c r="L133" i="19"/>
  <c r="L27" i="21" s="1"/>
  <c r="L14" i="19"/>
  <c r="L9" i="15"/>
  <c r="K139" i="15"/>
  <c r="K62" i="21" s="1"/>
  <c r="M9" i="17"/>
  <c r="L137" i="17"/>
  <c r="L46" i="21" s="1"/>
  <c r="M235" i="16"/>
  <c r="M279" i="20"/>
  <c r="M279" i="12" l="1"/>
  <c r="M283" i="12" s="1"/>
  <c r="G64" i="25"/>
  <c r="AR63" i="27"/>
  <c r="G5" i="23"/>
  <c r="G14" i="23" s="1"/>
  <c r="G18" i="23" s="1"/>
  <c r="H290" i="16"/>
  <c r="H303" i="16"/>
  <c r="H303" i="108" s="1"/>
  <c r="H52" i="21" s="1"/>
  <c r="H65" i="21"/>
  <c r="CI62" i="27"/>
  <c r="DO62" i="27" s="1"/>
  <c r="DT62" i="27"/>
  <c r="DU62" i="27"/>
  <c r="DV62" i="27"/>
  <c r="CY62" i="27"/>
  <c r="F22" i="23"/>
  <c r="G20" i="25"/>
  <c r="DG63" i="27"/>
  <c r="DR61" i="27"/>
  <c r="E28" i="23"/>
  <c r="CH61" i="27"/>
  <c r="I296" i="107"/>
  <c r="I291" i="107"/>
  <c r="I302" i="107" s="1"/>
  <c r="I292" i="107"/>
  <c r="I295" i="107"/>
  <c r="I300" i="107"/>
  <c r="I33" i="21" s="1"/>
  <c r="G18" i="25"/>
  <c r="G16" i="25"/>
  <c r="G29" i="25"/>
  <c r="F9" i="23"/>
  <c r="F11" i="23" s="1"/>
  <c r="F7" i="23" s="1"/>
  <c r="F21" i="24"/>
  <c r="AQ62" i="27"/>
  <c r="DQ62" i="27" s="1"/>
  <c r="H290" i="12"/>
  <c r="H303" i="12"/>
  <c r="H303" i="106" s="1"/>
  <c r="H20" i="21" s="1"/>
  <c r="CF64" i="27" s="1"/>
  <c r="L301" i="20"/>
  <c r="L294" i="20"/>
  <c r="G57" i="24"/>
  <c r="G32" i="23"/>
  <c r="G34" i="23" s="1"/>
  <c r="L16" i="15"/>
  <c r="L15" i="15"/>
  <c r="L11" i="15" s="1"/>
  <c r="L136" i="15" s="1"/>
  <c r="L133" i="15"/>
  <c r="L57" i="21" s="1"/>
  <c r="L137" i="19"/>
  <c r="L30" i="21" s="1"/>
  <c r="M9" i="19"/>
  <c r="M15" i="17"/>
  <c r="M11" i="17" s="1"/>
  <c r="M134" i="17" s="1"/>
  <c r="M16" i="17"/>
  <c r="M131" i="17"/>
  <c r="M41" i="21" s="1"/>
  <c r="M283" i="20"/>
  <c r="M289" i="20" l="1"/>
  <c r="L305" i="20"/>
  <c r="G24" i="23"/>
  <c r="G20" i="23"/>
  <c r="G6" i="24"/>
  <c r="G47" i="23"/>
  <c r="G62" i="23"/>
  <c r="G63" i="23" s="1"/>
  <c r="G42" i="23"/>
  <c r="K39" i="105" s="1"/>
  <c r="H49" i="25"/>
  <c r="H301" i="12"/>
  <c r="H301" i="106" s="1"/>
  <c r="H19" i="21" s="1"/>
  <c r="H294" i="12"/>
  <c r="G17" i="25"/>
  <c r="CD62" i="27" s="1"/>
  <c r="G15" i="25"/>
  <c r="AW62" i="27"/>
  <c r="DP62" i="27" s="1"/>
  <c r="F24" i="24"/>
  <c r="F26" i="24" s="1"/>
  <c r="F39" i="24" s="1"/>
  <c r="G34" i="25"/>
  <c r="G33" i="25"/>
  <c r="B147" i="110" s="1"/>
  <c r="G55" i="25"/>
  <c r="H301" i="16"/>
  <c r="H301" i="108" s="1"/>
  <c r="H51" i="21" s="1"/>
  <c r="H294" i="16"/>
  <c r="I290" i="107"/>
  <c r="I303" i="107"/>
  <c r="I36" i="21" s="1"/>
  <c r="H68" i="21"/>
  <c r="CG64" i="27"/>
  <c r="M131" i="19"/>
  <c r="M25" i="21" s="1"/>
  <c r="M16" i="19"/>
  <c r="M15" i="19"/>
  <c r="M11" i="19" s="1"/>
  <c r="M134" i="19" s="1"/>
  <c r="M12" i="17"/>
  <c r="M135" i="17" s="1"/>
  <c r="M44" i="21" s="1"/>
  <c r="L12" i="15"/>
  <c r="H19" i="24" l="1"/>
  <c r="AR64" i="27" s="1"/>
  <c r="H52" i="25"/>
  <c r="V63" i="27" s="1"/>
  <c r="H67" i="21"/>
  <c r="H16" i="24" s="1"/>
  <c r="I289" i="16"/>
  <c r="H305" i="16"/>
  <c r="H305" i="108" s="1"/>
  <c r="H54" i="21" s="1"/>
  <c r="G66" i="25"/>
  <c r="AE62" i="27" s="1"/>
  <c r="G14" i="25"/>
  <c r="Y62" i="27"/>
  <c r="DS62" i="27" s="1"/>
  <c r="H25" i="24"/>
  <c r="F30" i="23"/>
  <c r="CE62" i="27"/>
  <c r="H38" i="24"/>
  <c r="H46" i="24" s="1"/>
  <c r="H23" i="25"/>
  <c r="G38" i="23" s="1"/>
  <c r="I294" i="107"/>
  <c r="I301" i="107"/>
  <c r="I35" i="21" s="1"/>
  <c r="I289" i="12"/>
  <c r="H305" i="12"/>
  <c r="H305" i="106" s="1"/>
  <c r="H22" i="21" s="1"/>
  <c r="I58" i="25" s="1"/>
  <c r="H27" i="25"/>
  <c r="H32" i="25"/>
  <c r="H19" i="25"/>
  <c r="G18" i="24"/>
  <c r="G10" i="24"/>
  <c r="AF63" i="27"/>
  <c r="BT63" i="27"/>
  <c r="M296" i="20"/>
  <c r="M292" i="20"/>
  <c r="M295" i="20"/>
  <c r="M291" i="20"/>
  <c r="M302" i="20" s="1"/>
  <c r="M300" i="20"/>
  <c r="M12" i="19"/>
  <c r="M10" i="19" s="1"/>
  <c r="M10" i="17"/>
  <c r="M133" i="17" s="1"/>
  <c r="M43" i="21" s="1"/>
  <c r="L137" i="15"/>
  <c r="L60" i="21" s="1"/>
  <c r="L10" i="15"/>
  <c r="H63" i="25" l="1"/>
  <c r="H65" i="25" s="1"/>
  <c r="DR62" i="27"/>
  <c r="CY63" i="27"/>
  <c r="CI63" i="27"/>
  <c r="DO63" i="27" s="1"/>
  <c r="DT63" i="27"/>
  <c r="DU63" i="27"/>
  <c r="DV63" i="27"/>
  <c r="H5" i="23"/>
  <c r="H14" i="23" s="1"/>
  <c r="H18" i="23" s="1"/>
  <c r="M290" i="20"/>
  <c r="M303" i="20"/>
  <c r="I62" i="25"/>
  <c r="AA64" i="27" s="1"/>
  <c r="H70" i="21"/>
  <c r="G21" i="24"/>
  <c r="H16" i="25"/>
  <c r="H29" i="25"/>
  <c r="H18" i="25"/>
  <c r="G9" i="23"/>
  <c r="G11" i="23" s="1"/>
  <c r="G7" i="23" s="1"/>
  <c r="AQ63" i="27"/>
  <c r="DQ63" i="27" s="1"/>
  <c r="H20" i="25"/>
  <c r="G22" i="23"/>
  <c r="I291" i="12"/>
  <c r="I302" i="12" s="1"/>
  <c r="I302" i="106" s="1"/>
  <c r="I296" i="12"/>
  <c r="I292" i="12"/>
  <c r="I300" i="12"/>
  <c r="I300" i="106" s="1"/>
  <c r="I17" i="21" s="1"/>
  <c r="I295" i="12"/>
  <c r="H32" i="23"/>
  <c r="H34" i="23" s="1"/>
  <c r="H57" i="24"/>
  <c r="H26" i="23"/>
  <c r="AU64" i="27"/>
  <c r="F28" i="23"/>
  <c r="CH62" i="27"/>
  <c r="J289" i="107"/>
  <c r="I305" i="107"/>
  <c r="I38" i="21" s="1"/>
  <c r="J59" i="25" s="1"/>
  <c r="Z64" i="27"/>
  <c r="I61" i="25"/>
  <c r="I291" i="16"/>
  <c r="I302" i="16" s="1"/>
  <c r="I302" i="108" s="1"/>
  <c r="I296" i="16"/>
  <c r="I292" i="16"/>
  <c r="I300" i="16"/>
  <c r="I300" i="108" s="1"/>
  <c r="I49" i="21" s="1"/>
  <c r="I295" i="16"/>
  <c r="M135" i="19"/>
  <c r="M28" i="21" s="1"/>
  <c r="M14" i="17"/>
  <c r="M137" i="17" s="1"/>
  <c r="M46" i="21" s="1"/>
  <c r="L135" i="15"/>
  <c r="L59" i="21" s="1"/>
  <c r="L14" i="15"/>
  <c r="M133" i="19"/>
  <c r="M27" i="21" s="1"/>
  <c r="M14" i="19"/>
  <c r="M137" i="19" s="1"/>
  <c r="M30" i="21" s="1"/>
  <c r="I65" i="21" l="1"/>
  <c r="H64" i="25"/>
  <c r="H42" i="23"/>
  <c r="L39" i="105" s="1"/>
  <c r="I49" i="25"/>
  <c r="AW63" i="27"/>
  <c r="DP63" i="27" s="1"/>
  <c r="H15" i="25"/>
  <c r="H17" i="25"/>
  <c r="CD63" i="27" s="1"/>
  <c r="H34" i="25"/>
  <c r="G24" i="24"/>
  <c r="G26" i="24" s="1"/>
  <c r="G39" i="24" s="1"/>
  <c r="H33" i="25"/>
  <c r="H55" i="25"/>
  <c r="M301" i="20"/>
  <c r="M294" i="20"/>
  <c r="M305" i="20" s="1"/>
  <c r="J291" i="107"/>
  <c r="J302" i="107" s="1"/>
  <c r="J296" i="107"/>
  <c r="J292" i="107"/>
  <c r="J295" i="107"/>
  <c r="J300" i="107"/>
  <c r="J33" i="21" s="1"/>
  <c r="I290" i="12"/>
  <c r="I303" i="12"/>
  <c r="I303" i="106" s="1"/>
  <c r="I20" i="21" s="1"/>
  <c r="CF65" i="27" s="1"/>
  <c r="I290" i="16"/>
  <c r="I303" i="16"/>
  <c r="I303" i="108" s="1"/>
  <c r="I52" i="21" s="1"/>
  <c r="H62" i="23"/>
  <c r="H63" i="23" s="1"/>
  <c r="H47" i="23"/>
  <c r="H20" i="23"/>
  <c r="H6" i="24"/>
  <c r="H24" i="23"/>
  <c r="DG64" i="27"/>
  <c r="M9" i="15"/>
  <c r="L139" i="15"/>
  <c r="L62" i="21" s="1"/>
  <c r="I19" i="24" l="1"/>
  <c r="AR65" i="27" s="1"/>
  <c r="I52" i="25"/>
  <c r="V64" i="27" s="1"/>
  <c r="J290" i="107"/>
  <c r="J303" i="107"/>
  <c r="J36" i="21" s="1"/>
  <c r="CE63" i="27"/>
  <c r="G30" i="23"/>
  <c r="CG65" i="27"/>
  <c r="I68" i="21"/>
  <c r="I23" i="25"/>
  <c r="H38" i="23" s="1"/>
  <c r="I38" i="24"/>
  <c r="I46" i="24" s="1"/>
  <c r="I27" i="25"/>
  <c r="H18" i="24"/>
  <c r="AF64" i="27"/>
  <c r="H10" i="24"/>
  <c r="BT64" i="27"/>
  <c r="I19" i="25"/>
  <c r="I32" i="25"/>
  <c r="I301" i="16"/>
  <c r="I301" i="108" s="1"/>
  <c r="I51" i="21" s="1"/>
  <c r="I294" i="16"/>
  <c r="I301" i="12"/>
  <c r="I301" i="106" s="1"/>
  <c r="I19" i="21" s="1"/>
  <c r="I294" i="12"/>
  <c r="Y63" i="27"/>
  <c r="DS63" i="27" s="1"/>
  <c r="H14" i="25"/>
  <c r="H66" i="25"/>
  <c r="AE63" i="27" s="1"/>
  <c r="M15" i="15"/>
  <c r="M11" i="15" s="1"/>
  <c r="M136" i="15" s="1"/>
  <c r="M133" i="15"/>
  <c r="M57" i="21" s="1"/>
  <c r="M16" i="15"/>
  <c r="I67" i="21" l="1"/>
  <c r="I57" i="24"/>
  <c r="I32" i="23"/>
  <c r="I34" i="23" s="1"/>
  <c r="I25" i="24"/>
  <c r="J289" i="12"/>
  <c r="I305" i="12"/>
  <c r="I305" i="106" s="1"/>
  <c r="I22" i="21" s="1"/>
  <c r="J58" i="25" s="1"/>
  <c r="DU64" i="27"/>
  <c r="DV64" i="27"/>
  <c r="DT64" i="27"/>
  <c r="CI64" i="27"/>
  <c r="DO64" i="27" s="1"/>
  <c r="CY64" i="27"/>
  <c r="J294" i="107"/>
  <c r="J301" i="107"/>
  <c r="J35" i="21" s="1"/>
  <c r="I20" i="25"/>
  <c r="H22" i="23"/>
  <c r="I16" i="25"/>
  <c r="H21" i="24"/>
  <c r="I29" i="25"/>
  <c r="I18" i="25"/>
  <c r="H9" i="23"/>
  <c r="H11" i="23" s="1"/>
  <c r="H7" i="23" s="1"/>
  <c r="AQ64" i="27"/>
  <c r="DQ64" i="27" s="1"/>
  <c r="DR63" i="27"/>
  <c r="G28" i="23"/>
  <c r="CH63" i="27"/>
  <c r="J289" i="16"/>
  <c r="I305" i="16"/>
  <c r="I305" i="108" s="1"/>
  <c r="I54" i="21" s="1"/>
  <c r="M12" i="15"/>
  <c r="M10" i="15" s="1"/>
  <c r="M137" i="15" l="1"/>
  <c r="M60" i="21" s="1"/>
  <c r="J292" i="12"/>
  <c r="J291" i="12"/>
  <c r="J302" i="12" s="1"/>
  <c r="J302" i="106" s="1"/>
  <c r="J296" i="12"/>
  <c r="J300" i="12"/>
  <c r="J300" i="106" s="1"/>
  <c r="J17" i="21" s="1"/>
  <c r="J295" i="12"/>
  <c r="I42" i="23"/>
  <c r="M39" i="105" s="1"/>
  <c r="J49" i="25"/>
  <c r="J62" i="25"/>
  <c r="AA65" i="27" s="1"/>
  <c r="I70" i="21"/>
  <c r="J61" i="25"/>
  <c r="Z65" i="27"/>
  <c r="I47" i="23"/>
  <c r="I62" i="23"/>
  <c r="I63" i="23" s="1"/>
  <c r="J292" i="16"/>
  <c r="J296" i="16"/>
  <c r="J291" i="16"/>
  <c r="J302" i="16" s="1"/>
  <c r="J302" i="108" s="1"/>
  <c r="J300" i="16"/>
  <c r="J300" i="108" s="1"/>
  <c r="J49" i="21" s="1"/>
  <c r="J295" i="16"/>
  <c r="I33" i="25"/>
  <c r="AW64" i="27"/>
  <c r="DP64" i="27" s="1"/>
  <c r="I15" i="25"/>
  <c r="I17" i="25"/>
  <c r="CD64" i="27" s="1"/>
  <c r="H24" i="24"/>
  <c r="H26" i="24" s="1"/>
  <c r="H39" i="24" s="1"/>
  <c r="I34" i="25"/>
  <c r="I55" i="25"/>
  <c r="K289" i="107"/>
  <c r="J305" i="107"/>
  <c r="J38" i="21" s="1"/>
  <c r="K59" i="25" s="1"/>
  <c r="I5" i="23"/>
  <c r="I16" i="24"/>
  <c r="I63" i="25"/>
  <c r="M135" i="15"/>
  <c r="M59" i="21" s="1"/>
  <c r="M14" i="15"/>
  <c r="M139" i="15" s="1"/>
  <c r="M62" i="21" s="1"/>
  <c r="J19" i="24" l="1"/>
  <c r="AR66" i="27" s="1"/>
  <c r="J52" i="25"/>
  <c r="V65" i="27" s="1"/>
  <c r="J65" i="21"/>
  <c r="I14" i="23"/>
  <c r="I18" i="23" s="1"/>
  <c r="I64" i="25"/>
  <c r="I65" i="25"/>
  <c r="K295" i="107"/>
  <c r="K296" i="107"/>
  <c r="K291" i="107"/>
  <c r="K302" i="107" s="1"/>
  <c r="K292" i="107"/>
  <c r="K300" i="107"/>
  <c r="K33" i="21" s="1"/>
  <c r="DG65" i="27"/>
  <c r="J38" i="24"/>
  <c r="J46" i="24" s="1"/>
  <c r="J23" i="25"/>
  <c r="I38" i="23" s="1"/>
  <c r="I26" i="23"/>
  <c r="AU65" i="27"/>
  <c r="Y64" i="27"/>
  <c r="DS64" i="27" s="1"/>
  <c r="I14" i="25"/>
  <c r="CE64" i="27"/>
  <c r="H30" i="23"/>
  <c r="J290" i="16"/>
  <c r="J303" i="16"/>
  <c r="J303" i="108" s="1"/>
  <c r="J52" i="21" s="1"/>
  <c r="J290" i="12"/>
  <c r="J303" i="12"/>
  <c r="J303" i="106" s="1"/>
  <c r="J20" i="21" s="1"/>
  <c r="CF66" i="27" s="1"/>
  <c r="I66" i="25" l="1"/>
  <c r="AE64" i="27" s="1"/>
  <c r="J301" i="16"/>
  <c r="J301" i="108" s="1"/>
  <c r="J51" i="21" s="1"/>
  <c r="J294" i="16"/>
  <c r="CG66" i="27"/>
  <c r="J68" i="21"/>
  <c r="K290" i="107"/>
  <c r="K303" i="107"/>
  <c r="K36" i="21" s="1"/>
  <c r="J57" i="24"/>
  <c r="J32" i="23"/>
  <c r="J34" i="23" s="1"/>
  <c r="J301" i="12"/>
  <c r="J301" i="106" s="1"/>
  <c r="J19" i="21" s="1"/>
  <c r="J294" i="12"/>
  <c r="H28" i="23"/>
  <c r="CH64" i="27"/>
  <c r="DR64" i="27"/>
  <c r="I6" i="24"/>
  <c r="I20" i="23"/>
  <c r="I24" i="23"/>
  <c r="J42" i="23" l="1"/>
  <c r="N39" i="105" s="1"/>
  <c r="K49" i="25"/>
  <c r="BT65" i="27"/>
  <c r="J27" i="25"/>
  <c r="J19" i="25"/>
  <c r="AF65" i="27"/>
  <c r="I10" i="24"/>
  <c r="I18" i="24"/>
  <c r="J32" i="25"/>
  <c r="K289" i="12"/>
  <c r="J305" i="12"/>
  <c r="J305" i="106" s="1"/>
  <c r="J22" i="21" s="1"/>
  <c r="K58" i="25" s="1"/>
  <c r="J25" i="24"/>
  <c r="J62" i="23"/>
  <c r="J63" i="23" s="1"/>
  <c r="J47" i="23"/>
  <c r="K294" i="107"/>
  <c r="K301" i="107"/>
  <c r="K35" i="21" s="1"/>
  <c r="K289" i="16"/>
  <c r="J305" i="16"/>
  <c r="J305" i="108" s="1"/>
  <c r="J54" i="21" s="1"/>
  <c r="J67" i="21"/>
  <c r="K19" i="24" l="1"/>
  <c r="AR67" i="27" s="1"/>
  <c r="K52" i="25"/>
  <c r="V66" i="27" s="1"/>
  <c r="Z66" i="27"/>
  <c r="K61" i="25"/>
  <c r="J5" i="23"/>
  <c r="J16" i="24"/>
  <c r="L289" i="107"/>
  <c r="K305" i="107"/>
  <c r="K38" i="21" s="1"/>
  <c r="L59" i="25" s="1"/>
  <c r="J63" i="25"/>
  <c r="I9" i="23"/>
  <c r="I11" i="23" s="1"/>
  <c r="I7" i="23" s="1"/>
  <c r="J18" i="25"/>
  <c r="J16" i="25"/>
  <c r="J29" i="25"/>
  <c r="I21" i="24"/>
  <c r="AQ65" i="27"/>
  <c r="DQ65" i="27" s="1"/>
  <c r="K62" i="25"/>
  <c r="AA66" i="27" s="1"/>
  <c r="J70" i="21"/>
  <c r="K291" i="16"/>
  <c r="K302" i="16" s="1"/>
  <c r="K302" i="108" s="1"/>
  <c r="K296" i="16"/>
  <c r="K292" i="16"/>
  <c r="K295" i="16"/>
  <c r="K300" i="16"/>
  <c r="K300" i="108" s="1"/>
  <c r="K49" i="21" s="1"/>
  <c r="K291" i="12"/>
  <c r="K302" i="12" s="1"/>
  <c r="K302" i="106" s="1"/>
  <c r="K296" i="12"/>
  <c r="K292" i="12"/>
  <c r="K300" i="12"/>
  <c r="K300" i="106" s="1"/>
  <c r="K17" i="21" s="1"/>
  <c r="K295" i="12"/>
  <c r="CI65" i="27"/>
  <c r="DO65" i="27" s="1"/>
  <c r="DV65" i="27"/>
  <c r="DU65" i="27"/>
  <c r="DT65" i="27"/>
  <c r="CY65" i="27"/>
  <c r="K38" i="24"/>
  <c r="K46" i="24" s="1"/>
  <c r="K23" i="25"/>
  <c r="J38" i="23" s="1"/>
  <c r="J20" i="25"/>
  <c r="I22" i="23"/>
  <c r="DG66" i="27" l="1"/>
  <c r="J14" i="23"/>
  <c r="J18" i="23" s="1"/>
  <c r="J20" i="23" s="1"/>
  <c r="K290" i="12"/>
  <c r="K303" i="12"/>
  <c r="K303" i="106" s="1"/>
  <c r="K20" i="21" s="1"/>
  <c r="CF67" i="27" s="1"/>
  <c r="J17" i="25"/>
  <c r="CD65" i="27" s="1"/>
  <c r="AW65" i="27"/>
  <c r="DP65" i="27" s="1"/>
  <c r="J15" i="25"/>
  <c r="J33" i="25"/>
  <c r="I24" i="24"/>
  <c r="I26" i="24" s="1"/>
  <c r="I39" i="24" s="1"/>
  <c r="J55" i="25"/>
  <c r="J34" i="25"/>
  <c r="AU66" i="27"/>
  <c r="J26" i="23"/>
  <c r="J64" i="25"/>
  <c r="J65" i="25"/>
  <c r="K290" i="16"/>
  <c r="K303" i="16"/>
  <c r="K303" i="108" s="1"/>
  <c r="K52" i="21" s="1"/>
  <c r="K32" i="23"/>
  <c r="K34" i="23" s="1"/>
  <c r="K57" i="24"/>
  <c r="K65" i="21"/>
  <c r="L292" i="107"/>
  <c r="L303" i="107" s="1"/>
  <c r="L36" i="21" s="1"/>
  <c r="L296" i="107"/>
  <c r="L291" i="107"/>
  <c r="L295" i="107"/>
  <c r="L300" i="107"/>
  <c r="L33" i="21" s="1"/>
  <c r="J24" i="23" l="1"/>
  <c r="J6" i="24"/>
  <c r="K27" i="25" s="1"/>
  <c r="J14" i="25"/>
  <c r="Y65" i="27"/>
  <c r="DS65" i="27" s="1"/>
  <c r="J66" i="25"/>
  <c r="AE65" i="27" s="1"/>
  <c r="L290" i="107"/>
  <c r="L302" i="107"/>
  <c r="K301" i="16"/>
  <c r="K301" i="108" s="1"/>
  <c r="K51" i="21" s="1"/>
  <c r="K294" i="16"/>
  <c r="K47" i="23"/>
  <c r="K62" i="23"/>
  <c r="K63" i="23" s="1"/>
  <c r="I30" i="23"/>
  <c r="CE65" i="27"/>
  <c r="K301" i="12"/>
  <c r="K301" i="106" s="1"/>
  <c r="K19" i="21" s="1"/>
  <c r="K294" i="12"/>
  <c r="K68" i="21"/>
  <c r="CG67" i="27"/>
  <c r="K42" i="23"/>
  <c r="O39" i="105" s="1"/>
  <c r="L49" i="25"/>
  <c r="L19" i="24" l="1"/>
  <c r="AR68" i="27" s="1"/>
  <c r="L52" i="25"/>
  <c r="V67" i="27" s="1"/>
  <c r="AF66" i="27"/>
  <c r="CI66" i="27" s="1"/>
  <c r="DO66" i="27" s="1"/>
  <c r="K19" i="25"/>
  <c r="K20" i="25" s="1"/>
  <c r="J10" i="24"/>
  <c r="K32" i="25"/>
  <c r="J18" i="24"/>
  <c r="K29" i="25" s="1"/>
  <c r="BT66" i="27"/>
  <c r="DR65" i="27"/>
  <c r="K67" i="21"/>
  <c r="K63" i="25" s="1"/>
  <c r="K25" i="24"/>
  <c r="L23" i="25"/>
  <c r="K38" i="23" s="1"/>
  <c r="L38" i="24"/>
  <c r="L46" i="24" s="1"/>
  <c r="L289" i="12"/>
  <c r="K305" i="12"/>
  <c r="K305" i="106" s="1"/>
  <c r="K22" i="21" s="1"/>
  <c r="L58" i="25" s="1"/>
  <c r="L289" i="16"/>
  <c r="K305" i="16"/>
  <c r="K305" i="108" s="1"/>
  <c r="K54" i="21" s="1"/>
  <c r="L294" i="107"/>
  <c r="L301" i="107"/>
  <c r="L35" i="21" s="1"/>
  <c r="CH65" i="27"/>
  <c r="I28" i="23"/>
  <c r="DU66" i="27" l="1"/>
  <c r="J22" i="23"/>
  <c r="CY66" i="27"/>
  <c r="DT66" i="27"/>
  <c r="DV66" i="27"/>
  <c r="AQ66" i="27"/>
  <c r="DQ66" i="27" s="1"/>
  <c r="K16" i="25"/>
  <c r="K18" i="25"/>
  <c r="J21" i="24"/>
  <c r="K33" i="25" s="1"/>
  <c r="J9" i="23"/>
  <c r="J11" i="23" s="1"/>
  <c r="J7" i="23" s="1"/>
  <c r="K64" i="25"/>
  <c r="K65" i="25"/>
  <c r="M289" i="107"/>
  <c r="L305" i="107"/>
  <c r="L38" i="21" s="1"/>
  <c r="M59" i="25" s="1"/>
  <c r="L62" i="25"/>
  <c r="AA67" i="27" s="1"/>
  <c r="K70" i="21"/>
  <c r="L61" i="25"/>
  <c r="Z67" i="27"/>
  <c r="L291" i="16"/>
  <c r="L302" i="16" s="1"/>
  <c r="L302" i="108" s="1"/>
  <c r="L296" i="16"/>
  <c r="L292" i="16"/>
  <c r="L295" i="16"/>
  <c r="L300" i="16"/>
  <c r="L300" i="108" s="1"/>
  <c r="L49" i="21" s="1"/>
  <c r="L291" i="12"/>
  <c r="L302" i="12" s="1"/>
  <c r="L302" i="106" s="1"/>
  <c r="L296" i="12"/>
  <c r="L292" i="12"/>
  <c r="L295" i="12"/>
  <c r="L300" i="12"/>
  <c r="L300" i="106" s="1"/>
  <c r="L17" i="21" s="1"/>
  <c r="L32" i="23"/>
  <c r="L34" i="23" s="1"/>
  <c r="L57" i="24"/>
  <c r="K16" i="24"/>
  <c r="K5" i="23"/>
  <c r="K34" i="25" l="1"/>
  <c r="K15" i="25"/>
  <c r="CE66" i="27" s="1"/>
  <c r="AW66" i="27"/>
  <c r="DP66" i="27" s="1"/>
  <c r="K55" i="25"/>
  <c r="K66" i="25" s="1"/>
  <c r="AE66" i="27" s="1"/>
  <c r="J24" i="24"/>
  <c r="J26" i="24" s="1"/>
  <c r="J39" i="24" s="1"/>
  <c r="K17" i="25"/>
  <c r="CD66" i="27" s="1"/>
  <c r="K14" i="23"/>
  <c r="K18" i="23" s="1"/>
  <c r="K20" i="23" s="1"/>
  <c r="L290" i="16"/>
  <c r="L303" i="16"/>
  <c r="L303" i="108" s="1"/>
  <c r="L52" i="21" s="1"/>
  <c r="L62" i="23"/>
  <c r="L63" i="23" s="1"/>
  <c r="L47" i="23"/>
  <c r="L290" i="12"/>
  <c r="L303" i="12"/>
  <c r="L303" i="106" s="1"/>
  <c r="L20" i="21" s="1"/>
  <c r="CF68" i="27" s="1"/>
  <c r="M296" i="107"/>
  <c r="M292" i="107"/>
  <c r="M291" i="107"/>
  <c r="M302" i="107" s="1"/>
  <c r="M295" i="107"/>
  <c r="M300" i="107"/>
  <c r="M33" i="21" s="1"/>
  <c r="AU67" i="27"/>
  <c r="K26" i="23"/>
  <c r="L65" i="21"/>
  <c r="M49" i="25"/>
  <c r="L42" i="23"/>
  <c r="P39" i="105" s="1"/>
  <c r="DG67" i="27"/>
  <c r="M19" i="24" l="1"/>
  <c r="M52" i="25"/>
  <c r="V68" i="27" s="1"/>
  <c r="J30" i="23"/>
  <c r="K14" i="25"/>
  <c r="J28" i="23" s="1"/>
  <c r="Y66" i="27"/>
  <c r="DS66" i="27" s="1"/>
  <c r="K24" i="23"/>
  <c r="K6" i="24"/>
  <c r="L19" i="25" s="1"/>
  <c r="M290" i="107"/>
  <c r="M303" i="107"/>
  <c r="M36" i="21" s="1"/>
  <c r="CG68" i="27"/>
  <c r="L68" i="21"/>
  <c r="M23" i="25"/>
  <c r="L38" i="23" s="1"/>
  <c r="M38" i="24"/>
  <c r="M46" i="24" s="1"/>
  <c r="L301" i="12"/>
  <c r="L301" i="106" s="1"/>
  <c r="L19" i="21" s="1"/>
  <c r="L294" i="12"/>
  <c r="L301" i="16"/>
  <c r="L301" i="108" s="1"/>
  <c r="L51" i="21" s="1"/>
  <c r="L294" i="16"/>
  <c r="AR69" i="27" l="1"/>
  <c r="DR66" i="27"/>
  <c r="K10" i="24"/>
  <c r="L32" i="25"/>
  <c r="CH66" i="27"/>
  <c r="K18" i="24"/>
  <c r="K21" i="24" s="1"/>
  <c r="AF67" i="27"/>
  <c r="DV67" i="27" s="1"/>
  <c r="BT67" i="27"/>
  <c r="L27" i="25"/>
  <c r="L67" i="21"/>
  <c r="L5" i="23" s="1"/>
  <c r="M289" i="16"/>
  <c r="L305" i="16"/>
  <c r="L305" i="108" s="1"/>
  <c r="L54" i="21" s="1"/>
  <c r="M32" i="23"/>
  <c r="M34" i="23" s="1"/>
  <c r="M57" i="24"/>
  <c r="M289" i="12"/>
  <c r="L305" i="12"/>
  <c r="L305" i="106" s="1"/>
  <c r="L22" i="21" s="1"/>
  <c r="M58" i="25" s="1"/>
  <c r="K22" i="23"/>
  <c r="L20" i="25"/>
  <c r="L25" i="24"/>
  <c r="M294" i="107"/>
  <c r="M305" i="107" s="1"/>
  <c r="M38" i="21" s="1"/>
  <c r="N59" i="25" s="1"/>
  <c r="M301" i="107"/>
  <c r="M35" i="21" s="1"/>
  <c r="L63" i="25" l="1"/>
  <c r="L65" i="25" s="1"/>
  <c r="L16" i="24"/>
  <c r="L14" i="23" s="1"/>
  <c r="L18" i="23" s="1"/>
  <c r="DU67" i="27"/>
  <c r="DT67" i="27"/>
  <c r="L29" i="25"/>
  <c r="L18" i="25"/>
  <c r="L16" i="25"/>
  <c r="CY67" i="27"/>
  <c r="AQ67" i="27"/>
  <c r="DQ67" i="27" s="1"/>
  <c r="K9" i="23"/>
  <c r="K11" i="23" s="1"/>
  <c r="K7" i="23" s="1"/>
  <c r="CI67" i="27"/>
  <c r="DO67" i="27" s="1"/>
  <c r="M292" i="12"/>
  <c r="M295" i="12"/>
  <c r="M296" i="12"/>
  <c r="M291" i="12"/>
  <c r="M302" i="12" s="1"/>
  <c r="M302" i="106" s="1"/>
  <c r="M300" i="12"/>
  <c r="M300" i="106" s="1"/>
  <c r="M17" i="21" s="1"/>
  <c r="L15" i="25"/>
  <c r="L17" i="25"/>
  <c r="CD67" i="27" s="1"/>
  <c r="AW67" i="27"/>
  <c r="DP67" i="27" s="1"/>
  <c r="L34" i="25"/>
  <c r="L55" i="25"/>
  <c r="K24" i="24"/>
  <c r="K26" i="24" s="1"/>
  <c r="K39" i="24" s="1"/>
  <c r="L33" i="25"/>
  <c r="N49" i="25"/>
  <c r="M42" i="23"/>
  <c r="Q39" i="105" s="1"/>
  <c r="M62" i="25"/>
  <c r="AA68" i="27" s="1"/>
  <c r="L70" i="21"/>
  <c r="M61" i="25"/>
  <c r="Z68" i="27"/>
  <c r="M47" i="23"/>
  <c r="M62" i="23"/>
  <c r="M63" i="23" s="1"/>
  <c r="M291" i="16"/>
  <c r="M302" i="16" s="1"/>
  <c r="M302" i="108" s="1"/>
  <c r="M292" i="16"/>
  <c r="M296" i="16"/>
  <c r="M295" i="16"/>
  <c r="M300" i="16"/>
  <c r="M300" i="108" s="1"/>
  <c r="M49" i="21" s="1"/>
  <c r="N23" i="25" l="1"/>
  <c r="M38" i="23" s="1"/>
  <c r="N52" i="25"/>
  <c r="V69" i="27" s="1"/>
  <c r="L64" i="25"/>
  <c r="L66" i="25" s="1"/>
  <c r="AE67" i="27" s="1"/>
  <c r="M65" i="21"/>
  <c r="AU68" i="27"/>
  <c r="L26" i="23"/>
  <c r="DG68" i="27"/>
  <c r="M290" i="16"/>
  <c r="M303" i="16"/>
  <c r="M303" i="108" s="1"/>
  <c r="M52" i="21" s="1"/>
  <c r="M290" i="12"/>
  <c r="M303" i="12"/>
  <c r="M303" i="106" s="1"/>
  <c r="M20" i="21" s="1"/>
  <c r="Y67" i="27"/>
  <c r="DS67" i="27" s="1"/>
  <c r="L14" i="25"/>
  <c r="CE67" i="27"/>
  <c r="K30" i="23"/>
  <c r="L20" i="23"/>
  <c r="L6" i="24"/>
  <c r="L24" i="23"/>
  <c r="CF69" i="27" l="1"/>
  <c r="M301" i="12"/>
  <c r="M301" i="106" s="1"/>
  <c r="M19" i="21" s="1"/>
  <c r="M294" i="12"/>
  <c r="M305" i="12" s="1"/>
  <c r="M305" i="106" s="1"/>
  <c r="M22" i="21" s="1"/>
  <c r="N58" i="25" s="1"/>
  <c r="DR67" i="27"/>
  <c r="AF68" i="27"/>
  <c r="M27" i="25"/>
  <c r="L10" i="24"/>
  <c r="M19" i="25"/>
  <c r="BT68" i="27"/>
  <c r="L18" i="24"/>
  <c r="M32" i="25"/>
  <c r="CG69" i="27"/>
  <c r="M68" i="21"/>
  <c r="CH67" i="27"/>
  <c r="K28" i="23"/>
  <c r="M301" i="16"/>
  <c r="M301" i="108" s="1"/>
  <c r="M51" i="21" s="1"/>
  <c r="M294" i="16"/>
  <c r="M305" i="16" s="1"/>
  <c r="M305" i="108" s="1"/>
  <c r="M54" i="21" s="1"/>
  <c r="M67" i="21" l="1"/>
  <c r="N63" i="25" s="1"/>
  <c r="M70" i="21"/>
  <c r="N62" i="25"/>
  <c r="M25" i="24"/>
  <c r="CY68" i="27"/>
  <c r="DT68" i="27"/>
  <c r="DU68" i="27"/>
  <c r="DV68" i="27"/>
  <c r="CI68" i="27"/>
  <c r="DO68" i="27" s="1"/>
  <c r="M20" i="25"/>
  <c r="L22" i="23"/>
  <c r="N61" i="25"/>
  <c r="Z69" i="27"/>
  <c r="M5" i="23"/>
  <c r="L21" i="24"/>
  <c r="M18" i="25"/>
  <c r="M29" i="25"/>
  <c r="L9" i="23"/>
  <c r="L11" i="23" s="1"/>
  <c r="L7" i="23" s="1"/>
  <c r="M16" i="25"/>
  <c r="AQ68" i="27"/>
  <c r="DQ68" i="27" s="1"/>
  <c r="AA69" i="27" l="1"/>
  <c r="DG69" i="27" s="1"/>
  <c r="M63" i="25"/>
  <c r="M64" i="25" s="1"/>
  <c r="M16" i="24"/>
  <c r="M15" i="25"/>
  <c r="AW68" i="27"/>
  <c r="DP68" i="27" s="1"/>
  <c r="M17" i="25"/>
  <c r="CD68" i="27" s="1"/>
  <c r="L24" i="24"/>
  <c r="L26" i="24" s="1"/>
  <c r="L39" i="24" s="1"/>
  <c r="M34" i="25"/>
  <c r="M33" i="25"/>
  <c r="M55" i="25"/>
  <c r="N64" i="25"/>
  <c r="AU69" i="27" l="1"/>
  <c r="M65" i="25"/>
  <c r="N65" i="25" s="1"/>
  <c r="M26" i="23"/>
  <c r="M14" i="23"/>
  <c r="M18" i="23" s="1"/>
  <c r="M6" i="24" s="1"/>
  <c r="CE68" i="27"/>
  <c r="L30" i="23"/>
  <c r="Y68" i="27"/>
  <c r="DS68" i="27" s="1"/>
  <c r="M14" i="25"/>
  <c r="BT69" i="27" l="1"/>
  <c r="M66" i="25"/>
  <c r="AE68" i="27" s="1"/>
  <c r="M18" i="24"/>
  <c r="N27" i="25"/>
  <c r="AF69" i="27"/>
  <c r="CY69" i="27" s="1"/>
  <c r="N32" i="25"/>
  <c r="M24" i="23"/>
  <c r="N19" i="25"/>
  <c r="N20" i="25" s="1"/>
  <c r="M10" i="24"/>
  <c r="M20" i="23"/>
  <c r="DR68" i="27"/>
  <c r="CH68" i="27"/>
  <c r="L28" i="23"/>
  <c r="N16" i="25" l="1"/>
  <c r="M9" i="23"/>
  <c r="M11" i="23" s="1"/>
  <c r="M7" i="23" s="1"/>
  <c r="N29" i="25"/>
  <c r="M21" i="24"/>
  <c r="N18" i="25"/>
  <c r="DV69" i="27"/>
  <c r="DU69" i="27"/>
  <c r="AQ69" i="27"/>
  <c r="DQ69" i="27" s="1"/>
  <c r="CI69" i="27"/>
  <c r="DO69" i="27" s="1"/>
  <c r="DT69" i="27"/>
  <c r="M22" i="23"/>
  <c r="M24" i="24" l="1"/>
  <c r="M26" i="24" s="1"/>
  <c r="M39" i="24" s="1"/>
  <c r="N17" i="25"/>
  <c r="N15" i="25"/>
  <c r="N55" i="25"/>
  <c r="N33" i="25"/>
  <c r="N34" i="25"/>
  <c r="AW69" i="27"/>
  <c r="DP69" i="27" s="1"/>
  <c r="N14" i="25" l="1"/>
  <c r="M30" i="23"/>
  <c r="CD69" i="27"/>
  <c r="N66" i="25"/>
  <c r="CE69" i="27"/>
  <c r="Y69" i="27"/>
  <c r="DS69" i="27" s="1"/>
  <c r="B12" i="110" l="1"/>
  <c r="M28" i="23"/>
  <c r="CH69" i="27"/>
  <c r="AE69" i="27"/>
  <c r="DR69"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Howard Barnes</author>
  </authors>
  <commentList>
    <comment ref="D8" authorId="0" shapeId="0" xr:uid="{00000000-0006-0000-0300-000001000000}">
      <text>
        <r>
          <rPr>
            <b/>
            <sz val="11"/>
            <color indexed="81"/>
            <rFont val="Tahoma"/>
            <family val="2"/>
          </rPr>
          <t>Part O, Line 1, column b (Op Rep)</t>
        </r>
      </text>
    </comment>
    <comment ref="E8" authorId="0" shapeId="0" xr:uid="{00000000-0006-0000-0300-000002000000}">
      <text>
        <r>
          <rPr>
            <b/>
            <sz val="11"/>
            <color indexed="81"/>
            <rFont val="Tahoma"/>
            <family val="2"/>
          </rPr>
          <t>Part O, Line 1, column b (Op Rep)</t>
        </r>
      </text>
    </comment>
    <comment ref="F8" authorId="0" shapeId="0" xr:uid="{00000000-0006-0000-0300-000003000000}">
      <text>
        <r>
          <rPr>
            <b/>
            <sz val="11"/>
            <color indexed="81"/>
            <rFont val="Tahoma"/>
            <family val="2"/>
          </rPr>
          <t>Part O, Line 1, column b (Op Rep)</t>
        </r>
      </text>
    </comment>
    <comment ref="G8" authorId="0" shapeId="0" xr:uid="{00000000-0006-0000-0300-000004000000}">
      <text>
        <r>
          <rPr>
            <b/>
            <sz val="11"/>
            <color indexed="81"/>
            <rFont val="Tahoma"/>
            <family val="2"/>
          </rPr>
          <t>Enter Projected # of Consumers</t>
        </r>
      </text>
    </comment>
    <comment ref="D9" authorId="0" shapeId="0" xr:uid="{00000000-0006-0000-0300-000005000000}">
      <text>
        <r>
          <rPr>
            <b/>
            <sz val="11"/>
            <color indexed="81"/>
            <rFont val="Tahoma"/>
            <family val="2"/>
          </rPr>
          <t>Part O, Line 2, column b (Op Rep)</t>
        </r>
      </text>
    </comment>
    <comment ref="E9" authorId="0" shapeId="0" xr:uid="{00000000-0006-0000-0300-000006000000}">
      <text>
        <r>
          <rPr>
            <b/>
            <sz val="11"/>
            <color indexed="81"/>
            <rFont val="Tahoma"/>
            <family val="2"/>
          </rPr>
          <t>Part O, Line 2, column b (Op Rep)</t>
        </r>
      </text>
    </comment>
    <comment ref="F9" authorId="0" shapeId="0" xr:uid="{00000000-0006-0000-0300-000007000000}">
      <text>
        <r>
          <rPr>
            <b/>
            <sz val="11"/>
            <color indexed="81"/>
            <rFont val="Tahoma"/>
            <family val="2"/>
          </rPr>
          <t>Part O, Line 2, column b (Op Rep)</t>
        </r>
      </text>
    </comment>
    <comment ref="G9" authorId="0" shapeId="0" xr:uid="{00000000-0006-0000-0300-000008000000}">
      <text>
        <r>
          <rPr>
            <b/>
            <sz val="11"/>
            <color indexed="81"/>
            <rFont val="Tahoma"/>
            <family val="2"/>
          </rPr>
          <t>Enter Projected # of Consumers</t>
        </r>
      </text>
    </comment>
    <comment ref="D10" authorId="0" shapeId="0" xr:uid="{00000000-0006-0000-0300-000009000000}">
      <text>
        <r>
          <rPr>
            <b/>
            <sz val="11"/>
            <color indexed="81"/>
            <rFont val="Tahoma"/>
            <family val="2"/>
          </rPr>
          <t>Part O, Line 3, column b (Op Rep)</t>
        </r>
      </text>
    </comment>
    <comment ref="E10" authorId="0" shapeId="0" xr:uid="{00000000-0006-0000-0300-00000A000000}">
      <text>
        <r>
          <rPr>
            <b/>
            <sz val="11"/>
            <color indexed="81"/>
            <rFont val="Tahoma"/>
            <family val="2"/>
          </rPr>
          <t>Part O, Line 3, column b (Op Rep)</t>
        </r>
      </text>
    </comment>
    <comment ref="F10" authorId="0" shapeId="0" xr:uid="{00000000-0006-0000-0300-00000B000000}">
      <text>
        <r>
          <rPr>
            <b/>
            <sz val="11"/>
            <color indexed="81"/>
            <rFont val="Tahoma"/>
            <family val="2"/>
          </rPr>
          <t>Part O, Line 3, column b (Op Rep)</t>
        </r>
      </text>
    </comment>
    <comment ref="G10" authorId="0" shapeId="0" xr:uid="{00000000-0006-0000-0300-00000C000000}">
      <text>
        <r>
          <rPr>
            <b/>
            <sz val="11"/>
            <color indexed="81"/>
            <rFont val="Tahoma"/>
            <family val="2"/>
          </rPr>
          <t>Enter Projected # of Consumers</t>
        </r>
      </text>
    </comment>
    <comment ref="D11" authorId="0" shapeId="0" xr:uid="{00000000-0006-0000-0300-00000D000000}">
      <text>
        <r>
          <rPr>
            <b/>
            <sz val="11"/>
            <color indexed="81"/>
            <rFont val="Tahoma"/>
            <family val="2"/>
          </rPr>
          <t>Part O, Line 4, column b (Op Rep)</t>
        </r>
      </text>
    </comment>
    <comment ref="E11" authorId="0" shapeId="0" xr:uid="{00000000-0006-0000-0300-00000E000000}">
      <text>
        <r>
          <rPr>
            <b/>
            <sz val="11"/>
            <color indexed="81"/>
            <rFont val="Tahoma"/>
            <family val="2"/>
          </rPr>
          <t>Part O, Line 4, column b (Op Rep)</t>
        </r>
      </text>
    </comment>
    <comment ref="F11" authorId="0" shapeId="0" xr:uid="{00000000-0006-0000-0300-00000F000000}">
      <text>
        <r>
          <rPr>
            <b/>
            <sz val="11"/>
            <color indexed="81"/>
            <rFont val="Tahoma"/>
            <family val="2"/>
          </rPr>
          <t>Part O, Line 4, column b (Op Rep)</t>
        </r>
      </text>
    </comment>
    <comment ref="G11" authorId="0" shapeId="0" xr:uid="{00000000-0006-0000-0300-000010000000}">
      <text>
        <r>
          <rPr>
            <b/>
            <sz val="11"/>
            <color indexed="81"/>
            <rFont val="Tahoma"/>
            <family val="2"/>
          </rPr>
          <t>Enter Projected # of Consumers</t>
        </r>
      </text>
    </comment>
    <comment ref="D12" authorId="0" shapeId="0" xr:uid="{00000000-0006-0000-0300-000011000000}">
      <text>
        <r>
          <rPr>
            <b/>
            <sz val="11"/>
            <color indexed="81"/>
            <rFont val="Tahoma"/>
            <family val="2"/>
          </rPr>
          <t>If not shown separately below, Part O, Line 5, column b (Op Rep)</t>
        </r>
      </text>
    </comment>
    <comment ref="E12" authorId="0" shapeId="0" xr:uid="{00000000-0006-0000-0300-000012000000}">
      <text>
        <r>
          <rPr>
            <b/>
            <sz val="11"/>
            <color indexed="81"/>
            <rFont val="Tahoma"/>
            <family val="2"/>
          </rPr>
          <t>If not shown separately below, Part O, Line 5, column b (Op Rep)</t>
        </r>
      </text>
    </comment>
    <comment ref="F12" authorId="0" shapeId="0" xr:uid="{00000000-0006-0000-0300-000013000000}">
      <text>
        <r>
          <rPr>
            <b/>
            <sz val="11"/>
            <color indexed="81"/>
            <rFont val="Tahoma"/>
            <family val="2"/>
          </rPr>
          <t>If not shown separately below, Part O, Line 5, column b (Op Rep)</t>
        </r>
      </text>
    </comment>
    <comment ref="G12" authorId="0" shapeId="0" xr:uid="{00000000-0006-0000-0300-000014000000}">
      <text>
        <r>
          <rPr>
            <b/>
            <sz val="11"/>
            <color indexed="81"/>
            <rFont val="Tahoma"/>
            <family val="2"/>
          </rPr>
          <t>Enter Projected # of Consumers</t>
        </r>
      </text>
    </comment>
    <comment ref="G13" authorId="0" shapeId="0" xr:uid="{00000000-0006-0000-0300-000015000000}">
      <text>
        <r>
          <rPr>
            <b/>
            <sz val="11"/>
            <color indexed="81"/>
            <rFont val="Tahoma"/>
            <family val="2"/>
          </rPr>
          <t>Enter Projected # of Consumers</t>
        </r>
      </text>
    </comment>
    <comment ref="G14" authorId="0" shapeId="0" xr:uid="{00000000-0006-0000-0300-000016000000}">
      <text>
        <r>
          <rPr>
            <b/>
            <sz val="11"/>
            <color indexed="81"/>
            <rFont val="Tahoma"/>
            <family val="2"/>
          </rPr>
          <t>Enter Projected # of Consumers</t>
        </r>
      </text>
    </comment>
    <comment ref="G15" authorId="0" shapeId="0" xr:uid="{00000000-0006-0000-0300-000017000000}">
      <text>
        <r>
          <rPr>
            <b/>
            <sz val="11"/>
            <color indexed="81"/>
            <rFont val="Tahoma"/>
            <family val="2"/>
          </rPr>
          <t>Enter Projected # of Consumers</t>
        </r>
      </text>
    </comment>
    <comment ref="D16" authorId="0" shapeId="0" xr:uid="{00000000-0006-0000-0300-000018000000}">
      <text>
        <r>
          <rPr>
            <b/>
            <sz val="11"/>
            <color indexed="81"/>
            <rFont val="Tahoma"/>
            <family val="2"/>
          </rPr>
          <t>Part O, Line 6, column b (Op Rep)</t>
        </r>
      </text>
    </comment>
    <comment ref="E16" authorId="0" shapeId="0" xr:uid="{00000000-0006-0000-0300-000019000000}">
      <text>
        <r>
          <rPr>
            <b/>
            <sz val="11"/>
            <color indexed="81"/>
            <rFont val="Tahoma"/>
            <family val="2"/>
          </rPr>
          <t>Part O, Line 6, column b (Op Rep)</t>
        </r>
      </text>
    </comment>
    <comment ref="F16" authorId="0" shapeId="0" xr:uid="{00000000-0006-0000-0300-00001A000000}">
      <text>
        <r>
          <rPr>
            <b/>
            <sz val="11"/>
            <color indexed="81"/>
            <rFont val="Tahoma"/>
            <family val="2"/>
          </rPr>
          <t>Part O, Line 6, column b (Op Rep)</t>
        </r>
      </text>
    </comment>
    <comment ref="G16" authorId="0" shapeId="0" xr:uid="{00000000-0006-0000-0300-00001B000000}">
      <text>
        <r>
          <rPr>
            <b/>
            <sz val="11"/>
            <color indexed="81"/>
            <rFont val="Tahoma"/>
            <family val="2"/>
          </rPr>
          <t>Enter Projected # of Consumers</t>
        </r>
      </text>
    </comment>
    <comment ref="D17" authorId="0" shapeId="0" xr:uid="{00000000-0006-0000-0300-00001C000000}">
      <text>
        <r>
          <rPr>
            <b/>
            <sz val="11"/>
            <color indexed="81"/>
            <rFont val="Tahoma"/>
            <family val="2"/>
          </rPr>
          <t>Part O, Line 7, column b (Op Rep)</t>
        </r>
      </text>
    </comment>
    <comment ref="E17" authorId="0" shapeId="0" xr:uid="{00000000-0006-0000-0300-00001D000000}">
      <text>
        <r>
          <rPr>
            <b/>
            <sz val="11"/>
            <color indexed="81"/>
            <rFont val="Tahoma"/>
            <family val="2"/>
          </rPr>
          <t>Part O, Line 7, column b (Op Rep)</t>
        </r>
      </text>
    </comment>
    <comment ref="F17" authorId="0" shapeId="0" xr:uid="{00000000-0006-0000-0300-00001E000000}">
      <text>
        <r>
          <rPr>
            <b/>
            <sz val="11"/>
            <color indexed="81"/>
            <rFont val="Tahoma"/>
            <family val="2"/>
          </rPr>
          <t>Part O, Line 7, column b (Op Rep)</t>
        </r>
      </text>
    </comment>
    <comment ref="G17" authorId="0" shapeId="0" xr:uid="{00000000-0006-0000-0300-00001F000000}">
      <text>
        <r>
          <rPr>
            <b/>
            <sz val="11"/>
            <color indexed="81"/>
            <rFont val="Tahoma"/>
            <family val="2"/>
          </rPr>
          <t>Enter Projected # of Consumers</t>
        </r>
      </text>
    </comment>
    <comment ref="D18" authorId="0" shapeId="0" xr:uid="{00000000-0006-0000-0300-000020000000}">
      <text>
        <r>
          <rPr>
            <b/>
            <sz val="11"/>
            <color indexed="81"/>
            <rFont val="Tahoma"/>
            <family val="2"/>
          </rPr>
          <t>Part O, Line 8, column b (Op Rep)</t>
        </r>
      </text>
    </comment>
    <comment ref="E18" authorId="0" shapeId="0" xr:uid="{00000000-0006-0000-0300-000021000000}">
      <text>
        <r>
          <rPr>
            <b/>
            <sz val="11"/>
            <color indexed="81"/>
            <rFont val="Tahoma"/>
            <family val="2"/>
          </rPr>
          <t>Part O, Line 8, column b (Op Rep)</t>
        </r>
      </text>
    </comment>
    <comment ref="F18" authorId="0" shapeId="0" xr:uid="{00000000-0006-0000-0300-000022000000}">
      <text>
        <r>
          <rPr>
            <b/>
            <sz val="11"/>
            <color indexed="81"/>
            <rFont val="Tahoma"/>
            <family val="2"/>
          </rPr>
          <t>Part O, Line 8, column b (Op Rep)</t>
        </r>
      </text>
    </comment>
    <comment ref="G18" authorId="0" shapeId="0" xr:uid="{00000000-0006-0000-0300-000023000000}">
      <text>
        <r>
          <rPr>
            <b/>
            <sz val="11"/>
            <color indexed="81"/>
            <rFont val="Tahoma"/>
            <family val="2"/>
          </rPr>
          <t>Enter Projected # of Consumers</t>
        </r>
      </text>
    </comment>
    <comment ref="D19" authorId="0" shapeId="0" xr:uid="{00000000-0006-0000-0300-000024000000}">
      <text>
        <r>
          <rPr>
            <b/>
            <sz val="11"/>
            <color indexed="81"/>
            <rFont val="Tahoma"/>
            <family val="2"/>
          </rPr>
          <t>Part O, Line 9, column b (Op Rep)</t>
        </r>
      </text>
    </comment>
    <comment ref="E19" authorId="0" shapeId="0" xr:uid="{00000000-0006-0000-0300-000025000000}">
      <text>
        <r>
          <rPr>
            <b/>
            <sz val="11"/>
            <color indexed="81"/>
            <rFont val="Tahoma"/>
            <family val="2"/>
          </rPr>
          <t>Part O, Line 9, column b (Op Rep)</t>
        </r>
      </text>
    </comment>
    <comment ref="F19" authorId="0" shapeId="0" xr:uid="{00000000-0006-0000-0300-000026000000}">
      <text>
        <r>
          <rPr>
            <b/>
            <sz val="11"/>
            <color indexed="81"/>
            <rFont val="Tahoma"/>
            <family val="2"/>
          </rPr>
          <t>Part O, Line 9, column b (Op Rep)</t>
        </r>
      </text>
    </comment>
    <comment ref="G19" authorId="0" shapeId="0" xr:uid="{00000000-0006-0000-0300-000027000000}">
      <text>
        <r>
          <rPr>
            <b/>
            <sz val="11"/>
            <color indexed="81"/>
            <rFont val="Tahoma"/>
            <family val="2"/>
          </rPr>
          <t>Enter Projected # of Consumers</t>
        </r>
      </text>
    </comment>
    <comment ref="G20" authorId="0" shapeId="0" xr:uid="{00000000-0006-0000-0300-000028000000}">
      <text>
        <r>
          <rPr>
            <b/>
            <sz val="11"/>
            <color indexed="81"/>
            <rFont val="Tahoma"/>
            <family val="2"/>
          </rPr>
          <t>Enter Projected # of Consumers</t>
        </r>
      </text>
    </comment>
    <comment ref="D39" authorId="0" shapeId="0" xr:uid="{00000000-0006-0000-0300-000029000000}">
      <text>
        <r>
          <rPr>
            <b/>
            <sz val="11"/>
            <color indexed="81"/>
            <rFont val="Tahoma"/>
            <family val="2"/>
          </rPr>
          <t>Part O, Line 1b, column c, Op Rep</t>
        </r>
      </text>
    </comment>
    <comment ref="E39" authorId="0" shapeId="0" xr:uid="{00000000-0006-0000-0300-00002A000000}">
      <text>
        <r>
          <rPr>
            <b/>
            <sz val="11"/>
            <color indexed="81"/>
            <rFont val="Tahoma"/>
            <family val="2"/>
          </rPr>
          <t>Part O, Line 1b, column c, Op Rep</t>
        </r>
      </text>
    </comment>
    <comment ref="F39" authorId="0" shapeId="0" xr:uid="{00000000-0006-0000-0300-00002B000000}">
      <text>
        <r>
          <rPr>
            <b/>
            <sz val="11"/>
            <color indexed="81"/>
            <rFont val="Tahoma"/>
            <family val="2"/>
          </rPr>
          <t>Part O, Line 1b, column c, Op Rep</t>
        </r>
      </text>
    </comment>
    <comment ref="G39" authorId="0" shapeId="0" xr:uid="{00000000-0006-0000-0300-00002C000000}">
      <text>
        <r>
          <rPr>
            <b/>
            <sz val="11"/>
            <color indexed="81"/>
            <rFont val="Tahoma"/>
            <family val="2"/>
          </rPr>
          <t>Enter Projected
KWH Annual Sales</t>
        </r>
      </text>
    </comment>
    <comment ref="D40" authorId="0" shapeId="0" xr:uid="{00000000-0006-0000-0300-00002D000000}">
      <text>
        <r>
          <rPr>
            <b/>
            <sz val="11"/>
            <color indexed="81"/>
            <rFont val="Tahoma"/>
            <family val="2"/>
          </rPr>
          <t>Part O, Line 2b, column c, Op Rep</t>
        </r>
      </text>
    </comment>
    <comment ref="E40" authorId="0" shapeId="0" xr:uid="{00000000-0006-0000-0300-00002E000000}">
      <text>
        <r>
          <rPr>
            <b/>
            <sz val="11"/>
            <color indexed="81"/>
            <rFont val="Tahoma"/>
            <family val="2"/>
          </rPr>
          <t>Part O, Line 2b, column c, Op Rep</t>
        </r>
      </text>
    </comment>
    <comment ref="F40" authorId="0" shapeId="0" xr:uid="{00000000-0006-0000-0300-00002F000000}">
      <text>
        <r>
          <rPr>
            <b/>
            <sz val="11"/>
            <color indexed="81"/>
            <rFont val="Tahoma"/>
            <family val="2"/>
          </rPr>
          <t>Part O, Line 2b, column c, Op Rep</t>
        </r>
      </text>
    </comment>
    <comment ref="G40" authorId="0" shapeId="0" xr:uid="{00000000-0006-0000-0300-000030000000}">
      <text>
        <r>
          <rPr>
            <b/>
            <sz val="11"/>
            <color indexed="81"/>
            <rFont val="Tahoma"/>
            <family val="2"/>
          </rPr>
          <t>Enter Projected
KWH Annual Sales</t>
        </r>
      </text>
    </comment>
    <comment ref="D41" authorId="0" shapeId="0" xr:uid="{00000000-0006-0000-0300-000031000000}">
      <text>
        <r>
          <rPr>
            <b/>
            <sz val="11"/>
            <color indexed="81"/>
            <rFont val="Tahoma"/>
            <family val="2"/>
          </rPr>
          <t>Part O, Line 3b, column c, Op Rep</t>
        </r>
      </text>
    </comment>
    <comment ref="E41" authorId="0" shapeId="0" xr:uid="{00000000-0006-0000-0300-000032000000}">
      <text>
        <r>
          <rPr>
            <b/>
            <sz val="11"/>
            <color indexed="81"/>
            <rFont val="Tahoma"/>
            <family val="2"/>
          </rPr>
          <t>Part O, Line 3b, column c, Op Rep</t>
        </r>
      </text>
    </comment>
    <comment ref="F41" authorId="0" shapeId="0" xr:uid="{00000000-0006-0000-0300-000033000000}">
      <text>
        <r>
          <rPr>
            <b/>
            <sz val="11"/>
            <color indexed="81"/>
            <rFont val="Tahoma"/>
            <family val="2"/>
          </rPr>
          <t>Part O, Line 3b, column c, Op Rep</t>
        </r>
      </text>
    </comment>
    <comment ref="G41" authorId="0" shapeId="0" xr:uid="{00000000-0006-0000-0300-000034000000}">
      <text>
        <r>
          <rPr>
            <b/>
            <sz val="11"/>
            <color indexed="81"/>
            <rFont val="Tahoma"/>
            <family val="2"/>
          </rPr>
          <t>Enter Projected
KWH Annual Sales</t>
        </r>
      </text>
    </comment>
    <comment ref="D42" authorId="0" shapeId="0" xr:uid="{00000000-0006-0000-0300-000035000000}">
      <text>
        <r>
          <rPr>
            <b/>
            <sz val="11"/>
            <color indexed="81"/>
            <rFont val="Tahoma"/>
            <family val="2"/>
          </rPr>
          <t>Part O, Line 4b, column c, Op Rep</t>
        </r>
      </text>
    </comment>
    <comment ref="E42" authorId="0" shapeId="0" xr:uid="{00000000-0006-0000-0300-000036000000}">
      <text>
        <r>
          <rPr>
            <b/>
            <sz val="11"/>
            <color indexed="81"/>
            <rFont val="Tahoma"/>
            <family val="2"/>
          </rPr>
          <t>Part O, Line 4b, column c, Op Rep</t>
        </r>
      </text>
    </comment>
    <comment ref="F42" authorId="0" shapeId="0" xr:uid="{00000000-0006-0000-0300-000037000000}">
      <text>
        <r>
          <rPr>
            <b/>
            <sz val="11"/>
            <color indexed="81"/>
            <rFont val="Tahoma"/>
            <family val="2"/>
          </rPr>
          <t>Part O, Line 4b, column c, Op Rep</t>
        </r>
      </text>
    </comment>
    <comment ref="G42" authorId="0" shapeId="0" xr:uid="{00000000-0006-0000-0300-000038000000}">
      <text>
        <r>
          <rPr>
            <b/>
            <sz val="11"/>
            <color indexed="81"/>
            <rFont val="Tahoma"/>
            <family val="2"/>
          </rPr>
          <t>Enter Projected
KWH Annual Sales</t>
        </r>
      </text>
    </comment>
    <comment ref="D43" authorId="0" shapeId="0" xr:uid="{00000000-0006-0000-0300-000039000000}">
      <text>
        <r>
          <rPr>
            <b/>
            <sz val="11"/>
            <color indexed="81"/>
            <rFont val="Tahoma"/>
            <family val="2"/>
          </rPr>
          <t>Part O, Line 5b, column c, Op Rep</t>
        </r>
      </text>
    </comment>
    <comment ref="E43" authorId="0" shapeId="0" xr:uid="{00000000-0006-0000-0300-00003A000000}">
      <text>
        <r>
          <rPr>
            <b/>
            <sz val="11"/>
            <color indexed="81"/>
            <rFont val="Tahoma"/>
            <family val="2"/>
          </rPr>
          <t>Part O, Line 5b, column c, Op Rep</t>
        </r>
      </text>
    </comment>
    <comment ref="F43" authorId="0" shapeId="0" xr:uid="{00000000-0006-0000-0300-00003B000000}">
      <text>
        <r>
          <rPr>
            <b/>
            <sz val="11"/>
            <color indexed="81"/>
            <rFont val="Tahoma"/>
            <family val="2"/>
          </rPr>
          <t>Part O, Line 5b, column c, Op Rep</t>
        </r>
      </text>
    </comment>
    <comment ref="G43" authorId="0" shapeId="0" xr:uid="{00000000-0006-0000-0300-00003C000000}">
      <text>
        <r>
          <rPr>
            <b/>
            <sz val="11"/>
            <color indexed="81"/>
            <rFont val="Tahoma"/>
            <family val="2"/>
          </rPr>
          <t>Enter Projected
KWH Annual Sales</t>
        </r>
      </text>
    </comment>
    <comment ref="G44" authorId="0" shapeId="0" xr:uid="{00000000-0006-0000-0300-00003D000000}">
      <text>
        <r>
          <rPr>
            <b/>
            <sz val="11"/>
            <color indexed="81"/>
            <rFont val="Tahoma"/>
            <family val="2"/>
          </rPr>
          <t>Enter Projected
KWH Annual Sales</t>
        </r>
      </text>
    </comment>
    <comment ref="G45" authorId="0" shapeId="0" xr:uid="{00000000-0006-0000-0300-00003E000000}">
      <text>
        <r>
          <rPr>
            <b/>
            <sz val="11"/>
            <color indexed="81"/>
            <rFont val="Tahoma"/>
            <family val="2"/>
          </rPr>
          <t>Enter Projected
KWH Annual Sales</t>
        </r>
      </text>
    </comment>
    <comment ref="G46" authorId="0" shapeId="0" xr:uid="{00000000-0006-0000-0300-00003F000000}">
      <text>
        <r>
          <rPr>
            <b/>
            <sz val="11"/>
            <color indexed="81"/>
            <rFont val="Tahoma"/>
            <family val="2"/>
          </rPr>
          <t>Enter Projected
KWH Annual Sales</t>
        </r>
      </text>
    </comment>
    <comment ref="D47" authorId="0" shapeId="0" xr:uid="{00000000-0006-0000-0300-000040000000}">
      <text>
        <r>
          <rPr>
            <b/>
            <sz val="11"/>
            <color indexed="81"/>
            <rFont val="Tahoma"/>
            <family val="2"/>
          </rPr>
          <t>Part O, Line 6b, column c, Op Rep</t>
        </r>
      </text>
    </comment>
    <comment ref="E47" authorId="0" shapeId="0" xr:uid="{00000000-0006-0000-0300-000041000000}">
      <text>
        <r>
          <rPr>
            <b/>
            <sz val="11"/>
            <color indexed="81"/>
            <rFont val="Tahoma"/>
            <family val="2"/>
          </rPr>
          <t>Part O, Line 6b, column c, Op Rep</t>
        </r>
      </text>
    </comment>
    <comment ref="F47" authorId="0" shapeId="0" xr:uid="{00000000-0006-0000-0300-000042000000}">
      <text>
        <r>
          <rPr>
            <b/>
            <sz val="11"/>
            <color indexed="81"/>
            <rFont val="Tahoma"/>
            <family val="2"/>
          </rPr>
          <t>Part O, Line 6b, column c, Op Rep</t>
        </r>
      </text>
    </comment>
    <comment ref="G47" authorId="0" shapeId="0" xr:uid="{00000000-0006-0000-0300-000043000000}">
      <text>
        <r>
          <rPr>
            <b/>
            <sz val="11"/>
            <color indexed="81"/>
            <rFont val="Tahoma"/>
            <family val="2"/>
          </rPr>
          <t>Enter Projected
KWH Annual Sales</t>
        </r>
      </text>
    </comment>
    <comment ref="D48" authorId="0" shapeId="0" xr:uid="{00000000-0006-0000-0300-000044000000}">
      <text>
        <r>
          <rPr>
            <b/>
            <sz val="11"/>
            <color indexed="81"/>
            <rFont val="Tahoma"/>
            <family val="2"/>
          </rPr>
          <t>Part O, Line 7b, column c, Op Rep</t>
        </r>
      </text>
    </comment>
    <comment ref="E48" authorId="0" shapeId="0" xr:uid="{00000000-0006-0000-0300-000045000000}">
      <text>
        <r>
          <rPr>
            <b/>
            <sz val="11"/>
            <color indexed="81"/>
            <rFont val="Tahoma"/>
            <family val="2"/>
          </rPr>
          <t>Part O, Line 7b, column c, Op Rep</t>
        </r>
      </text>
    </comment>
    <comment ref="F48" authorId="0" shapeId="0" xr:uid="{00000000-0006-0000-0300-000046000000}">
      <text>
        <r>
          <rPr>
            <b/>
            <sz val="11"/>
            <color indexed="81"/>
            <rFont val="Tahoma"/>
            <family val="2"/>
          </rPr>
          <t>Part O, Line 7b, column c, Op Rep</t>
        </r>
      </text>
    </comment>
    <comment ref="G48" authorId="0" shapeId="0" xr:uid="{00000000-0006-0000-0300-000047000000}">
      <text>
        <r>
          <rPr>
            <b/>
            <sz val="11"/>
            <color indexed="81"/>
            <rFont val="Tahoma"/>
            <family val="2"/>
          </rPr>
          <t>Enter Projected
KWH Annual Sales</t>
        </r>
      </text>
    </comment>
    <comment ref="D49" authorId="0" shapeId="0" xr:uid="{00000000-0006-0000-0300-000048000000}">
      <text>
        <r>
          <rPr>
            <b/>
            <sz val="11"/>
            <color indexed="81"/>
            <rFont val="Tahoma"/>
            <family val="2"/>
          </rPr>
          <t>Part O, Line 8b, column c, Op Rep</t>
        </r>
      </text>
    </comment>
    <comment ref="E49" authorId="0" shapeId="0" xr:uid="{00000000-0006-0000-0300-000049000000}">
      <text>
        <r>
          <rPr>
            <b/>
            <sz val="11"/>
            <color indexed="81"/>
            <rFont val="Tahoma"/>
            <family val="2"/>
          </rPr>
          <t>Part O, Line 8b, column c, Op Rep</t>
        </r>
      </text>
    </comment>
    <comment ref="F49" authorId="0" shapeId="0" xr:uid="{00000000-0006-0000-0300-00004A000000}">
      <text>
        <r>
          <rPr>
            <b/>
            <sz val="11"/>
            <color indexed="81"/>
            <rFont val="Tahoma"/>
            <family val="2"/>
          </rPr>
          <t>Part O, Line 8b, column c, Op Rep</t>
        </r>
      </text>
    </comment>
    <comment ref="G49" authorId="0" shapeId="0" xr:uid="{00000000-0006-0000-0300-00004B000000}">
      <text>
        <r>
          <rPr>
            <b/>
            <sz val="11"/>
            <color indexed="81"/>
            <rFont val="Tahoma"/>
            <family val="2"/>
          </rPr>
          <t>Enter Projected
KWH Annual Sales</t>
        </r>
      </text>
    </comment>
    <comment ref="D50" authorId="0" shapeId="0" xr:uid="{00000000-0006-0000-0300-00004C000000}">
      <text>
        <r>
          <rPr>
            <b/>
            <sz val="11"/>
            <color indexed="81"/>
            <rFont val="Tahoma"/>
            <family val="2"/>
          </rPr>
          <t>Part O, Line 9b, column c, Op Rep</t>
        </r>
      </text>
    </comment>
    <comment ref="E50" authorId="0" shapeId="0" xr:uid="{00000000-0006-0000-0300-00004D000000}">
      <text>
        <r>
          <rPr>
            <b/>
            <sz val="11"/>
            <color indexed="81"/>
            <rFont val="Tahoma"/>
            <family val="2"/>
          </rPr>
          <t>Part O, Line 9b, column c, Op Rep</t>
        </r>
      </text>
    </comment>
    <comment ref="F50" authorId="0" shapeId="0" xr:uid="{00000000-0006-0000-0300-00004E000000}">
      <text>
        <r>
          <rPr>
            <b/>
            <sz val="11"/>
            <color indexed="81"/>
            <rFont val="Tahoma"/>
            <family val="2"/>
          </rPr>
          <t>Part O, Line 9b, column c, Op Rep</t>
        </r>
      </text>
    </comment>
    <comment ref="G50" authorId="0" shapeId="0" xr:uid="{00000000-0006-0000-0300-00004F000000}">
      <text>
        <r>
          <rPr>
            <b/>
            <sz val="11"/>
            <color indexed="81"/>
            <rFont val="Tahoma"/>
            <family val="2"/>
          </rPr>
          <t>Enter Projected
KWH Annual Sales</t>
        </r>
      </text>
    </comment>
    <comment ref="G51" authorId="0" shapeId="0" xr:uid="{00000000-0006-0000-0300-000050000000}">
      <text>
        <r>
          <rPr>
            <b/>
            <sz val="11"/>
            <color indexed="81"/>
            <rFont val="Tahoma"/>
            <family val="2"/>
          </rPr>
          <t>Enter Projected
KWH Annual Sales</t>
        </r>
      </text>
    </comment>
    <comment ref="D55" authorId="0" shapeId="0" xr:uid="{00000000-0006-0000-0300-000051000000}">
      <text>
        <r>
          <rPr>
            <b/>
            <sz val="10"/>
            <color indexed="81"/>
            <rFont val="Tahoma"/>
            <family val="2"/>
          </rPr>
          <t>Enter amount of kWh sold not subject to Line Loss.</t>
        </r>
      </text>
    </comment>
    <comment ref="E55" authorId="0" shapeId="0" xr:uid="{00000000-0006-0000-0300-000052000000}">
      <text>
        <r>
          <rPr>
            <b/>
            <sz val="10"/>
            <color indexed="81"/>
            <rFont val="Tahoma"/>
            <family val="2"/>
          </rPr>
          <t>Enter amount of kWh sold not subject to Line Loss 
(in most cases this is zero).</t>
        </r>
      </text>
    </comment>
    <comment ref="F55" authorId="0" shapeId="0" xr:uid="{00000000-0006-0000-0300-000053000000}">
      <text>
        <r>
          <rPr>
            <b/>
            <sz val="10"/>
            <color indexed="81"/>
            <rFont val="Tahoma"/>
            <family val="2"/>
          </rPr>
          <t>Enter amount of kWh sold not subject to Line Loss 
(in most cases this is zero).</t>
        </r>
      </text>
    </comment>
    <comment ref="D56" authorId="0" shapeId="0" xr:uid="{00000000-0006-0000-0300-000054000000}">
      <text>
        <r>
          <rPr>
            <b/>
            <sz val="10"/>
            <color indexed="81"/>
            <rFont val="Tahoma"/>
            <family val="2"/>
          </rPr>
          <t>Enter amount of kWh sold not subject to Power Cost 
(in most cases this is zero).</t>
        </r>
      </text>
    </comment>
    <comment ref="E56" authorId="0" shapeId="0" xr:uid="{00000000-0006-0000-0300-000055000000}">
      <text>
        <r>
          <rPr>
            <b/>
            <sz val="10"/>
            <color indexed="81"/>
            <rFont val="Tahoma"/>
            <family val="2"/>
          </rPr>
          <t>Enter amount of kWh sold not subject to Power Cost 
(in most cases this is zero).</t>
        </r>
      </text>
    </comment>
    <comment ref="F56" authorId="0" shapeId="0" xr:uid="{00000000-0006-0000-0300-000056000000}">
      <text>
        <r>
          <rPr>
            <b/>
            <sz val="10"/>
            <color indexed="81"/>
            <rFont val="Tahoma"/>
            <family val="2"/>
          </rPr>
          <t>Enter amount of kWh sold not subject to Power Cost 
(in most cases this is zero).</t>
        </r>
      </text>
    </comment>
    <comment ref="D57" authorId="0" shapeId="0" xr:uid="{00000000-0006-0000-0300-000057000000}">
      <text>
        <r>
          <rPr>
            <b/>
            <sz val="11"/>
            <color indexed="81"/>
            <rFont val="Tahoma"/>
            <family val="2"/>
          </rPr>
          <t>Part O, Line 15, Op Rep</t>
        </r>
      </text>
    </comment>
    <comment ref="E57" authorId="0" shapeId="0" xr:uid="{00000000-0006-0000-0300-000058000000}">
      <text>
        <r>
          <rPr>
            <b/>
            <sz val="11"/>
            <color indexed="81"/>
            <rFont val="Tahoma"/>
            <family val="2"/>
          </rPr>
          <t>Part O, Line 15, Op Rep</t>
        </r>
      </text>
    </comment>
    <comment ref="F57" authorId="0" shapeId="0" xr:uid="{00000000-0006-0000-0300-000059000000}">
      <text>
        <r>
          <rPr>
            <b/>
            <sz val="11"/>
            <color indexed="81"/>
            <rFont val="Tahoma"/>
            <family val="2"/>
          </rPr>
          <t>Part O, Line 15, Op Rep</t>
        </r>
      </text>
    </comment>
    <comment ref="G57" authorId="0" shapeId="0" xr:uid="{00000000-0006-0000-0300-00005A000000}">
      <text>
        <r>
          <rPr>
            <b/>
            <sz val="11"/>
            <color indexed="81"/>
            <rFont val="Tahoma"/>
            <family val="2"/>
          </rPr>
          <t>Enter Projected
System Own Use
in KWH</t>
        </r>
      </text>
    </comment>
    <comment ref="H57" authorId="0" shapeId="0" xr:uid="{00000000-0006-0000-0300-00005B000000}">
      <text>
        <r>
          <rPr>
            <b/>
            <sz val="11"/>
            <color indexed="81"/>
            <rFont val="Tahoma"/>
            <family val="2"/>
          </rPr>
          <t>Enter Projected
System Own Use
in KWH</t>
        </r>
      </text>
    </comment>
    <comment ref="I57" authorId="0" shapeId="0" xr:uid="{00000000-0006-0000-0300-00005C000000}">
      <text>
        <r>
          <rPr>
            <b/>
            <sz val="11"/>
            <color indexed="81"/>
            <rFont val="Tahoma"/>
            <family val="2"/>
          </rPr>
          <t>Enter Projected
System Own Use
in KWH</t>
        </r>
      </text>
    </comment>
    <comment ref="J57" authorId="0" shapeId="0" xr:uid="{00000000-0006-0000-0300-00005D000000}">
      <text>
        <r>
          <rPr>
            <b/>
            <sz val="11"/>
            <color indexed="81"/>
            <rFont val="Tahoma"/>
            <family val="2"/>
          </rPr>
          <t>Enter Projected
System Own Use
in KWH</t>
        </r>
      </text>
    </comment>
    <comment ref="K57" authorId="0" shapeId="0" xr:uid="{00000000-0006-0000-0300-00005E000000}">
      <text>
        <r>
          <rPr>
            <b/>
            <sz val="11"/>
            <color indexed="81"/>
            <rFont val="Tahoma"/>
            <family val="2"/>
          </rPr>
          <t>Enter Projected
System Own Use
in KWH</t>
        </r>
      </text>
    </comment>
    <comment ref="L57" authorId="0" shapeId="0" xr:uid="{00000000-0006-0000-0300-00005F000000}">
      <text>
        <r>
          <rPr>
            <b/>
            <sz val="11"/>
            <color indexed="81"/>
            <rFont val="Tahoma"/>
            <family val="2"/>
          </rPr>
          <t>Enter Projected
System Own Use
in KWH</t>
        </r>
      </text>
    </comment>
    <comment ref="M57" authorId="0" shapeId="0" xr:uid="{00000000-0006-0000-0300-000060000000}">
      <text>
        <r>
          <rPr>
            <b/>
            <sz val="11"/>
            <color indexed="81"/>
            <rFont val="Tahoma"/>
            <family val="2"/>
          </rPr>
          <t>Enter Projected
System Own Use
in KWH</t>
        </r>
      </text>
    </comment>
    <comment ref="N57" authorId="0" shapeId="0" xr:uid="{00000000-0006-0000-0300-000061000000}">
      <text>
        <r>
          <rPr>
            <b/>
            <sz val="11"/>
            <color indexed="81"/>
            <rFont val="Tahoma"/>
            <family val="2"/>
          </rPr>
          <t>Enter Projected
System Own Use
in KWH</t>
        </r>
      </text>
    </comment>
    <comment ref="O57" authorId="0" shapeId="0" xr:uid="{00000000-0006-0000-0300-000062000000}">
      <text>
        <r>
          <rPr>
            <b/>
            <sz val="11"/>
            <color indexed="81"/>
            <rFont val="Tahoma"/>
            <family val="2"/>
          </rPr>
          <t>Enter Projected
System Own Use
in KWH</t>
        </r>
      </text>
    </comment>
    <comment ref="P57" authorId="0" shapeId="0" xr:uid="{00000000-0006-0000-0300-000063000000}">
      <text>
        <r>
          <rPr>
            <b/>
            <sz val="11"/>
            <color indexed="81"/>
            <rFont val="Tahoma"/>
            <family val="2"/>
          </rPr>
          <t>Enter Projected
System Own Use
in KWH</t>
        </r>
      </text>
    </comment>
    <comment ref="G59" authorId="0" shapeId="0" xr:uid="{00000000-0006-0000-0300-000064000000}">
      <text>
        <r>
          <rPr>
            <b/>
            <sz val="11"/>
            <color indexed="81"/>
            <rFont val="Tahoma"/>
            <family val="2"/>
          </rPr>
          <t>Enter Projected
System Losses (%)</t>
        </r>
      </text>
    </comment>
    <comment ref="H59" authorId="0" shapeId="0" xr:uid="{00000000-0006-0000-0300-000065000000}">
      <text>
        <r>
          <rPr>
            <b/>
            <sz val="11"/>
            <color indexed="81"/>
            <rFont val="Tahoma"/>
            <family val="2"/>
          </rPr>
          <t>Enter Projected
System Losses (%)</t>
        </r>
      </text>
    </comment>
    <comment ref="I59" authorId="0" shapeId="0" xr:uid="{00000000-0006-0000-0300-000066000000}">
      <text>
        <r>
          <rPr>
            <b/>
            <sz val="11"/>
            <color indexed="81"/>
            <rFont val="Tahoma"/>
            <family val="2"/>
          </rPr>
          <t>Enter Projected
System Losses (%)</t>
        </r>
      </text>
    </comment>
    <comment ref="J59" authorId="0" shapeId="0" xr:uid="{00000000-0006-0000-0300-000067000000}">
      <text>
        <r>
          <rPr>
            <b/>
            <sz val="11"/>
            <color indexed="81"/>
            <rFont val="Tahoma"/>
            <family val="2"/>
          </rPr>
          <t>Enter Projected
System Losses (%)</t>
        </r>
      </text>
    </comment>
    <comment ref="K59" authorId="0" shapeId="0" xr:uid="{00000000-0006-0000-0300-000068000000}">
      <text>
        <r>
          <rPr>
            <b/>
            <sz val="11"/>
            <color indexed="81"/>
            <rFont val="Tahoma"/>
            <family val="2"/>
          </rPr>
          <t>Enter Projected
System Losses (%)</t>
        </r>
      </text>
    </comment>
    <comment ref="L59" authorId="0" shapeId="0" xr:uid="{00000000-0006-0000-0300-000069000000}">
      <text>
        <r>
          <rPr>
            <b/>
            <sz val="11"/>
            <color indexed="81"/>
            <rFont val="Tahoma"/>
            <family val="2"/>
          </rPr>
          <t>Enter Projected
System Losses (%)</t>
        </r>
      </text>
    </comment>
    <comment ref="M59" authorId="0" shapeId="0" xr:uid="{00000000-0006-0000-0300-00006A000000}">
      <text>
        <r>
          <rPr>
            <b/>
            <sz val="11"/>
            <color indexed="81"/>
            <rFont val="Tahoma"/>
            <family val="2"/>
          </rPr>
          <t>Enter Projected
System Losses (%)</t>
        </r>
      </text>
    </comment>
    <comment ref="N59" authorId="0" shapeId="0" xr:uid="{00000000-0006-0000-0300-00006B000000}">
      <text>
        <r>
          <rPr>
            <b/>
            <sz val="11"/>
            <color indexed="81"/>
            <rFont val="Tahoma"/>
            <family val="2"/>
          </rPr>
          <t>Enter Projected
System Losses (%)</t>
        </r>
      </text>
    </comment>
    <comment ref="O59" authorId="0" shapeId="0" xr:uid="{00000000-0006-0000-0300-00006C000000}">
      <text>
        <r>
          <rPr>
            <b/>
            <sz val="11"/>
            <color indexed="81"/>
            <rFont val="Tahoma"/>
            <family val="2"/>
          </rPr>
          <t>Enter Projected
System Losses (%)</t>
        </r>
      </text>
    </comment>
    <comment ref="P59" authorId="0" shapeId="0" xr:uid="{00000000-0006-0000-0300-00006D000000}">
      <text>
        <r>
          <rPr>
            <b/>
            <sz val="11"/>
            <color indexed="81"/>
            <rFont val="Tahoma"/>
            <family val="2"/>
          </rPr>
          <t>Enter Projected
System Losses (%)</t>
        </r>
      </text>
    </comment>
    <comment ref="D61" authorId="0" shapeId="0" xr:uid="{00000000-0006-0000-0300-00006E000000}">
      <text>
        <r>
          <rPr>
            <b/>
            <sz val="11"/>
            <color indexed="81"/>
            <rFont val="Tahoma"/>
            <family val="2"/>
          </rPr>
          <t>Part O, Line 16 plus Line 17, Op Rep</t>
        </r>
      </text>
    </comment>
    <comment ref="E61" authorId="0" shapeId="0" xr:uid="{00000000-0006-0000-0300-00006F000000}">
      <text>
        <r>
          <rPr>
            <b/>
            <sz val="11"/>
            <color indexed="81"/>
            <rFont val="Tahoma"/>
            <family val="2"/>
          </rPr>
          <t>Part O, Line 16 plus Line 17, Op Rep</t>
        </r>
      </text>
    </comment>
    <comment ref="F61" authorId="0" shapeId="0" xr:uid="{00000000-0006-0000-0300-000070000000}">
      <text>
        <r>
          <rPr>
            <b/>
            <sz val="11"/>
            <color indexed="81"/>
            <rFont val="Tahoma"/>
            <family val="2"/>
          </rPr>
          <t>Part O, Line 16 plus Line 17, Op Rep</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Howard Barnes</author>
    <author>Edward J. Moran</author>
  </authors>
  <commentList>
    <comment ref="B7" authorId="0" shapeId="0" xr:uid="{00000000-0006-0000-0C00-000001000000}">
      <text>
        <r>
          <rPr>
            <b/>
            <sz val="11"/>
            <color indexed="81"/>
            <rFont val="Tahoma"/>
            <family val="2"/>
          </rPr>
          <t>Enter Note Identification, as desired.</t>
        </r>
      </text>
    </comment>
    <comment ref="D7" authorId="1" shapeId="0" xr:uid="{00000000-0006-0000-0C00-000002000000}">
      <text>
        <r>
          <rPr>
            <b/>
            <sz val="10"/>
            <color indexed="81"/>
            <rFont val="Tahoma"/>
            <family val="2"/>
          </rPr>
          <t>Enter F if existing debt is for a fixed interest rate or V if the existing loan is at the variable rate.</t>
        </r>
      </text>
    </comment>
    <comment ref="B8" authorId="0" shapeId="0" xr:uid="{00000000-0006-0000-0C00-000003000000}">
      <text>
        <r>
          <rPr>
            <b/>
            <sz val="12"/>
            <color indexed="81"/>
            <rFont val="Tahoma"/>
            <family val="2"/>
          </rPr>
          <t>Date of Note used to determine beginning date for loan amoritization.</t>
        </r>
      </text>
    </comment>
    <comment ref="D8" authorId="0" shapeId="0" xr:uid="{00000000-0006-0000-0C00-000004000000}">
      <text>
        <r>
          <rPr>
            <b/>
            <sz val="12"/>
            <color indexed="81"/>
            <rFont val="Tahoma"/>
            <family val="2"/>
          </rPr>
          <t>This is the interest rate being used for the particular year and note.</t>
        </r>
      </text>
    </comment>
    <comment ref="B9" authorId="0" shapeId="0" xr:uid="{00000000-0006-0000-0C00-000005000000}">
      <text>
        <r>
          <rPr>
            <b/>
            <sz val="12"/>
            <color indexed="81"/>
            <rFont val="Tahoma"/>
            <family val="2"/>
          </rPr>
          <t>Original Loan Amount</t>
        </r>
      </text>
    </comment>
    <comment ref="D9" authorId="0" shapeId="0" xr:uid="{00000000-0006-0000-0C00-000006000000}">
      <text>
        <r>
          <rPr>
            <b/>
            <sz val="12"/>
            <color indexed="81"/>
            <rFont val="Tahoma"/>
            <family val="2"/>
          </rPr>
          <t>Principal balance of loan as of end of previous year.</t>
        </r>
      </text>
    </comment>
    <comment ref="B10" authorId="0" shapeId="0" xr:uid="{00000000-0006-0000-0C00-000007000000}">
      <text>
        <r>
          <rPr>
            <b/>
            <sz val="12"/>
            <color indexed="81"/>
            <rFont val="Tahoma"/>
            <family val="2"/>
          </rPr>
          <t>The length of the loan or the total period for repayment</t>
        </r>
      </text>
    </comment>
    <comment ref="B11" authorId="0" shapeId="0" xr:uid="{00000000-0006-0000-0C00-000008000000}">
      <text>
        <r>
          <rPr>
            <b/>
            <sz val="12"/>
            <color indexed="81"/>
            <rFont val="Tahoma"/>
            <family val="2"/>
          </rPr>
          <t xml:space="preserve">Unless otherwise specified, this rate will be equal to that on the input sheet, and will be used unless the loan is repriced.  </t>
        </r>
      </text>
    </comment>
    <comment ref="B12" authorId="1" shapeId="0" xr:uid="{00000000-0006-0000-0C00-000009000000}">
      <text>
        <r>
          <rPr>
            <b/>
            <sz val="12"/>
            <color indexed="81"/>
            <rFont val="Arial"/>
            <family val="2"/>
          </rPr>
          <t>The number of payments per year.</t>
        </r>
        <r>
          <rPr>
            <b/>
            <sz val="10"/>
            <color indexed="81"/>
            <rFont val="Tahoma"/>
            <family val="2"/>
          </rPr>
          <t xml:space="preserve">
</t>
        </r>
      </text>
    </comment>
    <comment ref="B13" authorId="1" shapeId="0" xr:uid="{00000000-0006-0000-0C00-00000A000000}">
      <text>
        <r>
          <rPr>
            <b/>
            <sz val="10"/>
            <color indexed="81"/>
            <rFont val="Tahoma"/>
            <family val="2"/>
          </rPr>
          <t>Insert "Y", if the repayment is made using level principal payments</t>
        </r>
      </text>
    </comment>
    <comment ref="D13" authorId="0" shapeId="0" xr:uid="{00000000-0006-0000-0C00-00000B000000}">
      <text>
        <r>
          <rPr>
            <b/>
            <sz val="12"/>
            <color indexed="81"/>
            <rFont val="Tahoma"/>
            <family val="2"/>
          </rPr>
          <t>Enter any principal payments to be made ahead of schedule.  This can be used for a balloon note, etc.</t>
        </r>
      </text>
    </comment>
    <comment ref="B14" authorId="0" shapeId="0" xr:uid="{00000000-0006-0000-0C00-00000C000000}">
      <text>
        <r>
          <rPr>
            <b/>
            <sz val="12"/>
            <color indexed="81"/>
            <rFont val="Tahoma"/>
            <family val="2"/>
          </rPr>
          <t>Year in which Loan is to be Repriced; if not specific (or Zero), loan will not reprice.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Howard Barnes</author>
    <author>Edward J. Moran</author>
  </authors>
  <commentList>
    <comment ref="B7" authorId="0" shapeId="0" xr:uid="{00000000-0006-0000-0D00-000001000000}">
      <text>
        <r>
          <rPr>
            <b/>
            <sz val="11"/>
            <color indexed="81"/>
            <rFont val="Tahoma"/>
            <family val="2"/>
          </rPr>
          <t>Enter Note Identification, as desired.</t>
        </r>
      </text>
    </comment>
    <comment ref="D7" authorId="1" shapeId="0" xr:uid="{00000000-0006-0000-0D00-000002000000}">
      <text>
        <r>
          <rPr>
            <b/>
            <sz val="10"/>
            <color indexed="81"/>
            <rFont val="Tahoma"/>
            <family val="2"/>
          </rPr>
          <t>Enter F if existing debt is for a fixed interest rate or V if the existing loan is at the variable rate.</t>
        </r>
      </text>
    </comment>
    <comment ref="B8" authorId="0" shapeId="0" xr:uid="{00000000-0006-0000-0D00-000003000000}">
      <text>
        <r>
          <rPr>
            <b/>
            <sz val="12"/>
            <color indexed="81"/>
            <rFont val="Tahoma"/>
            <family val="2"/>
          </rPr>
          <t>Date of Note used to determine beginning date for loan amoritization.</t>
        </r>
      </text>
    </comment>
    <comment ref="D8" authorId="0" shapeId="0" xr:uid="{00000000-0006-0000-0D00-000004000000}">
      <text>
        <r>
          <rPr>
            <b/>
            <sz val="12"/>
            <color indexed="81"/>
            <rFont val="Tahoma"/>
            <family val="2"/>
          </rPr>
          <t>This is the interest rate being used for the particular year and note.</t>
        </r>
      </text>
    </comment>
    <comment ref="B9" authorId="0" shapeId="0" xr:uid="{00000000-0006-0000-0D00-000005000000}">
      <text>
        <r>
          <rPr>
            <b/>
            <sz val="12"/>
            <color indexed="81"/>
            <rFont val="Tahoma"/>
            <family val="2"/>
          </rPr>
          <t>Original Loan Amount</t>
        </r>
      </text>
    </comment>
    <comment ref="D9" authorId="0" shapeId="0" xr:uid="{00000000-0006-0000-0D00-000006000000}">
      <text>
        <r>
          <rPr>
            <b/>
            <sz val="12"/>
            <color indexed="81"/>
            <rFont val="Tahoma"/>
            <family val="2"/>
          </rPr>
          <t>Principal balance of loan as of end of previous year.</t>
        </r>
      </text>
    </comment>
    <comment ref="B10" authorId="0" shapeId="0" xr:uid="{00000000-0006-0000-0D00-000007000000}">
      <text>
        <r>
          <rPr>
            <b/>
            <sz val="12"/>
            <color indexed="81"/>
            <rFont val="Tahoma"/>
            <family val="2"/>
          </rPr>
          <t>The length of the loan or the total period for repayment</t>
        </r>
      </text>
    </comment>
    <comment ref="B11" authorId="0" shapeId="0" xr:uid="{00000000-0006-0000-0D00-000008000000}">
      <text>
        <r>
          <rPr>
            <b/>
            <sz val="12"/>
            <color indexed="81"/>
            <rFont val="Tahoma"/>
            <family val="2"/>
          </rPr>
          <t xml:space="preserve">Unless otherwise specified, this rate will be equal to that on the input sheet, and will be used unless the loan is repriced.  </t>
        </r>
      </text>
    </comment>
    <comment ref="B12" authorId="1" shapeId="0" xr:uid="{00000000-0006-0000-0D00-000009000000}">
      <text>
        <r>
          <rPr>
            <b/>
            <sz val="12"/>
            <color indexed="81"/>
            <rFont val="Arial"/>
            <family val="2"/>
          </rPr>
          <t xml:space="preserve">The number of payments per year.
</t>
        </r>
      </text>
    </comment>
    <comment ref="B13" authorId="1" shapeId="0" xr:uid="{00000000-0006-0000-0D00-00000A000000}">
      <text>
        <r>
          <rPr>
            <b/>
            <sz val="10"/>
            <color indexed="81"/>
            <rFont val="Tahoma"/>
            <family val="2"/>
          </rPr>
          <t>Insert "Y", if the repayment is made using level principal payments</t>
        </r>
      </text>
    </comment>
    <comment ref="D13" authorId="0" shapeId="0" xr:uid="{00000000-0006-0000-0D00-00000B000000}">
      <text>
        <r>
          <rPr>
            <b/>
            <sz val="12"/>
            <color indexed="81"/>
            <rFont val="Tahoma"/>
            <family val="2"/>
          </rPr>
          <t>Enter any principal payments to be made ahead of schedule.  This can be used for a balloon note, etc.</t>
        </r>
      </text>
    </comment>
    <comment ref="B14" authorId="0" shapeId="0" xr:uid="{00000000-0006-0000-0D00-00000C000000}">
      <text>
        <r>
          <rPr>
            <b/>
            <sz val="12"/>
            <color indexed="81"/>
            <rFont val="Tahoma"/>
            <family val="2"/>
          </rPr>
          <t>Year in which Loan is to be Repriced; if not specific (or Zero), loan will not reprice.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Howard Barnes</author>
    <author>Edward J. Moran</author>
  </authors>
  <commentList>
    <comment ref="D8" authorId="0" shapeId="0" xr:uid="{00000000-0006-0000-0E00-000001000000}">
      <text>
        <r>
          <rPr>
            <b/>
            <sz val="12"/>
            <color indexed="81"/>
            <rFont val="Tahoma"/>
            <family val="2"/>
          </rPr>
          <t>This is the interest rate being used for the particular year and note.</t>
        </r>
      </text>
    </comment>
    <comment ref="B10" authorId="0" shapeId="0" xr:uid="{00000000-0006-0000-0E00-000002000000}">
      <text>
        <r>
          <rPr>
            <b/>
            <sz val="12"/>
            <color indexed="81"/>
            <rFont val="Arial"/>
            <family val="2"/>
          </rPr>
          <t>The length of the loan or the total period for repayment</t>
        </r>
      </text>
    </comment>
    <comment ref="B11" authorId="0" shapeId="0" xr:uid="{00000000-0006-0000-0E00-000003000000}">
      <text>
        <r>
          <rPr>
            <b/>
            <sz val="12"/>
            <color indexed="81"/>
            <rFont val="Arial"/>
            <family val="2"/>
          </rPr>
          <t xml:space="preserve">Unless otherwise specified, this rate will be equal to that on the input sheet, and will be used unless the loan is repriced.  </t>
        </r>
      </text>
    </comment>
    <comment ref="B12" authorId="1" shapeId="0" xr:uid="{00000000-0006-0000-0E00-000004000000}">
      <text>
        <r>
          <rPr>
            <b/>
            <sz val="12"/>
            <color indexed="81"/>
            <rFont val="Tahoma"/>
            <family val="2"/>
          </rPr>
          <t>The number of payments per year.</t>
        </r>
        <r>
          <rPr>
            <sz val="8"/>
            <color indexed="81"/>
            <rFont val="Tahoma"/>
            <family val="2"/>
          </rPr>
          <t xml:space="preserve">
</t>
        </r>
      </text>
    </comment>
    <comment ref="B13" authorId="0" shapeId="0" xr:uid="{00000000-0006-0000-0E00-000005000000}">
      <text>
        <r>
          <rPr>
            <b/>
            <sz val="12"/>
            <color indexed="81"/>
            <rFont val="Tahoma"/>
            <family val="2"/>
          </rPr>
          <t>Enter "Y" if the principal repayment is deferred.</t>
        </r>
      </text>
    </comment>
    <comment ref="D13" authorId="1" shapeId="0" xr:uid="{00000000-0006-0000-0E00-000006000000}">
      <text>
        <r>
          <rPr>
            <b/>
            <sz val="12"/>
            <color indexed="81"/>
            <rFont val="Arial"/>
            <family val="2"/>
          </rPr>
          <t>Enter any principal payments to be made ahead of schedule.  This can be used for a balloon note, etc.</t>
        </r>
      </text>
    </comment>
    <comment ref="B14" authorId="0" shapeId="0" xr:uid="{00000000-0006-0000-0E00-000007000000}">
      <text>
        <r>
          <rPr>
            <b/>
            <sz val="12"/>
            <color indexed="81"/>
            <rFont val="Arial"/>
            <family val="2"/>
          </rPr>
          <t>Insert "Y", if the repayment is made using level principal payments</t>
        </r>
      </text>
    </comment>
    <comment ref="B17" authorId="1" shapeId="0" xr:uid="{00000000-0006-0000-0E00-000008000000}">
      <text>
        <r>
          <rPr>
            <b/>
            <sz val="12"/>
            <color indexed="81"/>
            <rFont val="Arial"/>
            <family val="2"/>
          </rPr>
          <t>Year in which Loan is to be Repriced; if not specific (or Zero), loan will not reprice.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Howard Barnes</author>
    <author>Edward J. Moran</author>
  </authors>
  <commentList>
    <comment ref="D8" authorId="0" shapeId="0" xr:uid="{00000000-0006-0000-0F00-000001000000}">
      <text>
        <r>
          <rPr>
            <b/>
            <sz val="12"/>
            <color indexed="81"/>
            <rFont val="Tahoma"/>
            <family val="2"/>
          </rPr>
          <t>This is the interest rate being used for the particular year and note.</t>
        </r>
      </text>
    </comment>
    <comment ref="B10" authorId="0" shapeId="0" xr:uid="{00000000-0006-0000-0F00-000002000000}">
      <text>
        <r>
          <rPr>
            <b/>
            <sz val="12"/>
            <color indexed="81"/>
            <rFont val="Tahoma"/>
            <family val="2"/>
          </rPr>
          <t>The length of the loan or the total period for repayment</t>
        </r>
      </text>
    </comment>
    <comment ref="B11" authorId="0" shapeId="0" xr:uid="{00000000-0006-0000-0F00-000003000000}">
      <text>
        <r>
          <rPr>
            <b/>
            <sz val="12"/>
            <color indexed="81"/>
            <rFont val="Tahoma"/>
            <family val="2"/>
          </rPr>
          <t xml:space="preserve">Unless otherwise specified, this rate will be equal to that on the input sheet, and will be used unless the loan is repriced.  </t>
        </r>
      </text>
    </comment>
    <comment ref="B12" authorId="1" shapeId="0" xr:uid="{00000000-0006-0000-0F00-000004000000}">
      <text>
        <r>
          <rPr>
            <b/>
            <sz val="12"/>
            <color indexed="81"/>
            <rFont val="Tahoma"/>
            <family val="2"/>
          </rPr>
          <t>The number of payments per year.</t>
        </r>
        <r>
          <rPr>
            <sz val="8"/>
            <color indexed="81"/>
            <rFont val="Tahoma"/>
            <family val="2"/>
          </rPr>
          <t xml:space="preserve">
</t>
        </r>
      </text>
    </comment>
    <comment ref="B13" authorId="0" shapeId="0" xr:uid="{00000000-0006-0000-0F00-000005000000}">
      <text>
        <r>
          <rPr>
            <b/>
            <sz val="12"/>
            <color indexed="81"/>
            <rFont val="Tahoma"/>
            <family val="2"/>
          </rPr>
          <t>Enter "Y" if the principal repayment is deferred.</t>
        </r>
      </text>
    </comment>
    <comment ref="D13" authorId="1" shapeId="0" xr:uid="{00000000-0006-0000-0F00-000006000000}">
      <text>
        <r>
          <rPr>
            <b/>
            <sz val="12"/>
            <color indexed="81"/>
            <rFont val="Tahoma"/>
            <family val="2"/>
          </rPr>
          <t>Enter any principal payments to be made ahead of schedule.  This can be used for a balloon note, etc.</t>
        </r>
      </text>
    </comment>
    <comment ref="B14" authorId="0" shapeId="0" xr:uid="{00000000-0006-0000-0F00-000007000000}">
      <text>
        <r>
          <rPr>
            <b/>
            <sz val="12"/>
            <color indexed="81"/>
            <rFont val="Tahoma"/>
            <family val="2"/>
          </rPr>
          <t>Insert "Y", if the repayment is made using level principal payments</t>
        </r>
      </text>
    </comment>
    <comment ref="B17" authorId="1" shapeId="0" xr:uid="{00000000-0006-0000-0F00-000008000000}">
      <text>
        <r>
          <rPr>
            <b/>
            <sz val="12"/>
            <color indexed="81"/>
            <rFont val="Tahoma"/>
            <family val="2"/>
          </rPr>
          <t>Year in which Loan is to be Repriced; if not specific (or Zero), loan will not reprice.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Howard Barnes</author>
    <author>Edward J. Moran</author>
  </authors>
  <commentList>
    <comment ref="D8" authorId="0" shapeId="0" xr:uid="{00000000-0006-0000-1000-000001000000}">
      <text>
        <r>
          <rPr>
            <b/>
            <sz val="12"/>
            <color indexed="81"/>
            <rFont val="Tahoma"/>
            <family val="2"/>
          </rPr>
          <t>This is the interest rate being used for the particular year and note.</t>
        </r>
      </text>
    </comment>
    <comment ref="B10" authorId="0" shapeId="0" xr:uid="{00000000-0006-0000-1000-000002000000}">
      <text>
        <r>
          <rPr>
            <b/>
            <sz val="12"/>
            <color indexed="81"/>
            <rFont val="Tahoma"/>
            <family val="2"/>
          </rPr>
          <t>The length of the loan or the total period for repayment</t>
        </r>
      </text>
    </comment>
    <comment ref="B11" authorId="0" shapeId="0" xr:uid="{00000000-0006-0000-1000-000003000000}">
      <text>
        <r>
          <rPr>
            <b/>
            <sz val="12"/>
            <color indexed="81"/>
            <rFont val="Tahoma"/>
            <family val="2"/>
          </rPr>
          <t xml:space="preserve">Unless otherwise specified, this rate will be equal to that on the input sheet, and will be used unless the loan is repriced.  </t>
        </r>
      </text>
    </comment>
    <comment ref="B12" authorId="1" shapeId="0" xr:uid="{00000000-0006-0000-1000-000004000000}">
      <text>
        <r>
          <rPr>
            <b/>
            <sz val="12"/>
            <color indexed="81"/>
            <rFont val="Tahoma"/>
            <family val="2"/>
          </rPr>
          <t>The number of payments per year.</t>
        </r>
        <r>
          <rPr>
            <sz val="8"/>
            <color indexed="81"/>
            <rFont val="Tahoma"/>
            <family val="2"/>
          </rPr>
          <t xml:space="preserve">
</t>
        </r>
      </text>
    </comment>
    <comment ref="B13" authorId="0" shapeId="0" xr:uid="{00000000-0006-0000-1000-000005000000}">
      <text>
        <r>
          <rPr>
            <b/>
            <sz val="12"/>
            <color indexed="81"/>
            <rFont val="Tahoma"/>
            <family val="2"/>
          </rPr>
          <t>Enter "Y" if the principal repayment is deferred.</t>
        </r>
      </text>
    </comment>
    <comment ref="D13" authorId="1" shapeId="0" xr:uid="{00000000-0006-0000-1000-000006000000}">
      <text>
        <r>
          <rPr>
            <b/>
            <sz val="12"/>
            <color indexed="81"/>
            <rFont val="Tahoma"/>
            <family val="2"/>
          </rPr>
          <t>Enter any principal payments to be made ahead of schedule.  This can be used for a balloon note, etc.</t>
        </r>
      </text>
    </comment>
    <comment ref="B14" authorId="0" shapeId="0" xr:uid="{00000000-0006-0000-1000-000007000000}">
      <text>
        <r>
          <rPr>
            <b/>
            <sz val="12"/>
            <color indexed="81"/>
            <rFont val="Tahoma"/>
            <family val="2"/>
          </rPr>
          <t>Insert "Y", if the repayment is made using level principal payments</t>
        </r>
      </text>
    </comment>
    <comment ref="B17" authorId="1" shapeId="0" xr:uid="{00000000-0006-0000-1000-000008000000}">
      <text>
        <r>
          <rPr>
            <b/>
            <sz val="12"/>
            <color indexed="81"/>
            <rFont val="Tahoma"/>
            <family val="2"/>
          </rPr>
          <t>Year in which Loan is to be Repriced; if not specific (or Zero), loan will not reprice.</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Howard Barnes</author>
    <author>Edward.Moran</author>
    <author>Edward J. Moran</author>
  </authors>
  <commentList>
    <comment ref="D2" authorId="0" shapeId="0" xr:uid="{00000000-0006-0000-1300-000001000000}">
      <text>
        <r>
          <rPr>
            <b/>
            <sz val="11"/>
            <color indexed="81"/>
            <rFont val="Tahoma"/>
            <family val="2"/>
          </rPr>
          <t>Enter Name of System</t>
        </r>
      </text>
    </comment>
    <comment ref="D3" authorId="0" shapeId="0" xr:uid="{00000000-0006-0000-1300-000002000000}">
      <text>
        <r>
          <rPr>
            <b/>
            <sz val="11"/>
            <color indexed="81"/>
            <rFont val="Tahoma"/>
            <family val="2"/>
          </rPr>
          <t>Enter RUS Borrower Designation</t>
        </r>
      </text>
    </comment>
    <comment ref="D4" authorId="0" shapeId="0" xr:uid="{00000000-0006-0000-1300-000003000000}">
      <text>
        <r>
          <rPr>
            <b/>
            <sz val="11"/>
            <color indexed="81"/>
            <rFont val="Tahoma"/>
            <family val="2"/>
          </rPr>
          <t>Enter Forecast Descrition like "Base Case for 2020-29 to use in support of the AA8 Loan Application."</t>
        </r>
      </text>
    </comment>
    <comment ref="D5" authorId="0" shapeId="0" xr:uid="{00000000-0006-0000-1300-000004000000}">
      <text>
        <r>
          <rPr>
            <b/>
            <sz val="11"/>
            <color indexed="81"/>
            <rFont val="Tahoma"/>
            <family val="2"/>
          </rPr>
          <t>Enter Name of Preparer of Forecast.</t>
        </r>
      </text>
    </comment>
    <comment ref="D6" authorId="0" shapeId="0" xr:uid="{00000000-0006-0000-1300-000005000000}">
      <text>
        <r>
          <rPr>
            <b/>
            <sz val="11"/>
            <color indexed="81"/>
            <rFont val="Tahoma"/>
            <family val="2"/>
          </rPr>
          <t>Enter Date that this Forecast was Prepared.</t>
        </r>
      </text>
    </comment>
    <comment ref="F11" authorId="0" shapeId="0" xr:uid="{00000000-0006-0000-1300-000006000000}">
      <text>
        <r>
          <rPr>
            <b/>
            <sz val="11"/>
            <color indexed="81"/>
            <rFont val="Tahoma"/>
            <family val="2"/>
          </rPr>
          <t>(Depreciation plus long-term interest plus total margins) divided by Debt Service Billed; i.e. (Part A, Lines 13 + 16 + 29, column b) / (Part N, Total Debt Service Billed column d),
Op Rep</t>
        </r>
      </text>
    </comment>
    <comment ref="F12" authorId="0" shapeId="0" xr:uid="{00000000-0006-0000-1300-000007000000}">
      <text>
        <r>
          <rPr>
            <b/>
            <sz val="11"/>
            <color indexed="81"/>
            <rFont val="Tahoma"/>
            <family val="2"/>
          </rPr>
          <t>(Long Term Interest plus Total Margins) divided by Long Term Interest; i.e. (Part A. Lines 16 + 29)/ Line 16, Op Rep</t>
        </r>
      </text>
    </comment>
    <comment ref="G13" authorId="0" shapeId="0" xr:uid="{00000000-0006-0000-1300-000008000000}">
      <text>
        <r>
          <rPr>
            <b/>
            <sz val="11"/>
            <color indexed="81"/>
            <rFont val="Tahoma"/>
            <family val="2"/>
          </rPr>
          <t>Use "TIER" for TIER, "OTIER" for OTIER, "DSC" for DSC, and "ODSC" for ODSC. This Financial Control will be used to determine when  rate adjustments are required.</t>
        </r>
      </text>
    </comment>
    <comment ref="H13" authorId="0" shapeId="0" xr:uid="{00000000-0006-0000-1300-000009000000}">
      <text>
        <r>
          <rPr>
            <b/>
            <sz val="11"/>
            <color indexed="81"/>
            <rFont val="Tahoma"/>
            <family val="2"/>
          </rPr>
          <t>Use "TIER" for TIER, "OTIER" for OTIER, "DSC" for DSC, and "ODSC" for ODSC. This Financial Control will be used to determine when  rate adjustments are required.</t>
        </r>
      </text>
    </comment>
    <comment ref="G14" authorId="0" shapeId="0" xr:uid="{00000000-0006-0000-1300-00000A000000}">
      <text>
        <r>
          <rPr>
            <b/>
            <sz val="11"/>
            <color indexed="81"/>
            <rFont val="Tahoma"/>
            <family val="2"/>
          </rPr>
          <t>Actual Value to be used for Financial Control in each year of the forecast.</t>
        </r>
      </text>
    </comment>
    <comment ref="H14" authorId="0" shapeId="0" xr:uid="{00000000-0006-0000-1300-00000B000000}">
      <text>
        <r>
          <rPr>
            <b/>
            <sz val="11"/>
            <color indexed="81"/>
            <rFont val="Tahoma"/>
            <family val="2"/>
          </rPr>
          <t>Actual Value to be used for Financial Control in each year of the forecast.</t>
        </r>
      </text>
    </comment>
    <comment ref="I14" authorId="0" shapeId="0" xr:uid="{00000000-0006-0000-1300-00000C000000}">
      <text>
        <r>
          <rPr>
            <b/>
            <sz val="11"/>
            <color indexed="81"/>
            <rFont val="Tahoma"/>
            <family val="2"/>
          </rPr>
          <t>Actual Value to be used for Financial Control in each year of the forecast.</t>
        </r>
      </text>
    </comment>
    <comment ref="J14" authorId="0" shapeId="0" xr:uid="{00000000-0006-0000-1300-00000D000000}">
      <text>
        <r>
          <rPr>
            <b/>
            <sz val="11"/>
            <color indexed="81"/>
            <rFont val="Tahoma"/>
            <family val="2"/>
          </rPr>
          <t>Actual Value to be used for Financial Control in each year of the forecast.</t>
        </r>
      </text>
    </comment>
    <comment ref="K14" authorId="0" shapeId="0" xr:uid="{00000000-0006-0000-1300-00000E000000}">
      <text>
        <r>
          <rPr>
            <b/>
            <sz val="11"/>
            <color indexed="81"/>
            <rFont val="Tahoma"/>
            <family val="2"/>
          </rPr>
          <t>Actual Value to be used for Financial Control in each year of the forecast.</t>
        </r>
      </text>
    </comment>
    <comment ref="L14" authorId="0" shapeId="0" xr:uid="{00000000-0006-0000-1300-00000F000000}">
      <text>
        <r>
          <rPr>
            <b/>
            <sz val="11"/>
            <color indexed="81"/>
            <rFont val="Tahoma"/>
            <family val="2"/>
          </rPr>
          <t>Actual Value to be used for Financial Control in each year of the forecast.</t>
        </r>
      </text>
    </comment>
    <comment ref="M14" authorId="0" shapeId="0" xr:uid="{00000000-0006-0000-1300-000010000000}">
      <text>
        <r>
          <rPr>
            <b/>
            <sz val="11"/>
            <color indexed="81"/>
            <rFont val="Tahoma"/>
            <family val="2"/>
          </rPr>
          <t>Actual Value to be used for Financial Control in each year of the forecast.</t>
        </r>
      </text>
    </comment>
    <comment ref="N14" authorId="0" shapeId="0" xr:uid="{00000000-0006-0000-1300-000011000000}">
      <text>
        <r>
          <rPr>
            <b/>
            <sz val="11"/>
            <color indexed="81"/>
            <rFont val="Tahoma"/>
            <family val="2"/>
          </rPr>
          <t>Actual Value to be used for Financial Control in each year of the forecast.</t>
        </r>
      </text>
    </comment>
    <comment ref="O14" authorId="0" shapeId="0" xr:uid="{00000000-0006-0000-1300-000012000000}">
      <text>
        <r>
          <rPr>
            <b/>
            <sz val="11"/>
            <color indexed="81"/>
            <rFont val="Tahoma"/>
            <family val="2"/>
          </rPr>
          <t>Actual Value to be used for Financial Control in each year of the forecast.</t>
        </r>
      </text>
    </comment>
    <comment ref="P14" authorId="0" shapeId="0" xr:uid="{00000000-0006-0000-1300-000013000000}">
      <text>
        <r>
          <rPr>
            <b/>
            <sz val="11"/>
            <color indexed="81"/>
            <rFont val="Tahoma"/>
            <family val="2"/>
          </rPr>
          <t>Actual Value to be used for Financial Control in each year of the forecast.</t>
        </r>
      </text>
    </comment>
    <comment ref="G15" authorId="0" shapeId="0" xr:uid="{00000000-0006-0000-1300-000014000000}">
      <text>
        <r>
          <rPr>
            <b/>
            <sz val="11"/>
            <color indexed="81"/>
            <rFont val="Tahoma"/>
            <family val="2"/>
          </rPr>
          <t>General Funds as Percent of Total Utility Plant to be maintained (Floor level).</t>
        </r>
      </text>
    </comment>
    <comment ref="H15" authorId="0" shapeId="0" xr:uid="{00000000-0006-0000-1300-000015000000}">
      <text>
        <r>
          <rPr>
            <b/>
            <sz val="11"/>
            <color indexed="81"/>
            <rFont val="Tahoma"/>
            <family val="2"/>
          </rPr>
          <t>General Funds as Percent of Total Utility Plant to be maintained (Floor level).</t>
        </r>
      </text>
    </comment>
    <comment ref="I15" authorId="0" shapeId="0" xr:uid="{00000000-0006-0000-1300-000016000000}">
      <text>
        <r>
          <rPr>
            <b/>
            <sz val="11"/>
            <color indexed="81"/>
            <rFont val="Tahoma"/>
            <family val="2"/>
          </rPr>
          <t>General Funds as Percent of Total Utility Plant to be maintained (Floor level).</t>
        </r>
      </text>
    </comment>
    <comment ref="J15" authorId="0" shapeId="0" xr:uid="{00000000-0006-0000-1300-000017000000}">
      <text>
        <r>
          <rPr>
            <b/>
            <sz val="11"/>
            <color indexed="81"/>
            <rFont val="Tahoma"/>
            <family val="2"/>
          </rPr>
          <t>General Funds as Percent of Total Utility Plant to be maintained (Floor level).</t>
        </r>
      </text>
    </comment>
    <comment ref="K15" authorId="0" shapeId="0" xr:uid="{00000000-0006-0000-1300-000018000000}">
      <text>
        <r>
          <rPr>
            <b/>
            <sz val="11"/>
            <color indexed="81"/>
            <rFont val="Tahoma"/>
            <family val="2"/>
          </rPr>
          <t>General Funds as Percent of Total Utility Plant to be maintained (Floor level).</t>
        </r>
      </text>
    </comment>
    <comment ref="L15" authorId="0" shapeId="0" xr:uid="{00000000-0006-0000-1300-000019000000}">
      <text>
        <r>
          <rPr>
            <b/>
            <sz val="11"/>
            <color indexed="81"/>
            <rFont val="Tahoma"/>
            <family val="2"/>
          </rPr>
          <t>General Funds as Percent of Total Utility Plant to be maintained (Floor level).</t>
        </r>
      </text>
    </comment>
    <comment ref="M15" authorId="0" shapeId="0" xr:uid="{00000000-0006-0000-1300-00001A000000}">
      <text>
        <r>
          <rPr>
            <b/>
            <sz val="11"/>
            <color indexed="81"/>
            <rFont val="Tahoma"/>
            <family val="2"/>
          </rPr>
          <t>General Funds as Percent of Total Utility Plant to be maintained (Floor level).</t>
        </r>
      </text>
    </comment>
    <comment ref="N15" authorId="0" shapeId="0" xr:uid="{00000000-0006-0000-1300-00001B000000}">
      <text>
        <r>
          <rPr>
            <b/>
            <sz val="11"/>
            <color indexed="81"/>
            <rFont val="Tahoma"/>
            <family val="2"/>
          </rPr>
          <t>General Funds as Percent of Total Utility Plant to be maintained (Floor level).</t>
        </r>
      </text>
    </comment>
    <comment ref="O15" authorId="0" shapeId="0" xr:uid="{00000000-0006-0000-1300-00001C000000}">
      <text>
        <r>
          <rPr>
            <b/>
            <sz val="11"/>
            <color indexed="81"/>
            <rFont val="Tahoma"/>
            <family val="2"/>
          </rPr>
          <t>General Funds as Percent of Total Utility Plant to be maintained (Floor level).</t>
        </r>
      </text>
    </comment>
    <comment ref="P15" authorId="0" shapeId="0" xr:uid="{00000000-0006-0000-1300-00001D000000}">
      <text>
        <r>
          <rPr>
            <b/>
            <sz val="11"/>
            <color indexed="81"/>
            <rFont val="Tahoma"/>
            <family val="2"/>
          </rPr>
          <t>General Funds as Percent of Total Utility Plant to be maintained (Floor level).</t>
        </r>
      </text>
    </comment>
    <comment ref="G16" authorId="0" shapeId="0" xr:uid="{00000000-0006-0000-1300-00001E000000}">
      <text>
        <r>
          <rPr>
            <b/>
            <sz val="11"/>
            <color indexed="81"/>
            <rFont val="Tahoma"/>
            <family val="2"/>
          </rPr>
          <t>General Funds in Dollars which will be maintained (Floor level). Program uses the higher of this cell or the one above it (% level).</t>
        </r>
      </text>
    </comment>
    <comment ref="H16" authorId="0" shapeId="0" xr:uid="{00000000-0006-0000-1300-00001F000000}">
      <text>
        <r>
          <rPr>
            <b/>
            <sz val="11"/>
            <color indexed="81"/>
            <rFont val="Tahoma"/>
            <family val="2"/>
          </rPr>
          <t>General Funds in Dollars which will be maintained (Floor level). Program uses the higher of this cell or the one above it (% level).</t>
        </r>
      </text>
    </comment>
    <comment ref="I16" authorId="0" shapeId="0" xr:uid="{00000000-0006-0000-1300-000020000000}">
      <text>
        <r>
          <rPr>
            <b/>
            <sz val="11"/>
            <color indexed="81"/>
            <rFont val="Tahoma"/>
            <family val="2"/>
          </rPr>
          <t>General Funds in Dollars which will be maintained (Floor level). Program uses the higher of this cell or the one above it (% level).</t>
        </r>
      </text>
    </comment>
    <comment ref="J16" authorId="0" shapeId="0" xr:uid="{00000000-0006-0000-1300-000021000000}">
      <text>
        <r>
          <rPr>
            <b/>
            <sz val="11"/>
            <color indexed="81"/>
            <rFont val="Tahoma"/>
            <family val="2"/>
          </rPr>
          <t>General Funds in Dollars which will be maintained (Floor level). Program uses the higher of this cell or the one above it (% level).</t>
        </r>
      </text>
    </comment>
    <comment ref="K16" authorId="0" shapeId="0" xr:uid="{00000000-0006-0000-1300-000022000000}">
      <text>
        <r>
          <rPr>
            <b/>
            <sz val="11"/>
            <color indexed="81"/>
            <rFont val="Tahoma"/>
            <family val="2"/>
          </rPr>
          <t>General Funds in Dollars which will be maintained (Floor level). Program uses the higher of this cell or the one above it (% level).</t>
        </r>
      </text>
    </comment>
    <comment ref="L16" authorId="0" shapeId="0" xr:uid="{00000000-0006-0000-1300-000023000000}">
      <text>
        <r>
          <rPr>
            <b/>
            <sz val="11"/>
            <color indexed="81"/>
            <rFont val="Tahoma"/>
            <family val="2"/>
          </rPr>
          <t>General Funds in Dollars which will be maintained (Floor level). Program uses the higher of this cell or the one above it (% level).</t>
        </r>
      </text>
    </comment>
    <comment ref="M16" authorId="0" shapeId="0" xr:uid="{00000000-0006-0000-1300-000024000000}">
      <text>
        <r>
          <rPr>
            <b/>
            <sz val="11"/>
            <color indexed="81"/>
            <rFont val="Tahoma"/>
            <family val="2"/>
          </rPr>
          <t>General Funds in Dollars which will be maintained (Floor level). Program uses the higher of this cell or the one above it (% level).</t>
        </r>
      </text>
    </comment>
    <comment ref="N16" authorId="0" shapeId="0" xr:uid="{00000000-0006-0000-1300-000025000000}">
      <text>
        <r>
          <rPr>
            <b/>
            <sz val="11"/>
            <color indexed="81"/>
            <rFont val="Tahoma"/>
            <family val="2"/>
          </rPr>
          <t>General Funds in Dollars which will be maintained (Floor level). Program uses the higher of this cell or the one above it (% level).</t>
        </r>
      </text>
    </comment>
    <comment ref="O16" authorId="0" shapeId="0" xr:uid="{00000000-0006-0000-1300-000026000000}">
      <text>
        <r>
          <rPr>
            <b/>
            <sz val="11"/>
            <color indexed="81"/>
            <rFont val="Tahoma"/>
            <family val="2"/>
          </rPr>
          <t>General Funds in Dollars which will be maintained (Floor level). Program uses the higher of this cell or the one above it (% level).</t>
        </r>
      </text>
    </comment>
    <comment ref="P16" authorId="0" shapeId="0" xr:uid="{00000000-0006-0000-1300-000027000000}">
      <text>
        <r>
          <rPr>
            <b/>
            <sz val="11"/>
            <color indexed="81"/>
            <rFont val="Tahoma"/>
            <family val="2"/>
          </rPr>
          <t>General Funds in Dollars which will be maintained (Floor level). Program uses the higher of this cell or the one above it (% level).</t>
        </r>
      </text>
    </comment>
    <comment ref="G18" authorId="0" shapeId="0" xr:uid="{00000000-0006-0000-1300-000028000000}">
      <text>
        <r>
          <rPr>
            <b/>
            <sz val="11"/>
            <color indexed="81"/>
            <rFont val="Tahoma"/>
            <family val="2"/>
          </rPr>
          <t>Leave as "0", unless rate decreases are provided for 
to maintain a TIER ceiling (in which case use "1").</t>
        </r>
      </text>
    </comment>
    <comment ref="G19" authorId="0" shapeId="0" xr:uid="{00000000-0006-0000-1300-000029000000}">
      <text>
        <r>
          <rPr>
            <b/>
            <u/>
            <sz val="11"/>
            <color indexed="81"/>
            <rFont val="Tahoma"/>
            <family val="2"/>
          </rPr>
          <t>Only</t>
        </r>
        <r>
          <rPr>
            <b/>
            <sz val="11"/>
            <color indexed="81"/>
            <rFont val="Tahoma"/>
            <family val="2"/>
          </rPr>
          <t xml:space="preserve"> use if approval has been given to defer revenue.</t>
        </r>
      </text>
    </comment>
    <comment ref="F22" authorId="0" shapeId="0" xr:uid="{00000000-0006-0000-1300-00002A000000}">
      <text>
        <r>
          <rPr>
            <b/>
            <sz val="11"/>
            <color indexed="81"/>
            <rFont val="Tahoma"/>
            <family val="2"/>
          </rPr>
          <t>Part C, Line 4, Op Rep</t>
        </r>
      </text>
    </comment>
    <comment ref="F23" authorId="0" shapeId="0" xr:uid="{00000000-0006-0000-1300-00002B000000}">
      <text>
        <r>
          <rPr>
            <b/>
            <sz val="11"/>
            <color indexed="81"/>
            <rFont val="Tahoma"/>
            <family val="2"/>
          </rPr>
          <t>Part C, Lines 6, 9, 12, 13, 15, 16, 18, Op Rep</t>
        </r>
      </text>
    </comment>
    <comment ref="F24" authorId="0" shapeId="0" xr:uid="{00000000-0006-0000-1300-00002C000000}">
      <text>
        <r>
          <rPr>
            <b/>
            <sz val="11"/>
            <color indexed="81"/>
            <rFont val="Tahoma"/>
            <family val="2"/>
          </rPr>
          <t>Part C, Line 10
Op Rep</t>
        </r>
      </text>
    </comment>
    <comment ref="F25" authorId="0" shapeId="0" xr:uid="{00000000-0006-0000-1300-00002D000000}">
      <text>
        <r>
          <rPr>
            <b/>
            <sz val="11"/>
            <color indexed="81"/>
            <rFont val="Tahoma"/>
            <family val="2"/>
          </rPr>
          <t>Part C, Lines 7, 8, 11, 17, 19, 20, 21, 22, 23, 24, 25, 27, 28, Op Rep</t>
        </r>
      </text>
    </comment>
    <comment ref="F26" authorId="0" shapeId="0" xr:uid="{00000000-0006-0000-1300-00002E000000}">
      <text>
        <r>
          <rPr>
            <b/>
            <sz val="11"/>
            <color indexed="81"/>
            <rFont val="Tahoma"/>
            <family val="2"/>
          </rPr>
          <t>Part C, Line 36,
Op Rep</t>
        </r>
      </text>
    </comment>
    <comment ref="F27" authorId="1" shapeId="0" xr:uid="{00000000-0006-0000-1300-00002F000000}">
      <text>
        <r>
          <rPr>
            <b/>
            <sz val="11"/>
            <color indexed="81"/>
            <rFont val="Tahoma"/>
            <family val="2"/>
          </rPr>
          <t>Payments-Unapplied'  Part C, line 42, Op Rep</t>
        </r>
      </text>
    </comment>
    <comment ref="F28" authorId="1" shapeId="0" xr:uid="{00000000-0006-0000-1300-000030000000}">
      <text>
        <r>
          <rPr>
            <b/>
            <sz val="11"/>
            <color indexed="81"/>
            <rFont val="Tahoma"/>
            <family val="2"/>
          </rPr>
          <t>Part C, lines 50, 51, Op Rep</t>
        </r>
      </text>
    </comment>
    <comment ref="F29" authorId="0" shapeId="0" xr:uid="{00000000-0006-0000-1300-000031000000}">
      <text>
        <r>
          <rPr>
            <b/>
            <sz val="11"/>
            <color indexed="81"/>
            <rFont val="Tahoma"/>
            <family val="2"/>
          </rPr>
          <t>Part C, Lines 46, 54, 55, 56, Op Rep</t>
        </r>
      </text>
    </comment>
    <comment ref="F32" authorId="0" shapeId="0" xr:uid="{00000000-0006-0000-1300-000032000000}">
      <text>
        <r>
          <rPr>
            <b/>
            <sz val="10"/>
            <color indexed="81"/>
            <rFont val="Tahoma"/>
            <family val="2"/>
          </rPr>
          <t>Part A, Line 16, Column b
Op Rep</t>
        </r>
      </text>
    </comment>
    <comment ref="G33" authorId="1" shapeId="0" xr:uid="{00000000-0006-0000-1300-000033000000}">
      <text>
        <r>
          <rPr>
            <b/>
            <sz val="10"/>
            <color indexed="81"/>
            <rFont val="Arial"/>
            <family val="2"/>
          </rPr>
          <t>Estimated return on general funds not including subsidiary income nor return on cushion of credit. (Note: do not duplicate amounts shown on the line below.)</t>
        </r>
      </text>
    </comment>
    <comment ref="G34" authorId="0" shapeId="0" xr:uid="{00000000-0006-0000-1300-000034000000}">
      <text>
        <r>
          <rPr>
            <b/>
            <sz val="11"/>
            <color indexed="81"/>
            <rFont val="Tahoma"/>
            <family val="2"/>
          </rPr>
          <t>Include the dollar amount of nonoperating margins cash not estimated above nor from the cushion of credit.  (Note:  do not include any amounts which would be calculated based on the ratio above.)</t>
        </r>
      </text>
    </comment>
    <comment ref="F35" authorId="0" shapeId="0" xr:uid="{00000000-0006-0000-1300-000035000000}">
      <text>
        <r>
          <rPr>
            <b/>
            <sz val="11"/>
            <color indexed="81"/>
            <rFont val="Tahoma"/>
            <family val="2"/>
          </rPr>
          <t>Part A, Line 26, column b
Op Rep</t>
        </r>
      </text>
    </comment>
    <comment ref="G35" authorId="0" shapeId="0" xr:uid="{00000000-0006-0000-1300-000036000000}">
      <text>
        <r>
          <rPr>
            <b/>
            <sz val="11"/>
            <color indexed="81"/>
            <rFont val="Tahoma"/>
            <family val="2"/>
          </rPr>
          <t xml:space="preserve">Projected G&amp;T Capital Credits Allocated, </t>
        </r>
        <r>
          <rPr>
            <b/>
            <u/>
            <sz val="11"/>
            <color indexed="81"/>
            <rFont val="Tahoma"/>
            <family val="2"/>
          </rPr>
          <t>NOT</t>
        </r>
        <r>
          <rPr>
            <b/>
            <sz val="11"/>
            <color indexed="81"/>
            <rFont val="Tahoma"/>
            <family val="2"/>
          </rPr>
          <t xml:space="preserve"> Paid.</t>
        </r>
      </text>
    </comment>
    <comment ref="F36" authorId="0" shapeId="0" xr:uid="{00000000-0006-0000-1300-000037000000}">
      <text>
        <r>
          <rPr>
            <b/>
            <sz val="11"/>
            <color indexed="81"/>
            <rFont val="Tahoma"/>
            <family val="2"/>
          </rPr>
          <t>Part A, Line 27, column b
Op Rep</t>
        </r>
      </text>
    </comment>
    <comment ref="G36" authorId="0" shapeId="0" xr:uid="{00000000-0006-0000-1300-000038000000}">
      <text>
        <r>
          <rPr>
            <b/>
            <sz val="12"/>
            <color indexed="81"/>
            <rFont val="Tahoma"/>
            <family val="2"/>
          </rPr>
          <t>Estimated CFC &amp; CoBank allocated margins, as well as any other Non-Cash Margins, (excluding G&amp;T CC which are reflected above).</t>
        </r>
      </text>
    </comment>
    <comment ref="G37" authorId="1" shapeId="0" xr:uid="{EEFA6644-09DF-43A2-AC6D-C13EDCFFE0A0}">
      <text>
        <r>
          <rPr>
            <b/>
            <sz val="10"/>
            <color indexed="81"/>
            <rFont val="Arial"/>
            <family val="2"/>
          </rPr>
          <t>Per 2018 Farm Bill, IR on CoC is the 1-year Treasury Rate. Enter your assumption for 2022 and beyond; make note of this in your Assumptions Narrative.</t>
        </r>
      </text>
    </comment>
    <comment ref="G40" authorId="0" shapeId="0" xr:uid="{00000000-0006-0000-1300-000039000000}">
      <text>
        <r>
          <rPr>
            <b/>
            <sz val="11"/>
            <color indexed="81"/>
            <rFont val="Tahoma"/>
            <family val="2"/>
          </rPr>
          <t>Enter amount of G&amp;T CC Paid, which will correspondingly increase "General Funds' and decrease "Other Assets &amp; Debits".</t>
        </r>
      </text>
    </comment>
    <comment ref="G41" authorId="0" shapeId="0" xr:uid="{00000000-0006-0000-1300-00003A000000}">
      <text>
        <r>
          <rPr>
            <b/>
            <sz val="11"/>
            <color indexed="81"/>
            <rFont val="Tahoma"/>
            <family val="2"/>
          </rPr>
          <t xml:space="preserve">Enter Amount of Lender CC Paid, which will correspondingly increase "General Funds' and decrease "Other Assets &amp; Debits". </t>
        </r>
      </text>
    </comment>
    <comment ref="G42" authorId="0" shapeId="0" xr:uid="{00000000-0006-0000-1300-00003B000000}">
      <text>
        <r>
          <rPr>
            <b/>
            <sz val="11"/>
            <color indexed="81"/>
            <rFont val="Tahoma"/>
            <family val="2"/>
          </rPr>
          <t>Enter positive or negative values which will correspondingly increase or decrease "General Funds" and correspondingly decrease or increase "Other Assets &amp; Debits". Exclude G&amp;T and lender CC's Paid which are separated above.</t>
        </r>
      </text>
    </comment>
    <comment ref="G43" authorId="0" shapeId="0" xr:uid="{00000000-0006-0000-1300-00003C000000}">
      <text>
        <r>
          <rPr>
            <b/>
            <sz val="10"/>
            <color indexed="81"/>
            <rFont val="Tahoma"/>
            <family val="2"/>
          </rPr>
          <t>Reflect Cash received from projected sales of Excludables (Part C, line 10).</t>
        </r>
      </text>
    </comment>
    <comment ref="G44" authorId="1" shapeId="0" xr:uid="{00000000-0006-0000-1300-00003D000000}">
      <text>
        <r>
          <rPr>
            <b/>
            <sz val="11"/>
            <color indexed="81"/>
            <rFont val="Tahoma"/>
            <family val="2"/>
          </rPr>
          <t>Insert CoC used each year for debt service payments and prepayments; Increases "General Funds" and decreases debt. Prepayments must be offset with an "Additional Principal Payment" for instance on the New Guar debt page.</t>
        </r>
      </text>
    </comment>
    <comment ref="G45" authorId="0" shapeId="0" xr:uid="{00000000-0006-0000-1300-00003E000000}">
      <text>
        <r>
          <rPr>
            <b/>
            <sz val="10"/>
            <color indexed="81"/>
            <rFont val="Tahoma"/>
            <family val="2"/>
          </rPr>
          <t>Reflect cash paid for projected purchase of excludable items (Part C, line 10).</t>
        </r>
      </text>
    </comment>
    <comment ref="G46" authorId="0" shapeId="0" xr:uid="{00000000-0006-0000-1300-00003F000000}">
      <text>
        <r>
          <rPr>
            <b/>
            <sz val="11"/>
            <color indexed="81"/>
            <rFont val="Tahoma"/>
            <family val="2"/>
          </rPr>
          <t>Reflect system's own capital credits being paid. various possible approaches including % of prior year's margins, % of overall equity, or a specific amount paid annually, etc.</t>
        </r>
      </text>
    </comment>
    <comment ref="G47" authorId="0" shapeId="0" xr:uid="{00000000-0006-0000-1300-000040000000}">
      <text>
        <r>
          <rPr>
            <b/>
            <sz val="11"/>
            <color indexed="81"/>
            <rFont val="Tahoma"/>
            <family val="2"/>
          </rPr>
          <t>Enter positive or negative value which will correspondingly decrease or increase cash, and correspondingly decrease or increase "Other Liabilities &amp; Credits".</t>
        </r>
      </text>
    </comment>
    <comment ref="G50" authorId="0" shapeId="0" xr:uid="{00000000-0006-0000-1300-000042000000}">
      <text>
        <r>
          <rPr>
            <b/>
            <sz val="11"/>
            <color indexed="81"/>
            <rFont val="Tahoma"/>
            <family val="2"/>
          </rPr>
          <t>Use Projected Power Costs from Wholesale Supplier; expressed in $ per kWH; 
i.e. 50 mills per kWh is .05.</t>
        </r>
      </text>
    </comment>
    <comment ref="G51" authorId="0" shapeId="0" xr:uid="{00000000-0006-0000-1300-000043000000}">
      <text>
        <r>
          <rPr>
            <b/>
            <sz val="10"/>
            <color indexed="81"/>
            <rFont val="Tahoma"/>
            <family val="2"/>
          </rPr>
          <t>Any expected "flow-thru" cost in dollars per kWh above "base" purchased power costs.</t>
        </r>
      </text>
    </comment>
    <comment ref="D52" authorId="0" shapeId="0" xr:uid="{00000000-0006-0000-1300-000044000000}">
      <text>
        <r>
          <rPr>
            <b/>
            <sz val="11"/>
            <color indexed="81"/>
            <rFont val="Tahoma"/>
            <family val="2"/>
          </rPr>
          <t>Part A, Lines 2, 3
Op Rep</t>
        </r>
      </text>
    </comment>
    <comment ref="E52" authorId="0" shapeId="0" xr:uid="{00000000-0006-0000-1300-000045000000}">
      <text>
        <r>
          <rPr>
            <b/>
            <sz val="11"/>
            <color indexed="81"/>
            <rFont val="Tahoma"/>
            <family val="2"/>
          </rPr>
          <t>Part A, Lines 2, 3.
Op Rep</t>
        </r>
      </text>
    </comment>
    <comment ref="F52" authorId="0" shapeId="0" xr:uid="{00000000-0006-0000-1300-000046000000}">
      <text>
        <r>
          <rPr>
            <b/>
            <sz val="11"/>
            <color indexed="81"/>
            <rFont val="Tahoma"/>
            <family val="2"/>
          </rPr>
          <t>Part A, Lines 2, 3.
Op Rep</t>
        </r>
      </text>
    </comment>
    <comment ref="D54" authorId="0" shapeId="0" xr:uid="{00000000-0006-0000-1300-000047000000}">
      <text>
        <r>
          <rPr>
            <b/>
            <sz val="11"/>
            <color indexed="81"/>
            <rFont val="Tahoma"/>
            <family val="2"/>
          </rPr>
          <t>Part A, Lines 4, 5, 6, 7, Op Rep</t>
        </r>
      </text>
    </comment>
    <comment ref="E54" authorId="0" shapeId="0" xr:uid="{00000000-0006-0000-1300-000048000000}">
      <text>
        <r>
          <rPr>
            <b/>
            <sz val="11"/>
            <color indexed="81"/>
            <rFont val="Tahoma"/>
            <family val="2"/>
          </rPr>
          <t>Part A, Lines 4, 5, 6, 7 Op Rep</t>
        </r>
      </text>
    </comment>
    <comment ref="F54" authorId="0" shapeId="0" xr:uid="{00000000-0006-0000-1300-000049000000}">
      <text>
        <r>
          <rPr>
            <b/>
            <sz val="11"/>
            <color indexed="81"/>
            <rFont val="Tahoma"/>
            <family val="2"/>
          </rPr>
          <t>Part A, Lines 4, 5, 6, 7 Op Rep</t>
        </r>
      </text>
    </comment>
    <comment ref="G54" authorId="0" shapeId="0" xr:uid="{00000000-0006-0000-1300-00004A000000}">
      <text>
        <r>
          <rPr>
            <b/>
            <u/>
            <sz val="11"/>
            <color indexed="81"/>
            <rFont val="Tahoma"/>
            <family val="2"/>
          </rPr>
          <t>Either</t>
        </r>
        <r>
          <rPr>
            <b/>
            <sz val="11"/>
            <color indexed="81"/>
            <rFont val="Tahoma"/>
            <family val="2"/>
          </rPr>
          <t xml:space="preserve"> Enter Value or Formula, </t>
        </r>
        <r>
          <rPr>
            <b/>
            <u/>
            <sz val="11"/>
            <color indexed="81"/>
            <rFont val="Tahoma"/>
            <family val="2"/>
          </rPr>
          <t>OR</t>
        </r>
        <r>
          <rPr>
            <b/>
            <sz val="11"/>
            <color indexed="81"/>
            <rFont val="Tahoma"/>
            <family val="2"/>
          </rPr>
          <t xml:space="preserve"> use "Zero" and it will automatically be calculated based upon historic three year pattern.</t>
        </r>
      </text>
    </comment>
    <comment ref="D55" authorId="0" shapeId="0" xr:uid="{00000000-0006-0000-1300-00004B000000}">
      <text>
        <r>
          <rPr>
            <b/>
            <sz val="11"/>
            <color indexed="81"/>
            <rFont val="Tahoma"/>
            <family val="2"/>
          </rPr>
          <t>Part A, Lines 11, 17, 18, 19
Op Rep</t>
        </r>
      </text>
    </comment>
    <comment ref="E55" authorId="0" shapeId="0" xr:uid="{00000000-0006-0000-1300-00004C000000}">
      <text>
        <r>
          <rPr>
            <b/>
            <sz val="11"/>
            <color indexed="81"/>
            <rFont val="Tahoma"/>
            <family val="2"/>
          </rPr>
          <t>Part A, Lines 11, 17, 18, 19
Op Rep</t>
        </r>
      </text>
    </comment>
    <comment ref="F55" authorId="0" shapeId="0" xr:uid="{00000000-0006-0000-1300-00004D000000}">
      <text>
        <r>
          <rPr>
            <b/>
            <sz val="11"/>
            <color indexed="81"/>
            <rFont val="Tahoma"/>
            <family val="2"/>
          </rPr>
          <t>Part A, Lines 11, 17, 18, 19
Op Rep</t>
        </r>
      </text>
    </comment>
    <comment ref="G55" authorId="0" shapeId="0" xr:uid="{00000000-0006-0000-1300-00004E000000}">
      <text>
        <r>
          <rPr>
            <b/>
            <u/>
            <sz val="11"/>
            <color indexed="81"/>
            <rFont val="Tahoma"/>
            <family val="2"/>
          </rPr>
          <t>Either</t>
        </r>
        <r>
          <rPr>
            <b/>
            <sz val="11"/>
            <color indexed="81"/>
            <rFont val="Tahoma"/>
            <family val="2"/>
          </rPr>
          <t xml:space="preserve"> Enter Value or Formula, </t>
        </r>
        <r>
          <rPr>
            <b/>
            <u/>
            <sz val="11"/>
            <color indexed="81"/>
            <rFont val="Tahoma"/>
            <family val="2"/>
          </rPr>
          <t>OR</t>
        </r>
        <r>
          <rPr>
            <b/>
            <sz val="11"/>
            <color indexed="81"/>
            <rFont val="Tahoma"/>
            <family val="2"/>
          </rPr>
          <t xml:space="preserve"> use "Zero" and it will automatically be calculated based upon historic three year pattern.</t>
        </r>
      </text>
    </comment>
    <comment ref="D56" authorId="0" shapeId="0" xr:uid="{00000000-0006-0000-1300-00004F000000}">
      <text>
        <r>
          <rPr>
            <b/>
            <sz val="11"/>
            <color indexed="81"/>
            <rFont val="Tahoma"/>
            <family val="2"/>
          </rPr>
          <t>Part A, Line 13
Op Rep</t>
        </r>
      </text>
    </comment>
    <comment ref="E56" authorId="0" shapeId="0" xr:uid="{00000000-0006-0000-1300-000050000000}">
      <text>
        <r>
          <rPr>
            <b/>
            <sz val="11"/>
            <color indexed="81"/>
            <rFont val="Tahoma"/>
            <family val="2"/>
          </rPr>
          <t>Part A, Line 13
Op Rep</t>
        </r>
      </text>
    </comment>
    <comment ref="F56" authorId="0" shapeId="0" xr:uid="{00000000-0006-0000-1300-000051000000}">
      <text>
        <r>
          <rPr>
            <b/>
            <sz val="11"/>
            <color indexed="81"/>
            <rFont val="Tahoma"/>
            <family val="2"/>
          </rPr>
          <t>Part A, Line 13
Op Rep</t>
        </r>
      </text>
    </comment>
    <comment ref="G56" authorId="0" shapeId="0" xr:uid="{00000000-0006-0000-1300-000052000000}">
      <text>
        <r>
          <rPr>
            <b/>
            <u/>
            <sz val="11"/>
            <color indexed="81"/>
            <rFont val="Tahoma"/>
            <family val="2"/>
          </rPr>
          <t>Either</t>
        </r>
        <r>
          <rPr>
            <b/>
            <sz val="11"/>
            <color indexed="81"/>
            <rFont val="Tahoma"/>
            <family val="2"/>
          </rPr>
          <t xml:space="preserve"> Enter Value or Formula, </t>
        </r>
        <r>
          <rPr>
            <b/>
            <u/>
            <sz val="11"/>
            <color indexed="81"/>
            <rFont val="Tahoma"/>
            <family val="2"/>
          </rPr>
          <t>OR</t>
        </r>
        <r>
          <rPr>
            <b/>
            <sz val="11"/>
            <color indexed="81"/>
            <rFont val="Tahoma"/>
            <family val="2"/>
          </rPr>
          <t xml:space="preserve"> use "Zero" and it will automatically be calculated based upon historic three year pattern.</t>
        </r>
      </text>
    </comment>
    <comment ref="D57" authorId="0" shapeId="0" xr:uid="{00000000-0006-0000-1300-000053000000}">
      <text>
        <r>
          <rPr>
            <b/>
            <sz val="11"/>
            <color indexed="81"/>
            <rFont val="Tahoma"/>
            <family val="2"/>
          </rPr>
          <t>Part A, Lines 14, 15
Op Rep</t>
        </r>
      </text>
    </comment>
    <comment ref="E57" authorId="0" shapeId="0" xr:uid="{00000000-0006-0000-1300-000054000000}">
      <text>
        <r>
          <rPr>
            <b/>
            <sz val="11"/>
            <color indexed="81"/>
            <rFont val="Tahoma"/>
            <family val="2"/>
          </rPr>
          <t>Part A, Lines 14, 15
Op Rep</t>
        </r>
      </text>
    </comment>
    <comment ref="F57" authorId="0" shapeId="0" xr:uid="{00000000-0006-0000-1300-000055000000}">
      <text>
        <r>
          <rPr>
            <b/>
            <sz val="11"/>
            <color indexed="81"/>
            <rFont val="Tahoma"/>
            <family val="2"/>
          </rPr>
          <t>Part A, Lines 14, 15
Op  Rep</t>
        </r>
      </text>
    </comment>
    <comment ref="G57" authorId="0" shapeId="0" xr:uid="{00000000-0006-0000-1300-000056000000}">
      <text>
        <r>
          <rPr>
            <b/>
            <u/>
            <sz val="11"/>
            <color indexed="81"/>
            <rFont val="Tahoma"/>
            <family val="2"/>
          </rPr>
          <t>Either</t>
        </r>
        <r>
          <rPr>
            <b/>
            <sz val="11"/>
            <color indexed="81"/>
            <rFont val="Tahoma"/>
            <family val="2"/>
          </rPr>
          <t xml:space="preserve"> Enter Value or Formula, </t>
        </r>
        <r>
          <rPr>
            <b/>
            <u/>
            <sz val="11"/>
            <color indexed="81"/>
            <rFont val="Tahoma"/>
            <family val="2"/>
          </rPr>
          <t>OR</t>
        </r>
        <r>
          <rPr>
            <b/>
            <sz val="11"/>
            <color indexed="81"/>
            <rFont val="Tahoma"/>
            <family val="2"/>
          </rPr>
          <t xml:space="preserve"> use "Zero" and it will automatically be calculated based upon historic three year pattern.</t>
        </r>
      </text>
    </comment>
    <comment ref="D58" authorId="0" shapeId="0" xr:uid="{00000000-0006-0000-1300-000057000000}">
      <text>
        <r>
          <rPr>
            <b/>
            <sz val="11"/>
            <color indexed="81"/>
            <rFont val="Tahoma"/>
            <family val="2"/>
          </rPr>
          <t>Part A, Lines 8, 9, 10
Op Rep</t>
        </r>
      </text>
    </comment>
    <comment ref="E58" authorId="0" shapeId="0" xr:uid="{00000000-0006-0000-1300-000058000000}">
      <text>
        <r>
          <rPr>
            <b/>
            <sz val="11"/>
            <color indexed="81"/>
            <rFont val="Tahoma"/>
            <family val="2"/>
          </rPr>
          <t>Part A, Lines 8, 9, 10
Op Rep</t>
        </r>
      </text>
    </comment>
    <comment ref="F58" authorId="0" shapeId="0" xr:uid="{00000000-0006-0000-1300-000059000000}">
      <text>
        <r>
          <rPr>
            <b/>
            <sz val="11"/>
            <color indexed="81"/>
            <rFont val="Tahoma"/>
            <family val="2"/>
          </rPr>
          <t>Part A, Lines 8, 9, 10
Op Rep</t>
        </r>
      </text>
    </comment>
    <comment ref="G58" authorId="0" shapeId="0" xr:uid="{00000000-0006-0000-1300-00005A000000}">
      <text>
        <r>
          <rPr>
            <b/>
            <u/>
            <sz val="11"/>
            <color indexed="81"/>
            <rFont val="Tahoma"/>
            <family val="2"/>
          </rPr>
          <t>Either</t>
        </r>
        <r>
          <rPr>
            <b/>
            <sz val="11"/>
            <color indexed="81"/>
            <rFont val="Tahoma"/>
            <family val="2"/>
          </rPr>
          <t xml:space="preserve"> Enter Value or Formula, </t>
        </r>
        <r>
          <rPr>
            <b/>
            <u/>
            <sz val="11"/>
            <color indexed="81"/>
            <rFont val="Tahoma"/>
            <family val="2"/>
          </rPr>
          <t>OR</t>
        </r>
        <r>
          <rPr>
            <b/>
            <sz val="11"/>
            <color indexed="81"/>
            <rFont val="Tahoma"/>
            <family val="2"/>
          </rPr>
          <t xml:space="preserve"> use "Zero" and it will automatically be calculated based upon historic three year pattern.</t>
        </r>
      </text>
    </comment>
    <comment ref="G59" authorId="0" shapeId="0" xr:uid="{00000000-0006-0000-1300-00005B000000}">
      <text>
        <r>
          <rPr>
            <b/>
            <sz val="11"/>
            <color indexed="81"/>
            <rFont val="Tahoma"/>
            <family val="2"/>
          </rPr>
          <t>Optional method of calculating Consumer Expense on basis of 
Cost per Consumer.</t>
        </r>
      </text>
    </comment>
    <comment ref="H61" authorId="2" shapeId="0" xr:uid="{00000000-0006-0000-1300-00005C000000}">
      <text>
        <r>
          <rPr>
            <b/>
            <sz val="10"/>
            <color indexed="81"/>
            <rFont val="Tahoma"/>
            <family val="2"/>
          </rPr>
          <t xml:space="preserve">Enter V if new loans are to be at the variable interest rate
</t>
        </r>
        <r>
          <rPr>
            <sz val="8"/>
            <color indexed="81"/>
            <rFont val="Tahoma"/>
            <family val="2"/>
          </rPr>
          <t xml:space="preserve">
</t>
        </r>
      </text>
    </comment>
    <comment ref="G63" authorId="0" shapeId="0" xr:uid="{00000000-0006-0000-1300-00005D000000}">
      <text>
        <r>
          <rPr>
            <b/>
            <sz val="10"/>
            <color indexed="81"/>
            <rFont val="Tahoma"/>
            <family val="2"/>
          </rPr>
          <t>Enter "default" fixed interest rate for New RUS direct loan funds (for use with either Hardship or Municipal Rate loans).</t>
        </r>
      </text>
    </comment>
    <comment ref="G64" authorId="0" shapeId="0" xr:uid="{00000000-0006-0000-1300-00005E000000}">
      <text>
        <r>
          <rPr>
            <b/>
            <sz val="10"/>
            <color indexed="81"/>
            <rFont val="Tahoma"/>
            <family val="2"/>
          </rPr>
          <t>Enter "default" fixed interest rate for New guaranteed loan funds.</t>
        </r>
      </text>
    </comment>
    <comment ref="G65" authorId="0" shapeId="0" xr:uid="{00000000-0006-0000-1300-00005F000000}">
      <text>
        <r>
          <rPr>
            <b/>
            <sz val="10"/>
            <color indexed="81"/>
            <rFont val="Tahoma"/>
            <family val="2"/>
          </rPr>
          <t>Enter "default" fixed interest rate for New "Other" loan funds.</t>
        </r>
      </text>
    </comment>
    <comment ref="G68" authorId="0" shapeId="0" xr:uid="{00000000-0006-0000-1300-000060000000}">
      <text>
        <r>
          <rPr>
            <b/>
            <sz val="10"/>
            <color indexed="81"/>
            <rFont val="Tahoma"/>
            <family val="2"/>
          </rPr>
          <t>Enter "default" variable interest rate for New RUS direct loan funds (for use with either Hardship or Municipal Rate loans).</t>
        </r>
      </text>
    </comment>
    <comment ref="G69" authorId="0" shapeId="0" xr:uid="{00000000-0006-0000-1300-000061000000}">
      <text>
        <r>
          <rPr>
            <b/>
            <sz val="10"/>
            <color indexed="81"/>
            <rFont val="Tahoma"/>
            <family val="2"/>
          </rPr>
          <t>Enter "default" variable interest rate for New guaranteed loan funds.</t>
        </r>
      </text>
    </comment>
    <comment ref="G70" authorId="0" shapeId="0" xr:uid="{00000000-0006-0000-1300-000062000000}">
      <text>
        <r>
          <rPr>
            <b/>
            <sz val="10"/>
            <color indexed="81"/>
            <rFont val="Tahoma"/>
            <family val="2"/>
          </rPr>
          <t>Enter "default" fixed interest rate for New "Other" loan funds.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Howard Barnes</author>
  </authors>
  <commentList>
    <comment ref="D1" authorId="0" shapeId="0" xr:uid="{00000000-0006-0000-1800-000001000000}">
      <text>
        <r>
          <rPr>
            <b/>
            <sz val="10"/>
            <color indexed="81"/>
            <rFont val="Tahoma"/>
            <family val="2"/>
          </rPr>
          <t>Enters Name of System from Input Sheet automatically.</t>
        </r>
      </text>
    </comment>
    <comment ref="A7" authorId="0" shapeId="0" xr:uid="{00000000-0006-0000-1800-000002000000}">
      <text>
        <r>
          <rPr>
            <b/>
            <sz val="10"/>
            <color indexed="81"/>
            <rFont val="Tahoma"/>
            <family val="2"/>
          </rPr>
          <t>Enter State of Borrower with Standard Two Letter Identifier</t>
        </r>
      </text>
    </comment>
    <comment ref="B7" authorId="0" shapeId="0" xr:uid="{00000000-0006-0000-1800-000003000000}">
      <text>
        <r>
          <rPr>
            <b/>
            <sz val="10"/>
            <color indexed="81"/>
            <rFont val="Tahoma"/>
            <family val="2"/>
          </rPr>
          <t>Enter Borrower's Standard Two or Three Letter Identifier</t>
        </r>
      </text>
    </comment>
    <comment ref="C7" authorId="0" shapeId="0" xr:uid="{00000000-0006-0000-1800-000004000000}">
      <text>
        <r>
          <rPr>
            <b/>
            <sz val="10"/>
            <color indexed="81"/>
            <rFont val="Tahoma"/>
            <family val="2"/>
          </rPr>
          <t>Starting with 1971, import historical Annual Statistical Report (ASR) data from RUS provided spreadsheet, for all years that ASR data is available.</t>
        </r>
      </text>
    </comment>
    <comment ref="AI91" authorId="0" shapeId="0" xr:uid="{00000000-0006-0000-1800-000005000000}">
      <text>
        <r>
          <rPr>
            <b/>
            <sz val="8"/>
            <color indexed="81"/>
            <rFont val="Tahoma"/>
            <family val="2"/>
          </rPr>
          <t>Arbitrary Allocation of O&amp;M until actual electronic ASR is available for historical year.</t>
        </r>
      </text>
    </comment>
    <comment ref="AJ91" authorId="0" shapeId="0" xr:uid="{00000000-0006-0000-1800-000006000000}">
      <text>
        <r>
          <rPr>
            <b/>
            <sz val="8"/>
            <color indexed="81"/>
            <rFont val="Tahoma"/>
            <family val="2"/>
          </rPr>
          <t>Arbitrary Allocation of O&amp;M until actual electronic ASR is available for historical year.</t>
        </r>
      </text>
    </comment>
    <comment ref="AK91" authorId="0" shapeId="0" xr:uid="{00000000-0006-0000-1800-000007000000}">
      <text>
        <r>
          <rPr>
            <b/>
            <sz val="8"/>
            <color indexed="81"/>
            <rFont val="Tahoma"/>
            <family val="2"/>
          </rPr>
          <t>Arbitrary Allocation of Cons Acct expense until actual electronic ASR is available for historical year.</t>
        </r>
      </text>
    </comment>
    <comment ref="AL91" authorId="0" shapeId="0" xr:uid="{00000000-0006-0000-1800-000008000000}">
      <text>
        <r>
          <rPr>
            <b/>
            <sz val="8"/>
            <color indexed="81"/>
            <rFont val="Tahoma"/>
            <family val="2"/>
          </rPr>
          <t>Arbitrary Allocation of Cons Acct expense until actual electronic ASR is available for historical year.</t>
        </r>
      </text>
    </comment>
    <comment ref="AN91" authorId="0" shapeId="0" xr:uid="{00000000-0006-0000-1800-000009000000}">
      <text>
        <r>
          <rPr>
            <b/>
            <sz val="8"/>
            <color indexed="81"/>
            <rFont val="Tahoma"/>
            <family val="2"/>
          </rPr>
          <t>Arbitrary Allocation of Cons Acct expense until actual electronic ASR is available for historical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Howard Barnes</author>
    <author>Edward.Moran</author>
  </authors>
  <commentList>
    <comment ref="G10" authorId="0" shapeId="0" xr:uid="{C7B323E8-3C9A-404E-945E-7657523ADE8B}">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H10" authorId="0" shapeId="0" xr:uid="{00000000-0006-0000-0400-000002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I10" authorId="0" shapeId="0" xr:uid="{00000000-0006-0000-0400-000003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J10" authorId="0" shapeId="0" xr:uid="{00000000-0006-0000-0400-000004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K10" authorId="0" shapeId="0" xr:uid="{00000000-0006-0000-0400-000005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L10" authorId="0" shapeId="0" xr:uid="{00000000-0006-0000-0400-000006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M10" authorId="0" shapeId="0" xr:uid="{00000000-0006-0000-0400-000007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N10" authorId="0" shapeId="0" xr:uid="{00000000-0006-0000-0400-000008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O10" authorId="0" shapeId="0" xr:uid="{00000000-0006-0000-0400-000009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P10" authorId="0" shapeId="0" xr:uid="{00000000-0006-0000-0400-00000A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D11" authorId="0" shapeId="0" xr:uid="{00000000-0006-0000-0400-00000B000000}">
      <text>
        <r>
          <rPr>
            <b/>
            <sz val="12"/>
            <color indexed="81"/>
            <rFont val="Tahoma"/>
            <family val="2"/>
          </rPr>
          <t>Can be broken down between Fixed &amp; Variable Components, OR will calcluate an Effective Energy Rate if this cell is left blank.</t>
        </r>
      </text>
    </comment>
    <comment ref="E11" authorId="0" shapeId="0" xr:uid="{00000000-0006-0000-0400-00000C000000}">
      <text>
        <r>
          <rPr>
            <b/>
            <sz val="12"/>
            <color indexed="81"/>
            <rFont val="Tahoma"/>
            <family val="2"/>
          </rPr>
          <t>Can be broken down between Fixed &amp; Variable Components, OR will calcluate an Effective Energy Rate if this cell is left blank.</t>
        </r>
      </text>
    </comment>
    <comment ref="F11" authorId="0" shapeId="0" xr:uid="{00000000-0006-0000-0400-00000D000000}">
      <text>
        <r>
          <rPr>
            <b/>
            <sz val="12"/>
            <color indexed="81"/>
            <rFont val="Tahoma"/>
            <family val="2"/>
          </rPr>
          <t>Can be broken down between Fixed &amp; Variable Components, OR will calcluate an Effective Energy Rate if this cell is left blank.</t>
        </r>
      </text>
    </comment>
    <comment ref="D15" authorId="0" shapeId="0" xr:uid="{00000000-0006-0000-0400-00000E000000}">
      <text>
        <r>
          <rPr>
            <b/>
            <sz val="12"/>
            <color indexed="81"/>
            <rFont val="Tahoma"/>
            <family val="2"/>
          </rPr>
          <t>Part O, Line 1c, column c, Op Rep</t>
        </r>
      </text>
    </comment>
    <comment ref="E15" authorId="0" shapeId="0" xr:uid="{00000000-0006-0000-0400-00000F000000}">
      <text>
        <r>
          <rPr>
            <b/>
            <sz val="12"/>
            <color indexed="81"/>
            <rFont val="Tahoma"/>
            <family val="2"/>
          </rPr>
          <t>Part O, Line 1c, column c, Op Rep</t>
        </r>
      </text>
    </comment>
    <comment ref="F15" authorId="0" shapeId="0" xr:uid="{00000000-0006-0000-0400-000010000000}">
      <text>
        <r>
          <rPr>
            <b/>
            <sz val="12"/>
            <color indexed="81"/>
            <rFont val="Tahoma"/>
            <family val="2"/>
          </rPr>
          <t>Part O, Line 1c, column c, Op Rep</t>
        </r>
      </text>
    </comment>
    <comment ref="G19" authorId="0" shapeId="0" xr:uid="{00000000-0006-0000-0400-000011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H19" authorId="0" shapeId="0" xr:uid="{00000000-0006-0000-0400-000012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I19" authorId="0" shapeId="0" xr:uid="{00000000-0006-0000-0400-000013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J19" authorId="0" shapeId="0" xr:uid="{00000000-0006-0000-0400-000014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K19" authorId="0" shapeId="0" xr:uid="{00000000-0006-0000-0400-000015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L19" authorId="0" shapeId="0" xr:uid="{00000000-0006-0000-0400-000016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M19" authorId="0" shapeId="0" xr:uid="{00000000-0006-0000-0400-000017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N19" authorId="0" shapeId="0" xr:uid="{00000000-0006-0000-0400-000018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O19" authorId="0" shapeId="0" xr:uid="{00000000-0006-0000-0400-000019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P19" authorId="0" shapeId="0" xr:uid="{00000000-0006-0000-0400-00001A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D20" authorId="0" shapeId="0" xr:uid="{00000000-0006-0000-0400-00001B000000}">
      <text>
        <r>
          <rPr>
            <b/>
            <sz val="12"/>
            <color indexed="81"/>
            <rFont val="Tahoma"/>
            <family val="2"/>
          </rPr>
          <t>Can be broken down between Fixed &amp; Variable Components, OR will calcluate an Effective Energy Rate if this cell is left blank.</t>
        </r>
      </text>
    </comment>
    <comment ref="E20" authorId="0" shapeId="0" xr:uid="{00000000-0006-0000-0400-00001C000000}">
      <text>
        <r>
          <rPr>
            <b/>
            <sz val="12"/>
            <color indexed="81"/>
            <rFont val="Tahoma"/>
            <family val="2"/>
          </rPr>
          <t>Can be broken down between Fixed &amp; Variable Components, OR will calcluate an Effective Energy Rate if this cell is left blank.</t>
        </r>
      </text>
    </comment>
    <comment ref="F20" authorId="0" shapeId="0" xr:uid="{00000000-0006-0000-0400-00001D000000}">
      <text>
        <r>
          <rPr>
            <b/>
            <sz val="12"/>
            <color indexed="81"/>
            <rFont val="Tahoma"/>
            <family val="2"/>
          </rPr>
          <t>Can be broken down between Fixed &amp; Variable Components, OR will calcluate an Effective Energy Rate if this cell is left blank.</t>
        </r>
      </text>
    </comment>
    <comment ref="D24" authorId="0" shapeId="0" xr:uid="{00000000-0006-0000-0400-00001E000000}">
      <text>
        <r>
          <rPr>
            <b/>
            <sz val="12"/>
            <color indexed="81"/>
            <rFont val="Tahoma"/>
            <family val="2"/>
          </rPr>
          <t>Part O, Line 2c, column c, Op Rep</t>
        </r>
      </text>
    </comment>
    <comment ref="E24" authorId="0" shapeId="0" xr:uid="{00000000-0006-0000-0400-00001F000000}">
      <text>
        <r>
          <rPr>
            <b/>
            <sz val="12"/>
            <color indexed="81"/>
            <rFont val="Tahoma"/>
            <family val="2"/>
          </rPr>
          <t>Part O, Line 2c, column c, Op Rep</t>
        </r>
      </text>
    </comment>
    <comment ref="F24" authorId="0" shapeId="0" xr:uid="{00000000-0006-0000-0400-000020000000}">
      <text>
        <r>
          <rPr>
            <b/>
            <sz val="12"/>
            <color indexed="81"/>
            <rFont val="Tahoma"/>
            <family val="2"/>
          </rPr>
          <t>Part O, Line 2c, column c, Op Rep</t>
        </r>
      </text>
    </comment>
    <comment ref="G28" authorId="0" shapeId="0" xr:uid="{00000000-0006-0000-0400-000021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H28" authorId="0" shapeId="0" xr:uid="{00000000-0006-0000-0400-000022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I28" authorId="0" shapeId="0" xr:uid="{00000000-0006-0000-0400-000023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J28" authorId="0" shapeId="0" xr:uid="{00000000-0006-0000-0400-000024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K28" authorId="0" shapeId="0" xr:uid="{00000000-0006-0000-0400-000025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L28" authorId="0" shapeId="0" xr:uid="{00000000-0006-0000-0400-000026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M28" authorId="0" shapeId="0" xr:uid="{00000000-0006-0000-0400-000027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N28" authorId="0" shapeId="0" xr:uid="{00000000-0006-0000-0400-000028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O28" authorId="0" shapeId="0" xr:uid="{00000000-0006-0000-0400-000029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P28" authorId="0" shapeId="0" xr:uid="{00000000-0006-0000-0400-00002A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D29" authorId="0" shapeId="0" xr:uid="{00000000-0006-0000-0400-00002B000000}">
      <text>
        <r>
          <rPr>
            <b/>
            <sz val="12"/>
            <color indexed="81"/>
            <rFont val="Tahoma"/>
            <family val="2"/>
          </rPr>
          <t>Can be broken down between Fixed &amp; Variable Components, OR will calcluate an Effective Energy Rate if this cell is left blank.</t>
        </r>
      </text>
    </comment>
    <comment ref="E29" authorId="0" shapeId="0" xr:uid="{00000000-0006-0000-0400-00002C000000}">
      <text>
        <r>
          <rPr>
            <b/>
            <sz val="12"/>
            <color indexed="81"/>
            <rFont val="Tahoma"/>
            <family val="2"/>
          </rPr>
          <t>Can be broken down between Fixed &amp; Variable Components, OR will calcluate an Effective Energy Rate if this cell is left blank.</t>
        </r>
      </text>
    </comment>
    <comment ref="F29" authorId="0" shapeId="0" xr:uid="{00000000-0006-0000-0400-00002D000000}">
      <text>
        <r>
          <rPr>
            <b/>
            <sz val="12"/>
            <color indexed="81"/>
            <rFont val="Tahoma"/>
            <family val="2"/>
          </rPr>
          <t>Can be broken down between Fixed &amp; Variable Components, OR will calcluate an Effective Energy Rate if this cell is left blank.</t>
        </r>
      </text>
    </comment>
    <comment ref="D33" authorId="0" shapeId="0" xr:uid="{00000000-0006-0000-0400-00002E000000}">
      <text>
        <r>
          <rPr>
            <b/>
            <sz val="12"/>
            <color indexed="81"/>
            <rFont val="Tahoma"/>
            <family val="2"/>
          </rPr>
          <t>Part O, Line 3c, column c, Op Rep</t>
        </r>
      </text>
    </comment>
    <comment ref="E33" authorId="0" shapeId="0" xr:uid="{00000000-0006-0000-0400-00002F000000}">
      <text>
        <r>
          <rPr>
            <b/>
            <sz val="12"/>
            <color indexed="81"/>
            <rFont val="Tahoma"/>
            <family val="2"/>
          </rPr>
          <t>Part O, Line 3c, column c, Op Rep</t>
        </r>
      </text>
    </comment>
    <comment ref="F33" authorId="0" shapeId="0" xr:uid="{00000000-0006-0000-0400-000030000000}">
      <text>
        <r>
          <rPr>
            <b/>
            <sz val="12"/>
            <color indexed="81"/>
            <rFont val="Tahoma"/>
            <family val="2"/>
          </rPr>
          <t>Part O, Line 3c, column c, Op Rep</t>
        </r>
      </text>
    </comment>
    <comment ref="G37" authorId="0" shapeId="0" xr:uid="{00000000-0006-0000-0400-000031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H37" authorId="0" shapeId="0" xr:uid="{00000000-0006-0000-0400-000032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I37" authorId="0" shapeId="0" xr:uid="{00000000-0006-0000-0400-000033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J37" authorId="0" shapeId="0" xr:uid="{00000000-0006-0000-0400-000034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K37" authorId="0" shapeId="0" xr:uid="{00000000-0006-0000-0400-000035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L37" authorId="0" shapeId="0" xr:uid="{00000000-0006-0000-0400-000036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M37" authorId="0" shapeId="0" xr:uid="{00000000-0006-0000-0400-000037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N37" authorId="0" shapeId="0" xr:uid="{00000000-0006-0000-0400-000038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O37" authorId="0" shapeId="0" xr:uid="{00000000-0006-0000-0400-000039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P37" authorId="0" shapeId="0" xr:uid="{00000000-0006-0000-0400-00003A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D38" authorId="0" shapeId="0" xr:uid="{00000000-0006-0000-0400-00003B000000}">
      <text>
        <r>
          <rPr>
            <b/>
            <sz val="12"/>
            <color indexed="81"/>
            <rFont val="Tahoma"/>
            <family val="2"/>
          </rPr>
          <t>Can be broken down between Fixed &amp; Variable Components, OR will calcluate an Effective Energy Rate if this cell is left blank.</t>
        </r>
      </text>
    </comment>
    <comment ref="E38" authorId="0" shapeId="0" xr:uid="{00000000-0006-0000-0400-00003C000000}">
      <text>
        <r>
          <rPr>
            <b/>
            <sz val="12"/>
            <color indexed="81"/>
            <rFont val="Tahoma"/>
            <family val="2"/>
          </rPr>
          <t>Can be broken down between Fixed &amp; Variable Components, OR will calcluate an Effective Energy Rate if this cell is left blank.</t>
        </r>
      </text>
    </comment>
    <comment ref="F38" authorId="0" shapeId="0" xr:uid="{00000000-0006-0000-0400-00003D000000}">
      <text>
        <r>
          <rPr>
            <b/>
            <sz val="12"/>
            <color indexed="81"/>
            <rFont val="Tahoma"/>
            <family val="2"/>
          </rPr>
          <t>Can be broken down between Fixed &amp; Variable Components, OR will calcluate an Effective Energy Rate if this cell is left blank.</t>
        </r>
      </text>
    </comment>
    <comment ref="D42" authorId="0" shapeId="0" xr:uid="{00000000-0006-0000-0400-00003E000000}">
      <text>
        <r>
          <rPr>
            <b/>
            <sz val="12"/>
            <color indexed="81"/>
            <rFont val="Tahoma"/>
            <family val="2"/>
          </rPr>
          <t>Part O, Line 4c, column c, Op Rep</t>
        </r>
      </text>
    </comment>
    <comment ref="E42" authorId="0" shapeId="0" xr:uid="{00000000-0006-0000-0400-00003F000000}">
      <text>
        <r>
          <rPr>
            <b/>
            <sz val="12"/>
            <color indexed="81"/>
            <rFont val="Tahoma"/>
            <family val="2"/>
          </rPr>
          <t>Part O, Line 4c, column c, Op Rep</t>
        </r>
      </text>
    </comment>
    <comment ref="F42" authorId="0" shapeId="0" xr:uid="{00000000-0006-0000-0400-000040000000}">
      <text>
        <r>
          <rPr>
            <b/>
            <sz val="12"/>
            <color indexed="81"/>
            <rFont val="Tahoma"/>
            <family val="2"/>
          </rPr>
          <t>Part O, Line 4c, column c, Op Rep</t>
        </r>
      </text>
    </comment>
    <comment ref="G46" authorId="0" shapeId="0" xr:uid="{00000000-0006-0000-0400-000041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H46" authorId="0" shapeId="0" xr:uid="{00000000-0006-0000-0400-000042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I46" authorId="0" shapeId="0" xr:uid="{00000000-0006-0000-0400-000043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J46" authorId="0" shapeId="0" xr:uid="{00000000-0006-0000-0400-000044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K46" authorId="0" shapeId="0" xr:uid="{00000000-0006-0000-0400-000045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L46" authorId="0" shapeId="0" xr:uid="{00000000-0006-0000-0400-000046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M46" authorId="0" shapeId="0" xr:uid="{00000000-0006-0000-0400-000047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N46" authorId="0" shapeId="0" xr:uid="{00000000-0006-0000-0400-000048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O46" authorId="0" shapeId="0" xr:uid="{00000000-0006-0000-0400-000049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P46" authorId="0" shapeId="0" xr:uid="{00000000-0006-0000-0400-00004A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D47" authorId="0" shapeId="0" xr:uid="{00000000-0006-0000-0400-00004B000000}">
      <text>
        <r>
          <rPr>
            <b/>
            <sz val="12"/>
            <color indexed="81"/>
            <rFont val="Tahoma"/>
            <family val="2"/>
          </rPr>
          <t>Can be broken down between Fixed &amp; Variable Components, OR will calcluate an Effective Energy Rate if this cell is left blank.</t>
        </r>
      </text>
    </comment>
    <comment ref="E47" authorId="0" shapeId="0" xr:uid="{00000000-0006-0000-0400-00004C000000}">
      <text>
        <r>
          <rPr>
            <b/>
            <sz val="12"/>
            <color indexed="81"/>
            <rFont val="Tahoma"/>
            <family val="2"/>
          </rPr>
          <t>Can be broken down between Fixed &amp; Variable Components, OR will calcluate an Effective Energy Rate if this cell is left blank.</t>
        </r>
      </text>
    </comment>
    <comment ref="F47" authorId="0" shapeId="0" xr:uid="{00000000-0006-0000-0400-00004D000000}">
      <text>
        <r>
          <rPr>
            <b/>
            <sz val="12"/>
            <color indexed="81"/>
            <rFont val="Tahoma"/>
            <family val="2"/>
          </rPr>
          <t>Can be broken down between Fixed &amp; Variable Components, OR will calcluate an Effective Energy Rate if this cell is left blank.</t>
        </r>
      </text>
    </comment>
    <comment ref="D51" authorId="0" shapeId="0" xr:uid="{00000000-0006-0000-0400-00004E000000}">
      <text>
        <r>
          <rPr>
            <b/>
            <sz val="12"/>
            <color indexed="81"/>
            <rFont val="Arial"/>
            <family val="2"/>
          </rPr>
          <t>If not shown separately below, Part O, Line 5c, column c, Op Rep</t>
        </r>
      </text>
    </comment>
    <comment ref="E51" authorId="1" shapeId="0" xr:uid="{00000000-0006-0000-0400-00004F000000}">
      <text>
        <r>
          <rPr>
            <b/>
            <sz val="12"/>
            <color indexed="81"/>
            <rFont val="Arial"/>
            <family val="2"/>
          </rPr>
          <t>If not shown separately below, Part O, Line 5c, column c, Op Rep</t>
        </r>
      </text>
    </comment>
    <comment ref="F51" authorId="1" shapeId="0" xr:uid="{00000000-0006-0000-0400-000050000000}">
      <text>
        <r>
          <rPr>
            <b/>
            <sz val="12"/>
            <color indexed="81"/>
            <rFont val="Arial"/>
            <family val="2"/>
          </rPr>
          <t>If not shown separately below, Part O, Line 5c, column c, Op Rep</t>
        </r>
      </text>
    </comment>
    <comment ref="G69" authorId="0" shapeId="0" xr:uid="{00000000-0006-0000-0400-000051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H69" authorId="0" shapeId="0" xr:uid="{00000000-0006-0000-0400-000052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I69" authorId="0" shapeId="0" xr:uid="{00000000-0006-0000-0400-000053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J69" authorId="0" shapeId="0" xr:uid="{00000000-0006-0000-0400-000054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K69" authorId="0" shapeId="0" xr:uid="{00000000-0006-0000-0400-000055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L69" authorId="0" shapeId="0" xr:uid="{00000000-0006-0000-0400-000056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M69" authorId="0" shapeId="0" xr:uid="{00000000-0006-0000-0400-000057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N69" authorId="0" shapeId="0" xr:uid="{00000000-0006-0000-0400-000058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O69" authorId="0" shapeId="0" xr:uid="{00000000-0006-0000-0400-000059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P69" authorId="0" shapeId="0" xr:uid="{00000000-0006-0000-0400-00005A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D70" authorId="0" shapeId="0" xr:uid="{00000000-0006-0000-0400-00005B000000}">
      <text>
        <r>
          <rPr>
            <b/>
            <sz val="12"/>
            <color indexed="81"/>
            <rFont val="Tahoma"/>
            <family val="2"/>
          </rPr>
          <t>Can be broken down between Fixed &amp; Variable Components, OR will calcluate an Effective Energy Rate if this cell is left blank.</t>
        </r>
      </text>
    </comment>
    <comment ref="E70" authorId="0" shapeId="0" xr:uid="{00000000-0006-0000-0400-00005C000000}">
      <text>
        <r>
          <rPr>
            <b/>
            <sz val="12"/>
            <color indexed="81"/>
            <rFont val="Tahoma"/>
            <family val="2"/>
          </rPr>
          <t>Can be broken down between Fixed &amp; Variable Components, OR will calcluate an Effective Energy Rate if this cell is left blank.</t>
        </r>
      </text>
    </comment>
    <comment ref="F70" authorId="0" shapeId="0" xr:uid="{00000000-0006-0000-0400-00005D000000}">
      <text>
        <r>
          <rPr>
            <b/>
            <sz val="12"/>
            <color indexed="81"/>
            <rFont val="Tahoma"/>
            <family val="2"/>
          </rPr>
          <t>Can be broken down between Fixed &amp; Variable Components, OR will calcluate an Effective Energy Rate if this cell is left blank.</t>
        </r>
      </text>
    </comment>
    <comment ref="G78" authorId="0" shapeId="0" xr:uid="{00000000-0006-0000-0400-00005E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H78" authorId="0" shapeId="0" xr:uid="{00000000-0006-0000-0400-00005F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I78" authorId="0" shapeId="0" xr:uid="{00000000-0006-0000-0400-000060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J78" authorId="0" shapeId="0" xr:uid="{00000000-0006-0000-0400-000061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K78" authorId="0" shapeId="0" xr:uid="{00000000-0006-0000-0400-000062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L78" authorId="0" shapeId="0" xr:uid="{00000000-0006-0000-0400-000063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M78" authorId="0" shapeId="0" xr:uid="{00000000-0006-0000-0400-000064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N78" authorId="0" shapeId="0" xr:uid="{00000000-0006-0000-0400-000065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O78" authorId="0" shapeId="0" xr:uid="{00000000-0006-0000-0400-000066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P78" authorId="0" shapeId="0" xr:uid="{00000000-0006-0000-0400-000067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D79" authorId="0" shapeId="0" xr:uid="{00000000-0006-0000-0400-000068000000}">
      <text>
        <r>
          <rPr>
            <b/>
            <sz val="12"/>
            <color indexed="81"/>
            <rFont val="Tahoma"/>
            <family val="2"/>
          </rPr>
          <t>Can be broken down between Fixed &amp; Variable Components, OR will calcluate an Effective Energy Rate if this cell is left blank.</t>
        </r>
      </text>
    </comment>
    <comment ref="E79" authorId="0" shapeId="0" xr:uid="{00000000-0006-0000-0400-000069000000}">
      <text>
        <r>
          <rPr>
            <b/>
            <sz val="12"/>
            <color indexed="81"/>
            <rFont val="Tahoma"/>
            <family val="2"/>
          </rPr>
          <t>Can be broken down between Fixed &amp; Variable Components, OR will calcluate an Effective Energy Rate if this cell is left blank.</t>
        </r>
      </text>
    </comment>
    <comment ref="F79" authorId="0" shapeId="0" xr:uid="{00000000-0006-0000-0400-00006A000000}">
      <text>
        <r>
          <rPr>
            <b/>
            <sz val="12"/>
            <color indexed="81"/>
            <rFont val="Tahoma"/>
            <family val="2"/>
          </rPr>
          <t>Can be broken down between Fixed &amp; Variable Components, OR will calcluate an Effective Energy Rate if this cell is left blank.</t>
        </r>
      </text>
    </comment>
    <comment ref="G87" authorId="0" shapeId="0" xr:uid="{00000000-0006-0000-0400-00006B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H87" authorId="0" shapeId="0" xr:uid="{00000000-0006-0000-0400-00006C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I87" authorId="0" shapeId="0" xr:uid="{00000000-0006-0000-0400-00006D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J87" authorId="0" shapeId="0" xr:uid="{00000000-0006-0000-0400-00006E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K87" authorId="0" shapeId="0" xr:uid="{00000000-0006-0000-0400-00006F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L87" authorId="0" shapeId="0" xr:uid="{00000000-0006-0000-0400-000070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M87" authorId="0" shapeId="0" xr:uid="{00000000-0006-0000-0400-000071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N87" authorId="0" shapeId="0" xr:uid="{00000000-0006-0000-0400-000072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O87" authorId="0" shapeId="0" xr:uid="{00000000-0006-0000-0400-000073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P87" authorId="0" shapeId="0" xr:uid="{00000000-0006-0000-0400-000074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D88" authorId="0" shapeId="0" xr:uid="{00000000-0006-0000-0400-000075000000}">
      <text>
        <r>
          <rPr>
            <b/>
            <sz val="12"/>
            <color indexed="81"/>
            <rFont val="Tahoma"/>
            <family val="2"/>
          </rPr>
          <t>Can be broken down between Fixed &amp; Variable Components, OR will calcluate an Effective Energy Rate if this cell is left blank.</t>
        </r>
      </text>
    </comment>
    <comment ref="E88" authorId="0" shapeId="0" xr:uid="{00000000-0006-0000-0400-000076000000}">
      <text>
        <r>
          <rPr>
            <b/>
            <sz val="12"/>
            <color indexed="81"/>
            <rFont val="Tahoma"/>
            <family val="2"/>
          </rPr>
          <t>Can be broken down between Fixed &amp; Variable Components, OR will calcluate an Effective Energy Rate if this cell is left blank.</t>
        </r>
      </text>
    </comment>
    <comment ref="F88" authorId="0" shapeId="0" xr:uid="{00000000-0006-0000-0400-000077000000}">
      <text>
        <r>
          <rPr>
            <b/>
            <sz val="12"/>
            <color indexed="81"/>
            <rFont val="Tahoma"/>
            <family val="2"/>
          </rPr>
          <t>Can be broken down between Fixed &amp; Variable Components, OR will calcluate an Effective Energy Rate if this cell is left blank.</t>
        </r>
      </text>
    </comment>
    <comment ref="G96" authorId="0" shapeId="0" xr:uid="{00000000-0006-0000-0400-000078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H96" authorId="0" shapeId="0" xr:uid="{00000000-0006-0000-0400-000079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I96" authorId="0" shapeId="0" xr:uid="{00000000-0006-0000-0400-00007A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J96" authorId="0" shapeId="0" xr:uid="{00000000-0006-0000-0400-00007B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K96" authorId="0" shapeId="0" xr:uid="{00000000-0006-0000-0400-00007C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L96" authorId="0" shapeId="0" xr:uid="{00000000-0006-0000-0400-00007D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M96" authorId="0" shapeId="0" xr:uid="{00000000-0006-0000-0400-00007E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N96" authorId="0" shapeId="0" xr:uid="{00000000-0006-0000-0400-00007F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O96" authorId="0" shapeId="0" xr:uid="{00000000-0006-0000-0400-000080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P96" authorId="0" shapeId="0" xr:uid="{00000000-0006-0000-0400-000081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D97" authorId="0" shapeId="0" xr:uid="{00000000-0006-0000-0400-000082000000}">
      <text>
        <r>
          <rPr>
            <b/>
            <sz val="12"/>
            <color indexed="81"/>
            <rFont val="Tahoma"/>
            <family val="2"/>
          </rPr>
          <t>Can be broken down between Fixed &amp; Variable Components, OR will calcluate an Effective Energy Rate if this cell is left blank.</t>
        </r>
      </text>
    </comment>
    <comment ref="E97" authorId="0" shapeId="0" xr:uid="{00000000-0006-0000-0400-000083000000}">
      <text>
        <r>
          <rPr>
            <b/>
            <sz val="12"/>
            <color indexed="81"/>
            <rFont val="Tahoma"/>
            <family val="2"/>
          </rPr>
          <t>Can be broken down between Fixed &amp; Variable Components, OR will calcluate an Effective Energy Rate if this cell is left blank.</t>
        </r>
      </text>
    </comment>
    <comment ref="F97" authorId="0" shapeId="0" xr:uid="{00000000-0006-0000-0400-000084000000}">
      <text>
        <r>
          <rPr>
            <b/>
            <sz val="12"/>
            <color indexed="81"/>
            <rFont val="Tahoma"/>
            <family val="2"/>
          </rPr>
          <t>Can be broken down between Fixed &amp; Variable Components, OR will calcluate an Effective Energy Rate if this cell is left blank.</t>
        </r>
      </text>
    </comment>
    <comment ref="D101" authorId="0" shapeId="0" xr:uid="{00000000-0006-0000-0400-000085000000}">
      <text>
        <r>
          <rPr>
            <b/>
            <sz val="12"/>
            <color indexed="81"/>
            <rFont val="Tahoma"/>
            <family val="2"/>
          </rPr>
          <t>Part O, Line 6c, column c, Op Rep</t>
        </r>
      </text>
    </comment>
    <comment ref="E101" authorId="0" shapeId="0" xr:uid="{00000000-0006-0000-0400-000086000000}">
      <text>
        <r>
          <rPr>
            <b/>
            <sz val="12"/>
            <color indexed="81"/>
            <rFont val="Tahoma"/>
            <family val="2"/>
          </rPr>
          <t>Part O, Line 6c, column c, Op Rep</t>
        </r>
      </text>
    </comment>
    <comment ref="F101" authorId="0" shapeId="0" xr:uid="{00000000-0006-0000-0400-000087000000}">
      <text>
        <r>
          <rPr>
            <b/>
            <sz val="12"/>
            <color indexed="81"/>
            <rFont val="Tahoma"/>
            <family val="2"/>
          </rPr>
          <t>Part O, Line 6c, column c, Op Rep</t>
        </r>
      </text>
    </comment>
    <comment ref="G105" authorId="0" shapeId="0" xr:uid="{00000000-0006-0000-0400-000088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H105" authorId="0" shapeId="0" xr:uid="{00000000-0006-0000-0400-000089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I105" authorId="0" shapeId="0" xr:uid="{00000000-0006-0000-0400-00008A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J105" authorId="0" shapeId="0" xr:uid="{00000000-0006-0000-0400-00008B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K105" authorId="0" shapeId="0" xr:uid="{00000000-0006-0000-0400-00008C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L105" authorId="0" shapeId="0" xr:uid="{00000000-0006-0000-0400-00008D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M105" authorId="0" shapeId="0" xr:uid="{00000000-0006-0000-0400-00008E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N105" authorId="0" shapeId="0" xr:uid="{00000000-0006-0000-0400-00008F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O105" authorId="0" shapeId="0" xr:uid="{00000000-0006-0000-0400-000090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P105" authorId="0" shapeId="0" xr:uid="{00000000-0006-0000-0400-000091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D106" authorId="0" shapeId="0" xr:uid="{00000000-0006-0000-0400-000092000000}">
      <text>
        <r>
          <rPr>
            <b/>
            <sz val="12"/>
            <color indexed="81"/>
            <rFont val="Tahoma"/>
            <family val="2"/>
          </rPr>
          <t>Can be broken down between Fixed &amp; Variable Components, OR will calcluate an Effective Energy Rate if this cell is left blank.</t>
        </r>
      </text>
    </comment>
    <comment ref="E106" authorId="0" shapeId="0" xr:uid="{00000000-0006-0000-0400-000093000000}">
      <text>
        <r>
          <rPr>
            <b/>
            <sz val="12"/>
            <color indexed="81"/>
            <rFont val="Tahoma"/>
            <family val="2"/>
          </rPr>
          <t>Can be broken down between Fixed &amp; Variable Components, OR will calcluate an Effective Energy Rate if this cell is left blank.</t>
        </r>
      </text>
    </comment>
    <comment ref="F106" authorId="0" shapeId="0" xr:uid="{00000000-0006-0000-0400-000094000000}">
      <text>
        <r>
          <rPr>
            <b/>
            <sz val="12"/>
            <color indexed="81"/>
            <rFont val="Tahoma"/>
            <family val="2"/>
          </rPr>
          <t>Can be broken down between Fixed &amp; Variable Components, OR will calcluate an Effective Energy Rate if this cell is left blank.</t>
        </r>
      </text>
    </comment>
    <comment ref="D110" authorId="0" shapeId="0" xr:uid="{00000000-0006-0000-0400-000095000000}">
      <text>
        <r>
          <rPr>
            <b/>
            <sz val="12"/>
            <color indexed="81"/>
            <rFont val="Tahoma"/>
            <family val="2"/>
          </rPr>
          <t>Part O, Line 7c, column c, Op Rep</t>
        </r>
      </text>
    </comment>
    <comment ref="E110" authorId="0" shapeId="0" xr:uid="{00000000-0006-0000-0400-000096000000}">
      <text>
        <r>
          <rPr>
            <b/>
            <sz val="12"/>
            <color indexed="81"/>
            <rFont val="Tahoma"/>
            <family val="2"/>
          </rPr>
          <t>Part O, Line 7c, column c, Op Rep</t>
        </r>
      </text>
    </comment>
    <comment ref="F110" authorId="0" shapeId="0" xr:uid="{00000000-0006-0000-0400-000097000000}">
      <text>
        <r>
          <rPr>
            <b/>
            <sz val="12"/>
            <color indexed="81"/>
            <rFont val="Tahoma"/>
            <family val="2"/>
          </rPr>
          <t>Part O, Line 7c, column c, Op Rep</t>
        </r>
      </text>
    </comment>
    <comment ref="G129" authorId="0" shapeId="0" xr:uid="{00000000-0006-0000-0400-000098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H129" authorId="0" shapeId="0" xr:uid="{00000000-0006-0000-0400-000099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I129" authorId="0" shapeId="0" xr:uid="{00000000-0006-0000-0400-00009A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J129" authorId="0" shapeId="0" xr:uid="{00000000-0006-0000-0400-00009B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K129" authorId="0" shapeId="0" xr:uid="{00000000-0006-0000-0400-00009C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L129" authorId="0" shapeId="0" xr:uid="{00000000-0006-0000-0400-00009D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M129" authorId="0" shapeId="0" xr:uid="{00000000-0006-0000-0400-00009E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N129" authorId="0" shapeId="0" xr:uid="{00000000-0006-0000-0400-00009F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O129" authorId="0" shapeId="0" xr:uid="{00000000-0006-0000-0400-0000A0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P129" authorId="0" shapeId="0" xr:uid="{00000000-0006-0000-0400-0000A1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D130" authorId="0" shapeId="0" xr:uid="{00000000-0006-0000-0400-0000A2000000}">
      <text>
        <r>
          <rPr>
            <b/>
            <sz val="12"/>
            <color indexed="81"/>
            <rFont val="Tahoma"/>
            <family val="2"/>
          </rPr>
          <t>Can be broken down between Fixed &amp; Variable Components, OR will calcluate an Effective Energy Rate if this cell is left blank.</t>
        </r>
      </text>
    </comment>
    <comment ref="E130" authorId="0" shapeId="0" xr:uid="{00000000-0006-0000-0400-0000A3000000}">
      <text>
        <r>
          <rPr>
            <b/>
            <sz val="12"/>
            <color indexed="81"/>
            <rFont val="Tahoma"/>
            <family val="2"/>
          </rPr>
          <t>Can be broken down between Fixed &amp; Variable Components, OR will calcluate an Effective Energy Rate if this cell is left blank.</t>
        </r>
      </text>
    </comment>
    <comment ref="F130" authorId="0" shapeId="0" xr:uid="{00000000-0006-0000-0400-0000A4000000}">
      <text>
        <r>
          <rPr>
            <b/>
            <sz val="12"/>
            <color indexed="81"/>
            <rFont val="Tahoma"/>
            <family val="2"/>
          </rPr>
          <t>Can be broken down between Fixed &amp; Variable Components, OR will calcluate an Effective Energy Rate if this cell is left blank.</t>
        </r>
      </text>
    </comment>
    <comment ref="D134" authorId="0" shapeId="0" xr:uid="{00000000-0006-0000-0400-0000A5000000}">
      <text>
        <r>
          <rPr>
            <b/>
            <sz val="12"/>
            <color indexed="81"/>
            <rFont val="Tahoma"/>
            <family val="2"/>
          </rPr>
          <t>Part O, Line 8c, column c, Op Rep</t>
        </r>
      </text>
    </comment>
    <comment ref="E134" authorId="1" shapeId="0" xr:uid="{00000000-0006-0000-0400-0000A6000000}">
      <text>
        <r>
          <rPr>
            <b/>
            <sz val="12"/>
            <color indexed="81"/>
            <rFont val="Arial"/>
            <family val="2"/>
          </rPr>
          <t>Part O, Line 8c, column c, Op Rep</t>
        </r>
      </text>
    </comment>
    <comment ref="F134" authorId="1" shapeId="0" xr:uid="{00000000-0006-0000-0400-0000A7000000}">
      <text>
        <r>
          <rPr>
            <b/>
            <sz val="12"/>
            <color indexed="81"/>
            <rFont val="Arial"/>
            <family val="2"/>
          </rPr>
          <t>Part O, Line 8c, column c, Op Rep</t>
        </r>
      </text>
    </comment>
    <comment ref="G138" authorId="0" shapeId="0" xr:uid="{00000000-0006-0000-0400-0000A8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H138" authorId="0" shapeId="0" xr:uid="{00000000-0006-0000-0400-0000A9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I138" authorId="0" shapeId="0" xr:uid="{00000000-0006-0000-0400-0000AA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J138" authorId="0" shapeId="0" xr:uid="{00000000-0006-0000-0400-0000AB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K138" authorId="0" shapeId="0" xr:uid="{00000000-0006-0000-0400-0000AC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L138" authorId="0" shapeId="0" xr:uid="{00000000-0006-0000-0400-0000AD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M138" authorId="0" shapeId="0" xr:uid="{00000000-0006-0000-0400-0000AE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N138" authorId="0" shapeId="0" xr:uid="{00000000-0006-0000-0400-0000AF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O138" authorId="0" shapeId="0" xr:uid="{00000000-0006-0000-0400-0000B0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P138" authorId="0" shapeId="0" xr:uid="{00000000-0006-0000-0400-0000B1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D139" authorId="0" shapeId="0" xr:uid="{00000000-0006-0000-0400-0000B2000000}">
      <text>
        <r>
          <rPr>
            <b/>
            <sz val="12"/>
            <color indexed="81"/>
            <rFont val="Tahoma"/>
            <family val="2"/>
          </rPr>
          <t>Can be broken down between Fixed &amp; Variable Components, OR will calcluate an Effective Energy Rate if this cell is left blank.</t>
        </r>
      </text>
    </comment>
    <comment ref="E139" authorId="0" shapeId="0" xr:uid="{00000000-0006-0000-0400-0000B3000000}">
      <text>
        <r>
          <rPr>
            <b/>
            <sz val="12"/>
            <color indexed="81"/>
            <rFont val="Tahoma"/>
            <family val="2"/>
          </rPr>
          <t>Can be broken down between Fixed &amp; Variable Components, OR will calcluate an Effective Energy Rate if this cell is left blank.</t>
        </r>
      </text>
    </comment>
    <comment ref="F139" authorId="0" shapeId="0" xr:uid="{00000000-0006-0000-0400-0000B4000000}">
      <text>
        <r>
          <rPr>
            <b/>
            <sz val="12"/>
            <color indexed="81"/>
            <rFont val="Tahoma"/>
            <family val="2"/>
          </rPr>
          <t>Can be broken down between Fixed &amp; Variable Components, OR will calcluate an Effective Energy Rate if this cell is left blank.</t>
        </r>
      </text>
    </comment>
    <comment ref="D143" authorId="0" shapeId="0" xr:uid="{00000000-0006-0000-0400-0000B5000000}">
      <text>
        <r>
          <rPr>
            <b/>
            <sz val="12"/>
            <color indexed="81"/>
            <rFont val="Tahoma"/>
            <family val="2"/>
          </rPr>
          <t>Part O, Line 9c, column c, Op Rep</t>
        </r>
      </text>
    </comment>
    <comment ref="E143" authorId="1" shapeId="0" xr:uid="{00000000-0006-0000-0400-0000B6000000}">
      <text>
        <r>
          <rPr>
            <b/>
            <sz val="12"/>
            <color indexed="81"/>
            <rFont val="Arial"/>
            <family val="2"/>
          </rPr>
          <t>Part O, Line 9c, column c, Op Rep</t>
        </r>
      </text>
    </comment>
    <comment ref="F143" authorId="1" shapeId="0" xr:uid="{00000000-0006-0000-0400-0000B7000000}">
      <text>
        <r>
          <rPr>
            <b/>
            <sz val="12"/>
            <color indexed="81"/>
            <rFont val="Arial"/>
            <family val="2"/>
          </rPr>
          <t>Part O, Line 9c, column c, Op Rep</t>
        </r>
      </text>
    </comment>
    <comment ref="G147" authorId="0" shapeId="0" xr:uid="{00000000-0006-0000-0400-0000B8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H147" authorId="0" shapeId="0" xr:uid="{00000000-0006-0000-0400-0000B9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I147" authorId="0" shapeId="0" xr:uid="{00000000-0006-0000-0400-0000BA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J147" authorId="0" shapeId="0" xr:uid="{00000000-0006-0000-0400-0000BB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K147" authorId="0" shapeId="0" xr:uid="{00000000-0006-0000-0400-0000BC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L147" authorId="0" shapeId="0" xr:uid="{00000000-0006-0000-0400-0000BD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M147" authorId="0" shapeId="0" xr:uid="{00000000-0006-0000-0400-0000BE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N147" authorId="0" shapeId="0" xr:uid="{00000000-0006-0000-0400-0000BF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O147" authorId="0" shapeId="0" xr:uid="{00000000-0006-0000-0400-0000C0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P147" authorId="0" shapeId="0" xr:uid="{00000000-0006-0000-0400-0000C1000000}">
      <text>
        <r>
          <rPr>
            <b/>
            <sz val="12"/>
            <color indexed="81"/>
            <rFont val="Tahoma"/>
            <family val="2"/>
          </rPr>
          <t>Base Rates in Effect for 1st Future Year
(analyzed based upon historical pattern or rate increase in effect as of 1st of year)
Should NOT be increased in future years unless contractually set forth to do so.</t>
        </r>
      </text>
    </comment>
    <comment ref="D148" authorId="0" shapeId="0" xr:uid="{00000000-0006-0000-0400-0000C2000000}">
      <text>
        <r>
          <rPr>
            <b/>
            <sz val="12"/>
            <color indexed="81"/>
            <rFont val="Tahoma"/>
            <family val="2"/>
          </rPr>
          <t>Can be broken down between Fixed &amp; Variable Components, OR will calcluate an Effective Energy Rate if this cell is left blank.</t>
        </r>
      </text>
    </comment>
    <comment ref="E148" authorId="0" shapeId="0" xr:uid="{00000000-0006-0000-0400-0000C3000000}">
      <text>
        <r>
          <rPr>
            <b/>
            <sz val="12"/>
            <color indexed="81"/>
            <rFont val="Tahoma"/>
            <family val="2"/>
          </rPr>
          <t>Can be broken down between Fixed &amp; Variable Components, OR will calcluate an Effective Energy Rate if this cell is left blank.</t>
        </r>
      </text>
    </comment>
    <comment ref="F148" authorId="0" shapeId="0" xr:uid="{00000000-0006-0000-0400-0000C4000000}">
      <text>
        <r>
          <rPr>
            <b/>
            <sz val="12"/>
            <color indexed="81"/>
            <rFont val="Tahoma"/>
            <family val="2"/>
          </rPr>
          <t>Can be broken down between Fixed &amp; Variable Components, OR will calcluate an Effective Energy Rate if this cell is left blank.</t>
        </r>
      </text>
    </comment>
    <comment ref="D165" authorId="0" shapeId="0" xr:uid="{00000000-0006-0000-0400-0000C5000000}">
      <text>
        <r>
          <rPr>
            <b/>
            <sz val="12"/>
            <color indexed="81"/>
            <rFont val="Tahoma"/>
            <family val="2"/>
          </rPr>
          <t>Part O,  Line 14 Op Rep</t>
        </r>
      </text>
    </comment>
    <comment ref="E165" authorId="0" shapeId="0" xr:uid="{00000000-0006-0000-0400-0000C6000000}">
      <text>
        <r>
          <rPr>
            <b/>
            <sz val="12"/>
            <color indexed="81"/>
            <rFont val="Tahoma"/>
            <family val="2"/>
          </rPr>
          <t>Part O,  Line 14 Op Rep</t>
        </r>
      </text>
    </comment>
    <comment ref="F165" authorId="0" shapeId="0" xr:uid="{00000000-0006-0000-0400-0000C7000000}">
      <text>
        <r>
          <rPr>
            <b/>
            <sz val="12"/>
            <color indexed="81"/>
            <rFont val="Tahoma"/>
            <family val="2"/>
          </rPr>
          <t>Part O,  Line 14 Op Rep</t>
        </r>
      </text>
    </comment>
    <comment ref="G165" authorId="0" shapeId="0" xr:uid="{00000000-0006-0000-0400-0000C8000000}">
      <text>
        <r>
          <rPr>
            <b/>
            <sz val="12"/>
            <color indexed="81"/>
            <rFont val="Tahoma"/>
            <family val="2"/>
          </rPr>
          <t>Projected Value for "Other Op Rev", including Connect &amp; Disconnect Fees, Penalities, Joint Use, etc.</t>
        </r>
      </text>
    </comment>
    <comment ref="H165" authorId="0" shapeId="0" xr:uid="{00000000-0006-0000-0400-0000C9000000}">
      <text>
        <r>
          <rPr>
            <b/>
            <sz val="12"/>
            <color indexed="81"/>
            <rFont val="Tahoma"/>
            <family val="2"/>
          </rPr>
          <t>Projected Value for "Other Op Rev", including Connect &amp; Disconnect Fees, Penalities, Joint Use, etc.</t>
        </r>
      </text>
    </comment>
    <comment ref="I165" authorId="0" shapeId="0" xr:uid="{00000000-0006-0000-0400-0000CA000000}">
      <text>
        <r>
          <rPr>
            <b/>
            <sz val="12"/>
            <color indexed="81"/>
            <rFont val="Tahoma"/>
            <family val="2"/>
          </rPr>
          <t>Projected Value for "Other Op Rev", including Connect &amp; Disconnect Fees, Penalities, Joint Use, etc.</t>
        </r>
      </text>
    </comment>
    <comment ref="J165" authorId="0" shapeId="0" xr:uid="{00000000-0006-0000-0400-0000CB000000}">
      <text>
        <r>
          <rPr>
            <b/>
            <sz val="12"/>
            <color indexed="81"/>
            <rFont val="Tahoma"/>
            <family val="2"/>
          </rPr>
          <t>Projected Value for "Other Op Rev", including Connect &amp; Disconnect Fees, Penalities, Joint Use, etc.</t>
        </r>
      </text>
    </comment>
    <comment ref="K165" authorId="0" shapeId="0" xr:uid="{00000000-0006-0000-0400-0000CC000000}">
      <text>
        <r>
          <rPr>
            <b/>
            <sz val="12"/>
            <color indexed="81"/>
            <rFont val="Tahoma"/>
            <family val="2"/>
          </rPr>
          <t>Projected Value for "Other Op Rev", including Connect &amp; Disconnect Fees, Penalities, Joint Use, etc.</t>
        </r>
      </text>
    </comment>
    <comment ref="L165" authorId="0" shapeId="0" xr:uid="{00000000-0006-0000-0400-0000CD000000}">
      <text>
        <r>
          <rPr>
            <b/>
            <sz val="12"/>
            <color indexed="81"/>
            <rFont val="Tahoma"/>
            <family val="2"/>
          </rPr>
          <t>Projected Value for "Other Op Rev", including Connect &amp; Disconnect Fees, Penalities, Joint Use, etc.</t>
        </r>
      </text>
    </comment>
    <comment ref="M165" authorId="0" shapeId="0" xr:uid="{00000000-0006-0000-0400-0000CE000000}">
      <text>
        <r>
          <rPr>
            <b/>
            <sz val="12"/>
            <color indexed="81"/>
            <rFont val="Tahoma"/>
            <family val="2"/>
          </rPr>
          <t>Projected Value for "Other Op Rev", including Connect &amp; Disconnect Fees, Penalities, Joint Use, etc.</t>
        </r>
      </text>
    </comment>
    <comment ref="N165" authorId="0" shapeId="0" xr:uid="{00000000-0006-0000-0400-0000CF000000}">
      <text>
        <r>
          <rPr>
            <b/>
            <sz val="12"/>
            <color indexed="81"/>
            <rFont val="Tahoma"/>
            <family val="2"/>
          </rPr>
          <t>Projected Value for "Other Op Rev", including Connect &amp; Disconnect Fees, Penalities, Joint Use, etc.</t>
        </r>
      </text>
    </comment>
    <comment ref="O165" authorId="0" shapeId="0" xr:uid="{00000000-0006-0000-0400-0000D0000000}">
      <text>
        <r>
          <rPr>
            <b/>
            <sz val="12"/>
            <color indexed="81"/>
            <rFont val="Tahoma"/>
            <family val="2"/>
          </rPr>
          <t>Projected Value for "Other Op Rev", including Connect &amp; Disconnect Fees, Penalities, Joint Use, etc.</t>
        </r>
      </text>
    </comment>
    <comment ref="P165" authorId="0" shapeId="0" xr:uid="{00000000-0006-0000-0400-0000D1000000}">
      <text>
        <r>
          <rPr>
            <b/>
            <sz val="12"/>
            <color indexed="81"/>
            <rFont val="Tahoma"/>
            <family val="2"/>
          </rPr>
          <t>Projected Value for "Other Op Rev", including Connect &amp; Disconnect Fees, Penalities, Joint Use, etc.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Howard Barnes</author>
  </authors>
  <commentList>
    <comment ref="A3" authorId="0" shapeId="0" xr:uid="{00000000-0006-0000-0500-000001000000}">
      <text>
        <r>
          <rPr>
            <b/>
            <sz val="14"/>
            <color indexed="81"/>
            <rFont val="Tahoma"/>
            <family val="2"/>
          </rPr>
          <t xml:space="preserve">Initially, with ZERO funds invested, input General Funds to be applied based upon smaller amount of 
lines 35 and 40, </t>
        </r>
        <r>
          <rPr>
            <b/>
            <u/>
            <sz val="16"/>
            <color indexed="81"/>
            <rFont val="Tahoma"/>
            <family val="2"/>
          </rPr>
          <t>OR USE MACRO</t>
        </r>
        <r>
          <rPr>
            <b/>
            <sz val="16"/>
            <color indexed="81"/>
            <rFont val="Tahoma"/>
            <family val="2"/>
          </rPr>
          <t xml:space="preserve"> W</t>
        </r>
        <r>
          <rPr>
            <b/>
            <sz val="12"/>
            <color indexed="81"/>
            <rFont val="Tahoma"/>
            <family val="2"/>
          </rPr>
          <t>.</t>
        </r>
      </text>
    </comment>
    <comment ref="B3" authorId="0" shapeId="0" xr:uid="{00000000-0006-0000-0500-000002000000}">
      <text>
        <r>
          <rPr>
            <b/>
            <sz val="14"/>
            <color indexed="81"/>
            <rFont val="Tahoma"/>
            <family val="2"/>
          </rPr>
          <t xml:space="preserve">Initially, with ZERO funds invested, input General Funds to be applied based upon smaller amount of 
lines 35 and 40, </t>
        </r>
        <r>
          <rPr>
            <b/>
            <u/>
            <sz val="16"/>
            <color indexed="81"/>
            <rFont val="Tahoma"/>
            <family val="2"/>
          </rPr>
          <t>OR USE MACRO</t>
        </r>
        <r>
          <rPr>
            <b/>
            <sz val="16"/>
            <color indexed="81"/>
            <rFont val="Tahoma"/>
            <family val="2"/>
          </rPr>
          <t xml:space="preserve"> W</t>
        </r>
        <r>
          <rPr>
            <b/>
            <sz val="12"/>
            <color indexed="81"/>
            <rFont val="Tahoma"/>
            <family val="2"/>
          </rPr>
          <t>.</t>
        </r>
      </text>
    </comment>
    <comment ref="C3" authorId="0" shapeId="0" xr:uid="{00000000-0006-0000-0500-000003000000}">
      <text>
        <r>
          <rPr>
            <b/>
            <sz val="14"/>
            <color indexed="81"/>
            <rFont val="Tahoma"/>
            <family val="2"/>
          </rPr>
          <t xml:space="preserve">Initially, with ZERO funds invested, input General Funds to be applied based upon smaller amount of 
lines 35 and 40, </t>
        </r>
        <r>
          <rPr>
            <b/>
            <u/>
            <sz val="16"/>
            <color indexed="81"/>
            <rFont val="Tahoma"/>
            <family val="2"/>
          </rPr>
          <t>OR USE MACRO</t>
        </r>
        <r>
          <rPr>
            <b/>
            <sz val="16"/>
            <color indexed="81"/>
            <rFont val="Tahoma"/>
            <family val="2"/>
          </rPr>
          <t xml:space="preserve"> W</t>
        </r>
        <r>
          <rPr>
            <b/>
            <sz val="12"/>
            <color indexed="81"/>
            <rFont val="Tahoma"/>
            <family val="2"/>
          </rPr>
          <t>.</t>
        </r>
      </text>
    </comment>
    <comment ref="D3" authorId="0" shapeId="0" xr:uid="{00000000-0006-0000-0500-000004000000}">
      <text>
        <r>
          <rPr>
            <b/>
            <sz val="14"/>
            <color indexed="81"/>
            <rFont val="Tahoma"/>
            <family val="2"/>
          </rPr>
          <t xml:space="preserve">Initially, with ZERO funds invested, input General Funds to be applied based upon smaller amount of 
lines 35 and 40, </t>
        </r>
        <r>
          <rPr>
            <b/>
            <u/>
            <sz val="16"/>
            <color indexed="81"/>
            <rFont val="Tahoma"/>
            <family val="2"/>
          </rPr>
          <t>OR USE MACRO</t>
        </r>
        <r>
          <rPr>
            <b/>
            <sz val="16"/>
            <color indexed="81"/>
            <rFont val="Tahoma"/>
            <family val="2"/>
          </rPr>
          <t xml:space="preserve"> W</t>
        </r>
        <r>
          <rPr>
            <b/>
            <sz val="12"/>
            <color indexed="81"/>
            <rFont val="Tahoma"/>
            <family val="2"/>
          </rPr>
          <t>.</t>
        </r>
      </text>
    </comment>
    <comment ref="E3" authorId="0" shapeId="0" xr:uid="{00000000-0006-0000-0500-000005000000}">
      <text>
        <r>
          <rPr>
            <b/>
            <sz val="14"/>
            <color indexed="81"/>
            <rFont val="Tahoma"/>
            <family val="2"/>
          </rPr>
          <t xml:space="preserve">Initially, with ZERO funds invested, input General Funds to be applied based upon smaller amount of 
lines 35 and 40, </t>
        </r>
        <r>
          <rPr>
            <b/>
            <u/>
            <sz val="16"/>
            <color indexed="81"/>
            <rFont val="Tahoma"/>
            <family val="2"/>
          </rPr>
          <t>OR USE MACRO</t>
        </r>
        <r>
          <rPr>
            <b/>
            <sz val="16"/>
            <color indexed="81"/>
            <rFont val="Tahoma"/>
            <family val="2"/>
          </rPr>
          <t xml:space="preserve"> W</t>
        </r>
        <r>
          <rPr>
            <b/>
            <sz val="12"/>
            <color indexed="81"/>
            <rFont val="Tahoma"/>
            <family val="2"/>
          </rPr>
          <t>.</t>
        </r>
      </text>
    </comment>
    <comment ref="F3" authorId="0" shapeId="0" xr:uid="{00000000-0006-0000-0500-000006000000}">
      <text>
        <r>
          <rPr>
            <b/>
            <sz val="14"/>
            <color indexed="81"/>
            <rFont val="Tahoma"/>
            <family val="2"/>
          </rPr>
          <t xml:space="preserve">Initially, with ZERO funds invested, input General Funds to be applied based upon smaller amount of 
lines 35 and 40, </t>
        </r>
        <r>
          <rPr>
            <b/>
            <u/>
            <sz val="16"/>
            <color indexed="81"/>
            <rFont val="Tahoma"/>
            <family val="2"/>
          </rPr>
          <t>OR USE MACRO</t>
        </r>
        <r>
          <rPr>
            <b/>
            <sz val="16"/>
            <color indexed="81"/>
            <rFont val="Tahoma"/>
            <family val="2"/>
          </rPr>
          <t xml:space="preserve"> W</t>
        </r>
        <r>
          <rPr>
            <b/>
            <sz val="12"/>
            <color indexed="81"/>
            <rFont val="Tahoma"/>
            <family val="2"/>
          </rPr>
          <t>.</t>
        </r>
      </text>
    </comment>
    <comment ref="G3" authorId="0" shapeId="0" xr:uid="{00000000-0006-0000-0500-000007000000}">
      <text>
        <r>
          <rPr>
            <b/>
            <sz val="14"/>
            <color indexed="81"/>
            <rFont val="Tahoma"/>
            <family val="2"/>
          </rPr>
          <t xml:space="preserve">Initially, with ZERO funds invested, input General Funds to be applied based upon smaller amount of 
lines 35 and 40, </t>
        </r>
        <r>
          <rPr>
            <b/>
            <u/>
            <sz val="16"/>
            <color indexed="81"/>
            <rFont val="Tahoma"/>
            <family val="2"/>
          </rPr>
          <t>OR USE MACRO</t>
        </r>
        <r>
          <rPr>
            <b/>
            <sz val="16"/>
            <color indexed="81"/>
            <rFont val="Tahoma"/>
            <family val="2"/>
          </rPr>
          <t xml:space="preserve"> W</t>
        </r>
        <r>
          <rPr>
            <b/>
            <sz val="12"/>
            <color indexed="81"/>
            <rFont val="Tahoma"/>
            <family val="2"/>
          </rPr>
          <t>.</t>
        </r>
      </text>
    </comment>
    <comment ref="H3" authorId="0" shapeId="0" xr:uid="{00000000-0006-0000-0500-000008000000}">
      <text>
        <r>
          <rPr>
            <b/>
            <sz val="14"/>
            <color indexed="81"/>
            <rFont val="Tahoma"/>
            <family val="2"/>
          </rPr>
          <t xml:space="preserve">Initially, with ZERO funds invested, input General Funds to be applied based upon smaller amount of 
lines 35 and 40, </t>
        </r>
        <r>
          <rPr>
            <b/>
            <u/>
            <sz val="16"/>
            <color indexed="81"/>
            <rFont val="Tahoma"/>
            <family val="2"/>
          </rPr>
          <t>OR USE MACRO</t>
        </r>
        <r>
          <rPr>
            <b/>
            <sz val="16"/>
            <color indexed="81"/>
            <rFont val="Tahoma"/>
            <family val="2"/>
          </rPr>
          <t xml:space="preserve"> W</t>
        </r>
        <r>
          <rPr>
            <b/>
            <sz val="12"/>
            <color indexed="81"/>
            <rFont val="Tahoma"/>
            <family val="2"/>
          </rPr>
          <t>.</t>
        </r>
      </text>
    </comment>
    <comment ref="I3" authorId="0" shapeId="0" xr:uid="{00000000-0006-0000-0500-000009000000}">
      <text>
        <r>
          <rPr>
            <b/>
            <sz val="14"/>
            <color indexed="81"/>
            <rFont val="Tahoma"/>
            <family val="2"/>
          </rPr>
          <t xml:space="preserve">Initially, with ZERO funds invested, input General Funds to be applied based upon smaller amount of 
lines 35 and 40, </t>
        </r>
        <r>
          <rPr>
            <b/>
            <u/>
            <sz val="16"/>
            <color indexed="81"/>
            <rFont val="Tahoma"/>
            <family val="2"/>
          </rPr>
          <t>OR USE MACRO</t>
        </r>
        <r>
          <rPr>
            <b/>
            <sz val="16"/>
            <color indexed="81"/>
            <rFont val="Tahoma"/>
            <family val="2"/>
          </rPr>
          <t xml:space="preserve"> W</t>
        </r>
        <r>
          <rPr>
            <b/>
            <sz val="12"/>
            <color indexed="81"/>
            <rFont val="Tahoma"/>
            <family val="2"/>
          </rPr>
          <t>.</t>
        </r>
      </text>
    </comment>
    <comment ref="J3" authorId="0" shapeId="0" xr:uid="{00000000-0006-0000-0500-00000A000000}">
      <text>
        <r>
          <rPr>
            <b/>
            <sz val="14"/>
            <color indexed="81"/>
            <rFont val="Tahoma"/>
            <family val="2"/>
          </rPr>
          <t xml:space="preserve">Initially, with ZERO funds invested, input General Funds to be applied based upon smaller amount of 
lines 35 and 40, </t>
        </r>
        <r>
          <rPr>
            <b/>
            <u/>
            <sz val="16"/>
            <color indexed="81"/>
            <rFont val="Tahoma"/>
            <family val="2"/>
          </rPr>
          <t>OR USE MACRO</t>
        </r>
        <r>
          <rPr>
            <b/>
            <sz val="16"/>
            <color indexed="81"/>
            <rFont val="Tahoma"/>
            <family val="2"/>
          </rPr>
          <t xml:space="preserve"> W</t>
        </r>
        <r>
          <rPr>
            <b/>
            <sz val="12"/>
            <color indexed="81"/>
            <rFont val="Tahoma"/>
            <family val="2"/>
          </rPr>
          <t>.</t>
        </r>
      </text>
    </comment>
    <comment ref="A5" authorId="0" shapeId="0" xr:uid="{00000000-0006-0000-0500-00000B000000}">
      <text>
        <r>
          <rPr>
            <b/>
            <sz val="14"/>
            <color indexed="81"/>
            <rFont val="Tahoma"/>
            <family val="2"/>
          </rPr>
          <t xml:space="preserve">Initially, with ZERO funds invested, input General Funds to be applied based upon smaller amount of 
lines 35 and 40, </t>
        </r>
        <r>
          <rPr>
            <b/>
            <u/>
            <sz val="16"/>
            <color indexed="81"/>
            <rFont val="Tahoma"/>
            <family val="2"/>
          </rPr>
          <t>OR USE MACRO</t>
        </r>
        <r>
          <rPr>
            <b/>
            <sz val="16"/>
            <color indexed="81"/>
            <rFont val="Tahoma"/>
            <family val="2"/>
          </rPr>
          <t xml:space="preserve"> W</t>
        </r>
        <r>
          <rPr>
            <b/>
            <sz val="12"/>
            <color indexed="81"/>
            <rFont val="Tahoma"/>
            <family val="2"/>
          </rPr>
          <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Howard Barnes</author>
    <author>Edward.Moran</author>
  </authors>
  <commentList>
    <comment ref="E8" authorId="0" shapeId="0" xr:uid="{00000000-0006-0000-0600-000001000000}">
      <text>
        <r>
          <rPr>
            <b/>
            <sz val="12"/>
            <color indexed="81"/>
            <rFont val="Tahoma"/>
            <family val="2"/>
          </rPr>
          <t>Part E, 10th line, 2nd column, Op Rep</t>
        </r>
      </text>
    </comment>
    <comment ref="E11" authorId="0" shapeId="0" xr:uid="{00000000-0006-0000-0600-000002000000}">
      <text>
        <r>
          <rPr>
            <b/>
            <sz val="12"/>
            <color indexed="81"/>
            <rFont val="Tahoma"/>
            <family val="2"/>
          </rPr>
          <t>Part E, 10th line, Retirements less Adjustments columns, Op Rep</t>
        </r>
      </text>
    </comment>
    <comment ref="F11" authorId="0" shapeId="0" xr:uid="{00000000-0006-0000-0600-000003000000}">
      <text>
        <r>
          <rPr>
            <b/>
            <sz val="12"/>
            <color indexed="81"/>
            <rFont val="Tahoma"/>
            <family val="2"/>
          </rPr>
          <t>Part E, 10th line, Retirements less Adjustments columns, Op Rep</t>
        </r>
      </text>
    </comment>
    <comment ref="G11" authorId="0" shapeId="0" xr:uid="{00000000-0006-0000-0600-000004000000}">
      <text>
        <r>
          <rPr>
            <b/>
            <sz val="12"/>
            <color indexed="81"/>
            <rFont val="Tahoma"/>
            <family val="2"/>
          </rPr>
          <t>Part E, 10th line, Retirements less Adjustments columns, Op Rep</t>
        </r>
      </text>
    </comment>
    <comment ref="H11" authorId="0" shapeId="0" xr:uid="{00000000-0006-0000-0600-000005000000}">
      <text>
        <r>
          <rPr>
            <b/>
            <sz val="12"/>
            <color indexed="81"/>
            <rFont val="Tahoma"/>
            <family val="2"/>
          </rPr>
          <t>Calculate historic retirements 
as % of Additions, and generate approp formula 
(i.e. H9 times %).</t>
        </r>
      </text>
    </comment>
    <comment ref="B16" authorId="0" shapeId="0" xr:uid="{00000000-0006-0000-0600-000006000000}">
      <text>
        <r>
          <rPr>
            <b/>
            <sz val="12"/>
            <color indexed="81"/>
            <rFont val="Arial"/>
            <family val="2"/>
          </rPr>
          <t>The "Types" of Additions described in this column can be changed as desired.</t>
        </r>
        <r>
          <rPr>
            <sz val="8"/>
            <color indexed="81"/>
            <rFont val="Tahoma"/>
            <family val="2"/>
          </rPr>
          <t xml:space="preserve">
</t>
        </r>
      </text>
    </comment>
    <comment ref="C16" authorId="0" shapeId="0" xr:uid="{00000000-0006-0000-0600-000007000000}">
      <text>
        <r>
          <rPr>
            <b/>
            <sz val="11"/>
            <color indexed="81"/>
            <rFont val="Arial"/>
            <family val="2"/>
          </rPr>
          <t>Enter either "Y" for Yes, or 
                     "N" for No. 
'Priority' refers to whether RUS can normally finance this type of construction with direct loans.
Non-Priority projects can only be financed with Loan Guarantees or General Funds. 
Priority projects can be financed with any type of loan, normally.</t>
        </r>
      </text>
    </comment>
    <comment ref="E16" authorId="0" shapeId="0" xr:uid="{00000000-0006-0000-0600-000008000000}">
      <text>
        <r>
          <rPr>
            <b/>
            <sz val="12"/>
            <color indexed="81"/>
            <rFont val="Tahoma"/>
            <family val="2"/>
          </rPr>
          <t>Part E, Line 1, Additions, plus approp. portion of Work in Progress, plus Contributions (not reported) on Op Rep</t>
        </r>
      </text>
    </comment>
    <comment ref="F16" authorId="0" shapeId="0" xr:uid="{00000000-0006-0000-0600-000009000000}">
      <text>
        <r>
          <rPr>
            <b/>
            <sz val="12"/>
            <color indexed="81"/>
            <rFont val="Tahoma"/>
            <family val="2"/>
          </rPr>
          <t>Part E, Line 1, Additions, plus approp. portion of Work in Progress, plus Contributions (not reported) on Op Rep</t>
        </r>
      </text>
    </comment>
    <comment ref="G16" authorId="0" shapeId="0" xr:uid="{00000000-0006-0000-0600-00000A000000}">
      <text>
        <r>
          <rPr>
            <b/>
            <sz val="12"/>
            <color indexed="81"/>
            <rFont val="Tahoma"/>
            <family val="2"/>
          </rPr>
          <t>Part E, Line 1, Additions, plus approp. portion of Work in Progress, plus Contributions (not reported) on Op Rep</t>
        </r>
      </text>
    </comment>
    <comment ref="H16" authorId="0" shapeId="0" xr:uid="{00000000-0006-0000-0600-00000B000000}">
      <text>
        <r>
          <rPr>
            <b/>
            <sz val="12"/>
            <color indexed="81"/>
            <rFont val="Tahoma"/>
            <family val="2"/>
          </rPr>
          <t>Based upon current work plan; distribution construction may be reflected entirely on this line or separated as desired using different 'titles' in column b of this sheet.</t>
        </r>
      </text>
    </comment>
    <comment ref="I16" authorId="0" shapeId="0" xr:uid="{00000000-0006-0000-0600-00000C000000}">
      <text>
        <r>
          <rPr>
            <b/>
            <sz val="12"/>
            <color indexed="81"/>
            <rFont val="Tahoma"/>
            <family val="2"/>
          </rPr>
          <t>Based upon current work plan; distribution construction may be reflected entirely on this line or separated as desired using different 'titles' in column b of this sheet.</t>
        </r>
      </text>
    </comment>
    <comment ref="J16" authorId="0" shapeId="0" xr:uid="{00000000-0006-0000-0600-00000D000000}">
      <text>
        <r>
          <rPr>
            <b/>
            <sz val="12"/>
            <color indexed="81"/>
            <rFont val="Tahoma"/>
            <family val="2"/>
          </rPr>
          <t>Based upon current work plan; distribution construction may be reflected entirely on this line or separated as desired using different 'titles' in column b of this sheet.</t>
        </r>
      </text>
    </comment>
    <comment ref="K16" authorId="0" shapeId="0" xr:uid="{00000000-0006-0000-0600-00000E000000}">
      <text>
        <r>
          <rPr>
            <b/>
            <sz val="12"/>
            <color indexed="81"/>
            <rFont val="Tahoma"/>
            <family val="2"/>
          </rPr>
          <t>Based upon current work plan; distribution construction may be reflected entirely on this line or separated as desired using different 'titles' in column b of this sheet.</t>
        </r>
      </text>
    </comment>
    <comment ref="L16" authorId="0" shapeId="0" xr:uid="{00000000-0006-0000-0600-00000F000000}">
      <text>
        <r>
          <rPr>
            <b/>
            <sz val="12"/>
            <color indexed="81"/>
            <rFont val="Tahoma"/>
            <family val="2"/>
          </rPr>
          <t>Based upon current work plan; distribution construction may be reflected entirely on this line or separated as desired using different 'titles' in column b of this sheet.</t>
        </r>
      </text>
    </comment>
    <comment ref="M16" authorId="0" shapeId="0" xr:uid="{00000000-0006-0000-0600-000010000000}">
      <text>
        <r>
          <rPr>
            <b/>
            <sz val="12"/>
            <color indexed="81"/>
            <rFont val="Tahoma"/>
            <family val="2"/>
          </rPr>
          <t>Based upon current work plan; distribution construction may be reflected entirely on this line or separated as desired using different 'titles' in column b of this sheet.</t>
        </r>
      </text>
    </comment>
    <comment ref="N16" authorId="0" shapeId="0" xr:uid="{00000000-0006-0000-0600-000011000000}">
      <text>
        <r>
          <rPr>
            <b/>
            <sz val="12"/>
            <color indexed="81"/>
            <rFont val="Tahoma"/>
            <family val="2"/>
          </rPr>
          <t>Based upon current work plan; distribution construction may be reflected entirely on this line or separated as desired using different 'titles' in column b of this sheet.</t>
        </r>
      </text>
    </comment>
    <comment ref="O16" authorId="0" shapeId="0" xr:uid="{00000000-0006-0000-0600-000012000000}">
      <text>
        <r>
          <rPr>
            <b/>
            <sz val="12"/>
            <color indexed="81"/>
            <rFont val="Tahoma"/>
            <family val="2"/>
          </rPr>
          <t>Based upon current work plan; distribution construction may be reflected entirely on this line or separated as desired using different 'titles' in column b of this sheet.</t>
        </r>
      </text>
    </comment>
    <comment ref="P16" authorId="0" shapeId="0" xr:uid="{00000000-0006-0000-0600-000013000000}">
      <text>
        <r>
          <rPr>
            <b/>
            <sz val="12"/>
            <color indexed="81"/>
            <rFont val="Tahoma"/>
            <family val="2"/>
          </rPr>
          <t>Based upon current work plan; distribution construction may be reflected entirely on this line or separated as desired using different 'titles' in column b of this sheet.</t>
        </r>
      </text>
    </comment>
    <comment ref="Q16" authorId="0" shapeId="0" xr:uid="{00000000-0006-0000-0600-000014000000}">
      <text>
        <r>
          <rPr>
            <b/>
            <sz val="12"/>
            <color indexed="81"/>
            <rFont val="Tahoma"/>
            <family val="2"/>
          </rPr>
          <t>Based upon current work plan; distribution construction may be reflected entirely on this line or separated as desired using different 'titles' in column b of this sheet.</t>
        </r>
      </text>
    </comment>
    <comment ref="B17" authorId="0" shapeId="0" xr:uid="{00000000-0006-0000-0600-000015000000}">
      <text>
        <r>
          <rPr>
            <b/>
            <sz val="12"/>
            <color indexed="81"/>
            <rFont val="Tahoma"/>
            <family val="2"/>
          </rPr>
          <t>Subtransmission is:
"the last transmission voltage before being stepped down to distribution" and excludes Bulk Transmission reflected as Non-Priority.</t>
        </r>
      </text>
    </comment>
    <comment ref="B20" authorId="0" shapeId="0" xr:uid="{00000000-0006-0000-0600-000016000000}">
      <text>
        <r>
          <rPr>
            <b/>
            <sz val="12"/>
            <color indexed="81"/>
            <rFont val="Tahoma"/>
            <family val="2"/>
          </rPr>
          <t>Service &amp; Warehouse portions may be financed with Direct Loans. 
Office portions eligible for Guaranteed Loans (below).</t>
        </r>
      </text>
    </comment>
    <comment ref="H32" authorId="0" shapeId="0" xr:uid="{00000000-0006-0000-0600-000017000000}">
      <text>
        <r>
          <rPr>
            <b/>
            <sz val="12"/>
            <color indexed="81"/>
            <rFont val="Tahoma"/>
            <family val="2"/>
          </rPr>
          <t>Construction completed in prior years which is funded in this year from either existing or new Priority loan funds.</t>
        </r>
      </text>
    </comment>
    <comment ref="I32" authorId="1" shapeId="0" xr:uid="{00000000-0006-0000-0600-000018000000}">
      <text>
        <r>
          <rPr>
            <b/>
            <sz val="12"/>
            <color indexed="81"/>
            <rFont val="Arial"/>
            <family val="2"/>
          </rPr>
          <t>Construction completed in prior years which is funded in this year from either existing or new Priority loan funds.</t>
        </r>
      </text>
    </comment>
    <comment ref="H34" authorId="0" shapeId="0" xr:uid="{00000000-0006-0000-0600-000019000000}">
      <text>
        <r>
          <rPr>
            <b/>
            <sz val="10"/>
            <color indexed="81"/>
            <rFont val="Tahoma"/>
            <family val="2"/>
          </rPr>
          <t>Enter amount of existing (prior) RUS loan funds to be advanced this year.</t>
        </r>
      </text>
    </comment>
    <comment ref="H35" authorId="0" shapeId="0" xr:uid="{00000000-0006-0000-0600-00001A000000}">
      <text>
        <r>
          <rPr>
            <b/>
            <sz val="10"/>
            <color indexed="81"/>
            <rFont val="Tahoma"/>
            <family val="2"/>
          </rPr>
          <t>Enter amount of existing (prior) supplemental loan funds to be advanced this year.</t>
        </r>
      </text>
    </comment>
    <comment ref="H36" authorId="0" shapeId="0" xr:uid="{00000000-0006-0000-0600-00001B000000}">
      <text>
        <r>
          <rPr>
            <b/>
            <sz val="10"/>
            <color indexed="81"/>
            <rFont val="Tahoma"/>
            <family val="2"/>
          </rPr>
          <t>Enter amount of existing (prior) guaranteed loan funds to be advanced this year.</t>
        </r>
      </text>
    </comment>
    <comment ref="H38" authorId="0" shapeId="0" xr:uid="{00000000-0006-0000-0600-00001C000000}">
      <text>
        <r>
          <rPr>
            <b/>
            <sz val="14"/>
            <color indexed="81"/>
            <rFont val="Tahoma"/>
            <family val="2"/>
          </rPr>
          <t xml:space="preserve">Initially, with ZERO funds invested, input General Funds to be applied based upon smaller amount of 
lines 39 and 41, </t>
        </r>
        <r>
          <rPr>
            <b/>
            <u/>
            <sz val="16"/>
            <color indexed="81"/>
            <rFont val="Tahoma"/>
            <family val="2"/>
          </rPr>
          <t>OR USE MACRO</t>
        </r>
        <r>
          <rPr>
            <b/>
            <sz val="16"/>
            <color indexed="81"/>
            <rFont val="Tahoma"/>
            <family val="2"/>
          </rPr>
          <t xml:space="preserve"> W</t>
        </r>
        <r>
          <rPr>
            <sz val="16"/>
            <color indexed="81"/>
            <rFont val="Tahoma"/>
            <family val="2"/>
          </rPr>
          <t>, or
General Funds macro on Menu sheet</t>
        </r>
        <r>
          <rPr>
            <b/>
            <sz val="12"/>
            <color indexed="81"/>
            <rFont val="Tahoma"/>
            <family val="2"/>
          </rPr>
          <t>.</t>
        </r>
      </text>
    </comment>
    <comment ref="H40" authorId="0" shapeId="0" xr:uid="{00000000-0006-0000-0600-00001D000000}">
      <text>
        <r>
          <rPr>
            <b/>
            <sz val="11"/>
            <color indexed="81"/>
            <rFont val="Arial"/>
            <family val="2"/>
          </rPr>
          <t>Enter 'Y' to Borrow New Loan Funds in any year, or
Enter 'N' to not borrow.</t>
        </r>
      </text>
    </comment>
    <comment ref="H42" authorId="0" shapeId="0" xr:uid="{00000000-0006-0000-0600-00001E000000}">
      <text>
        <r>
          <rPr>
            <b/>
            <sz val="11"/>
            <color indexed="81"/>
            <rFont val="Tahoma"/>
            <family val="2"/>
          </rPr>
          <t>Enter Loan Proportion from Direct RUS Loan, OR
as an available option, enter loan amount directly on line 47.</t>
        </r>
      </text>
    </comment>
    <comment ref="H46" authorId="0" shapeId="0" xr:uid="{00000000-0006-0000-0600-00001F000000}">
      <text>
        <r>
          <rPr>
            <b/>
            <sz val="11"/>
            <color indexed="81"/>
            <rFont val="Tahoma"/>
            <family val="2"/>
          </rPr>
          <t>Enter Loan Proportion from Direct RUS Loan, OR
as an available option, enter loan amount directly on line 47.</t>
        </r>
      </text>
    </comment>
    <comment ref="H48" authorId="0" shapeId="0" xr:uid="{AB0D6F0D-4639-42F6-9EA0-8C7AE47AD39C}">
      <text>
        <r>
          <rPr>
            <b/>
            <sz val="14"/>
            <color indexed="81"/>
            <rFont val="Tahoma"/>
            <family val="2"/>
          </rPr>
          <t>Term varies by loan program and useful life of the facilities financed. The maximum term offered is 35 years.</t>
        </r>
      </text>
    </comment>
    <comment ref="H51" authorId="0" shapeId="0" xr:uid="{00000000-0006-0000-0600-000020000000}">
      <text>
        <r>
          <rPr>
            <b/>
            <sz val="12"/>
            <color indexed="81"/>
            <rFont val="Tahoma"/>
            <family val="2"/>
          </rPr>
          <t>Construction completed in prior years which is funded in this year from either existing or new Non-Priority loan funds.</t>
        </r>
      </text>
    </comment>
    <comment ref="I51" authorId="1" shapeId="0" xr:uid="{00000000-0006-0000-0600-000021000000}">
      <text>
        <r>
          <rPr>
            <b/>
            <sz val="10"/>
            <color indexed="81"/>
            <rFont val="Arial"/>
            <family val="2"/>
          </rPr>
          <t>Construction completed in prior years which is funded in this year from either existing or new Non-Priority loan funds.</t>
        </r>
      </text>
    </comment>
    <comment ref="H53" authorId="0" shapeId="0" xr:uid="{00000000-0006-0000-0600-000022000000}">
      <text>
        <r>
          <rPr>
            <b/>
            <sz val="10"/>
            <color indexed="81"/>
            <rFont val="Tahoma"/>
            <family val="2"/>
          </rPr>
          <t>Enter amount of existing (prior) Non-RUS loan funds to be advanced this year.</t>
        </r>
      </text>
    </comment>
    <comment ref="H54" authorId="0" shapeId="0" xr:uid="{00000000-0006-0000-0600-000023000000}">
      <text>
        <r>
          <rPr>
            <b/>
            <sz val="10"/>
            <color indexed="81"/>
            <rFont val="Tahoma"/>
            <family val="2"/>
          </rPr>
          <t>Enter amount of existing (prior) guaranteed loan funds to be advanced this year.</t>
        </r>
      </text>
    </comment>
    <comment ref="H57" authorId="0" shapeId="0" xr:uid="{00000000-0006-0000-0600-000024000000}">
      <text>
        <r>
          <rPr>
            <b/>
            <sz val="11"/>
            <color indexed="81"/>
            <rFont val="Arial"/>
            <family val="2"/>
          </rPr>
          <t>Determine amount of Suppl. Loan Funds used to finance Non-Priority. General Funds will cover portion not funded with this and Guaranteed Funds.</t>
        </r>
        <r>
          <rPr>
            <sz val="8"/>
            <color indexed="81"/>
            <rFont val="Tahoma"/>
            <family val="2"/>
          </rPr>
          <t xml:space="preserve">
</t>
        </r>
      </text>
    </comment>
    <comment ref="H58" authorId="0" shapeId="0" xr:uid="{00000000-0006-0000-0600-000025000000}">
      <text>
        <r>
          <rPr>
            <b/>
            <sz val="11"/>
            <color indexed="81"/>
            <rFont val="Arial"/>
            <family val="2"/>
          </rPr>
          <t>Determine amount of Guaranteed Loan Funds used to finance Non-Priority. General Funds will cover portion not funded with this and Supplemental Loan Funds.</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Howard Barnes</author>
    <author>Edward J. Moran</author>
  </authors>
  <commentList>
    <comment ref="G8" authorId="0" shapeId="0" xr:uid="{00000000-0006-0000-0700-000001000000}">
      <text>
        <r>
          <rPr>
            <b/>
            <sz val="12"/>
            <color indexed="81"/>
            <rFont val="Tahoma"/>
            <family val="2"/>
          </rPr>
          <t>This sheet is no longer used</t>
        </r>
      </text>
    </comment>
    <comment ref="G11" authorId="0" shapeId="0" xr:uid="{00000000-0006-0000-0700-000002000000}">
      <text>
        <r>
          <rPr>
            <b/>
            <sz val="12"/>
            <color indexed="81"/>
            <rFont val="Tahoma"/>
            <family val="2"/>
          </rPr>
          <t>This sheet is no longer used</t>
        </r>
      </text>
    </comment>
    <comment ref="G17" authorId="0" shapeId="0" xr:uid="{00000000-0006-0000-0700-000003000000}">
      <text>
        <r>
          <rPr>
            <b/>
            <sz val="12"/>
            <color indexed="81"/>
            <rFont val="Tahoma"/>
            <family val="2"/>
          </rPr>
          <t>This sheet is no longer used</t>
        </r>
      </text>
    </comment>
    <comment ref="G20" authorId="1" shapeId="0" xr:uid="{00000000-0006-0000-0700-000004000000}">
      <text>
        <r>
          <rPr>
            <b/>
            <sz val="12"/>
            <color indexed="81"/>
            <rFont val="Tahoma"/>
            <family val="2"/>
          </rPr>
          <t>This sheet is no longer used</t>
        </r>
      </text>
    </comment>
    <comment ref="G36" authorId="0" shapeId="0" xr:uid="{00000000-0006-0000-0700-000005000000}">
      <text>
        <r>
          <rPr>
            <b/>
            <sz val="12"/>
            <color indexed="81"/>
            <rFont val="Tahoma"/>
            <family val="2"/>
          </rPr>
          <t>This sheet is no longer used</t>
        </r>
      </text>
    </comment>
    <comment ref="G39" authorId="0" shapeId="0" xr:uid="{00000000-0006-0000-0700-000006000000}">
      <text>
        <r>
          <rPr>
            <b/>
            <sz val="12"/>
            <color indexed="81"/>
            <rFont val="Tahoma"/>
            <family val="2"/>
          </rPr>
          <t>This sheet is no longer used</t>
        </r>
      </text>
    </comment>
    <comment ref="G45" authorId="0" shapeId="0" xr:uid="{00000000-0006-0000-0700-000007000000}">
      <text>
        <r>
          <rPr>
            <b/>
            <sz val="12"/>
            <color indexed="81"/>
            <rFont val="Tahoma"/>
            <family val="2"/>
          </rPr>
          <t>This sheet is no longer used</t>
        </r>
      </text>
    </comment>
    <comment ref="G48" authorId="1" shapeId="0" xr:uid="{00000000-0006-0000-0700-000008000000}">
      <text>
        <r>
          <rPr>
            <b/>
            <sz val="12"/>
            <color indexed="81"/>
            <rFont val="Tahoma"/>
            <family val="2"/>
          </rPr>
          <t>This sheet is no longer used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Howard Barnes</author>
    <author>Edward J. Moran</author>
  </authors>
  <commentList>
    <comment ref="B7" authorId="0" shapeId="0" xr:uid="{00000000-0006-0000-0800-000001000000}">
      <text>
        <r>
          <rPr>
            <b/>
            <sz val="11"/>
            <color indexed="81"/>
            <rFont val="Tahoma"/>
            <family val="2"/>
          </rPr>
          <t>Enter Note Identification, as desired.</t>
        </r>
      </text>
    </comment>
    <comment ref="D7" authorId="1" shapeId="0" xr:uid="{00000000-0006-0000-0800-000002000000}">
      <text>
        <r>
          <rPr>
            <b/>
            <sz val="10"/>
            <color indexed="81"/>
            <rFont val="Tahoma"/>
            <family val="2"/>
          </rPr>
          <t>Enter F if existing debt is for a fixed interest rate or V if the existing loan is at the variable rate.</t>
        </r>
      </text>
    </comment>
    <comment ref="B8" authorId="0" shapeId="0" xr:uid="{00000000-0006-0000-0800-000003000000}">
      <text>
        <r>
          <rPr>
            <b/>
            <sz val="12"/>
            <color indexed="81"/>
            <rFont val="Tahoma"/>
            <family val="2"/>
          </rPr>
          <t>Date of Note used to determine beginning date for loan amoritization.</t>
        </r>
      </text>
    </comment>
    <comment ref="D8" authorId="0" shapeId="0" xr:uid="{00000000-0006-0000-0800-000004000000}">
      <text>
        <r>
          <rPr>
            <b/>
            <sz val="12"/>
            <color indexed="81"/>
            <rFont val="Tahoma"/>
            <family val="2"/>
          </rPr>
          <t>This is the interest rate being used for the particular year and note.</t>
        </r>
      </text>
    </comment>
    <comment ref="B9" authorId="0" shapeId="0" xr:uid="{00000000-0006-0000-0800-000005000000}">
      <text>
        <r>
          <rPr>
            <b/>
            <sz val="12"/>
            <color indexed="81"/>
            <rFont val="Tahoma"/>
            <family val="2"/>
          </rPr>
          <t>Original Loan Amount</t>
        </r>
      </text>
    </comment>
    <comment ref="D9" authorId="0" shapeId="0" xr:uid="{00000000-0006-0000-0800-000006000000}">
      <text>
        <r>
          <rPr>
            <b/>
            <sz val="12"/>
            <color indexed="81"/>
            <rFont val="Tahoma"/>
            <family val="2"/>
          </rPr>
          <t>Principal balance of loan as of end of previous year.</t>
        </r>
      </text>
    </comment>
    <comment ref="B10" authorId="0" shapeId="0" xr:uid="{00000000-0006-0000-0800-000007000000}">
      <text>
        <r>
          <rPr>
            <b/>
            <sz val="12"/>
            <color indexed="81"/>
            <rFont val="Tahoma"/>
            <family val="2"/>
          </rPr>
          <t>The length of the loan or the total period for repayment</t>
        </r>
      </text>
    </comment>
    <comment ref="B11" authorId="0" shapeId="0" xr:uid="{00000000-0006-0000-0800-000008000000}">
      <text>
        <r>
          <rPr>
            <b/>
            <sz val="12"/>
            <color indexed="81"/>
            <rFont val="Tahoma"/>
            <family val="2"/>
          </rPr>
          <t xml:space="preserve">Unless otherwise specified, this rate will be equal to that on the input sheet, and will be used unless the loan is repriced.  </t>
        </r>
      </text>
    </comment>
    <comment ref="B12" authorId="1" shapeId="0" xr:uid="{00000000-0006-0000-0800-000009000000}">
      <text>
        <r>
          <rPr>
            <b/>
            <sz val="12"/>
            <color indexed="81"/>
            <rFont val="Arial"/>
            <family val="2"/>
          </rPr>
          <t xml:space="preserve">The number of payments per year.
</t>
        </r>
      </text>
    </comment>
    <comment ref="B13" authorId="1" shapeId="0" xr:uid="{00000000-0006-0000-0800-00000A000000}">
      <text>
        <r>
          <rPr>
            <b/>
            <sz val="10"/>
            <color indexed="81"/>
            <rFont val="Tahoma"/>
            <family val="2"/>
          </rPr>
          <t>Insert "Y", if the repayment is made using level principal payments</t>
        </r>
      </text>
    </comment>
    <comment ref="D13" authorId="0" shapeId="0" xr:uid="{00000000-0006-0000-0800-00000B000000}">
      <text>
        <r>
          <rPr>
            <b/>
            <sz val="12"/>
            <color indexed="81"/>
            <rFont val="Tahoma"/>
            <family val="2"/>
          </rPr>
          <t>Enter any principal payments to be made ahead of schedule.  This can be used for a balloon note, etc.</t>
        </r>
      </text>
    </comment>
    <comment ref="B14" authorId="0" shapeId="0" xr:uid="{00000000-0006-0000-0800-00000C000000}">
      <text>
        <r>
          <rPr>
            <b/>
            <sz val="12"/>
            <color indexed="81"/>
            <rFont val="Tahoma"/>
            <family val="2"/>
          </rPr>
          <t>Year in which Loan is to be Repriced; if not specific (or Zero), loan will not reprice.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Howard Barnes</author>
    <author>Edward J. Moran</author>
  </authors>
  <commentList>
    <comment ref="B7" authorId="0" shapeId="0" xr:uid="{00000000-0006-0000-0900-000001000000}">
      <text>
        <r>
          <rPr>
            <b/>
            <sz val="11"/>
            <color indexed="81"/>
            <rFont val="Tahoma"/>
            <family val="2"/>
          </rPr>
          <t>Enter Note Identification, as desired.</t>
        </r>
      </text>
    </comment>
    <comment ref="D7" authorId="1" shapeId="0" xr:uid="{00000000-0006-0000-0900-000002000000}">
      <text>
        <r>
          <rPr>
            <b/>
            <sz val="10"/>
            <color indexed="81"/>
            <rFont val="Tahoma"/>
            <family val="2"/>
          </rPr>
          <t>Enter F if existing debt is for a fixed interest rate or V if the existing loan is at the variable rate.</t>
        </r>
      </text>
    </comment>
    <comment ref="B8" authorId="0" shapeId="0" xr:uid="{00000000-0006-0000-0900-000003000000}">
      <text>
        <r>
          <rPr>
            <b/>
            <sz val="12"/>
            <color indexed="81"/>
            <rFont val="Tahoma"/>
            <family val="2"/>
          </rPr>
          <t>Date of Note used to determine beginning date for loan amoritization.</t>
        </r>
      </text>
    </comment>
    <comment ref="D8" authorId="0" shapeId="0" xr:uid="{00000000-0006-0000-0900-000004000000}">
      <text>
        <r>
          <rPr>
            <b/>
            <sz val="12"/>
            <color indexed="81"/>
            <rFont val="Tahoma"/>
            <family val="2"/>
          </rPr>
          <t>This is the interest rate being used for the particular year and note.</t>
        </r>
      </text>
    </comment>
    <comment ref="B9" authorId="0" shapeId="0" xr:uid="{00000000-0006-0000-0900-000005000000}">
      <text>
        <r>
          <rPr>
            <b/>
            <sz val="12"/>
            <color indexed="81"/>
            <rFont val="Tahoma"/>
            <family val="2"/>
          </rPr>
          <t>Original Loan Amount</t>
        </r>
      </text>
    </comment>
    <comment ref="D9" authorId="0" shapeId="0" xr:uid="{00000000-0006-0000-0900-000006000000}">
      <text>
        <r>
          <rPr>
            <b/>
            <sz val="12"/>
            <color indexed="81"/>
            <rFont val="Tahoma"/>
            <family val="2"/>
          </rPr>
          <t>Principal balance of loan as of end of previous year.</t>
        </r>
      </text>
    </comment>
    <comment ref="B10" authorId="0" shapeId="0" xr:uid="{00000000-0006-0000-0900-000007000000}">
      <text>
        <r>
          <rPr>
            <b/>
            <sz val="12"/>
            <color indexed="81"/>
            <rFont val="Tahoma"/>
            <family val="2"/>
          </rPr>
          <t>The length of the loan or the total period for repayment</t>
        </r>
      </text>
    </comment>
    <comment ref="B11" authorId="0" shapeId="0" xr:uid="{00000000-0006-0000-0900-000008000000}">
      <text>
        <r>
          <rPr>
            <b/>
            <sz val="12"/>
            <color indexed="81"/>
            <rFont val="Tahoma"/>
            <family val="2"/>
          </rPr>
          <t xml:space="preserve">Unless otherwise specified, this rate will be equal to that on the input sheet, and will be used unless the loan is repriced.  </t>
        </r>
      </text>
    </comment>
    <comment ref="B12" authorId="1" shapeId="0" xr:uid="{00000000-0006-0000-0900-000009000000}">
      <text>
        <r>
          <rPr>
            <b/>
            <sz val="12"/>
            <color indexed="81"/>
            <rFont val="Arial"/>
            <family val="2"/>
          </rPr>
          <t xml:space="preserve">The number of payments per year.
</t>
        </r>
      </text>
    </comment>
    <comment ref="B13" authorId="1" shapeId="0" xr:uid="{00000000-0006-0000-0900-00000A000000}">
      <text>
        <r>
          <rPr>
            <b/>
            <sz val="10"/>
            <color indexed="81"/>
            <rFont val="Tahoma"/>
            <family val="2"/>
          </rPr>
          <t>Insert "Y", if the repayment is made using level principal payments</t>
        </r>
      </text>
    </comment>
    <comment ref="D13" authorId="0" shapeId="0" xr:uid="{00000000-0006-0000-0900-00000B000000}">
      <text>
        <r>
          <rPr>
            <b/>
            <sz val="12"/>
            <color indexed="81"/>
            <rFont val="Tahoma"/>
            <family val="2"/>
          </rPr>
          <t>Enter any principal payments to be made ahead of schedule.  This can be used for a balloon note, etc.</t>
        </r>
      </text>
    </comment>
    <comment ref="B14" authorId="0" shapeId="0" xr:uid="{00000000-0006-0000-0900-00000C000000}">
      <text>
        <r>
          <rPr>
            <b/>
            <sz val="12"/>
            <color indexed="81"/>
            <rFont val="Tahoma"/>
            <family val="2"/>
          </rPr>
          <t>Year in which Loan is to be Repriced; if not specific (or Zero), loan will not reprice.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Howard Barnes</author>
    <author>Edward J. Moran</author>
  </authors>
  <commentList>
    <comment ref="B7" authorId="0" shapeId="0" xr:uid="{00000000-0006-0000-0A00-000001000000}">
      <text>
        <r>
          <rPr>
            <b/>
            <sz val="11"/>
            <color indexed="81"/>
            <rFont val="Tahoma"/>
            <family val="2"/>
          </rPr>
          <t>Enter Note Identification, as desired.</t>
        </r>
      </text>
    </comment>
    <comment ref="D7" authorId="1" shapeId="0" xr:uid="{00000000-0006-0000-0A00-000002000000}">
      <text>
        <r>
          <rPr>
            <b/>
            <sz val="10"/>
            <color indexed="81"/>
            <rFont val="Tahoma"/>
            <family val="2"/>
          </rPr>
          <t>Enter F if existing debt is for a fixed interest rate or V if the existing loan is at the variable rate.</t>
        </r>
      </text>
    </comment>
    <comment ref="B8" authorId="0" shapeId="0" xr:uid="{00000000-0006-0000-0A00-000003000000}">
      <text>
        <r>
          <rPr>
            <b/>
            <sz val="12"/>
            <color indexed="81"/>
            <rFont val="Tahoma"/>
            <family val="2"/>
          </rPr>
          <t>Date of Note used to determine beginning date for loan amoritization.</t>
        </r>
      </text>
    </comment>
    <comment ref="D8" authorId="0" shapeId="0" xr:uid="{00000000-0006-0000-0A00-000004000000}">
      <text>
        <r>
          <rPr>
            <b/>
            <sz val="12"/>
            <color indexed="81"/>
            <rFont val="Tahoma"/>
            <family val="2"/>
          </rPr>
          <t>This is the interest rate being used for the particular year and note.</t>
        </r>
      </text>
    </comment>
    <comment ref="B9" authorId="0" shapeId="0" xr:uid="{00000000-0006-0000-0A00-000005000000}">
      <text>
        <r>
          <rPr>
            <b/>
            <sz val="12"/>
            <color indexed="81"/>
            <rFont val="Tahoma"/>
            <family val="2"/>
          </rPr>
          <t>Original Loan Amount</t>
        </r>
      </text>
    </comment>
    <comment ref="D9" authorId="0" shapeId="0" xr:uid="{00000000-0006-0000-0A00-000006000000}">
      <text>
        <r>
          <rPr>
            <b/>
            <sz val="12"/>
            <color indexed="81"/>
            <rFont val="Tahoma"/>
            <family val="2"/>
          </rPr>
          <t>Principal balance of loan as of end of previous year.</t>
        </r>
      </text>
    </comment>
    <comment ref="B10" authorId="0" shapeId="0" xr:uid="{00000000-0006-0000-0A00-000007000000}">
      <text>
        <r>
          <rPr>
            <b/>
            <sz val="12"/>
            <color indexed="81"/>
            <rFont val="Tahoma"/>
            <family val="2"/>
          </rPr>
          <t>The length of the loan or the total period for repayment</t>
        </r>
      </text>
    </comment>
    <comment ref="B11" authorId="0" shapeId="0" xr:uid="{00000000-0006-0000-0A00-000008000000}">
      <text>
        <r>
          <rPr>
            <b/>
            <sz val="12"/>
            <color indexed="81"/>
            <rFont val="Tahoma"/>
            <family val="2"/>
          </rPr>
          <t xml:space="preserve">Unless otherwise specified, this rate will be equal to that on the input sheet, and will be used unless the loan is repriced.  </t>
        </r>
      </text>
    </comment>
    <comment ref="B12" authorId="1" shapeId="0" xr:uid="{00000000-0006-0000-0A00-000009000000}">
      <text>
        <r>
          <rPr>
            <b/>
            <sz val="12"/>
            <color indexed="81"/>
            <rFont val="Arial"/>
            <family val="2"/>
          </rPr>
          <t xml:space="preserve">The number of payments per year.
</t>
        </r>
      </text>
    </comment>
    <comment ref="B13" authorId="1" shapeId="0" xr:uid="{00000000-0006-0000-0A00-00000A000000}">
      <text>
        <r>
          <rPr>
            <b/>
            <sz val="10"/>
            <color indexed="81"/>
            <rFont val="Tahoma"/>
            <family val="2"/>
          </rPr>
          <t>Insert "Y", if the repayment is made using level principal payments</t>
        </r>
      </text>
    </comment>
    <comment ref="D13" authorId="0" shapeId="0" xr:uid="{00000000-0006-0000-0A00-00000B000000}">
      <text>
        <r>
          <rPr>
            <b/>
            <sz val="12"/>
            <color indexed="81"/>
            <rFont val="Tahoma"/>
            <family val="2"/>
          </rPr>
          <t>Enter any principal payments to be made ahead of schedule.  This can be used for a balloon note, etc.</t>
        </r>
      </text>
    </comment>
    <comment ref="B14" authorId="0" shapeId="0" xr:uid="{00000000-0006-0000-0A00-00000C000000}">
      <text>
        <r>
          <rPr>
            <b/>
            <sz val="12"/>
            <color indexed="81"/>
            <rFont val="Tahoma"/>
            <family val="2"/>
          </rPr>
          <t>Year in which Loan is to be Repriced; if not specific (or Zero), loan will not reprice.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Howard Barnes</author>
    <author>Edward J. Moran</author>
  </authors>
  <commentList>
    <comment ref="B7" authorId="0" shapeId="0" xr:uid="{00000000-0006-0000-0B00-000001000000}">
      <text>
        <r>
          <rPr>
            <b/>
            <sz val="11"/>
            <color indexed="81"/>
            <rFont val="Tahoma"/>
            <family val="2"/>
          </rPr>
          <t>Enter Note Identification, as desired.</t>
        </r>
      </text>
    </comment>
    <comment ref="D7" authorId="1" shapeId="0" xr:uid="{00000000-0006-0000-0B00-000002000000}">
      <text>
        <r>
          <rPr>
            <b/>
            <sz val="10"/>
            <color indexed="81"/>
            <rFont val="Tahoma"/>
            <family val="2"/>
          </rPr>
          <t>Enter F if existing debt is for a fixed interest rate or V if the existing loan is at the variable rate.</t>
        </r>
      </text>
    </comment>
    <comment ref="B8" authorId="0" shapeId="0" xr:uid="{00000000-0006-0000-0B00-000003000000}">
      <text>
        <r>
          <rPr>
            <b/>
            <sz val="12"/>
            <color indexed="81"/>
            <rFont val="Tahoma"/>
            <family val="2"/>
          </rPr>
          <t>Date of Note used to determine beginning date for loan amoritization.</t>
        </r>
      </text>
    </comment>
    <comment ref="D8" authorId="0" shapeId="0" xr:uid="{00000000-0006-0000-0B00-000004000000}">
      <text>
        <r>
          <rPr>
            <b/>
            <sz val="12"/>
            <color indexed="81"/>
            <rFont val="Tahoma"/>
            <family val="2"/>
          </rPr>
          <t>This is the interest rate being used for the particular year and note.</t>
        </r>
      </text>
    </comment>
    <comment ref="B9" authorId="0" shapeId="0" xr:uid="{00000000-0006-0000-0B00-000005000000}">
      <text>
        <r>
          <rPr>
            <b/>
            <sz val="12"/>
            <color indexed="81"/>
            <rFont val="Tahoma"/>
            <family val="2"/>
          </rPr>
          <t>Original Loan Amount</t>
        </r>
      </text>
    </comment>
    <comment ref="D9" authorId="0" shapeId="0" xr:uid="{00000000-0006-0000-0B00-000006000000}">
      <text>
        <r>
          <rPr>
            <b/>
            <sz val="12"/>
            <color indexed="81"/>
            <rFont val="Tahoma"/>
            <family val="2"/>
          </rPr>
          <t>Principal balance of loan as of end of previous year.</t>
        </r>
      </text>
    </comment>
    <comment ref="B10" authorId="0" shapeId="0" xr:uid="{00000000-0006-0000-0B00-000007000000}">
      <text>
        <r>
          <rPr>
            <b/>
            <sz val="12"/>
            <color indexed="81"/>
            <rFont val="Tahoma"/>
            <family val="2"/>
          </rPr>
          <t>The length of the loan or the total period for repayment</t>
        </r>
      </text>
    </comment>
    <comment ref="B11" authorId="0" shapeId="0" xr:uid="{00000000-0006-0000-0B00-000008000000}">
      <text>
        <r>
          <rPr>
            <b/>
            <sz val="12"/>
            <color indexed="81"/>
            <rFont val="Tahoma"/>
            <family val="2"/>
          </rPr>
          <t xml:space="preserve">Unless otherwise specified, this rate will be equal to that on the input sheet, and will be used unless the loan is repriced.  </t>
        </r>
      </text>
    </comment>
    <comment ref="B12" authorId="1" shapeId="0" xr:uid="{00000000-0006-0000-0B00-000009000000}">
      <text>
        <r>
          <rPr>
            <b/>
            <sz val="12"/>
            <color indexed="81"/>
            <rFont val="Arial"/>
            <family val="2"/>
          </rPr>
          <t>The number of payments per year.</t>
        </r>
        <r>
          <rPr>
            <b/>
            <sz val="10"/>
            <color indexed="81"/>
            <rFont val="Tahoma"/>
            <family val="2"/>
          </rPr>
          <t xml:space="preserve">
</t>
        </r>
      </text>
    </comment>
    <comment ref="B13" authorId="1" shapeId="0" xr:uid="{00000000-0006-0000-0B00-00000A000000}">
      <text>
        <r>
          <rPr>
            <b/>
            <sz val="10"/>
            <color indexed="81"/>
            <rFont val="Tahoma"/>
            <family val="2"/>
          </rPr>
          <t>Insert "Y", if the repayment is made using level principal payments</t>
        </r>
      </text>
    </comment>
    <comment ref="D13" authorId="0" shapeId="0" xr:uid="{00000000-0006-0000-0B00-00000B000000}">
      <text>
        <r>
          <rPr>
            <b/>
            <sz val="12"/>
            <color indexed="81"/>
            <rFont val="Tahoma"/>
            <family val="2"/>
          </rPr>
          <t>Enter any principal payments to be made ahead of schedule.  This can be used for a balloon note, etc.</t>
        </r>
      </text>
    </comment>
    <comment ref="B14" authorId="0" shapeId="0" xr:uid="{00000000-0006-0000-0B00-00000C000000}">
      <text>
        <r>
          <rPr>
            <b/>
            <sz val="12"/>
            <color indexed="81"/>
            <rFont val="Tahoma"/>
            <family val="2"/>
          </rPr>
          <t>Year in which Loan is to be Repriced; if not specific (or Zero), loan will not reprice.</t>
        </r>
      </text>
    </comment>
  </commentList>
</comments>
</file>

<file path=xl/sharedStrings.xml><?xml version="1.0" encoding="utf-8"?>
<sst xmlns="http://schemas.openxmlformats.org/spreadsheetml/2006/main" count="5602" uniqueCount="980">
  <si>
    <t>{NOTE: Need to revise above by deleting years NOT covered by the construction work plan}</t>
  </si>
  <si>
    <t>Detail any transmission plant being provided for including description, amount, and years constructed.</t>
  </si>
  <si>
    <t>Detail any headquarters plant being provided for including description, amount, and years constructed.</t>
  </si>
  <si>
    <t>Detail any other plant being provided for including description, amount, and years constructed.</t>
  </si>
  <si>
    <t>Explain any need to repay existing line of credit funds in future years, as well as any need for new line of credit funds.</t>
  </si>
  <si>
    <t xml:space="preserve">  1) Other Proceeds</t>
  </si>
  <si>
    <t xml:space="preserve">  2) Other Uses of General Funds</t>
  </si>
  <si>
    <t>Explain any need to utilize cash to increase "Other Assets", or the reverse of this.</t>
  </si>
  <si>
    <t>Total System</t>
  </si>
  <si>
    <t>Energy Sales</t>
  </si>
  <si>
    <t>Large Power 1</t>
  </si>
  <si>
    <t>Large Power 2</t>
  </si>
  <si>
    <t xml:space="preserve">  3) Small Commercial</t>
  </si>
  <si>
    <t xml:space="preserve">  4) Large Commercial</t>
  </si>
  <si>
    <t xml:space="preserve">  6) System Losses</t>
  </si>
  <si>
    <t xml:space="preserve">  7) Own System Use</t>
  </si>
  <si>
    <t xml:space="preserve">   2) Equity</t>
  </si>
  <si>
    <t>B. Load Estimates</t>
  </si>
  <si>
    <t xml:space="preserve">Modifications were made in a limited way as described below to provide greater accuracy: </t>
  </si>
  <si>
    <t xml:space="preserve">A. TIER, OTIER, DSC, ODSC, Equity Ratios  </t>
  </si>
  <si>
    <t xml:space="preserve">   1) TIER, etc.</t>
  </si>
  <si>
    <r>
      <t xml:space="preserve">Number of consumers as projected in the Load Forecast Study </t>
    </r>
    <r>
      <rPr>
        <b/>
        <sz val="10"/>
        <rFont val="Arial"/>
        <family val="2"/>
      </rPr>
      <t>(if not, clarify)</t>
    </r>
    <r>
      <rPr>
        <sz val="10"/>
        <rFont val="Arial"/>
        <family val="2"/>
      </rPr>
      <t>.</t>
    </r>
  </si>
  <si>
    <t>C. Operating Revenue</t>
  </si>
  <si>
    <t>The following average retail rates were used by consumer classification:</t>
  </si>
  <si>
    <r>
      <t xml:space="preserve">Retail rates were last revised in </t>
    </r>
    <r>
      <rPr>
        <b/>
        <sz val="10"/>
        <rFont val="Arial"/>
        <family val="2"/>
      </rPr>
      <t>XXXX</t>
    </r>
    <r>
      <rPr>
        <sz val="10"/>
        <rFont val="Arial"/>
        <family val="2"/>
      </rPr>
      <t xml:space="preserve">, at which time an average </t>
    </r>
    <r>
      <rPr>
        <b/>
        <sz val="10"/>
        <rFont val="Arial"/>
        <family val="2"/>
      </rPr>
      <t>increase/decrease of XX%</t>
    </r>
    <r>
      <rPr>
        <sz val="10"/>
        <rFont val="Arial"/>
        <family val="2"/>
      </rPr>
      <t xml:space="preserve"> was taken.</t>
    </r>
  </si>
  <si>
    <t xml:space="preserve">  1) Residential</t>
  </si>
  <si>
    <t xml:space="preserve">  3) Small Commerical</t>
  </si>
  <si>
    <t xml:space="preserve">  5) Public Street</t>
  </si>
  <si>
    <t xml:space="preserve">  6) Other</t>
  </si>
  <si>
    <t xml:space="preserve">          Revenue</t>
  </si>
  <si>
    <t xml:space="preserve">  7) Other Operating</t>
  </si>
  <si>
    <t>This category includes Connect, Disconnect, Penalties, Joint Use fees, and wheeling revenue, and is based upon:</t>
  </si>
  <si>
    <t xml:space="preserve">D.  Plant Additions </t>
  </si>
  <si>
    <t xml:space="preserve">  1) Wholesale Power</t>
  </si>
  <si>
    <t xml:space="preserve">  2) O&amp;M</t>
  </si>
  <si>
    <t xml:space="preserve">  4) A&amp;G</t>
  </si>
  <si>
    <t xml:space="preserve">  3) Depreciation</t>
  </si>
  <si>
    <t xml:space="preserve">  5) Consumer Acct.</t>
  </si>
  <si>
    <t xml:space="preserve">  6) Tax</t>
  </si>
  <si>
    <t>E. Operating Expenses</t>
  </si>
  <si>
    <t>Now that these costs have been functionalized to appropriate expense accounts, they are no longer being accounted for as Tax expense,</t>
  </si>
  <si>
    <t xml:space="preserve"> 1) Loan Funds</t>
  </si>
  <si>
    <t>FINANCIAL FORECAST</t>
  </si>
  <si>
    <t>RUS FORM 325E - DETERMINATION OF LOAD</t>
  </si>
  <si>
    <t>*</t>
  </si>
  <si>
    <t>FUTURE YEARS</t>
  </si>
  <si>
    <t xml:space="preserve">  -----------</t>
  </si>
  <si>
    <t>RESIDENTIAL SEASONAL</t>
  </si>
  <si>
    <t>IRRIGATION</t>
  </si>
  <si>
    <t>PUBLIC STREET &amp; HIGHWAY LIGHTING</t>
  </si>
  <si>
    <t>PUBLIC BUILDING &amp; OTHER PUBLIC AUTH.</t>
  </si>
  <si>
    <t>OTHER - 1</t>
  </si>
  <si>
    <t xml:space="preserve">   j.</t>
  </si>
  <si>
    <t>TOTAL CONSUMERS</t>
  </si>
  <si>
    <t>2.  AVERAGE MONTHLY USE PER CONSUMER</t>
  </si>
  <si>
    <t>3.  ANNUAL KWH SALES</t>
  </si>
  <si>
    <t>4.  ANNUAL POWER REQUIREMENTS</t>
  </si>
  <si>
    <t xml:space="preserve">   a.  TOTAL KWH SOLD</t>
  </si>
  <si>
    <t xml:space="preserve">      (1).  KWH SOLD NOT SUBJ.TO LINE LOSS</t>
  </si>
  <si>
    <t xml:space="preserve">   b.  SYSTEMS OWN USE - KWH</t>
  </si>
  <si>
    <t xml:space="preserve">   c.  SYSTEM LOSS</t>
  </si>
  <si>
    <t xml:space="preserve">      (1).  PERCENTAGE</t>
  </si>
  <si>
    <t xml:space="preserve">      (2).  KWH</t>
  </si>
  <si>
    <t xml:space="preserve">   d.  TOTAL KWH REQUIREMENTS</t>
  </si>
  <si>
    <t/>
  </si>
  <si>
    <t>-------</t>
  </si>
  <si>
    <t>FORM 325A - RATIOS</t>
  </si>
  <si>
    <t xml:space="preserve">  2.</t>
  </si>
  <si>
    <t>DEBT SERVICE COVERAGE :</t>
  </si>
  <si>
    <t xml:space="preserve">  3.</t>
  </si>
  <si>
    <t>TIER :</t>
  </si>
  <si>
    <t>Allow rate decreases (0=No;1=Yes)</t>
  </si>
  <si>
    <t>Amount of revenue to defer to following year</t>
  </si>
  <si>
    <t>FORM 325B - BALANCE SHEET</t>
  </si>
  <si>
    <t xml:space="preserve">  1b.</t>
  </si>
  <si>
    <t xml:space="preserve"> ACCUM. PROVISION FOR DEPREC. &amp; AMORT.</t>
  </si>
  <si>
    <t xml:space="preserve">  1d.</t>
  </si>
  <si>
    <t xml:space="preserve"> NET GENERAL FUNDS</t>
  </si>
  <si>
    <t xml:space="preserve">  1e.</t>
  </si>
  <si>
    <t xml:space="preserve"> GENERAL FUNDS EXCLUDABLE ITEMS</t>
  </si>
  <si>
    <t xml:space="preserve">  1f.</t>
  </si>
  <si>
    <t xml:space="preserve"> OTHER ASSETS AND DEBITS</t>
  </si>
  <si>
    <t xml:space="preserve">  2a. </t>
  </si>
  <si>
    <t xml:space="preserve"> TOTAL MARGINS AND EQUITIES</t>
  </si>
  <si>
    <t xml:space="preserve">  2d.</t>
  </si>
  <si>
    <t xml:space="preserve"> OTHER LIABILITIES AND CREDITS</t>
  </si>
  <si>
    <t>FORM 325C - STATEMENT OF OPERATIONS</t>
  </si>
  <si>
    <t xml:space="preserve">  1l.</t>
  </si>
  <si>
    <t xml:space="preserve">  1m.</t>
  </si>
  <si>
    <t>FORM 325D - GENERAL FUNDS SUMMARY</t>
  </si>
  <si>
    <t xml:space="preserve">  1c.</t>
  </si>
  <si>
    <t xml:space="preserve"> SALE OF EXCLUDABLE ITEMS</t>
  </si>
  <si>
    <t xml:space="preserve">  3b.</t>
  </si>
  <si>
    <t xml:space="preserve"> CAPITAL CREDIT RETIREMENTS</t>
  </si>
  <si>
    <t xml:space="preserve">  3d.</t>
  </si>
  <si>
    <t xml:space="preserve"> OTHER USES OF GENERAL FUNDS</t>
  </si>
  <si>
    <t>FORM 325K - OPERATING EXPENSES</t>
  </si>
  <si>
    <t xml:space="preserve"> BASE COST PER KWH PURCHASED (PRES. RATE)</t>
  </si>
  <si>
    <t xml:space="preserve"> FLOW THROUGH ADJ./KWH WHOLESALE</t>
  </si>
  <si>
    <t xml:space="preserve"> COST OF POWER</t>
  </si>
  <si>
    <t xml:space="preserve">  2a.</t>
  </si>
  <si>
    <t xml:space="preserve"> OPERATION &amp; MAINT. EXPENSE</t>
  </si>
  <si>
    <t xml:space="preserve">  3a.</t>
  </si>
  <si>
    <t xml:space="preserve"> ADMIN. GENERAL &amp; OTHER DEDUCTIONS</t>
  </si>
  <si>
    <t xml:space="preserve">  4a.</t>
  </si>
  <si>
    <t xml:space="preserve"> DEPREC. &amp; AMORTIZATION EXPENSE</t>
  </si>
  <si>
    <t xml:space="preserve">  5a.</t>
  </si>
  <si>
    <t xml:space="preserve"> TAX EXPENSE</t>
  </si>
  <si>
    <t xml:space="preserve">  7a.</t>
  </si>
  <si>
    <t xml:space="preserve"> CONSUMER ACCT &amp; SALES EXPENSE</t>
  </si>
  <si>
    <t xml:space="preserve">  7b.</t>
  </si>
  <si>
    <t xml:space="preserve">     or CONS. ACCT. &amp; SALES EXP. PER CONSUMER SERVED</t>
  </si>
  <si>
    <t>RUS FORM 325F - DETERMINATION OF OPERATING REVENUE</t>
  </si>
  <si>
    <t>Page 1 of 3</t>
  </si>
  <si>
    <t xml:space="preserve">0=&gt;No adj.    </t>
  </si>
  <si>
    <t xml:space="preserve">1=&gt;Adj.1      </t>
  </si>
  <si>
    <t xml:space="preserve">2=&gt;Adj. 2     </t>
  </si>
  <si>
    <t>3=&gt;Adj.1+Adj.2</t>
  </si>
  <si>
    <t>1.</t>
  </si>
  <si>
    <t xml:space="preserve">   a.   TOTAL ANNUAL KWH SOLD</t>
  </si>
  <si>
    <t xml:space="preserve">   b.   AVG. REVENUE PER KWH SOLD</t>
  </si>
  <si>
    <t xml:space="preserve">   c.   FIXED MONTHLY CHARGE PER CONSUMER</t>
  </si>
  <si>
    <t xml:space="preserve">   d.   AVG. NUMBER OF CONSUMERS</t>
  </si>
  <si>
    <t xml:space="preserve">   e.   ANNUAL REVENUE LESS FLOW THROUGH ADJ.</t>
  </si>
  <si>
    <t xml:space="preserve">   f.   FLOW THROUGH ADJUSTMENT REVENUE</t>
  </si>
  <si>
    <t xml:space="preserve">   g.   GROSS ANNUAL REVENUE</t>
  </si>
  <si>
    <t>2.</t>
  </si>
  <si>
    <t>3.</t>
  </si>
  <si>
    <t>4.</t>
  </si>
  <si>
    <t>5.</t>
  </si>
  <si>
    <t>Page 2 of 3</t>
  </si>
  <si>
    <t>6.</t>
  </si>
  <si>
    <t>7.</t>
  </si>
  <si>
    <t>8.</t>
  </si>
  <si>
    <t>9.</t>
  </si>
  <si>
    <t>10.</t>
  </si>
  <si>
    <t>Page 3 of 3</t>
  </si>
  <si>
    <t>11.</t>
  </si>
  <si>
    <t>12.</t>
  </si>
  <si>
    <t xml:space="preserve">   a.   KWH SOLD SUBJECT TO ADJUSTMENT - 1</t>
  </si>
  <si>
    <t xml:space="preserve">   b.   FLOW THROUGH ADJUSTMENT - 1 PER KWH</t>
  </si>
  <si>
    <t xml:space="preserve">   c.   REVENUE FROM ADJUSTMENT - 1</t>
  </si>
  <si>
    <t xml:space="preserve">   d.   KWH SOLD SUBJECT TO ADJUSTMENT - 2</t>
  </si>
  <si>
    <t xml:space="preserve">   e.   FLOW THROUGH ADJUSTMENT - 2 PER KWH</t>
  </si>
  <si>
    <t xml:space="preserve">   f.    REVENUE FROM ADJUSTMENT - 2</t>
  </si>
  <si>
    <t xml:space="preserve">   g.   TOTAL REVENUE FROM ADJUSTMENTS</t>
  </si>
  <si>
    <t xml:space="preserve">   a.  TOTAL REV. FROM SALE OF ELEC. ENERGY</t>
  </si>
  <si>
    <t xml:space="preserve">   b.  OTHER OPERATING REVENUE</t>
  </si>
  <si>
    <t xml:space="preserve">   c.  TOTAL OPERATING REVENUE</t>
  </si>
  <si>
    <t>RUS FORM 325G - DETERMINATION OF PLANT INVESTMENT &amp; LOAN REQUIREMENTS</t>
  </si>
  <si>
    <t>1.  PLANT SUMMARY</t>
  </si>
  <si>
    <t>2.  PLANT ADDITIONS &amp; REPLACEMENTS</t>
  </si>
  <si>
    <t xml:space="preserve">      (2)  SUPPL. PORTION </t>
  </si>
  <si>
    <t xml:space="preserve">   a.  TOTAL PAYMENTS DUE (FIRST OF YEAR)</t>
  </si>
  <si>
    <t xml:space="preserve">   b.  PLUS: ADD. PRINCIPAL PMTS. DUE </t>
  </si>
  <si>
    <t xml:space="preserve">   c.  PLUS: INT. PMTS. ON ADVANCES </t>
  </si>
  <si>
    <t xml:space="preserve">   d.  LESS: TOTAL ANN. PMTS. ON NOTES PAID</t>
  </si>
  <si>
    <t xml:space="preserve">   e.  TOTAL PAYMENTS DUE (END OF YEAR)</t>
  </si>
  <si>
    <t xml:space="preserve">   f.  LESS: CURRENT YEAR'S INTEREST</t>
  </si>
  <si>
    <t xml:space="preserve">   g.  AMORTIZATION OF OUTSTANDING DEBT</t>
  </si>
  <si>
    <t>2.  DETERMINATION OF OUTSTANDING DEBT</t>
  </si>
  <si>
    <t xml:space="preserve">   a.  OUTSTANDING DEBT (FIRST OF YEAR)</t>
  </si>
  <si>
    <t xml:space="preserve">   b.  PLUS: LOAN FUND ADV. (FORM 325G,4b.)</t>
  </si>
  <si>
    <t xml:space="preserve">   c.  LESS: AMORT. OF OUTSTANDING DEBT </t>
  </si>
  <si>
    <t xml:space="preserve">   d.  LESS: ADVANCE PAYMENTS ON RUS DEBT</t>
  </si>
  <si>
    <t xml:space="preserve">   e.  OUTSTANDING DEBT (END OF YEAR)</t>
  </si>
  <si>
    <t>3.  NOTES REACHING BASIS DATE</t>
  </si>
  <si>
    <t>5.  DETERMINATION OF OUTSTANDING DEBT-RUS 5% (PRE 6/83)</t>
  </si>
  <si>
    <t>6.  NOTES REACHING BASIS DATE</t>
  </si>
  <si>
    <t>Interest</t>
  </si>
  <si>
    <t>Amortization Period</t>
  </si>
  <si>
    <t>Payments Per Year</t>
  </si>
  <si>
    <t>Annual Interest Rate</t>
  </si>
  <si>
    <t>Balance - Beg of Year</t>
  </si>
  <si>
    <t>Principal</t>
  </si>
  <si>
    <t>Balance - End of Year</t>
  </si>
  <si>
    <t>TOTAL DEBT FIGURES</t>
  </si>
  <si>
    <t>ANNUAL INTEREST EXPENSE</t>
  </si>
  <si>
    <t>ANNUAL PRINCIPAL PAYMENTS</t>
  </si>
  <si>
    <t>ANNUAL DEBT SERVICE</t>
  </si>
  <si>
    <t>BALANCE - END OF YEAR</t>
  </si>
  <si>
    <t>BALANCE - BEGINNING OF YEAR</t>
  </si>
  <si>
    <t>Year Repriced</t>
  </si>
  <si>
    <t>FORM 325H &amp; 325I - DEBT SERVICE</t>
  </si>
  <si>
    <t>INTEREST RATE - RUS</t>
  </si>
  <si>
    <t>INTEREST RATE - OTHER</t>
  </si>
  <si>
    <t xml:space="preserve">      (3)  GUARANTEED PORTION </t>
  </si>
  <si>
    <t xml:space="preserve">      (1)  RUS PORTION</t>
  </si>
  <si>
    <t xml:space="preserve">   a.   DEBT FIRST OF YEAR</t>
  </si>
  <si>
    <t xml:space="preserve">   b.   LOAN FUNDS ADVANCED</t>
  </si>
  <si>
    <t xml:space="preserve">   c.   INTEREST</t>
  </si>
  <si>
    <t>NEW DEBT &amp; DEBT SERVICE - OTHER</t>
  </si>
  <si>
    <t xml:space="preserve">   d.   PRINCIPAL PAYMENTS</t>
  </si>
  <si>
    <t xml:space="preserve">   e.   DEBT PAYMENTS</t>
  </si>
  <si>
    <t xml:space="preserve">   f.   DEBT END OF YEAR</t>
  </si>
  <si>
    <t xml:space="preserve">   d.   DEBT PAYMENTS</t>
  </si>
  <si>
    <t>RUS FORM 325J - DEBT &amp; DEBT SERVICE SUMMARY</t>
  </si>
  <si>
    <t>1.  DEBT &amp; DEBT SERVICE  - 2% &amp; 5% LOANS</t>
  </si>
  <si>
    <t>2.  DEBT &amp; DEBT SERVICE - OLD RUS</t>
  </si>
  <si>
    <t>3.  DEBT &amp; DEBT SERVICE - NEW DEBT - RUS</t>
  </si>
  <si>
    <t>4.  DEBT &amp; DEBT SERVICE - OLD DEBT - GUARANTEED</t>
  </si>
  <si>
    <t>6.  DEBT &amp; DEBT SERVICE - OLD DEBT - OTHER</t>
  </si>
  <si>
    <t>7.  DEBT &amp; DEBT SERVICE - NEW DEBT - OTHER</t>
  </si>
  <si>
    <t>8.  SUMMARY</t>
  </si>
  <si>
    <t>1. a.   TOTAL KWH REQUIREMENTS</t>
  </si>
  <si>
    <t xml:space="preserve">    b.   BASE COST PER KWH PURCHASED (PRES. RATE) </t>
  </si>
  <si>
    <t xml:space="preserve">    c.   FLOW THROUGH ADJ./KWH WHOLESALE</t>
  </si>
  <si>
    <t xml:space="preserve">    d.   TOTAL COST PER KWH PURCHASED</t>
  </si>
  <si>
    <t xml:space="preserve">    e.   COST OF POWER </t>
  </si>
  <si>
    <t>2. a.    OPERATION &amp; MAINT. EXPENSE</t>
  </si>
  <si>
    <t xml:space="preserve">    b.    RATIO TO TOTAL UTILITY PLANT</t>
  </si>
  <si>
    <t>3. a.     ADMIN. GENERAL &amp; OTHER DEDUCT.</t>
  </si>
  <si>
    <t xml:space="preserve">    b.     RATIO TO TOTAL UTILITY PLANT</t>
  </si>
  <si>
    <t>4. a.    DEPREC. &amp; AMORTIZATION EXPENSE</t>
  </si>
  <si>
    <t>5. a.    TAX EXPENSE</t>
  </si>
  <si>
    <t>6.   TOTAL UTILITY PLANT</t>
  </si>
  <si>
    <t>7. a.    CONSUMER ACCT. &amp; SALES EXPENSE</t>
  </si>
  <si>
    <t xml:space="preserve">    b.    COST PER CONSUMER SERVED</t>
  </si>
  <si>
    <t xml:space="preserve">    c.    AVERAGE NUMBER OF CONSUMERS SERVED</t>
  </si>
  <si>
    <t>RUS FORM 325K - DETERMINATION OF OPERATING EXPENSES</t>
  </si>
  <si>
    <t>RUS FORM 325C - STATEMENT OF OPERATIONS</t>
  </si>
  <si>
    <t>1.  ACCRUAL BASIS</t>
  </si>
  <si>
    <t xml:space="preserve">   a (1).  ADDITIONAL REVENUE REQUIREMENTS</t>
  </si>
  <si>
    <t xml:space="preserve">                 FOR TIER/EQUITY </t>
  </si>
  <si>
    <t xml:space="preserve">      (2).  OPER. REV. &amp; PATRON. CAP. - PRESENT RATES</t>
  </si>
  <si>
    <t xml:space="preserve">   b.   COST OF POWER</t>
  </si>
  <si>
    <t xml:space="preserve">   c.   OPER. REV. LESS COST OF POWER</t>
  </si>
  <si>
    <t xml:space="preserve">   d.   OPERATIONS &amp; MAINTENANCE EXPENSE</t>
  </si>
  <si>
    <t xml:space="preserve">   e.   CONSUMER ACCOUNTS AND SALES EXPENSE</t>
  </si>
  <si>
    <t xml:space="preserve">   f.   ADM. &amp; GEN. &amp; OTHER DEDUCTIONS EXPENSE</t>
  </si>
  <si>
    <t xml:space="preserve">   g.   DEPRECIATION AND AMORTIZATION EXPENSE</t>
  </si>
  <si>
    <t xml:space="preserve">   h.   TAX EXPENSE</t>
  </si>
  <si>
    <t xml:space="preserve">   k.   PATRONAGE CAPITAL &amp; OPERATING MARGINS</t>
  </si>
  <si>
    <t xml:space="preserve">   m.   G&amp;T AND OTHER CAPITAL CREDITS (CFC CTC's)</t>
  </si>
  <si>
    <t xml:space="preserve">   n.   TOTAL ACCRUAL MARGINS</t>
  </si>
  <si>
    <t>2. CASH BASIS</t>
  </si>
  <si>
    <t xml:space="preserve">   a.   CASH FROM OPERATIONS BEFORE DEBT SERVICE</t>
  </si>
  <si>
    <t xml:space="preserve">   b.   TOTAL DEBT SERVICE</t>
  </si>
  <si>
    <t xml:space="preserve">   c.   CASH MARGINS AFTER DEBT SERVICE</t>
  </si>
  <si>
    <t>SUMMARY TABLE FOR REFERENCE</t>
  </si>
  <si>
    <t>-</t>
  </si>
  <si>
    <t xml:space="preserve">1. </t>
  </si>
  <si>
    <t xml:space="preserve">2. </t>
  </si>
  <si>
    <t>T.I.E.R. Earned without Increase</t>
  </si>
  <si>
    <t xml:space="preserve">3. </t>
  </si>
  <si>
    <t>Oper. Margins (excl G&amp;T + lender CC paid)</t>
  </si>
  <si>
    <t xml:space="preserve">                   with Rate Increase</t>
  </si>
  <si>
    <t xml:space="preserve">4. </t>
  </si>
  <si>
    <t xml:space="preserve">                    without Rate Increase</t>
  </si>
  <si>
    <t>Required Increase in Revenue</t>
  </si>
  <si>
    <t xml:space="preserve">5. </t>
  </si>
  <si>
    <t>Before Deferral</t>
  </si>
  <si>
    <t xml:space="preserve">6. </t>
  </si>
  <si>
    <t>Deferred Revenue (Net)</t>
  </si>
  <si>
    <t xml:space="preserve">7. </t>
  </si>
  <si>
    <t>7a.</t>
  </si>
  <si>
    <t>Required Increase per Kwh (cents)</t>
  </si>
  <si>
    <t xml:space="preserve">8. </t>
  </si>
  <si>
    <t>Average Revenue per Kwh (cents)</t>
  </si>
  <si>
    <t xml:space="preserve">9. </t>
  </si>
  <si>
    <t>Percent Increase in Revenue</t>
  </si>
  <si>
    <t xml:space="preserve">10. </t>
  </si>
  <si>
    <t>Interest on L.T.D.</t>
  </si>
  <si>
    <t xml:space="preserve">11. </t>
  </si>
  <si>
    <t>Equity Ratio with Increase</t>
  </si>
  <si>
    <t xml:space="preserve">12. </t>
  </si>
  <si>
    <t>Debt Service Coverage</t>
  </si>
  <si>
    <t>13a.</t>
  </si>
  <si>
    <t>General Funds Available</t>
  </si>
  <si>
    <t>13b.</t>
  </si>
  <si>
    <t>Gen. Funds Used During Year</t>
  </si>
  <si>
    <t>13c.</t>
  </si>
  <si>
    <t>General Funds End of Year</t>
  </si>
  <si>
    <t>14a.</t>
  </si>
  <si>
    <t>General Funds Goal:  Plant Ratio</t>
  </si>
  <si>
    <t>14b.</t>
  </si>
  <si>
    <t xml:space="preserve">            or Min. Dollar Level</t>
  </si>
  <si>
    <t>14c.</t>
  </si>
  <si>
    <t>Actual Gen. Funds to Plant Ratio</t>
  </si>
  <si>
    <t>14d.</t>
  </si>
  <si>
    <t>Required Gen. Fund Level for Goal</t>
  </si>
  <si>
    <t xml:space="preserve">Total Funds Available to Invest </t>
  </si>
  <si>
    <t xml:space="preserve">15. </t>
  </si>
  <si>
    <t>&amp; Still Meet Goal</t>
  </si>
  <si>
    <t xml:space="preserve">16. </t>
  </si>
  <si>
    <t xml:space="preserve">17. </t>
  </si>
  <si>
    <t>General Funds Invested</t>
  </si>
  <si>
    <t xml:space="preserve">18. </t>
  </si>
  <si>
    <t>Add. Gen. Funds Available</t>
  </si>
  <si>
    <t xml:space="preserve">19. </t>
  </si>
  <si>
    <t>New RUS Loans Required</t>
  </si>
  <si>
    <t xml:space="preserve">20. </t>
  </si>
  <si>
    <t>New Other Loans Required</t>
  </si>
  <si>
    <t xml:space="preserve">21. </t>
  </si>
  <si>
    <t xml:space="preserve">22. </t>
  </si>
  <si>
    <t xml:space="preserve">23. </t>
  </si>
  <si>
    <t>Kwh Sales</t>
  </si>
  <si>
    <t xml:space="preserve">24. </t>
  </si>
  <si>
    <t>% Increase Year by Year</t>
  </si>
  <si>
    <t>General Funds Input Aid {GFIA}</t>
  </si>
  <si>
    <t>Gen. Funds for Priority Const.</t>
  </si>
  <si>
    <t>Gen. Funds for Non-Prior. Const.</t>
  </si>
  <si>
    <t>Add. Gen. Funds for Goal</t>
  </si>
  <si>
    <t>Gen. Funds for Prior. Const. CALC</t>
  </si>
  <si>
    <t>RUS FORM 325A- RATIOS</t>
  </si>
  <si>
    <t xml:space="preserve"> 1. EQUITY RATIO (WITH ADD. REV.) (%)</t>
  </si>
  <si>
    <t xml:space="preserve"> 3a. TIMES INTEREST EARNED RATIO (WITH ADD. REV.)</t>
  </si>
  <si>
    <t xml:space="preserve"> 3b. OPERATING TIER (including op. margins + G&amp;T &amp; lender CCs paid)</t>
  </si>
  <si>
    <t xml:space="preserve"> 4. AVERAGE REVENUE PER KWH SOLD (CENTS)</t>
  </si>
  <si>
    <t xml:space="preserve"> 5. INCREASE IN AVERAGE REVENUE PER KWH SOLD (%)</t>
  </si>
  <si>
    <t xml:space="preserve"> 6. TOTAL UTILITY PLANT PER KWH SOLD (CENTS)</t>
  </si>
  <si>
    <t xml:space="preserve"> 7. NET GENERAL FUNDS TO TOTAL UTILITY PLANT (%)</t>
  </si>
  <si>
    <t xml:space="preserve"> 8. ACCUM. PROV. FOR DEP. &amp; AMORT. TO T.U.P. (%)</t>
  </si>
  <si>
    <t xml:space="preserve"> 9. OPERATIONS &amp; MAINTENANCE EXP. PER CONSUMER ($)</t>
  </si>
  <si>
    <t>10. ADMIN. &amp; GEN. EXPENSE PER CONSUMER ($)</t>
  </si>
  <si>
    <t>11. PLANT REVENUE RATIO</t>
  </si>
  <si>
    <t>12. RATE OF RETURN ON RATE BASE (WITH ADD. REV.) (%)</t>
  </si>
  <si>
    <t>14. INCREASE OVER PRESENT RETAIL RATES REQUIRED (%)</t>
  </si>
  <si>
    <t>15. MODIFIED DSC (FOR RUS USE)</t>
  </si>
  <si>
    <t>16. MODIFIED TIER (NET OF G&amp;T &amp; OTHER CAP. CREDITS)</t>
  </si>
  <si>
    <t>RUS FORM 325B - PRO FORMA BALANCE SHEET</t>
  </si>
  <si>
    <t>1.  ASSETS AND OTHER DEBITS</t>
  </si>
  <si>
    <t xml:space="preserve">   a.  TOTAL UTILITY PLANT</t>
  </si>
  <si>
    <t xml:space="preserve">   b.  ACCUM. PROVISION FOR DEPREC. &amp; AMORT.</t>
  </si>
  <si>
    <t xml:space="preserve">   c.  NET UTILITY PLANT</t>
  </si>
  <si>
    <t xml:space="preserve">   d.  NET GENERAL FUNDS</t>
  </si>
  <si>
    <t xml:space="preserve">   e.  GENERAL FUNDS EXCLUDABLE ITEMS</t>
  </si>
  <si>
    <t xml:space="preserve">   f.  OTHER ASSETS AND DEBITS</t>
  </si>
  <si>
    <t xml:space="preserve">   g.  TOTAL ASSETS AND OTHER DEBITS</t>
  </si>
  <si>
    <t>2.  LIABILITIES AND OTHER CREDITS</t>
  </si>
  <si>
    <t xml:space="preserve">   a.  TOTAL MARGINS AND EQUITIES</t>
  </si>
  <si>
    <t xml:space="preserve">   b.  LONG TERM DEBT - RUS</t>
  </si>
  <si>
    <t xml:space="preserve">   c.  LONG TERM DEBT - OTHER</t>
  </si>
  <si>
    <t>RUS FORM 325D - GENERAL FUNDS SUMMARY</t>
  </si>
  <si>
    <t>1. SOURCES OF GENERAL FUNDS</t>
  </si>
  <si>
    <t xml:space="preserve">   a.   NET GENERAL FUNDS BEGINNING OF YEAR</t>
  </si>
  <si>
    <t xml:space="preserve">   b.   CASH MARGINS AFTER DEBT SERVICE</t>
  </si>
  <si>
    <t xml:space="preserve">   c.   OTHER PROCEEDS</t>
  </si>
  <si>
    <t xml:space="preserve">   d.   SALE OF EXCLUDABLE ITEMS</t>
  </si>
  <si>
    <t xml:space="preserve">   f.    REIMBURSEMENT FROM SPECIAL LOANS (NON-PRIORITY)</t>
  </si>
  <si>
    <t>2. TOTAL GENERAL FUNDS AVAILABLE</t>
  </si>
  <si>
    <t>3.  PROPOSED USE OF GENERAL FUNDS</t>
  </si>
  <si>
    <t xml:space="preserve">   a.   PURCHASE OF EXCLUDABLE ITEMS</t>
  </si>
  <si>
    <t xml:space="preserve">   b.   CAPITAL CREDIT RETIREMENTS</t>
  </si>
  <si>
    <t xml:space="preserve">   c.   GENERAL FUNDS INVESTED IN PLANT</t>
  </si>
  <si>
    <t xml:space="preserve">   d.   OTHER USES OF GENERAL FUNDS</t>
  </si>
  <si>
    <t>4.  TOTAL PROPOSED USES OF GENERAL FUNDS</t>
  </si>
  <si>
    <t>5.  NET GENERAL FUNDS - END OF YEAR</t>
  </si>
  <si>
    <t xml:space="preserve">25. </t>
  </si>
  <si>
    <t>New Guaranteed Loans Required</t>
  </si>
  <si>
    <t xml:space="preserve">26. </t>
  </si>
  <si>
    <t>Prior Guaranteed Loans Appl.</t>
  </si>
  <si>
    <t>Prior RUS Loans Appl.</t>
  </si>
  <si>
    <t>Prior Other Loans Appl.</t>
  </si>
  <si>
    <t xml:space="preserve">   e.   REIMBURSEMENT FROM PRIORITY LOAN FUNDS</t>
  </si>
  <si>
    <t>(1).  LONG TERM DEBT - 2% &amp; 5%</t>
  </si>
  <si>
    <t>(3).  LONG TERM DEBT - GUARANTEE</t>
  </si>
  <si>
    <t>5.  DEBT &amp; DEBT SERVICE - NEW DEBT - GUARANTEED</t>
  </si>
  <si>
    <t xml:space="preserve">13. RATE BASE = 104% OF NET UTILITY PLANT </t>
  </si>
  <si>
    <t>INTEREST RATE - GUARANTEED</t>
  </si>
  <si>
    <t>Principal Deferment</t>
  </si>
  <si>
    <t>Original Amount</t>
  </si>
  <si>
    <t xml:space="preserve">  4.</t>
  </si>
  <si>
    <t>Flow-thru code</t>
  </si>
  <si>
    <t>Name of Borrower:</t>
  </si>
  <si>
    <t>Revenue</t>
  </si>
  <si>
    <t>Distrib</t>
  </si>
  <si>
    <t>(Cons Acct +</t>
  </si>
  <si>
    <t>MWH Sold/</t>
  </si>
  <si>
    <t>MWH Sold</t>
  </si>
  <si>
    <t>Oper Rev</t>
  </si>
  <si>
    <t>OTHER</t>
  </si>
  <si>
    <t>GENERATION</t>
  </si>
  <si>
    <t>ASSETS &amp;</t>
  </si>
  <si>
    <t>UTILITY</t>
  </si>
  <si>
    <t>TOTAL</t>
  </si>
  <si>
    <t>ACCUM.PROV.</t>
  </si>
  <si>
    <t xml:space="preserve">NET  </t>
  </si>
  <si>
    <t>INVEST. IN</t>
  </si>
  <si>
    <t>CURRENT &amp;</t>
  </si>
  <si>
    <t>LIABILITIES</t>
  </si>
  <si>
    <t>PATRONAGE</t>
  </si>
  <si>
    <t>MISCELL.</t>
  </si>
  <si>
    <t>OPER. REV. &amp;</t>
  </si>
  <si>
    <t>DISTRIB.</t>
  </si>
  <si>
    <t>CONSUMER</t>
  </si>
  <si>
    <t>CUSTOMER</t>
  </si>
  <si>
    <t>ADMINISTRAT.</t>
  </si>
  <si>
    <t>DEPRECIATION</t>
  </si>
  <si>
    <t>GENERAT. &amp;</t>
  </si>
  <si>
    <t>INTEREST ON</t>
  </si>
  <si>
    <t>RSDL SERV</t>
  </si>
  <si>
    <t>COMMER'L. &amp;</t>
  </si>
  <si>
    <t>TOTAL SALES</t>
  </si>
  <si>
    <t>OVERHEAD</t>
  </si>
  <si>
    <t xml:space="preserve"> UNDRGROUND</t>
  </si>
  <si>
    <t>RESIDNTL.</t>
  </si>
  <si>
    <t>TIMES</t>
  </si>
  <si>
    <t xml:space="preserve">DEBT </t>
  </si>
  <si>
    <t xml:space="preserve">DEBT SERVICE </t>
  </si>
  <si>
    <t xml:space="preserve">TOTAL </t>
  </si>
  <si>
    <t>Consumers</t>
  </si>
  <si>
    <t>Per mWh</t>
  </si>
  <si>
    <t>Operations</t>
  </si>
  <si>
    <t>Serv Exp +</t>
  </si>
  <si>
    <t>Consumer</t>
  </si>
  <si>
    <t>REA +</t>
  </si>
  <si>
    <t>Tot Util Plant</t>
  </si>
  <si>
    <t>Power Cost</t>
  </si>
  <si>
    <t>Accum. Deprec.</t>
  </si>
  <si>
    <t>Losses</t>
  </si>
  <si>
    <t>Less</t>
  </si>
  <si>
    <t>REA LOANS</t>
  </si>
  <si>
    <t>LOANS</t>
  </si>
  <si>
    <t>DISTRIBUTION</t>
  </si>
  <si>
    <t>&amp;</t>
  </si>
  <si>
    <t>PURPOSES</t>
  </si>
  <si>
    <t>REA FUNDS</t>
  </si>
  <si>
    <t>SERVICE</t>
  </si>
  <si>
    <t>INTEREST</t>
  </si>
  <si>
    <t>PRINCIPAL</t>
  </si>
  <si>
    <t>ADVANCE</t>
  </si>
  <si>
    <t>PLANT IN</t>
  </si>
  <si>
    <t>CONSTRUCTION</t>
  </si>
  <si>
    <t>FOR DEPR. &amp;</t>
  </si>
  <si>
    <t>ASSOCIATED</t>
  </si>
  <si>
    <t>PROPERTY &amp;</t>
  </si>
  <si>
    <t>ACCRUED</t>
  </si>
  <si>
    <t>DEFERRED</t>
  </si>
  <si>
    <t>CAPITAL &amp;</t>
  </si>
  <si>
    <t>REA LONG</t>
  </si>
  <si>
    <t>OTHER LONG</t>
  </si>
  <si>
    <t>OPERATING</t>
  </si>
  <si>
    <t>COST OF</t>
  </si>
  <si>
    <t>EXPENSE -</t>
  </si>
  <si>
    <t>ACCOUNTS</t>
  </si>
  <si>
    <t>SERVICE &amp;</t>
  </si>
  <si>
    <t>&amp; GENERAL</t>
  </si>
  <si>
    <t>SALES</t>
  </si>
  <si>
    <t>&amp; AMORTIZ.</t>
  </si>
  <si>
    <t>TAX</t>
  </si>
  <si>
    <t>NONOPER.</t>
  </si>
  <si>
    <t>TRANS. CAP.</t>
  </si>
  <si>
    <t>OTHER CAP.</t>
  </si>
  <si>
    <t>LONG TERM</t>
  </si>
  <si>
    <t>CAPITAL CR</t>
  </si>
  <si>
    <t xml:space="preserve">NET MARGINS </t>
  </si>
  <si>
    <t>FARM &amp;</t>
  </si>
  <si>
    <t>INDUSTRIAL</t>
  </si>
  <si>
    <t>ELECTRIC</t>
  </si>
  <si>
    <t>TO OTHERS</t>
  </si>
  <si>
    <t xml:space="preserve"> - ELECTRIC</t>
  </si>
  <si>
    <t>FULL TIME</t>
  </si>
  <si>
    <t>TRANSMSSION</t>
  </si>
  <si>
    <t>DISTRIBUTN.</t>
  </si>
  <si>
    <t>CONSUMERS</t>
  </si>
  <si>
    <t xml:space="preserve"> MWH</t>
  </si>
  <si>
    <t>MWH</t>
  </si>
  <si>
    <t>PAYMENTS -</t>
  </si>
  <si>
    <t>EQUITY - %</t>
  </si>
  <si>
    <t>Per</t>
  </si>
  <si>
    <t>+ Maint.</t>
  </si>
  <si>
    <t>Expense/</t>
  </si>
  <si>
    <t>Maint. Exp/</t>
  </si>
  <si>
    <t>O&amp;M/</t>
  </si>
  <si>
    <t>Sales Exp)/</t>
  </si>
  <si>
    <t>A&amp;G/</t>
  </si>
  <si>
    <t>Deprec/</t>
  </si>
  <si>
    <t>Tax/</t>
  </si>
  <si>
    <t>Interest Exp</t>
  </si>
  <si>
    <t>Plant Growth</t>
  </si>
  <si>
    <t>Other Long</t>
  </si>
  <si>
    <t>Other +</t>
  </si>
  <si>
    <t>per MWH SOLD</t>
  </si>
  <si>
    <t>per MWH</t>
  </si>
  <si>
    <t>(excluding</t>
  </si>
  <si>
    <t>APPROVED</t>
  </si>
  <si>
    <t>TRANSMISSION</t>
  </si>
  <si>
    <t>ADVANCED</t>
  </si>
  <si>
    <t>PAYMENTS</t>
  </si>
  <si>
    <t>DUE &amp; PAID</t>
  </si>
  <si>
    <t>DEBITS</t>
  </si>
  <si>
    <t>IN PROGRESS</t>
  </si>
  <si>
    <t>PLANT</t>
  </si>
  <si>
    <t>AMORTIZATION</t>
  </si>
  <si>
    <t>ORGANIZAT'NS</t>
  </si>
  <si>
    <t>INVESTMENTS</t>
  </si>
  <si>
    <t xml:space="preserve">ASSETS </t>
  </si>
  <si>
    <t>OTHER DEBITS</t>
  </si>
  <si>
    <t>CREDITS</t>
  </si>
  <si>
    <t xml:space="preserve">MEMBERSHIPS   </t>
  </si>
  <si>
    <t>OTHER EQUITY</t>
  </si>
  <si>
    <t xml:space="preserve"> EQUITY</t>
  </si>
  <si>
    <t xml:space="preserve">  TERM DEBT</t>
  </si>
  <si>
    <t>TERM DEBT</t>
  </si>
  <si>
    <t>RESERVES</t>
  </si>
  <si>
    <t>&amp; OTHER CR.</t>
  </si>
  <si>
    <t>CAPITAL</t>
  </si>
  <si>
    <t>DEDUCTIONS</t>
  </si>
  <si>
    <t>POWER</t>
  </si>
  <si>
    <t>OPERATIONS</t>
  </si>
  <si>
    <t>MAINTENANCE</t>
  </si>
  <si>
    <t>EXPENSE</t>
  </si>
  <si>
    <t>INFO. EXP.</t>
  </si>
  <si>
    <t>OPER. MARGINS</t>
  </si>
  <si>
    <t>MARGINS</t>
  </si>
  <si>
    <t>DEBT-NET</t>
  </si>
  <si>
    <t>&amp; PAT CAP</t>
  </si>
  <si>
    <t>&amp; PATR. CAP</t>
  </si>
  <si>
    <t>NONFARM</t>
  </si>
  <si>
    <t>SMALL</t>
  </si>
  <si>
    <t>LARGE</t>
  </si>
  <si>
    <t>FOR RESALE</t>
  </si>
  <si>
    <t>TOTAL MWH</t>
  </si>
  <si>
    <t>ENERGY</t>
  </si>
  <si>
    <t>REVENUE</t>
  </si>
  <si>
    <t>OPER REVENUE</t>
  </si>
  <si>
    <t>EMPLOYEES</t>
  </si>
  <si>
    <t>MILES</t>
  </si>
  <si>
    <t>SERVED</t>
  </si>
  <si>
    <t>PER MILE</t>
  </si>
  <si>
    <t>GENERATED</t>
  </si>
  <si>
    <t>PURCHASED</t>
  </si>
  <si>
    <t>MONTHLY KWH</t>
  </si>
  <si>
    <t>EARNED RATIO</t>
  </si>
  <si>
    <t>COVERAGE</t>
  </si>
  <si>
    <t>PAYMNTS-REA</t>
  </si>
  <si>
    <t>OF ASSETS</t>
  </si>
  <si>
    <t>Employee</t>
  </si>
  <si>
    <t>Expense</t>
  </si>
  <si>
    <t>TUP</t>
  </si>
  <si>
    <t>over previous yr</t>
  </si>
  <si>
    <t>Term Debt</t>
  </si>
  <si>
    <t>Resale</t>
  </si>
  <si>
    <t>(EXCLUDING</t>
  </si>
  <si>
    <t>Purchased</t>
  </si>
  <si>
    <t>System Own</t>
  </si>
  <si>
    <t>Sales Exp)</t>
  </si>
  <si>
    <t>per kWh Sold</t>
  </si>
  <si>
    <t>ST</t>
  </si>
  <si>
    <t>BORR</t>
  </si>
  <si>
    <t>YR</t>
  </si>
  <si>
    <t>LINE 1</t>
  </si>
  <si>
    <t>LINE 2</t>
  </si>
  <si>
    <t>LINE 3</t>
  </si>
  <si>
    <t>LINE 4</t>
  </si>
  <si>
    <t>LINE 5</t>
  </si>
  <si>
    <t>LINE 6</t>
  </si>
  <si>
    <t>LINE 7</t>
  </si>
  <si>
    <t>LINE 8</t>
  </si>
  <si>
    <t>LINE 9</t>
  </si>
  <si>
    <t>LINE 10</t>
  </si>
  <si>
    <t>LINE 11</t>
  </si>
  <si>
    <t>LINE 12</t>
  </si>
  <si>
    <t>LINE 13</t>
  </si>
  <si>
    <t>LINE 14</t>
  </si>
  <si>
    <t>LINE 15</t>
  </si>
  <si>
    <t>LINE 16</t>
  </si>
  <si>
    <t>LINE 17</t>
  </si>
  <si>
    <t>LINE 18</t>
  </si>
  <si>
    <t>LINE 19</t>
  </si>
  <si>
    <t>LINE 20</t>
  </si>
  <si>
    <t>LINE 21</t>
  </si>
  <si>
    <t>LINE 22</t>
  </si>
  <si>
    <t>LINE 23</t>
  </si>
  <si>
    <t>LINE 24</t>
  </si>
  <si>
    <t>LINE 25</t>
  </si>
  <si>
    <t>LINE 26</t>
  </si>
  <si>
    <t>LINE 27</t>
  </si>
  <si>
    <t>LINE 28</t>
  </si>
  <si>
    <t>LINE 29</t>
  </si>
  <si>
    <t>LINE 30</t>
  </si>
  <si>
    <t>LINE 31</t>
  </si>
  <si>
    <t>LINE 32</t>
  </si>
  <si>
    <t>LINE 33</t>
  </si>
  <si>
    <t>LINE 34</t>
  </si>
  <si>
    <t>LINE 35</t>
  </si>
  <si>
    <t>LINE 36</t>
  </si>
  <si>
    <t>LINE 37</t>
  </si>
  <si>
    <t>LINE 38</t>
  </si>
  <si>
    <t>LINE 39</t>
  </si>
  <si>
    <t>LINE 40</t>
  </si>
  <si>
    <t>LINE 41</t>
  </si>
  <si>
    <t>LINE 42</t>
  </si>
  <si>
    <t>LINE 43</t>
  </si>
  <si>
    <t>LINE 44</t>
  </si>
  <si>
    <t>LINE 45</t>
  </si>
  <si>
    <t>LINE 46</t>
  </si>
  <si>
    <t>LINE 47</t>
  </si>
  <si>
    <t>LINE 48</t>
  </si>
  <si>
    <t>LINE 49</t>
  </si>
  <si>
    <t>LINE 50</t>
  </si>
  <si>
    <t>LINE 51</t>
  </si>
  <si>
    <t>LINE 52</t>
  </si>
  <si>
    <t>LINE 53</t>
  </si>
  <si>
    <t>LINE 54</t>
  </si>
  <si>
    <t>LINE 55</t>
  </si>
  <si>
    <t>LINE 56</t>
  </si>
  <si>
    <t>LINE 57</t>
  </si>
  <si>
    <t>LINE 58</t>
  </si>
  <si>
    <t>LINE 59</t>
  </si>
  <si>
    <t>LINE 60</t>
  </si>
  <si>
    <t>LINE 61</t>
  </si>
  <si>
    <t>LINE 62</t>
  </si>
  <si>
    <t>LINE 63</t>
  </si>
  <si>
    <t>LINE 64</t>
  </si>
  <si>
    <t>LINE 65</t>
  </si>
  <si>
    <t>LINE 66</t>
  </si>
  <si>
    <t>LINE 67</t>
  </si>
  <si>
    <t>LINE 68</t>
  </si>
  <si>
    <t>LINE 69</t>
  </si>
  <si>
    <t>LINE 70</t>
  </si>
  <si>
    <t>LINE 71</t>
  </si>
  <si>
    <t>LINE 72</t>
  </si>
  <si>
    <t>LINE 73</t>
  </si>
  <si>
    <t>LINE 74</t>
  </si>
  <si>
    <t>LINE 75</t>
  </si>
  <si>
    <t>LINE 76</t>
  </si>
  <si>
    <t>LINE 77</t>
  </si>
  <si>
    <t>LINE 78</t>
  </si>
  <si>
    <t>LINE 79</t>
  </si>
  <si>
    <t>LINE 80</t>
  </si>
  <si>
    <t>LINE 81</t>
  </si>
  <si>
    <t>LINE 82</t>
  </si>
  <si>
    <t>LINE 83</t>
  </si>
  <si>
    <t>SM+LARGE</t>
  </si>
  <si>
    <t>Oper Revenue</t>
  </si>
  <si>
    <t>SMALL+LARGE</t>
  </si>
  <si>
    <t>Sale for Resale)</t>
  </si>
  <si>
    <t>Use) Percent</t>
  </si>
  <si>
    <t>Future Yrs excludes</t>
  </si>
  <si>
    <t>Includes effect</t>
  </si>
  <si>
    <t>Other Interest Expense</t>
  </si>
  <si>
    <t>Doesn't include</t>
  </si>
  <si>
    <t>of rate increases</t>
  </si>
  <si>
    <t>and Other Deductions</t>
  </si>
  <si>
    <t>effect of rate increases</t>
  </si>
  <si>
    <t>divided by Total</t>
  </si>
  <si>
    <t>Utility Plant</t>
  </si>
  <si>
    <t>Effective Interest Rate</t>
  </si>
  <si>
    <t>Annual Debt Service</t>
  </si>
  <si>
    <t>1.   Note No.</t>
  </si>
  <si>
    <t>2.  Note No.</t>
  </si>
  <si>
    <t>3.  Note No.</t>
  </si>
  <si>
    <t>4.  Note No.</t>
  </si>
  <si>
    <t>5.  Note No.</t>
  </si>
  <si>
    <t>6.  Note No.</t>
  </si>
  <si>
    <t>7.  Note No.</t>
  </si>
  <si>
    <t>8.  Note No.</t>
  </si>
  <si>
    <t>9.  Note No.</t>
  </si>
  <si>
    <t>10.  Note No.</t>
  </si>
  <si>
    <t>11.  Note No.</t>
  </si>
  <si>
    <t>12.  Note No.</t>
  </si>
  <si>
    <t>13.  Note No.</t>
  </si>
  <si>
    <t>14.  Note No.</t>
  </si>
  <si>
    <t>15.  Note No.</t>
  </si>
  <si>
    <t>16.  Note No.</t>
  </si>
  <si>
    <t>17.  Note No.</t>
  </si>
  <si>
    <t>18.  Note No.</t>
  </si>
  <si>
    <t>19.  Note No.</t>
  </si>
  <si>
    <t>20.  Note No.</t>
  </si>
  <si>
    <t>21.  Note No.</t>
  </si>
  <si>
    <t>22.  Note No.</t>
  </si>
  <si>
    <t>23.  Note No.</t>
  </si>
  <si>
    <t>24.  Note No.</t>
  </si>
  <si>
    <t>25.  Note No.</t>
  </si>
  <si>
    <t>THE "FORECAST" MENU</t>
  </si>
  <si>
    <r>
      <t xml:space="preserve">MINIMUM GENERAL FUND LEVEL </t>
    </r>
    <r>
      <rPr>
        <b/>
        <sz val="14"/>
        <rFont val="Arial"/>
        <family val="2"/>
      </rPr>
      <t>%</t>
    </r>
  </si>
  <si>
    <r>
      <t xml:space="preserve">MINIMUM GENERAL FUND LEVEL </t>
    </r>
    <r>
      <rPr>
        <b/>
        <sz val="14"/>
        <rFont val="Arial"/>
        <family val="2"/>
      </rPr>
      <t>$</t>
    </r>
  </si>
  <si>
    <t>INPUT SHEET</t>
  </si>
  <si>
    <t>RURAL ELECTRIC COOPERATIVE, INC.</t>
  </si>
  <si>
    <t>Today</t>
  </si>
  <si>
    <t xml:space="preserve"> G&amp;T CAPITAL CREDITS ALLOCATED</t>
  </si>
  <si>
    <t xml:space="preserve"> OTHER CAPITAL CREDITS AND NON CASH MARGINS</t>
  </si>
  <si>
    <t xml:space="preserve"> OTHER PROCEEDS - G&amp;T CAPITAL CREDITS PAID</t>
  </si>
  <si>
    <t xml:space="preserve"> OTHER PROCEEDS - LENDER CAPITAL CREDITS PAID</t>
  </si>
  <si>
    <t xml:space="preserve"> PURCHASE OF EXCLUDABLE ITEMS</t>
  </si>
  <si>
    <t>Date of Note</t>
  </si>
  <si>
    <r>
      <t xml:space="preserve">1.  DETERMINATION OF DEBT PAYMENTS - RUS </t>
    </r>
    <r>
      <rPr>
        <b/>
        <sz val="11"/>
        <rFont val="Arial"/>
        <family val="2"/>
      </rPr>
      <t>2%</t>
    </r>
    <r>
      <rPr>
        <sz val="10"/>
        <rFont val="Arial"/>
        <family val="2"/>
      </rPr>
      <t xml:space="preserve"> </t>
    </r>
  </si>
  <si>
    <r>
      <t xml:space="preserve">4.  DETERMINATION OF DEBT PAYMENTS - RUS </t>
    </r>
    <r>
      <rPr>
        <b/>
        <sz val="11"/>
        <rFont val="Arial"/>
        <family val="2"/>
      </rPr>
      <t>5%</t>
    </r>
    <r>
      <rPr>
        <sz val="10"/>
        <rFont val="Arial"/>
        <family val="2"/>
      </rPr>
      <t xml:space="preserve"> (PRE 6/83)</t>
    </r>
  </si>
  <si>
    <t xml:space="preserve"> OTHER PROCEEDS - OTHER</t>
  </si>
  <si>
    <t>*************  PREVIOUS YEARS ***************</t>
  </si>
  <si>
    <t>*************  PREVIOUS YEARS **************</t>
  </si>
  <si>
    <t xml:space="preserve">  ----------------</t>
  </si>
  <si>
    <t>----------</t>
  </si>
  <si>
    <t>RUS FORM 325H1 - DETERMINATION OF DEBT &amp; DEBT SERVICE - RUS 2% &amp; 5% (PRE 6/83)</t>
  </si>
  <si>
    <t>RUS FORM 325H4 - DETERMINATION OF DEBT &amp; DEBT SERVICE - NEW RUS LOANS</t>
  </si>
  <si>
    <t>PREVIOUS YEARS  *************</t>
  </si>
  <si>
    <t>PREVIOUS YEARS  **********</t>
  </si>
  <si>
    <t>PREVIOUS YEARS **********</t>
  </si>
  <si>
    <t xml:space="preserve">LAST YEAR </t>
  </si>
  <si>
    <t>BORROWER NAME :</t>
  </si>
  <si>
    <t>BORROWER DESIGNATION :</t>
  </si>
  <si>
    <t>FORECAST DESCRIPTION / KEY ASSUMPTIONS :</t>
  </si>
  <si>
    <t>PREPARER :</t>
  </si>
  <si>
    <t>DATE :</t>
  </si>
  <si>
    <t>ONLY WHEN NEW YEAR'S</t>
  </si>
  <si>
    <t xml:space="preserve">       DATA IS AVAILABLE</t>
  </si>
  <si>
    <t xml:space="preserve"> INTEREST EXPENSE ON LONG-TERM DEBT</t>
  </si>
  <si>
    <t xml:space="preserve">  1i.</t>
  </si>
  <si>
    <t xml:space="preserve">   i.    INTEREST EXPENSE</t>
  </si>
  <si>
    <t xml:space="preserve">   j.    TOTAL COST OF ELECTRIC SERVICE</t>
  </si>
  <si>
    <t xml:space="preserve">   l.     NON-OPERATING MARGINS</t>
  </si>
  <si>
    <t xml:space="preserve">      a.</t>
  </si>
  <si>
    <t>TOTAL UTILITY PLANT (FIRST OF YEAR)</t>
  </si>
  <si>
    <t xml:space="preserve">      b.</t>
  </si>
  <si>
    <t>PLUS:  GROSS ADDITIONS AND REPLACEMENTS</t>
  </si>
  <si>
    <t xml:space="preserve">      c.</t>
  </si>
  <si>
    <t>LESS: CONTRIBUTION IN AID OF CONSTRUCTION</t>
  </si>
  <si>
    <t xml:space="preserve">      d.</t>
  </si>
  <si>
    <t>LESS: RETIREMENTS</t>
  </si>
  <si>
    <t xml:space="preserve">      e.</t>
  </si>
  <si>
    <t>TOTAL UTILITY PLANT (END OF YEAR)</t>
  </si>
  <si>
    <t>Type</t>
  </si>
  <si>
    <t>Priority</t>
  </si>
  <si>
    <t>Distribution</t>
  </si>
  <si>
    <t>Y</t>
  </si>
  <si>
    <t>Subtransmission</t>
  </si>
  <si>
    <t>Bulk Transmission</t>
  </si>
  <si>
    <t>N</t>
  </si>
  <si>
    <t>Generation</t>
  </si>
  <si>
    <t>Hdq - Warehouse</t>
  </si>
  <si>
    <t xml:space="preserve">      f.</t>
  </si>
  <si>
    <t>Hdq - Office</t>
  </si>
  <si>
    <t xml:space="preserve">      h.</t>
  </si>
  <si>
    <t>General Plant</t>
  </si>
  <si>
    <t xml:space="preserve">      j.</t>
  </si>
  <si>
    <t>Acquisitions</t>
  </si>
  <si>
    <t xml:space="preserve">      k.</t>
  </si>
  <si>
    <t>Other</t>
  </si>
  <si>
    <t xml:space="preserve">      l.</t>
  </si>
  <si>
    <t>Less Contributions-in-Aid of Construction</t>
  </si>
  <si>
    <t>NET  PLANT ADDITIONS</t>
  </si>
  <si>
    <t>3.  PRIORITY FINANCING REQUIREMENTS</t>
  </si>
  <si>
    <t>SUBTOTAL PRIORITY PLANT ADDITIONS</t>
  </si>
  <si>
    <t>REIMBURSEMENT OF GENERAL FUNDS</t>
  </si>
  <si>
    <t>EXISTING PRIORITY LOAN FUNDS</t>
  </si>
  <si>
    <t xml:space="preserve">      (1)   PRIOR RUS LOAN FUNDS APPLIED</t>
  </si>
  <si>
    <t xml:space="preserve">      (2)   PRIOR SUPL. LOAN FUNDS APPLIED</t>
  </si>
  <si>
    <t xml:space="preserve">      (3)   PRIOR GUARANTEED  FUNDS APPLIED</t>
  </si>
  <si>
    <t>GENERAL FUNDS INVESTED</t>
  </si>
  <si>
    <t xml:space="preserve">      (1)  GEN. FUNDS PLANT INVEST.</t>
  </si>
  <si>
    <t xml:space="preserve">      (2)  GEN. FUNDS AVAILABLE TO MEET GOAL</t>
  </si>
  <si>
    <t xml:space="preserve">NEW PRIORITY FINANCING REQUIRED </t>
  </si>
  <si>
    <t>Percentage</t>
  </si>
  <si>
    <t>Amount</t>
  </si>
  <si>
    <t>4.  NON-PRIORITY FINANCING REQUIRED</t>
  </si>
  <si>
    <t>SUBTOTAL NON-PRIORITY PLANT ADDITIONS</t>
  </si>
  <si>
    <t>EXISTING NON-PRIORITY LOAN FUNDS</t>
  </si>
  <si>
    <t xml:space="preserve">      (1)   PRIOR SUPL. LOAN FUNDS APPLIED</t>
  </si>
  <si>
    <t xml:space="preserve">      (2)   PRIOR GUARANTEED  FUNDS APPLIED</t>
  </si>
  <si>
    <t xml:space="preserve">NEW NON-PRIORITY FINANCING REQUIRED </t>
  </si>
  <si>
    <t xml:space="preserve">      (1)  SUPPL. PORTION </t>
  </si>
  <si>
    <t xml:space="preserve">      (2)  GUARANTEED PORTION </t>
  </si>
  <si>
    <t>5.  PLANT INVESTMENT SUMMARY</t>
  </si>
  <si>
    <t>TOTAL GENERAL FUNDS REQUIRED</t>
  </si>
  <si>
    <t>TOTAL RUS LOAN FUNDS REQUIRED</t>
  </si>
  <si>
    <t xml:space="preserve">TOTAL GUARANTEED FUNDS REQUIRED </t>
  </si>
  <si>
    <t xml:space="preserve">TOTAL OTHER FUNDS REQUIRED </t>
  </si>
  <si>
    <t xml:space="preserve">TOTAL FUNDING REQUIRED </t>
  </si>
  <si>
    <t>Total Funds Required</t>
  </si>
  <si>
    <t xml:space="preserve"> 2a. DEBT SERVICE COVERAGE (WITH ADD. REV.)</t>
  </si>
  <si>
    <t xml:space="preserve"> 2b. OPERATING DSC (including op. margins + G&amp;T &amp; lender CCs paid)</t>
  </si>
  <si>
    <t xml:space="preserve">      (3)  BORROW NEW LOAN FUNDS IN ANY YEAR?</t>
  </si>
  <si>
    <t xml:space="preserve">      g.</t>
  </si>
  <si>
    <t xml:space="preserve">      i.</t>
  </si>
  <si>
    <t>00</t>
  </si>
  <si>
    <t>Level Principal</t>
  </si>
  <si>
    <t>Additional Prin Paid</t>
  </si>
  <si>
    <t>1st Principal Payment - Level Amortization</t>
  </si>
  <si>
    <t>Annual Principal Payment - Level Principal</t>
  </si>
  <si>
    <t>ADDITIONAL PRINCIPAL PAID</t>
  </si>
  <si>
    <t>New RUS Note #1</t>
  </si>
  <si>
    <t xml:space="preserve">   e.   ADDITIONAL PRINCIPAL PAID</t>
  </si>
  <si>
    <t xml:space="preserve">   f.    ADDITIONAL PRINCIPAL PAYMENTS</t>
  </si>
  <si>
    <t xml:space="preserve">   g.   DEBT END OF YEAR</t>
  </si>
  <si>
    <t xml:space="preserve">   f.    ADDITIONAL PRINCIPAL PAID</t>
  </si>
  <si>
    <t>(2).  LONG TERM DEBT - 5%, MUNI &amp; TREASURY</t>
  </si>
  <si>
    <t>Ave. # Cons</t>
  </si>
  <si>
    <t>MWH Sales</t>
  </si>
  <si>
    <t>NEW DEBT &amp; DEBT SERVICE - RUS</t>
  </si>
  <si>
    <t>RUS FORM 325H2 - DETERMINATION OF DEBT &amp; DEBT SERVICE - Existing RUS</t>
  </si>
  <si>
    <t>Existing RUS Debt (Page 2)</t>
  </si>
  <si>
    <t>Existing RUS Debt (Page 3)</t>
  </si>
  <si>
    <t>RUS FORM 325H3 - DETERMINATION OF DEBT &amp; DEBT SERVICE - Existing GUARANTEED DEBT</t>
  </si>
  <si>
    <t>Existing Guaranteed Debt (Page 2)</t>
  </si>
  <si>
    <t>Existing Guaranteed Debt (Page 3)</t>
  </si>
  <si>
    <t>Existing Guaranteed Debt (Page 4)</t>
  </si>
  <si>
    <t>RUS FORM 325i1 - DETERMINATION OF DEBT &amp; DEBT SERVICE - Existing OTHER</t>
  </si>
  <si>
    <t>Existing Other Debt (Page 2)</t>
  </si>
  <si>
    <t>Existing Other Debt (Page 3)</t>
  </si>
  <si>
    <t>Existing Other Debt (Page 4)</t>
  </si>
  <si>
    <t>New RUS Debt (Page 2)</t>
  </si>
  <si>
    <t>New Other Loans (Page 2)</t>
  </si>
  <si>
    <t>New Guaranteed Loans (Page 2)</t>
  </si>
  <si>
    <t>Existing RUS Debt (Page 4)</t>
  </si>
  <si>
    <t>FIXED INTEREST RATES</t>
  </si>
  <si>
    <t>VARIABLE INTEREST RATES</t>
  </si>
  <si>
    <t>********</t>
  </si>
  <si>
    <t>*******</t>
  </si>
  <si>
    <t>Fixed or Variable Rate</t>
  </si>
  <si>
    <t>F</t>
  </si>
  <si>
    <t>NEW LOANS:</t>
  </si>
  <si>
    <t>FIXED = F                      VARIABLE = V</t>
  </si>
  <si>
    <t>New Guaranteed Note #1</t>
  </si>
  <si>
    <t>New Guaranteed Note #2</t>
  </si>
  <si>
    <t>New Guaranteed Note #3</t>
  </si>
  <si>
    <t>New Guaranteed Note #4</t>
  </si>
  <si>
    <t>New Guaranteed Note #5</t>
  </si>
  <si>
    <t>New Guaranteed Note #6</t>
  </si>
  <si>
    <t>New Guaranteed Note #7</t>
  </si>
  <si>
    <t>New Guaranteed Note #8</t>
  </si>
  <si>
    <t>New Guaranteed Note #9</t>
  </si>
  <si>
    <t>New Guaranteed Note #10</t>
  </si>
  <si>
    <t>NEW DEBT &amp; DEBT SERVICE - GUARANTEED</t>
  </si>
  <si>
    <t>New Other Note #1</t>
  </si>
  <si>
    <t>New Other Note #2</t>
  </si>
  <si>
    <t>New Other Note #3</t>
  </si>
  <si>
    <t>New Other Note #4</t>
  </si>
  <si>
    <t>New Other Note #5</t>
  </si>
  <si>
    <t>New Other Note #6</t>
  </si>
  <si>
    <t>New Other Note #7</t>
  </si>
  <si>
    <t>New Other Note #8</t>
  </si>
  <si>
    <t>New Other Note #9</t>
  </si>
  <si>
    <t>New Other Note #10</t>
  </si>
  <si>
    <t>New RUS Note #2</t>
  </si>
  <si>
    <t>New RUS Note #3</t>
  </si>
  <si>
    <t>New RUS Note #4</t>
  </si>
  <si>
    <t>New RUS Note #5</t>
  </si>
  <si>
    <t>New RUS Note #6</t>
  </si>
  <si>
    <t>New RUS Note #7</t>
  </si>
  <si>
    <t>New RUS Note #8</t>
  </si>
  <si>
    <t>New RUS Note #9</t>
  </si>
  <si>
    <t>New RUS Note #10</t>
  </si>
  <si>
    <t xml:space="preserve">  2b. </t>
  </si>
  <si>
    <t xml:space="preserve"> CURRENT PORTION OF LONG-TERM DEBT</t>
  </si>
  <si>
    <t xml:space="preserve">  1g.</t>
  </si>
  <si>
    <t xml:space="preserve"> USES OF CUSHION OF CREDIT</t>
  </si>
  <si>
    <t xml:space="preserve"> CUSHION-OF-CREDIT</t>
  </si>
  <si>
    <t xml:space="preserve">   g.   USES OF CUSHION OF CREDIT ACCOUNT</t>
  </si>
  <si>
    <t>(5).  TOTAL LONG TERM DEBT -RUS</t>
  </si>
  <si>
    <t xml:space="preserve"> NONOPERATING MARGINS (CASH) - $</t>
  </si>
  <si>
    <t>(4).  LESS CUSHION OF CREDIT</t>
  </si>
  <si>
    <t xml:space="preserve">   d.  CURRENT PORTION OF LONG TERM DEBT</t>
  </si>
  <si>
    <t xml:space="preserve">   d.  LONG TERM DEBT - TOTAL</t>
  </si>
  <si>
    <t xml:space="preserve">   e.  OTHER LIABILITIES AND CREDITS</t>
  </si>
  <si>
    <t xml:space="preserve">   f.  TOTAL LIABILITIES AND OTHER CREDITS</t>
  </si>
  <si>
    <t xml:space="preserve"> NONOPERATING MARGINS (CASH) - % OF GF</t>
  </si>
  <si>
    <t>A.  AVERAGE NUMBER OF CONSUMERS</t>
  </si>
  <si>
    <t>13.</t>
  </si>
  <si>
    <t xml:space="preserve">COMMERCIAL:  OVER 1000 KVA </t>
  </si>
  <si>
    <t>Financial Ratio Being Used for Rate Adjustment:</t>
  </si>
  <si>
    <t>COMMERCIAL:</t>
  </si>
  <si>
    <t>COMMERCIAL:  1000 KVA OR LESS</t>
  </si>
  <si>
    <t>SALES FOR RESALE - RUS BORROWERS</t>
  </si>
  <si>
    <t>SALES FOR RESALE - OTHER</t>
  </si>
  <si>
    <t xml:space="preserve">      (2).  KWH SOLD NOT SUBJ.TO POWER COST</t>
  </si>
  <si>
    <t>10</t>
  </si>
  <si>
    <t>26.   Note No.</t>
  </si>
  <si>
    <t>27.  Note No.</t>
  </si>
  <si>
    <t>28.  Note No.</t>
  </si>
  <si>
    <t>29.  Note No.</t>
  </si>
  <si>
    <t>30.  Note No.</t>
  </si>
  <si>
    <t>31.  Note No.</t>
  </si>
  <si>
    <t>32.  Note No.</t>
  </si>
  <si>
    <t>33.  Note No.</t>
  </si>
  <si>
    <t>34.  Note No.</t>
  </si>
  <si>
    <t>35.  Note No.</t>
  </si>
  <si>
    <t>36.  Note No.</t>
  </si>
  <si>
    <t>37.  Note No.</t>
  </si>
  <si>
    <t>38.  Note No.</t>
  </si>
  <si>
    <t>39.  Note No.</t>
  </si>
  <si>
    <t>40.  Note No.</t>
  </si>
  <si>
    <t>41.  Note No.</t>
  </si>
  <si>
    <t>42.  Note No.</t>
  </si>
  <si>
    <t>43.  Note No.</t>
  </si>
  <si>
    <t>44.  Note No.</t>
  </si>
  <si>
    <t>45.  Note No.</t>
  </si>
  <si>
    <t>46.  Note No.</t>
  </si>
  <si>
    <t>47.  Note No.</t>
  </si>
  <si>
    <t>48.  Note No.</t>
  </si>
  <si>
    <t>49.  Note No.</t>
  </si>
  <si>
    <t>50.  Note No.</t>
  </si>
  <si>
    <t>SUB TOTAL DEBT</t>
  </si>
  <si>
    <t>Existing RUS Debt (Page 6)</t>
  </si>
  <si>
    <t>Existing RUS Debt (Page 7)</t>
  </si>
  <si>
    <t>Existing RUS Debt (Page 8)</t>
  </si>
  <si>
    <t>Existing Guaranteed Debt (Page 6)</t>
  </si>
  <si>
    <t>Existing Guaranteed Debt (Page 7)</t>
  </si>
  <si>
    <t>Existing Guaranteed Debt (Page 8)</t>
  </si>
  <si>
    <t>Existing Other Debt (Page 6)</t>
  </si>
  <si>
    <t>Existing Other Debt (Page 7)</t>
  </si>
  <si>
    <t>Existing Other Debt (Page 8)</t>
  </si>
  <si>
    <t>Financial Control Being Used (i.e.TIER, OTIER, DSC, ODSC)</t>
  </si>
  <si>
    <t xml:space="preserve">   Financial Target being used:</t>
  </si>
  <si>
    <t>TIER Achieved with Increase</t>
  </si>
  <si>
    <t>SAMPLE POWER COST PROJECTIONS</t>
  </si>
  <si>
    <t>EBITA</t>
  </si>
  <si>
    <t xml:space="preserve">Earnings </t>
  </si>
  <si>
    <t>before Interest,</t>
  </si>
  <si>
    <t xml:space="preserve">Taxes and </t>
  </si>
  <si>
    <t>Amortization</t>
  </si>
  <si>
    <t>Operating EBITA</t>
  </si>
  <si>
    <t>Operating Earnings</t>
  </si>
  <si>
    <t>ROE</t>
  </si>
  <si>
    <t xml:space="preserve">Return on </t>
  </si>
  <si>
    <t>Equity</t>
  </si>
  <si>
    <t>(Operating)</t>
  </si>
  <si>
    <t>Plant</t>
  </si>
  <si>
    <t>Turnover</t>
  </si>
  <si>
    <t>Ratio</t>
  </si>
  <si>
    <t xml:space="preserve">Net of </t>
  </si>
  <si>
    <t>Statement of Underlying Assumptions for 10-Year Financial Forecast</t>
  </si>
  <si>
    <t xml:space="preserve">  1)  Residential</t>
  </si>
  <si>
    <t xml:space="preserve">  2) Irrigation</t>
  </si>
  <si>
    <t xml:space="preserve"> </t>
  </si>
  <si>
    <t>application based on certain planning documents developed earlier, as well as assumptions described in this document.</t>
  </si>
  <si>
    <t xml:space="preserve">  1) Distribution</t>
  </si>
  <si>
    <t xml:space="preserve">  2) Transmission</t>
  </si>
  <si>
    <t xml:space="preserve">    Service/Warehouse</t>
  </si>
  <si>
    <t xml:space="preserve">  6) Plant Retirements</t>
  </si>
  <si>
    <t xml:space="preserve">  5) Other Plant</t>
  </si>
  <si>
    <t xml:space="preserve">  4) Headquarters &amp;</t>
  </si>
  <si>
    <t xml:space="preserve">  3) General Plant</t>
  </si>
  <si>
    <t xml:space="preserve">  7) Contributions</t>
  </si>
  <si>
    <t xml:space="preserve">  8) Reimbursement</t>
  </si>
  <si>
    <r>
      <t xml:space="preserve">Reimbursement was based upon completed prior year construction covering the years </t>
    </r>
    <r>
      <rPr>
        <b/>
        <sz val="10"/>
        <rFont val="Arial"/>
        <family val="2"/>
      </rPr>
      <t>20xx-20xx</t>
    </r>
    <r>
      <rPr>
        <sz val="10"/>
        <rFont val="Arial"/>
        <family val="2"/>
      </rPr>
      <t xml:space="preserve">, which was funded in the year </t>
    </r>
    <r>
      <rPr>
        <b/>
        <sz val="10"/>
        <rFont val="Arial"/>
        <family val="2"/>
      </rPr>
      <t>20xx</t>
    </r>
    <r>
      <rPr>
        <sz val="10"/>
        <rFont val="Arial"/>
        <family val="2"/>
      </rPr>
      <t>, with</t>
    </r>
  </si>
  <si>
    <r>
      <t xml:space="preserve"> </t>
    </r>
    <r>
      <rPr>
        <b/>
        <sz val="10"/>
        <rFont val="Arial"/>
        <family val="2"/>
      </rPr>
      <t>existing loan funds or proposed new loan funds</t>
    </r>
    <r>
      <rPr>
        <sz val="10"/>
        <rFont val="Arial"/>
        <family val="2"/>
      </rPr>
      <t>.</t>
    </r>
  </si>
  <si>
    <t>{Provide details with respect to large power loads including identification, size of loads, and any special provisions}</t>
  </si>
  <si>
    <t>An interest rate of xx% has been assumed for these type of loan funds in future years.</t>
  </si>
  <si>
    <t xml:space="preserve"> 1) Investments</t>
  </si>
  <si>
    <r>
      <t xml:space="preserve">G&amp;T patronage capital allocations are based </t>
    </r>
    <r>
      <rPr>
        <b/>
        <sz val="10"/>
        <rFont val="Arial"/>
        <family val="2"/>
      </rPr>
      <t>xxxx</t>
    </r>
    <r>
      <rPr>
        <sz val="10"/>
        <rFont val="Arial"/>
        <family val="2"/>
      </rPr>
      <t>.</t>
    </r>
  </si>
  <si>
    <r>
      <t xml:space="preserve">G&amp;T patronage capital retirements are based </t>
    </r>
    <r>
      <rPr>
        <b/>
        <sz val="10"/>
        <rFont val="Arial"/>
        <family val="2"/>
      </rPr>
      <t>xxxx</t>
    </r>
    <r>
      <rPr>
        <sz val="10"/>
        <rFont val="Arial"/>
        <family val="2"/>
      </rPr>
      <t>.</t>
    </r>
  </si>
  <si>
    <t xml:space="preserve"> 2) G&amp;T Patronage</t>
  </si>
  <si>
    <t>F. Balance Sheet Items</t>
  </si>
  <si>
    <t>G. Non-Operating Items</t>
  </si>
  <si>
    <t>H. Capital Credits</t>
  </si>
  <si>
    <t>I. Financing Assumptions</t>
  </si>
  <si>
    <t xml:space="preserve"> 3) Other</t>
  </si>
  <si>
    <t>Explain any subsidiary operations or other non-operating margins that are accounted for on either a "cash" or "non-cash" basis.</t>
  </si>
  <si>
    <r>
      <t xml:space="preserve">This rotation cycle is based upon </t>
    </r>
    <r>
      <rPr>
        <b/>
        <sz val="10"/>
        <rFont val="Arial"/>
        <family val="2"/>
      </rPr>
      <t>xxx</t>
    </r>
    <r>
      <rPr>
        <sz val="10"/>
        <rFont val="Arial"/>
        <family val="2"/>
      </rPr>
      <t>.</t>
    </r>
  </si>
  <si>
    <t>14.  FLOW THROUGH ADJUSTMENTS</t>
  </si>
  <si>
    <t>15.  TOTAL REVENUE</t>
  </si>
  <si>
    <t>coverning a xx year construction period".</t>
  </si>
  <si>
    <r>
      <t xml:space="preserve">Used </t>
    </r>
    <r>
      <rPr>
        <b/>
        <sz val="10"/>
        <rFont val="Arial"/>
        <family val="2"/>
      </rPr>
      <t>ABC G&amp;T's</t>
    </r>
    <r>
      <rPr>
        <sz val="10"/>
        <rFont val="Arial"/>
        <family val="2"/>
      </rPr>
      <t xml:space="preserve"> projected wholesale rates for the years </t>
    </r>
    <r>
      <rPr>
        <b/>
        <sz val="10"/>
        <rFont val="Arial"/>
        <family val="2"/>
      </rPr>
      <t>xxxx</t>
    </r>
    <r>
      <rPr>
        <sz val="10"/>
        <rFont val="Arial"/>
        <family val="2"/>
      </rPr>
      <t xml:space="preserve"> to </t>
    </r>
    <r>
      <rPr>
        <b/>
        <sz val="10"/>
        <rFont val="Arial"/>
        <family val="2"/>
      </rPr>
      <t>xxxx,</t>
    </r>
  </si>
  <si>
    <t xml:space="preserve">  with the exception of :xxxx.</t>
  </si>
  <si>
    <t xml:space="preserve"> 2) Existing Loan Funds</t>
  </si>
  <si>
    <t xml:space="preserve"> 3) General Funds</t>
  </si>
  <si>
    <t>J. Need for Future Rate Increases</t>
  </si>
  <si>
    <t>Total Energy Purchases</t>
  </si>
  <si>
    <t>KWH</t>
  </si>
  <si>
    <t>COST</t>
  </si>
  <si>
    <t>Average cost per kWh</t>
  </si>
  <si>
    <t xml:space="preserve">Cost of Power </t>
  </si>
  <si>
    <t>All Other</t>
  </si>
  <si>
    <t>CHECK ON PURCHASES AND POWER COST</t>
  </si>
  <si>
    <t>TOTAL PURCHASES - 'e -Sales'</t>
  </si>
  <si>
    <t>TOTAL PURCHASES - 'Est PC'</t>
  </si>
  <si>
    <t>COST OF POWER 'k - Exp'</t>
  </si>
  <si>
    <t>COST OF POWER 'Est PC'</t>
  </si>
  <si>
    <t>RUS FORM 325I2 - DETERMINATION OF DEBT &amp; DEBT SERVICE - NEW OTHER LOANS</t>
  </si>
  <si>
    <t>RUS FORM 325H5 - DETERMINATION OF DEBT &amp; DEBT SERVICE - NEW GUARANTEED LOANS</t>
  </si>
  <si>
    <t>Me</t>
  </si>
  <si>
    <t>TIER</t>
  </si>
  <si>
    <r>
      <t xml:space="preserve">Projections of consumers and kWh used in this financial forecast were reviewed in relationship to the </t>
    </r>
    <r>
      <rPr>
        <b/>
        <sz val="10"/>
        <rFont val="Arial"/>
        <family val="2"/>
      </rPr>
      <t>20XX ABC</t>
    </r>
    <r>
      <rPr>
        <sz val="10"/>
        <rFont val="Arial"/>
        <family val="2"/>
      </rPr>
      <t xml:space="preserve"> G&amp;T Load Forecast Study</t>
    </r>
  </si>
  <si>
    <t>INTEREST RATE ON CUSHION OF CREDIT (%)</t>
  </si>
  <si>
    <t>TERM REQUESTED FOR THIS LOAN (years)</t>
  </si>
  <si>
    <t>Cushion of Credit Corrected for IR Earned</t>
  </si>
  <si>
    <t xml:space="preserve">27. </t>
  </si>
  <si>
    <t>VERSION: 4.3b (February 2020)</t>
  </si>
  <si>
    <t xml:space="preserve">   e.   ADDITIONAL PRINCIPAL PAYMENTS</t>
  </si>
  <si>
    <t>Retirements as a % of Gross Additions</t>
  </si>
  <si>
    <t>This Sheet is no longer in use; put all RUS Notes on Sheets h2 and FFB Notes on Sheets h3.</t>
  </si>
  <si>
    <t>US0000</t>
  </si>
  <si>
    <t>BASE CASE FORECAST for 2023-32: in support of the XX? Loan Application</t>
  </si>
  <si>
    <t>RESIDENTIAL</t>
  </si>
  <si>
    <t>RUS Form 325 - OMB No. 0572-0032 (Expires 1/31/2025)</t>
  </si>
  <si>
    <t>BURDEN STATEMENT:</t>
  </si>
  <si>
    <t>All responses to this collection of information are voluntary. However, in order to obtain or retain a benefit, the information in this form is required by 7 CFR part 1710.  Rural Development has no plans to publish information collected under the provisions of this program. Send comments regarding this burden estimate or any other aspect of this collection of information, including suggestions for reducing this burden to: Information Collection Clearance Officer, Rural Development Innovation Center, Regulations Management Division at ICRMTRequests@usda.gov</t>
  </si>
  <si>
    <r>
      <t xml:space="preserve">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t>
    </r>
    <r>
      <rPr>
        <sz val="12"/>
        <color rgb="FFFF0000"/>
        <rFont val="Arial"/>
        <family val="2"/>
      </rPr>
      <t>0572-0032</t>
    </r>
    <r>
      <rPr>
        <sz val="12"/>
        <rFont val="Arial"/>
        <family val="2"/>
      </rPr>
      <t xml:space="preserve">. Public reporting for this collection of information is estimated to be approximately </t>
    </r>
    <r>
      <rPr>
        <sz val="12"/>
        <color rgb="FFFF0000"/>
        <rFont val="Arial"/>
        <family val="2"/>
      </rPr>
      <t xml:space="preserve">18 hours per </t>
    </r>
    <r>
      <rPr>
        <sz val="12"/>
        <rFont val="Arial"/>
        <family val="2"/>
      </rPr>
      <t>response, including the time for reviewing instructions, searching existing data sources, gathering and maintaining the data needed, completing and reviewing the collection of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</si>
</sst>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0.0000000_)"/>
    <numFmt numFmtId="165" formatCode="0.00000%"/>
    <numFmt numFmtId="166" formatCode="General_)"/>
    <numFmt numFmtId="167" formatCode="0.00_)"/>
    <numFmt numFmtId="168" formatCode=";;;"/>
    <numFmt numFmtId="169" formatCode="_(&quot;$&quot;* #,##0_);_(&quot;$&quot;* \(#,##0\);_(&quot;$&quot;* &quot;-&quot;??_);_(@_)"/>
    <numFmt numFmtId="170" formatCode="_(* #,##0_);_(* \(#,##0\);_(* &quot;-&quot;??_);_(@_)"/>
    <numFmt numFmtId="171" formatCode="0.00000_)"/>
    <numFmt numFmtId="172" formatCode="0_)"/>
    <numFmt numFmtId="173" formatCode="0_);[Red]\(0\)"/>
    <numFmt numFmtId="174" formatCode="0.0_)"/>
    <numFmt numFmtId="175" formatCode="#,##0.0_);\(#,##0.0\)"/>
    <numFmt numFmtId="176" formatCode="0.000%"/>
    <numFmt numFmtId="177" formatCode="0.00000_);\(0.00000\)"/>
    <numFmt numFmtId="178" formatCode="#,##0.000"/>
    <numFmt numFmtId="179" formatCode="&quot;$&quot;#,##0"/>
    <numFmt numFmtId="180" formatCode="0.000"/>
    <numFmt numFmtId="181" formatCode="mmmm\ d\,\ yyyy"/>
    <numFmt numFmtId="182" formatCode="#,##0;[Red]#,##0"/>
    <numFmt numFmtId="183" formatCode="_(* #,##0.000_);_(* \(#,##0.000\);_(* &quot;-&quot;??_);_(@_)"/>
    <numFmt numFmtId="184" formatCode="0.0000000"/>
  </numFmts>
  <fonts count="56">
    <font>
      <sz val="10"/>
      <name val="Arial"/>
    </font>
    <font>
      <sz val="10"/>
      <name val="Arial"/>
      <family val="2"/>
    </font>
    <font>
      <sz val="12"/>
      <name val="Arial"/>
      <family val="2"/>
    </font>
    <font>
      <sz val="10"/>
      <name val="Arial"/>
      <family val="2"/>
    </font>
    <font>
      <sz val="12"/>
      <color indexed="12"/>
      <name val="Arial"/>
      <family val="2"/>
    </font>
    <font>
      <sz val="10"/>
      <color indexed="12"/>
      <name val="Arial"/>
      <family val="2"/>
    </font>
    <font>
      <sz val="12"/>
      <name val="Arial"/>
      <family val="2"/>
    </font>
    <font>
      <sz val="12"/>
      <color indexed="8"/>
      <name val="Arial"/>
      <family val="2"/>
    </font>
    <font>
      <sz val="10"/>
      <color indexed="8"/>
      <name val="Arial"/>
      <family val="2"/>
    </font>
    <font>
      <sz val="12"/>
      <color indexed="12"/>
      <name val="Helv"/>
    </font>
    <font>
      <b/>
      <sz val="10"/>
      <name val="Arial"/>
      <family val="2"/>
    </font>
    <font>
      <b/>
      <sz val="12"/>
      <name val="Arial"/>
      <family val="2"/>
    </font>
    <font>
      <sz val="12"/>
      <color indexed="17"/>
      <name val="Arial"/>
      <family val="2"/>
    </font>
    <font>
      <sz val="10"/>
      <color indexed="17"/>
      <name val="Arial"/>
      <family val="2"/>
    </font>
    <font>
      <b/>
      <sz val="12"/>
      <color indexed="18"/>
      <name val="Arial"/>
      <family val="2"/>
    </font>
    <font>
      <sz val="10"/>
      <color indexed="9"/>
      <name val="Arial"/>
      <family val="2"/>
    </font>
    <font>
      <b/>
      <sz val="11"/>
      <color indexed="81"/>
      <name val="Tahoma"/>
      <family val="2"/>
    </font>
    <font>
      <b/>
      <sz val="14"/>
      <name val="Arial"/>
      <family val="2"/>
    </font>
    <font>
      <b/>
      <sz val="20"/>
      <color indexed="18"/>
      <name val="Arial"/>
      <family val="2"/>
    </font>
    <font>
      <b/>
      <sz val="9"/>
      <name val="Arial"/>
      <family val="2"/>
    </font>
    <font>
      <b/>
      <u/>
      <sz val="11"/>
      <color indexed="81"/>
      <name val="Tahoma"/>
      <family val="2"/>
    </font>
    <font>
      <b/>
      <sz val="12"/>
      <color indexed="81"/>
      <name val="Tahoma"/>
      <family val="2"/>
    </font>
    <font>
      <b/>
      <sz val="16"/>
      <name val="Arial"/>
      <family val="2"/>
    </font>
    <font>
      <b/>
      <sz val="11"/>
      <name val="Arial"/>
      <family val="2"/>
    </font>
    <font>
      <b/>
      <u/>
      <sz val="14"/>
      <name val="Arial"/>
      <family val="2"/>
    </font>
    <font>
      <sz val="10"/>
      <color indexed="8"/>
      <name val="Helv"/>
    </font>
    <font>
      <b/>
      <sz val="10"/>
      <color indexed="81"/>
      <name val="Tahoma"/>
      <family val="2"/>
    </font>
    <font>
      <b/>
      <sz val="14"/>
      <color indexed="81"/>
      <name val="Tahoma"/>
      <family val="2"/>
    </font>
    <font>
      <b/>
      <u/>
      <sz val="16"/>
      <color indexed="81"/>
      <name val="Tahoma"/>
      <family val="2"/>
    </font>
    <font>
      <b/>
      <sz val="16"/>
      <color indexed="81"/>
      <name val="Tahoma"/>
      <family val="2"/>
    </font>
    <font>
      <sz val="11"/>
      <name val="Arial"/>
      <family val="2"/>
    </font>
    <font>
      <sz val="12"/>
      <color indexed="8"/>
      <name val="SWISS"/>
    </font>
    <font>
      <sz val="10"/>
      <color indexed="8"/>
      <name val="SWISS"/>
    </font>
    <font>
      <b/>
      <sz val="12"/>
      <color indexed="17"/>
      <name val="Helv"/>
    </font>
    <font>
      <b/>
      <sz val="10"/>
      <color indexed="12"/>
      <name val="Arial"/>
      <family val="2"/>
    </font>
    <font>
      <b/>
      <sz val="10"/>
      <color indexed="8"/>
      <name val="Arial"/>
      <family val="2"/>
    </font>
    <font>
      <b/>
      <sz val="8"/>
      <color indexed="81"/>
      <name val="Tahoma"/>
      <family val="2"/>
    </font>
    <font>
      <sz val="8"/>
      <color indexed="81"/>
      <name val="Tahoma"/>
      <family val="2"/>
    </font>
    <font>
      <b/>
      <sz val="12"/>
      <color indexed="81"/>
      <name val="Arial"/>
      <family val="2"/>
    </font>
    <font>
      <b/>
      <sz val="11"/>
      <color indexed="81"/>
      <name val="Arial"/>
      <family val="2"/>
    </font>
    <font>
      <sz val="16"/>
      <color indexed="81"/>
      <name val="Tahoma"/>
      <family val="2"/>
    </font>
    <font>
      <b/>
      <sz val="10"/>
      <color indexed="57"/>
      <name val="Arial"/>
      <family val="2"/>
    </font>
    <font>
      <b/>
      <sz val="12"/>
      <color indexed="12"/>
      <name val="Arial"/>
      <family val="2"/>
    </font>
    <font>
      <b/>
      <sz val="10"/>
      <color indexed="81"/>
      <name val="Arial"/>
      <family val="2"/>
    </font>
    <font>
      <sz val="8"/>
      <name val="Arial"/>
      <family val="2"/>
    </font>
    <font>
      <sz val="12"/>
      <name val="SWISS"/>
    </font>
    <font>
      <sz val="10"/>
      <color rgb="FF0070C0"/>
      <name val="Arial"/>
      <family val="2"/>
    </font>
    <font>
      <b/>
      <sz val="14"/>
      <color rgb="FF000000"/>
      <name val="Arial"/>
      <family val="2"/>
    </font>
    <font>
      <b/>
      <u/>
      <sz val="14"/>
      <color rgb="FF000000"/>
      <name val="Arial"/>
      <family val="2"/>
    </font>
    <font>
      <b/>
      <sz val="14"/>
      <color rgb="FF000080"/>
      <name val="Arial"/>
      <family val="2"/>
    </font>
    <font>
      <b/>
      <u/>
      <sz val="14"/>
      <color rgb="FF000080"/>
      <name val="Arial"/>
      <family val="2"/>
    </font>
    <font>
      <sz val="14"/>
      <color rgb="FF0000FF"/>
      <name val="Arial"/>
      <family val="2"/>
    </font>
    <font>
      <sz val="10"/>
      <color theme="1"/>
      <name val="Arial"/>
      <family val="2"/>
    </font>
    <font>
      <sz val="11"/>
      <name val="Calibri"/>
      <family val="2"/>
    </font>
    <font>
      <sz val="12"/>
      <color rgb="FFFF0000"/>
      <name val="Arial"/>
      <family val="2"/>
    </font>
    <font>
      <u/>
      <sz val="10"/>
      <color theme="10"/>
      <name val="Arial"/>
      <family val="2"/>
    </font>
  </fonts>
  <fills count="9">
    <fill>
      <patternFill patternType="none"/>
    </fill>
    <fill>
      <patternFill patternType="gray125"/>
    </fill>
    <fill>
      <patternFill patternType="solid">
        <fgColor indexed="35"/>
        <bgColor indexed="41"/>
      </patternFill>
    </fill>
    <fill>
      <patternFill patternType="solid">
        <fgColor indexed="9"/>
        <bgColor indexed="41"/>
      </patternFill>
    </fill>
    <fill>
      <patternFill patternType="solid">
        <fgColor indexed="13"/>
        <bgColor indexed="64"/>
      </patternFill>
    </fill>
    <fill>
      <patternFill patternType="solid">
        <fgColor indexed="15"/>
        <bgColor indexed="41"/>
      </patternFill>
    </fill>
    <fill>
      <patternFill patternType="solid">
        <fgColor indexed="41"/>
        <bgColor indexed="64"/>
      </patternFill>
    </fill>
    <fill>
      <patternFill patternType="solid">
        <fgColor indexed="26"/>
        <bgColor indexed="64"/>
      </patternFill>
    </fill>
    <fill>
      <patternFill patternType="solid">
        <fgColor indexed="9"/>
        <bgColor indexed="0"/>
      </patternFill>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Dashed">
        <color indexed="64"/>
      </left>
      <right/>
      <top/>
      <bottom/>
      <diagonal/>
    </border>
    <border>
      <left/>
      <right style="mediumDashed">
        <color indexed="64"/>
      </right>
      <top/>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right/>
      <top/>
      <bottom style="thin">
        <color indexed="8"/>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5" fillId="0" borderId="0" applyNumberFormat="0" applyFill="0" applyBorder="0" applyAlignment="0" applyProtection="0"/>
  </cellStyleXfs>
  <cellXfs count="278">
    <xf numFmtId="0" fontId="0" fillId="0" borderId="0" xfId="0"/>
    <xf numFmtId="0" fontId="0" fillId="0" borderId="0" xfId="0" applyAlignment="1">
      <alignment horizontal="left"/>
    </xf>
    <xf numFmtId="0" fontId="0" fillId="0" borderId="0" xfId="0" applyAlignment="1">
      <alignment horizontal="center"/>
    </xf>
    <xf numFmtId="37" fontId="0" fillId="0" borderId="0" xfId="0" applyNumberFormat="1"/>
    <xf numFmtId="0" fontId="2" fillId="0" borderId="0" xfId="0" applyFont="1" applyAlignment="1">
      <alignment horizontal="fill"/>
    </xf>
    <xf numFmtId="0" fontId="3" fillId="0" borderId="0" xfId="0" applyFont="1"/>
    <xf numFmtId="0" fontId="3" fillId="0" borderId="0" xfId="0" applyFont="1" applyAlignment="1">
      <alignment horizontal="center"/>
    </xf>
    <xf numFmtId="167" fontId="4" fillId="0" borderId="0" xfId="0" applyNumberFormat="1" applyFont="1" applyProtection="1">
      <protection locked="0"/>
    </xf>
    <xf numFmtId="37" fontId="4" fillId="0" borderId="0" xfId="0" applyNumberFormat="1" applyFont="1" applyProtection="1">
      <protection locked="0"/>
    </xf>
    <xf numFmtId="164" fontId="4" fillId="0" borderId="0" xfId="0" applyNumberFormat="1" applyFont="1" applyProtection="1">
      <protection locked="0"/>
    </xf>
    <xf numFmtId="167" fontId="3" fillId="0" borderId="0" xfId="0" applyNumberFormat="1" applyFont="1"/>
    <xf numFmtId="37" fontId="5" fillId="0" borderId="0" xfId="0" applyNumberFormat="1" applyFont="1" applyProtection="1">
      <protection locked="0"/>
    </xf>
    <xf numFmtId="37" fontId="3" fillId="0" borderId="0" xfId="0" applyNumberFormat="1" applyFont="1"/>
    <xf numFmtId="0" fontId="6" fillId="0" borderId="0" xfId="0" applyFont="1"/>
    <xf numFmtId="0" fontId="6" fillId="0" borderId="0" xfId="0" applyFont="1" applyAlignment="1">
      <alignment horizontal="left"/>
    </xf>
    <xf numFmtId="0" fontId="6" fillId="0" borderId="0" xfId="0" applyFont="1" applyAlignment="1">
      <alignment horizontal="center"/>
    </xf>
    <xf numFmtId="37" fontId="6" fillId="0" borderId="0" xfId="0" applyNumberFormat="1" applyFont="1"/>
    <xf numFmtId="0" fontId="6" fillId="0" borderId="0" xfId="0" applyFont="1" applyAlignment="1">
      <alignment horizontal="right"/>
    </xf>
    <xf numFmtId="0" fontId="6" fillId="0" borderId="0" xfId="0" applyFont="1" applyAlignment="1">
      <alignment horizontal="fill"/>
    </xf>
    <xf numFmtId="164" fontId="6" fillId="0" borderId="0" xfId="0" applyNumberFormat="1" applyFont="1"/>
    <xf numFmtId="37" fontId="0" fillId="0" borderId="0" xfId="0" applyNumberFormat="1" applyAlignment="1">
      <alignment horizontal="center"/>
    </xf>
    <xf numFmtId="0" fontId="0" fillId="0" borderId="0" xfId="0" applyProtection="1">
      <protection hidden="1"/>
    </xf>
    <xf numFmtId="0" fontId="6" fillId="0" borderId="0" xfId="0" quotePrefix="1" applyFont="1" applyAlignment="1">
      <alignment horizontal="center"/>
    </xf>
    <xf numFmtId="0" fontId="4" fillId="0" borderId="0" xfId="0" applyFont="1" applyAlignment="1" applyProtection="1">
      <alignment horizontal="left"/>
      <protection locked="0"/>
    </xf>
    <xf numFmtId="0" fontId="0" fillId="0" borderId="0" xfId="0" quotePrefix="1" applyAlignment="1">
      <alignment horizontal="left"/>
    </xf>
    <xf numFmtId="0" fontId="0" fillId="0" borderId="0" xfId="0" applyAlignment="1">
      <alignment horizontal="fill"/>
    </xf>
    <xf numFmtId="0" fontId="3" fillId="0" borderId="0" xfId="0" applyFont="1" applyAlignment="1">
      <alignment horizontal="left"/>
    </xf>
    <xf numFmtId="17" fontId="3" fillId="0" borderId="0" xfId="0" applyNumberFormat="1" applyFont="1"/>
    <xf numFmtId="170" fontId="3" fillId="0" borderId="0" xfId="1" applyNumberFormat="1" applyFont="1" applyProtection="1"/>
    <xf numFmtId="169" fontId="3" fillId="0" borderId="0" xfId="2" applyNumberFormat="1" applyFont="1" applyProtection="1"/>
    <xf numFmtId="0" fontId="3" fillId="0" borderId="0" xfId="0" quotePrefix="1" applyFont="1" applyAlignment="1">
      <alignment horizontal="left"/>
    </xf>
    <xf numFmtId="170" fontId="0" fillId="0" borderId="0" xfId="1" applyNumberFormat="1" applyFont="1" applyProtection="1"/>
    <xf numFmtId="17" fontId="3" fillId="0" borderId="0" xfId="0" quotePrefix="1" applyNumberFormat="1" applyFont="1" applyAlignment="1">
      <alignment horizontal="left"/>
    </xf>
    <xf numFmtId="170" fontId="5" fillId="0" borderId="0" xfId="1" applyNumberFormat="1" applyFont="1" applyProtection="1">
      <protection locked="0"/>
    </xf>
    <xf numFmtId="0" fontId="6" fillId="0" borderId="0" xfId="0" quotePrefix="1" applyFont="1" applyAlignment="1">
      <alignment horizontal="left"/>
    </xf>
    <xf numFmtId="0" fontId="4" fillId="0" borderId="0" xfId="0" applyFont="1" applyProtection="1">
      <protection locked="0"/>
    </xf>
    <xf numFmtId="10" fontId="4" fillId="0" borderId="0" xfId="3" applyNumberFormat="1" applyFont="1" applyProtection="1">
      <protection locked="0"/>
    </xf>
    <xf numFmtId="17" fontId="6" fillId="0" borderId="0" xfId="0" applyNumberFormat="1" applyFont="1"/>
    <xf numFmtId="170" fontId="4" fillId="0" borderId="0" xfId="1" applyNumberFormat="1" applyFont="1" applyProtection="1">
      <protection locked="0"/>
    </xf>
    <xf numFmtId="170" fontId="6" fillId="0" borderId="0" xfId="1" applyNumberFormat="1" applyFont="1" applyProtection="1"/>
    <xf numFmtId="169" fontId="6" fillId="0" borderId="0" xfId="2" applyNumberFormat="1" applyFont="1" applyProtection="1"/>
    <xf numFmtId="0" fontId="4" fillId="0" borderId="0" xfId="0" applyFont="1" applyAlignment="1" applyProtection="1">
      <alignment horizontal="center"/>
      <protection locked="0"/>
    </xf>
    <xf numFmtId="9" fontId="5" fillId="0" borderId="0" xfId="3" applyFont="1" applyProtection="1">
      <protection locked="0"/>
    </xf>
    <xf numFmtId="14" fontId="6" fillId="0" borderId="0" xfId="0" applyNumberFormat="1" applyFont="1" applyAlignment="1">
      <alignment horizontal="center"/>
    </xf>
    <xf numFmtId="10" fontId="4" fillId="0" borderId="0" xfId="3" applyNumberFormat="1" applyFont="1" applyProtection="1"/>
    <xf numFmtId="170" fontId="7" fillId="0" borderId="0" xfId="1" applyNumberFormat="1" applyFont="1" applyProtection="1"/>
    <xf numFmtId="170" fontId="1" fillId="0" borderId="0" xfId="1" applyNumberFormat="1" applyProtection="1"/>
    <xf numFmtId="0" fontId="0" fillId="0" borderId="0" xfId="0" quotePrefix="1" applyAlignment="1">
      <alignment horizontal="right"/>
    </xf>
    <xf numFmtId="167" fontId="0" fillId="0" borderId="0" xfId="0" applyNumberFormat="1"/>
    <xf numFmtId="167" fontId="6" fillId="0" borderId="0" xfId="0" applyNumberFormat="1" applyFont="1"/>
    <xf numFmtId="0" fontId="0" fillId="0" borderId="0" xfId="0" applyAlignment="1">
      <alignment horizontal="right"/>
    </xf>
    <xf numFmtId="173" fontId="0" fillId="0" borderId="0" xfId="0" applyNumberFormat="1"/>
    <xf numFmtId="167" fontId="8" fillId="0" borderId="0" xfId="0" applyNumberFormat="1" applyFont="1" applyProtection="1">
      <protection locked="0"/>
    </xf>
    <xf numFmtId="167" fontId="4" fillId="0" borderId="0" xfId="0" applyNumberFormat="1" applyFont="1"/>
    <xf numFmtId="0" fontId="3" fillId="0" borderId="0" xfId="0" applyFont="1" applyAlignment="1">
      <alignment horizontal="right"/>
    </xf>
    <xf numFmtId="0" fontId="8" fillId="0" borderId="0" xfId="0" applyFont="1" applyAlignment="1">
      <alignment horizontal="left"/>
    </xf>
    <xf numFmtId="0" fontId="8" fillId="0" borderId="0" xfId="0" applyFont="1"/>
    <xf numFmtId="0" fontId="3" fillId="0" borderId="0" xfId="0" applyFont="1" applyAlignment="1">
      <alignment horizontal="fill"/>
    </xf>
    <xf numFmtId="0" fontId="3" fillId="0" borderId="0" xfId="0" quotePrefix="1" applyFont="1" applyAlignment="1">
      <alignment horizontal="center"/>
    </xf>
    <xf numFmtId="37" fontId="8" fillId="0" borderId="0" xfId="0" applyNumberFormat="1" applyFont="1"/>
    <xf numFmtId="168" fontId="5" fillId="0" borderId="0" xfId="0" applyNumberFormat="1" applyFont="1" applyAlignment="1">
      <alignment horizontal="left"/>
    </xf>
    <xf numFmtId="168" fontId="5" fillId="0" borderId="0" xfId="0" applyNumberFormat="1" applyFont="1"/>
    <xf numFmtId="166" fontId="6" fillId="0" borderId="0" xfId="0" applyNumberFormat="1" applyFont="1" applyAlignment="1">
      <alignment horizontal="right"/>
    </xf>
    <xf numFmtId="0" fontId="6" fillId="0" borderId="0" xfId="0" quotePrefix="1" applyFont="1" applyAlignment="1">
      <alignment horizontal="right"/>
    </xf>
    <xf numFmtId="0" fontId="9" fillId="0" borderId="0" xfId="0" applyFont="1" applyProtection="1">
      <protection locked="0"/>
    </xf>
    <xf numFmtId="37" fontId="0" fillId="0" borderId="0" xfId="0" applyNumberFormat="1" applyProtection="1">
      <protection locked="0"/>
    </xf>
    <xf numFmtId="10" fontId="0" fillId="0" borderId="0" xfId="0" applyNumberFormat="1" applyProtection="1">
      <protection locked="0"/>
    </xf>
    <xf numFmtId="0" fontId="9" fillId="0" borderId="0" xfId="0" applyFont="1" applyAlignment="1" applyProtection="1">
      <alignment horizontal="left"/>
      <protection locked="0"/>
    </xf>
    <xf numFmtId="0" fontId="9" fillId="0" borderId="0" xfId="0" applyFont="1" applyAlignment="1" applyProtection="1">
      <alignment horizontal="right"/>
      <protection locked="0"/>
    </xf>
    <xf numFmtId="0" fontId="9" fillId="0" borderId="0" xfId="0" applyFont="1" applyAlignment="1" applyProtection="1">
      <alignment horizontal="center"/>
      <protection locked="0"/>
    </xf>
    <xf numFmtId="177" fontId="6" fillId="0" borderId="0" xfId="0" applyNumberFormat="1" applyFont="1" applyAlignment="1">
      <alignment horizontal="right"/>
    </xf>
    <xf numFmtId="3" fontId="6" fillId="0" borderId="0" xfId="0" applyNumberFormat="1" applyFont="1"/>
    <xf numFmtId="178" fontId="6" fillId="0" borderId="0" xfId="0" applyNumberFormat="1" applyFont="1"/>
    <xf numFmtId="10" fontId="12" fillId="0" borderId="0" xfId="3" applyNumberFormat="1" applyFont="1" applyProtection="1">
      <protection locked="0"/>
    </xf>
    <xf numFmtId="10" fontId="6" fillId="0" borderId="0" xfId="3" quotePrefix="1" applyNumberFormat="1" applyFont="1" applyAlignment="1" applyProtection="1">
      <alignment horizontal="left"/>
    </xf>
    <xf numFmtId="10" fontId="13" fillId="0" borderId="0" xfId="3" applyNumberFormat="1" applyFont="1" applyProtection="1">
      <protection locked="0"/>
    </xf>
    <xf numFmtId="37" fontId="13" fillId="0" borderId="0" xfId="0" applyNumberFormat="1" applyFont="1" applyProtection="1">
      <protection locked="0"/>
    </xf>
    <xf numFmtId="9" fontId="3" fillId="0" borderId="0" xfId="3" applyFont="1" applyProtection="1"/>
    <xf numFmtId="10" fontId="3" fillId="0" borderId="0" xfId="3" quotePrefix="1" applyNumberFormat="1" applyFont="1" applyAlignment="1" applyProtection="1">
      <alignment horizontal="left"/>
    </xf>
    <xf numFmtId="0" fontId="0" fillId="2" borderId="1" xfId="0" applyFill="1" applyBorder="1"/>
    <xf numFmtId="0" fontId="0" fillId="2" borderId="2" xfId="0" applyFill="1" applyBorder="1"/>
    <xf numFmtId="0" fontId="14" fillId="2" borderId="2" xfId="0" applyFont="1" applyFill="1" applyBorder="1"/>
    <xf numFmtId="0" fontId="0" fillId="2" borderId="3" xfId="0" applyFill="1" applyBorder="1"/>
    <xf numFmtId="0" fontId="0" fillId="2" borderId="0" xfId="0" applyFill="1"/>
    <xf numFmtId="0" fontId="0" fillId="2" borderId="4" xfId="0" applyFill="1" applyBorder="1"/>
    <xf numFmtId="0" fontId="0" fillId="2" borderId="5" xfId="0" applyFill="1" applyBorder="1"/>
    <xf numFmtId="0" fontId="0" fillId="2" borderId="6" xfId="0" applyFill="1" applyBorder="1"/>
    <xf numFmtId="0" fontId="15" fillId="3" borderId="0" xfId="0" applyFont="1" applyFill="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10" fontId="6" fillId="0" borderId="0" xfId="0" applyNumberFormat="1" applyFont="1"/>
    <xf numFmtId="165" fontId="6" fillId="0" borderId="0" xfId="0" applyNumberFormat="1" applyFont="1" applyAlignment="1">
      <alignment horizontal="center"/>
    </xf>
    <xf numFmtId="172" fontId="0" fillId="0" borderId="0" xfId="0" applyNumberFormat="1" applyAlignment="1">
      <alignment horizontal="center"/>
    </xf>
    <xf numFmtId="165" fontId="0" fillId="0" borderId="0" xfId="0" quotePrefix="1" applyNumberFormat="1" applyAlignment="1">
      <alignment horizontal="center"/>
    </xf>
    <xf numFmtId="38" fontId="6" fillId="0" borderId="0" xfId="0" applyNumberFormat="1" applyFont="1"/>
    <xf numFmtId="14" fontId="6" fillId="0" borderId="0" xfId="0" applyNumberFormat="1" applyFont="1" applyAlignment="1">
      <alignment horizontal="right"/>
    </xf>
    <xf numFmtId="169" fontId="7" fillId="0" borderId="0" xfId="1" applyNumberFormat="1" applyFont="1" applyAlignment="1" applyProtection="1">
      <alignment horizontal="right"/>
    </xf>
    <xf numFmtId="49" fontId="5" fillId="0" borderId="0" xfId="0" applyNumberFormat="1" applyFont="1" applyAlignment="1" applyProtection="1">
      <alignment horizontal="left"/>
      <protection locked="0"/>
    </xf>
    <xf numFmtId="0" fontId="5" fillId="0" borderId="0" xfId="0" applyFont="1" applyAlignment="1" applyProtection="1">
      <alignment horizontal="left"/>
      <protection locked="0"/>
    </xf>
    <xf numFmtId="0" fontId="11" fillId="0" borderId="0" xfId="0" applyFont="1" applyAlignment="1">
      <alignment horizontal="left"/>
    </xf>
    <xf numFmtId="175" fontId="8" fillId="0" borderId="0" xfId="0" applyNumberFormat="1" applyFont="1" applyProtection="1">
      <protection locked="0"/>
    </xf>
    <xf numFmtId="176" fontId="8" fillId="0" borderId="0" xfId="0" applyNumberFormat="1" applyFont="1" applyProtection="1">
      <protection locked="0"/>
    </xf>
    <xf numFmtId="3" fontId="5" fillId="0" borderId="0" xfId="0" applyNumberFormat="1" applyFont="1"/>
    <xf numFmtId="0" fontId="19" fillId="2" borderId="0" xfId="0" applyFont="1" applyFill="1"/>
    <xf numFmtId="0" fontId="30" fillId="2" borderId="7" xfId="0" applyFont="1" applyFill="1" applyBorder="1"/>
    <xf numFmtId="0" fontId="7" fillId="0" borderId="0" xfId="0" applyFont="1" applyAlignment="1">
      <alignment horizontal="left"/>
    </xf>
    <xf numFmtId="172" fontId="31" fillId="0" borderId="0" xfId="0" applyNumberFormat="1" applyFont="1" applyProtection="1">
      <protection locked="0"/>
    </xf>
    <xf numFmtId="167" fontId="31" fillId="0" borderId="0" xfId="0" applyNumberFormat="1" applyFont="1" applyProtection="1">
      <protection locked="0"/>
    </xf>
    <xf numFmtId="37" fontId="8" fillId="0" borderId="0" xfId="0" applyNumberFormat="1" applyFont="1" applyProtection="1">
      <protection locked="0"/>
    </xf>
    <xf numFmtId="174" fontId="8" fillId="0" borderId="0" xfId="0" applyNumberFormat="1" applyFont="1" applyProtection="1">
      <protection locked="0"/>
    </xf>
    <xf numFmtId="10" fontId="8" fillId="0" borderId="0" xfId="0" applyNumberFormat="1" applyFont="1" applyProtection="1">
      <protection locked="0"/>
    </xf>
    <xf numFmtId="0" fontId="33" fillId="0" borderId="0" xfId="0" applyFont="1" applyProtection="1">
      <protection locked="0"/>
    </xf>
    <xf numFmtId="1" fontId="34" fillId="0" borderId="0" xfId="0" applyNumberFormat="1" applyFont="1"/>
    <xf numFmtId="0" fontId="35" fillId="0" borderId="0" xfId="0" applyFont="1" applyProtection="1">
      <protection locked="0"/>
    </xf>
    <xf numFmtId="38" fontId="5" fillId="0" borderId="0" xfId="0" applyNumberFormat="1" applyFont="1" applyProtection="1">
      <protection locked="0"/>
    </xf>
    <xf numFmtId="38" fontId="3" fillId="0" borderId="0" xfId="0" applyNumberFormat="1" applyFont="1"/>
    <xf numFmtId="0" fontId="5" fillId="0" borderId="11" xfId="0" applyFont="1" applyBorder="1" applyAlignment="1" applyProtection="1">
      <alignment horizontal="center"/>
      <protection locked="0"/>
    </xf>
    <xf numFmtId="0" fontId="5" fillId="0" borderId="0" xfId="0" applyFont="1" applyAlignment="1">
      <alignment horizontal="center"/>
    </xf>
    <xf numFmtId="38" fontId="5" fillId="0" borderId="0" xfId="0" applyNumberFormat="1" applyFont="1"/>
    <xf numFmtId="9" fontId="3" fillId="0" borderId="0" xfId="3" applyFont="1" applyBorder="1" applyProtection="1"/>
    <xf numFmtId="38" fontId="3" fillId="0" borderId="0" xfId="1" applyNumberFormat="1" applyFont="1" applyProtection="1"/>
    <xf numFmtId="9" fontId="3" fillId="0" borderId="0" xfId="3" applyFont="1" applyFill="1" applyBorder="1" applyProtection="1"/>
    <xf numFmtId="9" fontId="5" fillId="0" borderId="0" xfId="3" applyFont="1" applyFill="1" applyBorder="1" applyProtection="1"/>
    <xf numFmtId="38" fontId="5" fillId="0" borderId="0" xfId="1" applyNumberFormat="1" applyFont="1" applyProtection="1">
      <protection locked="0"/>
    </xf>
    <xf numFmtId="0" fontId="34" fillId="0" borderId="0" xfId="0" quotePrefix="1" applyFont="1" applyAlignment="1" applyProtection="1">
      <alignment horizontal="right"/>
      <protection locked="0"/>
    </xf>
    <xf numFmtId="0" fontId="10" fillId="0" borderId="0" xfId="0" applyFont="1"/>
    <xf numFmtId="9" fontId="34" fillId="0" borderId="0" xfId="3" applyFont="1" applyProtection="1">
      <protection locked="0"/>
    </xf>
    <xf numFmtId="9" fontId="41" fillId="0" borderId="0" xfId="3" applyFont="1" applyProtection="1">
      <protection locked="0"/>
    </xf>
    <xf numFmtId="38" fontId="41" fillId="0" borderId="0" xfId="1" applyNumberFormat="1" applyFont="1" applyProtection="1">
      <protection locked="0"/>
    </xf>
    <xf numFmtId="0" fontId="5" fillId="0" borderId="0" xfId="0" applyFont="1" applyAlignment="1" applyProtection="1">
      <alignment horizontal="center"/>
      <protection locked="0"/>
    </xf>
    <xf numFmtId="10" fontId="3" fillId="0" borderId="0" xfId="3" applyNumberFormat="1" applyFont="1" applyAlignment="1" applyProtection="1">
      <alignment horizontal="left"/>
    </xf>
    <xf numFmtId="17" fontId="5" fillId="0" borderId="0" xfId="0" applyNumberFormat="1" applyFont="1" applyAlignment="1" applyProtection="1">
      <alignment horizontal="center"/>
      <protection locked="0"/>
    </xf>
    <xf numFmtId="10" fontId="5" fillId="0" borderId="0" xfId="3" applyNumberFormat="1" applyFont="1" applyAlignment="1" applyProtection="1">
      <alignment horizontal="center"/>
      <protection locked="0"/>
    </xf>
    <xf numFmtId="179" fontId="5" fillId="0" borderId="0" xfId="2" applyNumberFormat="1" applyFont="1" applyAlignment="1" applyProtection="1">
      <alignment horizontal="center"/>
      <protection locked="0"/>
    </xf>
    <xf numFmtId="182" fontId="5" fillId="0" borderId="0" xfId="1" applyNumberFormat="1" applyFont="1" applyProtection="1">
      <protection locked="0"/>
    </xf>
    <xf numFmtId="17" fontId="3" fillId="0" borderId="0" xfId="0" applyNumberFormat="1" applyFont="1" applyAlignment="1">
      <alignment horizontal="left"/>
    </xf>
    <xf numFmtId="0" fontId="5" fillId="0" borderId="0" xfId="0" applyFont="1"/>
    <xf numFmtId="170" fontId="3" fillId="0" borderId="0" xfId="1" applyNumberFormat="1" applyFont="1" applyProtection="1">
      <protection hidden="1"/>
    </xf>
    <xf numFmtId="3" fontId="5" fillId="0" borderId="0" xfId="1" applyNumberFormat="1" applyFont="1" applyProtection="1">
      <protection locked="0"/>
    </xf>
    <xf numFmtId="10" fontId="6" fillId="0" borderId="0" xfId="3" applyNumberFormat="1" applyFont="1" applyAlignment="1" applyProtection="1">
      <alignment horizontal="left"/>
    </xf>
    <xf numFmtId="3" fontId="4" fillId="0" borderId="0" xfId="1" applyNumberFormat="1" applyFont="1" applyProtection="1">
      <protection locked="0"/>
    </xf>
    <xf numFmtId="183" fontId="6" fillId="0" borderId="0" xfId="1" applyNumberFormat="1" applyFont="1" applyProtection="1"/>
    <xf numFmtId="170" fontId="6" fillId="0" borderId="0" xfId="0" applyNumberFormat="1" applyFont="1" applyAlignment="1">
      <alignment horizontal="left"/>
    </xf>
    <xf numFmtId="170" fontId="4" fillId="0" borderId="0" xfId="1" applyNumberFormat="1" applyFont="1" applyAlignment="1" applyProtection="1">
      <alignment horizontal="center"/>
      <protection locked="0"/>
    </xf>
    <xf numFmtId="10" fontId="12" fillId="0" borderId="0" xfId="3" applyNumberFormat="1" applyFont="1" applyAlignment="1" applyProtection="1">
      <alignment horizontal="center"/>
      <protection locked="0"/>
    </xf>
    <xf numFmtId="0" fontId="3" fillId="0" borderId="0" xfId="0" applyFont="1" applyAlignment="1" applyProtection="1">
      <alignment horizontal="center"/>
      <protection locked="0"/>
    </xf>
    <xf numFmtId="0" fontId="4" fillId="0" borderId="0" xfId="0" applyFont="1" applyAlignment="1">
      <alignment horizontal="right"/>
    </xf>
    <xf numFmtId="170" fontId="0" fillId="0" borderId="0" xfId="0" applyNumberFormat="1"/>
    <xf numFmtId="0" fontId="4" fillId="0" borderId="0" xfId="0" applyFont="1" applyAlignment="1">
      <alignment horizontal="center"/>
    </xf>
    <xf numFmtId="164" fontId="6" fillId="0" borderId="0" xfId="0" applyNumberFormat="1" applyFont="1" applyAlignment="1">
      <alignment horizontal="right"/>
    </xf>
    <xf numFmtId="38" fontId="34" fillId="0" borderId="0" xfId="0" applyNumberFormat="1" applyFont="1" applyAlignment="1" applyProtection="1">
      <alignment horizontal="right"/>
      <protection locked="0"/>
    </xf>
    <xf numFmtId="1" fontId="6" fillId="0" borderId="0" xfId="1" applyNumberFormat="1" applyFont="1" applyAlignment="1" applyProtection="1">
      <alignment horizontal="center"/>
    </xf>
    <xf numFmtId="170" fontId="6" fillId="0" borderId="0" xfId="1" applyNumberFormat="1" applyFont="1" applyAlignment="1" applyProtection="1">
      <alignment horizontal="center"/>
    </xf>
    <xf numFmtId="1" fontId="3" fillId="0" borderId="0" xfId="1" applyNumberFormat="1" applyFont="1" applyAlignment="1" applyProtection="1">
      <alignment horizontal="center"/>
    </xf>
    <xf numFmtId="1" fontId="1" fillId="0" borderId="0" xfId="1" applyNumberFormat="1" applyAlignment="1" applyProtection="1">
      <alignment horizontal="center"/>
    </xf>
    <xf numFmtId="170" fontId="1" fillId="0" borderId="0" xfId="1" applyNumberFormat="1" applyAlignment="1" applyProtection="1">
      <alignment horizontal="center"/>
    </xf>
    <xf numFmtId="170" fontId="3" fillId="0" borderId="0" xfId="1" applyNumberFormat="1" applyFont="1" applyAlignment="1" applyProtection="1">
      <alignment horizontal="center"/>
    </xf>
    <xf numFmtId="167" fontId="42" fillId="0" borderId="11" xfId="0" applyNumberFormat="1" applyFont="1" applyBorder="1" applyAlignment="1" applyProtection="1">
      <alignment horizontal="left"/>
      <protection locked="0"/>
    </xf>
    <xf numFmtId="167" fontId="11" fillId="0" borderId="0" xfId="0" applyNumberFormat="1" applyFont="1" applyAlignment="1">
      <alignment horizontal="left"/>
    </xf>
    <xf numFmtId="170" fontId="5" fillId="0" borderId="0" xfId="1" applyNumberFormat="1" applyFont="1" applyAlignment="1" applyProtection="1">
      <alignment horizontal="center"/>
      <protection locked="0"/>
    </xf>
    <xf numFmtId="0" fontId="3" fillId="0" borderId="0" xfId="0" quotePrefix="1" applyFont="1" applyAlignment="1">
      <alignment horizontal="fill"/>
    </xf>
    <xf numFmtId="167" fontId="8" fillId="0" borderId="0" xfId="0" applyNumberFormat="1" applyFont="1"/>
    <xf numFmtId="2" fontId="3" fillId="0" borderId="0" xfId="0" applyNumberFormat="1" applyFont="1"/>
    <xf numFmtId="1" fontId="4" fillId="0" borderId="0" xfId="0" applyNumberFormat="1" applyFont="1" applyAlignment="1" applyProtection="1">
      <alignment horizontal="center"/>
      <protection locked="0"/>
    </xf>
    <xf numFmtId="37" fontId="3" fillId="4" borderId="0" xfId="0" applyNumberFormat="1" applyFont="1" applyFill="1"/>
    <xf numFmtId="170" fontId="6" fillId="0" borderId="0" xfId="1" quotePrefix="1" applyNumberFormat="1" applyFont="1" applyAlignment="1">
      <alignment horizontal="center"/>
    </xf>
    <xf numFmtId="0" fontId="7" fillId="0" borderId="0" xfId="0" applyFont="1" applyAlignment="1">
      <alignment horizontal="center"/>
    </xf>
    <xf numFmtId="49" fontId="4" fillId="0" borderId="0" xfId="0" applyNumberFormat="1" applyFont="1" applyAlignment="1" applyProtection="1">
      <alignment horizontal="right"/>
      <protection locked="0"/>
    </xf>
    <xf numFmtId="170" fontId="0" fillId="0" borderId="0" xfId="1" applyNumberFormat="1" applyFont="1"/>
    <xf numFmtId="168" fontId="0" fillId="0" borderId="0" xfId="0" applyNumberFormat="1" applyProtection="1">
      <protection hidden="1"/>
    </xf>
    <xf numFmtId="168" fontId="1" fillId="0" borderId="0" xfId="1" applyNumberFormat="1" applyProtection="1">
      <protection hidden="1"/>
    </xf>
    <xf numFmtId="0" fontId="14" fillId="5" borderId="2" xfId="0" applyFont="1" applyFill="1" applyBorder="1"/>
    <xf numFmtId="0" fontId="0" fillId="5" borderId="2" xfId="0" applyFill="1" applyBorder="1"/>
    <xf numFmtId="0" fontId="0" fillId="5" borderId="12" xfId="0" applyFill="1" applyBorder="1"/>
    <xf numFmtId="166" fontId="6" fillId="0" borderId="0" xfId="0" applyNumberFormat="1" applyFont="1" applyAlignment="1">
      <alignment horizontal="left"/>
    </xf>
    <xf numFmtId="166" fontId="6" fillId="0" borderId="0" xfId="0" applyNumberFormat="1" applyFont="1" applyAlignment="1">
      <alignment horizontal="fill"/>
    </xf>
    <xf numFmtId="166" fontId="6" fillId="0" borderId="0" xfId="0" applyNumberFormat="1" applyFont="1" applyAlignment="1">
      <alignment horizontal="center"/>
    </xf>
    <xf numFmtId="170" fontId="5" fillId="0" borderId="0" xfId="1" applyNumberFormat="1" applyFont="1" applyFill="1" applyAlignment="1" applyProtection="1">
      <alignment horizontal="center"/>
      <protection locked="0"/>
    </xf>
    <xf numFmtId="10" fontId="13" fillId="0" borderId="0" xfId="3" applyNumberFormat="1" applyFont="1" applyFill="1" applyProtection="1">
      <protection locked="0"/>
    </xf>
    <xf numFmtId="179" fontId="5" fillId="0" borderId="0" xfId="2" applyNumberFormat="1" applyFont="1" applyFill="1" applyAlignment="1" applyProtection="1">
      <alignment horizontal="center"/>
      <protection locked="0"/>
    </xf>
    <xf numFmtId="182" fontId="5" fillId="0" borderId="0" xfId="1" applyNumberFormat="1" applyFont="1" applyFill="1" applyProtection="1">
      <protection locked="0"/>
    </xf>
    <xf numFmtId="170" fontId="3" fillId="0" borderId="0" xfId="1" applyNumberFormat="1" applyFont="1" applyFill="1" applyProtection="1"/>
    <xf numFmtId="169" fontId="3" fillId="0" borderId="0" xfId="2" applyNumberFormat="1" applyFont="1" applyFill="1" applyProtection="1"/>
    <xf numFmtId="10" fontId="5" fillId="0" borderId="0" xfId="3" applyNumberFormat="1" applyFont="1" applyFill="1" applyAlignment="1" applyProtection="1">
      <alignment horizontal="center"/>
      <protection locked="0"/>
    </xf>
    <xf numFmtId="10" fontId="3" fillId="0" borderId="0" xfId="3" quotePrefix="1" applyNumberFormat="1" applyFont="1" applyFill="1" applyAlignment="1" applyProtection="1">
      <alignment horizontal="left"/>
    </xf>
    <xf numFmtId="10" fontId="3" fillId="0" borderId="0" xfId="3" applyNumberFormat="1" applyFont="1" applyFill="1" applyAlignment="1" applyProtection="1">
      <alignment horizontal="left"/>
    </xf>
    <xf numFmtId="3" fontId="5" fillId="0" borderId="0" xfId="1" applyNumberFormat="1" applyFont="1" applyFill="1" applyProtection="1">
      <protection locked="0"/>
    </xf>
    <xf numFmtId="1" fontId="3" fillId="0" borderId="0" xfId="1" applyNumberFormat="1" applyFont="1" applyFill="1" applyAlignment="1" applyProtection="1">
      <alignment horizontal="center"/>
    </xf>
    <xf numFmtId="170" fontId="3" fillId="0" borderId="0" xfId="1" applyNumberFormat="1" applyFont="1" applyFill="1" applyAlignment="1" applyProtection="1">
      <alignment horizontal="center"/>
    </xf>
    <xf numFmtId="170" fontId="1" fillId="0" borderId="0" xfId="1" applyNumberFormat="1" applyFill="1" applyProtection="1"/>
    <xf numFmtId="170" fontId="5" fillId="0" borderId="0" xfId="1" applyNumberFormat="1" applyFont="1" applyFill="1" applyProtection="1">
      <protection locked="0"/>
    </xf>
    <xf numFmtId="1" fontId="1" fillId="0" borderId="0" xfId="1" applyNumberFormat="1" applyFill="1" applyAlignment="1" applyProtection="1">
      <alignment horizontal="center"/>
    </xf>
    <xf numFmtId="170" fontId="1" fillId="0" borderId="0" xfId="1" applyNumberFormat="1" applyFill="1" applyAlignment="1" applyProtection="1">
      <alignment horizontal="center"/>
    </xf>
    <xf numFmtId="170" fontId="6" fillId="0" borderId="0" xfId="1" applyNumberFormat="1" applyFont="1" applyFill="1" applyProtection="1"/>
    <xf numFmtId="10" fontId="12" fillId="0" borderId="0" xfId="3" applyNumberFormat="1" applyFont="1" applyFill="1" applyProtection="1">
      <protection locked="0"/>
    </xf>
    <xf numFmtId="170" fontId="4" fillId="0" borderId="0" xfId="1" applyNumberFormat="1" applyFont="1" applyFill="1" applyProtection="1">
      <protection locked="0"/>
    </xf>
    <xf numFmtId="1" fontId="6" fillId="0" borderId="0" xfId="1" applyNumberFormat="1" applyFont="1" applyFill="1" applyAlignment="1" applyProtection="1">
      <alignment horizontal="center"/>
    </xf>
    <xf numFmtId="170" fontId="6" fillId="0" borderId="0" xfId="1" applyNumberFormat="1" applyFont="1" applyFill="1" applyAlignment="1" applyProtection="1">
      <alignment horizontal="center"/>
    </xf>
    <xf numFmtId="10" fontId="4" fillId="0" borderId="0" xfId="3" applyNumberFormat="1" applyFont="1" applyFill="1" applyAlignment="1" applyProtection="1">
      <alignment horizontal="right"/>
      <protection locked="0"/>
    </xf>
    <xf numFmtId="42" fontId="4" fillId="0" borderId="0" xfId="2" applyNumberFormat="1" applyFont="1" applyFill="1" applyAlignment="1" applyProtection="1">
      <alignment horizontal="right"/>
      <protection locked="0"/>
    </xf>
    <xf numFmtId="166" fontId="4" fillId="0" borderId="0" xfId="0" applyNumberFormat="1" applyFont="1" applyProtection="1">
      <protection locked="0"/>
    </xf>
    <xf numFmtId="10" fontId="4" fillId="0" borderId="0" xfId="3" applyNumberFormat="1" applyFont="1" applyFill="1" applyProtection="1">
      <protection locked="0"/>
    </xf>
    <xf numFmtId="10" fontId="0" fillId="0" borderId="0" xfId="0" applyNumberFormat="1" applyAlignment="1">
      <alignment horizontal="left"/>
    </xf>
    <xf numFmtId="2" fontId="0" fillId="0" borderId="0" xfId="0" applyNumberFormat="1" applyAlignment="1">
      <alignment horizontal="center"/>
    </xf>
    <xf numFmtId="5" fontId="0" fillId="0" borderId="0" xfId="0" applyNumberFormat="1"/>
    <xf numFmtId="171" fontId="0" fillId="0" borderId="0" xfId="0" quotePrefix="1" applyNumberFormat="1" applyAlignment="1">
      <alignment horizontal="left"/>
    </xf>
    <xf numFmtId="180" fontId="0" fillId="0" borderId="0" xfId="0" applyNumberFormat="1"/>
    <xf numFmtId="37" fontId="0" fillId="0" borderId="0" xfId="0" applyNumberFormat="1" applyAlignment="1">
      <alignment horizontal="left"/>
    </xf>
    <xf numFmtId="10" fontId="0" fillId="0" borderId="0" xfId="0" applyNumberFormat="1"/>
    <xf numFmtId="10" fontId="25" fillId="0" borderId="0" xfId="0" applyNumberFormat="1" applyFont="1"/>
    <xf numFmtId="44" fontId="25" fillId="0" borderId="0" xfId="0" applyNumberFormat="1" applyFont="1"/>
    <xf numFmtId="165" fontId="0" fillId="0" borderId="0" xfId="0" applyNumberFormat="1" applyAlignment="1">
      <alignment horizontal="right"/>
    </xf>
    <xf numFmtId="37" fontId="4" fillId="6" borderId="0" xfId="0" applyNumberFormat="1" applyFont="1" applyFill="1" applyProtection="1">
      <protection locked="0"/>
    </xf>
    <xf numFmtId="37" fontId="4" fillId="7" borderId="0" xfId="0" applyNumberFormat="1" applyFont="1" applyFill="1" applyProtection="1">
      <protection locked="0"/>
    </xf>
    <xf numFmtId="10" fontId="4" fillId="7" borderId="0" xfId="0" applyNumberFormat="1" applyFont="1" applyFill="1" applyProtection="1">
      <protection locked="0"/>
    </xf>
    <xf numFmtId="38" fontId="5" fillId="6" borderId="0" xfId="0" applyNumberFormat="1" applyFont="1" applyFill="1" applyProtection="1">
      <protection locked="0"/>
    </xf>
    <xf numFmtId="3" fontId="4" fillId="6" borderId="0" xfId="0" applyNumberFormat="1" applyFont="1" applyFill="1" applyAlignment="1" applyProtection="1">
      <alignment horizontal="right"/>
      <protection locked="0"/>
    </xf>
    <xf numFmtId="1" fontId="0" fillId="0" borderId="0" xfId="0" applyNumberFormat="1"/>
    <xf numFmtId="170" fontId="3" fillId="0" borderId="0" xfId="1" applyNumberFormat="1" applyFont="1"/>
    <xf numFmtId="3" fontId="0" fillId="0" borderId="0" xfId="0" applyNumberFormat="1"/>
    <xf numFmtId="0" fontId="46" fillId="0" borderId="0" xfId="0" applyFont="1"/>
    <xf numFmtId="184" fontId="0" fillId="0" borderId="0" xfId="0" applyNumberFormat="1"/>
    <xf numFmtId="3" fontId="46" fillId="0" borderId="0" xfId="0" applyNumberFormat="1" applyFont="1"/>
    <xf numFmtId="184" fontId="46" fillId="0" borderId="0" xfId="0" applyNumberFormat="1" applyFont="1"/>
    <xf numFmtId="3" fontId="3" fillId="0" borderId="0" xfId="0" applyNumberFormat="1" applyFont="1"/>
    <xf numFmtId="37" fontId="7" fillId="0" borderId="0" xfId="0" applyNumberFormat="1" applyFont="1"/>
    <xf numFmtId="0" fontId="2" fillId="0" borderId="0" xfId="0" quotePrefix="1" applyFont="1" applyAlignment="1">
      <alignment horizontal="left"/>
    </xf>
    <xf numFmtId="2" fontId="31" fillId="0" borderId="0" xfId="0" applyNumberFormat="1" applyFont="1" applyProtection="1">
      <protection locked="0"/>
    </xf>
    <xf numFmtId="2" fontId="8" fillId="0" borderId="0" xfId="0" applyNumberFormat="1" applyFont="1" applyProtection="1">
      <protection locked="0"/>
    </xf>
    <xf numFmtId="2" fontId="45" fillId="0" borderId="0" xfId="0" applyNumberFormat="1" applyFont="1" applyProtection="1">
      <protection locked="0"/>
    </xf>
    <xf numFmtId="2" fontId="0" fillId="0" borderId="0" xfId="0" applyNumberFormat="1"/>
    <xf numFmtId="2" fontId="0" fillId="0" borderId="0" xfId="0" applyNumberFormat="1" applyProtection="1">
      <protection locked="0"/>
    </xf>
    <xf numFmtId="1" fontId="32" fillId="0" borderId="0" xfId="0" applyNumberFormat="1" applyFont="1"/>
    <xf numFmtId="1" fontId="8" fillId="0" borderId="0" xfId="0" applyNumberFormat="1" applyFont="1"/>
    <xf numFmtId="3" fontId="52" fillId="0" borderId="0" xfId="0" applyNumberFormat="1" applyFont="1"/>
    <xf numFmtId="0" fontId="1" fillId="0" borderId="0" xfId="0" applyFont="1"/>
    <xf numFmtId="2" fontId="52" fillId="0" borderId="0" xfId="0" applyNumberFormat="1" applyFont="1"/>
    <xf numFmtId="3" fontId="8" fillId="0" borderId="0" xfId="0" applyNumberFormat="1" applyFont="1" applyProtection="1">
      <protection locked="0"/>
    </xf>
    <xf numFmtId="3" fontId="8" fillId="8" borderId="0" xfId="0" applyNumberFormat="1" applyFont="1" applyFill="1" applyAlignment="1" applyProtection="1">
      <alignment horizontal="right" vertical="top" wrapText="1" readingOrder="1"/>
      <protection locked="0"/>
    </xf>
    <xf numFmtId="2" fontId="8" fillId="8" borderId="0" xfId="0" applyNumberFormat="1" applyFont="1" applyFill="1" applyAlignment="1" applyProtection="1">
      <alignment horizontal="right" vertical="top" wrapText="1" readingOrder="1"/>
      <protection locked="0"/>
    </xf>
    <xf numFmtId="2" fontId="8" fillId="8" borderId="16" xfId="0" applyNumberFormat="1" applyFont="1" applyFill="1" applyBorder="1" applyAlignment="1" applyProtection="1">
      <alignment horizontal="right" vertical="top" wrapText="1" readingOrder="1"/>
      <protection locked="0"/>
    </xf>
    <xf numFmtId="1" fontId="8" fillId="0" borderId="0" xfId="0" applyNumberFormat="1" applyFont="1" applyProtection="1">
      <protection locked="0"/>
    </xf>
    <xf numFmtId="0" fontId="8" fillId="8" borderId="0" xfId="0" applyFont="1" applyFill="1" applyAlignment="1" applyProtection="1">
      <alignment horizontal="right" vertical="top" wrapText="1" readingOrder="1"/>
      <protection locked="0"/>
    </xf>
    <xf numFmtId="0" fontId="8" fillId="8" borderId="16" xfId="0" applyFont="1" applyFill="1" applyBorder="1" applyAlignment="1" applyProtection="1">
      <alignment horizontal="right" vertical="top" wrapText="1" readingOrder="1"/>
      <protection locked="0"/>
    </xf>
    <xf numFmtId="0" fontId="1" fillId="0" borderId="0" xfId="0" quotePrefix="1" applyFont="1" applyAlignment="1">
      <alignment horizontal="left"/>
    </xf>
    <xf numFmtId="38" fontId="34" fillId="0" borderId="0" xfId="0" applyNumberFormat="1" applyFont="1" applyProtection="1">
      <protection locked="0"/>
    </xf>
    <xf numFmtId="0" fontId="53" fillId="0" borderId="0" xfId="0" applyFont="1"/>
    <xf numFmtId="0" fontId="1" fillId="0" borderId="0" xfId="0" quotePrefix="1" applyFont="1" applyAlignment="1">
      <alignment horizontal="right"/>
    </xf>
    <xf numFmtId="179" fontId="0" fillId="0" borderId="0" xfId="0" applyNumberFormat="1"/>
    <xf numFmtId="0" fontId="54" fillId="0" borderId="0" xfId="0" applyFont="1"/>
    <xf numFmtId="0" fontId="1" fillId="0" borderId="0" xfId="0" applyFont="1" applyAlignment="1">
      <alignment horizontal="left"/>
    </xf>
    <xf numFmtId="9" fontId="3" fillId="0" borderId="0" xfId="0" applyNumberFormat="1" applyFont="1"/>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2" borderId="15" xfId="0" applyFont="1" applyFill="1" applyBorder="1" applyAlignment="1">
      <alignment horizontal="center"/>
    </xf>
    <xf numFmtId="0" fontId="3" fillId="0" borderId="0" xfId="0" applyFont="1" applyAlignment="1">
      <alignment horizontal="center"/>
    </xf>
    <xf numFmtId="15" fontId="3" fillId="0" borderId="0" xfId="0" quotePrefix="1" applyNumberFormat="1" applyFont="1" applyAlignment="1">
      <alignment horizontal="left"/>
    </xf>
    <xf numFmtId="0" fontId="22" fillId="0" borderId="0" xfId="0" applyFont="1" applyAlignment="1">
      <alignment horizontal="center"/>
    </xf>
    <xf numFmtId="0" fontId="6" fillId="0" borderId="0" xfId="0" applyFont="1" applyAlignment="1">
      <alignment horizontal="center"/>
    </xf>
    <xf numFmtId="0" fontId="0" fillId="0" borderId="0" xfId="0" applyAlignment="1">
      <alignment horizontal="center" vertical="center" wrapText="1"/>
    </xf>
    <xf numFmtId="0" fontId="0" fillId="0" borderId="0" xfId="0" applyAlignment="1">
      <alignment horizontal="center"/>
    </xf>
    <xf numFmtId="181" fontId="0" fillId="0" borderId="0" xfId="0" applyNumberFormat="1" applyAlignment="1">
      <alignment horizontal="center"/>
    </xf>
    <xf numFmtId="0" fontId="6" fillId="0" borderId="0" xfId="0" quotePrefix="1" applyFont="1" applyAlignment="1">
      <alignment horizontal="center"/>
    </xf>
    <xf numFmtId="166" fontId="6" fillId="0" borderId="0" xfId="0" applyNumberFormat="1" applyFont="1" applyAlignment="1">
      <alignment horizontal="center"/>
    </xf>
    <xf numFmtId="0" fontId="3" fillId="0" borderId="0" xfId="0" applyFont="1" applyAlignment="1">
      <alignment horizontal="left"/>
    </xf>
    <xf numFmtId="0" fontId="3" fillId="0" borderId="0" xfId="0" quotePrefix="1"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0" fillId="0" borderId="0" xfId="0" quotePrefix="1" applyAlignment="1">
      <alignment horizontal="left"/>
    </xf>
    <xf numFmtId="0" fontId="0" fillId="0" borderId="0" xfId="0" applyAlignment="1">
      <alignment horizontal="left"/>
    </xf>
    <xf numFmtId="0" fontId="24" fillId="0" borderId="0" xfId="0" applyFont="1" applyAlignment="1">
      <alignment horizontal="center"/>
    </xf>
    <xf numFmtId="0" fontId="11" fillId="0" borderId="0" xfId="0" applyFont="1" applyAlignment="1">
      <alignment horizontal="center"/>
    </xf>
    <xf numFmtId="0" fontId="11" fillId="0" borderId="0" xfId="0" applyFont="1"/>
    <xf numFmtId="0" fontId="2" fillId="0" borderId="0" xfId="0" applyFont="1" applyAlignment="1">
      <alignment vertical="center" wrapText="1"/>
    </xf>
    <xf numFmtId="0" fontId="2" fillId="0" borderId="0" xfId="4" applyFont="1" applyAlignment="1">
      <alignment vertical="center" wrapText="1"/>
    </xf>
    <xf numFmtId="0" fontId="2" fillId="0" borderId="0" xfId="0" applyFont="1" applyAlignment="1">
      <alignment horizontal="right"/>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chartsheet" Target="chartsheets/sheet16.xml"/><Relationship Id="rId47" Type="http://schemas.openxmlformats.org/officeDocument/2006/relationships/chartsheet" Target="chartsheets/sheet21.xml"/><Relationship Id="rId63" Type="http://schemas.openxmlformats.org/officeDocument/2006/relationships/chartsheet" Target="chartsheets/sheet37.xml"/><Relationship Id="rId68" Type="http://schemas.openxmlformats.org/officeDocument/2006/relationships/chartsheet" Target="chartsheets/sheet42.xml"/><Relationship Id="rId84" Type="http://schemas.openxmlformats.org/officeDocument/2006/relationships/chartsheet" Target="chartsheets/sheet58.xml"/><Relationship Id="rId89" Type="http://schemas.openxmlformats.org/officeDocument/2006/relationships/chartsheet" Target="chartsheets/sheet6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hartsheet" Target="chartsheets/sheet3.xml"/><Relationship Id="rId107" Type="http://schemas.openxmlformats.org/officeDocument/2006/relationships/theme" Target="theme/theme1.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hartsheet" Target="chartsheets/sheet6.xml"/><Relationship Id="rId37" Type="http://schemas.openxmlformats.org/officeDocument/2006/relationships/chartsheet" Target="chartsheets/sheet11.xml"/><Relationship Id="rId40" Type="http://schemas.openxmlformats.org/officeDocument/2006/relationships/chartsheet" Target="chartsheets/sheet14.xml"/><Relationship Id="rId45" Type="http://schemas.openxmlformats.org/officeDocument/2006/relationships/chartsheet" Target="chartsheets/sheet19.xml"/><Relationship Id="rId53" Type="http://schemas.openxmlformats.org/officeDocument/2006/relationships/chartsheet" Target="chartsheets/sheet27.xml"/><Relationship Id="rId58" Type="http://schemas.openxmlformats.org/officeDocument/2006/relationships/chartsheet" Target="chartsheets/sheet32.xml"/><Relationship Id="rId66" Type="http://schemas.openxmlformats.org/officeDocument/2006/relationships/chartsheet" Target="chartsheets/sheet40.xml"/><Relationship Id="rId74" Type="http://schemas.openxmlformats.org/officeDocument/2006/relationships/chartsheet" Target="chartsheets/sheet48.xml"/><Relationship Id="rId79" Type="http://schemas.openxmlformats.org/officeDocument/2006/relationships/chartsheet" Target="chartsheets/sheet53.xml"/><Relationship Id="rId87" Type="http://schemas.openxmlformats.org/officeDocument/2006/relationships/chartsheet" Target="chartsheets/sheet61.xml"/><Relationship Id="rId102" Type="http://schemas.openxmlformats.org/officeDocument/2006/relationships/chartsheet" Target="chartsheets/sheet76.xml"/><Relationship Id="rId110"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chartsheet" Target="chartsheets/sheet35.xml"/><Relationship Id="rId82" Type="http://schemas.openxmlformats.org/officeDocument/2006/relationships/chartsheet" Target="chartsheets/sheet56.xml"/><Relationship Id="rId90" Type="http://schemas.openxmlformats.org/officeDocument/2006/relationships/chartsheet" Target="chartsheets/sheet64.xml"/><Relationship Id="rId95" Type="http://schemas.openxmlformats.org/officeDocument/2006/relationships/chartsheet" Target="chartsheets/sheet69.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hartsheet" Target="chartsheets/sheet1.xml"/><Relationship Id="rId30" Type="http://schemas.openxmlformats.org/officeDocument/2006/relationships/chartsheet" Target="chartsheets/sheet4.xml"/><Relationship Id="rId35" Type="http://schemas.openxmlformats.org/officeDocument/2006/relationships/chartsheet" Target="chartsheets/sheet9.xml"/><Relationship Id="rId43" Type="http://schemas.openxmlformats.org/officeDocument/2006/relationships/chartsheet" Target="chartsheets/sheet17.xml"/><Relationship Id="rId48" Type="http://schemas.openxmlformats.org/officeDocument/2006/relationships/chartsheet" Target="chartsheets/sheet22.xml"/><Relationship Id="rId56" Type="http://schemas.openxmlformats.org/officeDocument/2006/relationships/chartsheet" Target="chartsheets/sheet30.xml"/><Relationship Id="rId64" Type="http://schemas.openxmlformats.org/officeDocument/2006/relationships/chartsheet" Target="chartsheets/sheet38.xml"/><Relationship Id="rId69" Type="http://schemas.openxmlformats.org/officeDocument/2006/relationships/chartsheet" Target="chartsheets/sheet43.xml"/><Relationship Id="rId77" Type="http://schemas.openxmlformats.org/officeDocument/2006/relationships/chartsheet" Target="chartsheets/sheet51.xml"/><Relationship Id="rId100" Type="http://schemas.openxmlformats.org/officeDocument/2006/relationships/chartsheet" Target="chartsheets/sheet74.xml"/><Relationship Id="rId105" Type="http://schemas.openxmlformats.org/officeDocument/2006/relationships/chartsheet" Target="chartsheets/sheet79.xml"/><Relationship Id="rId8" Type="http://schemas.openxmlformats.org/officeDocument/2006/relationships/worksheet" Target="worksheets/sheet8.xml"/><Relationship Id="rId51" Type="http://schemas.openxmlformats.org/officeDocument/2006/relationships/chartsheet" Target="chartsheets/sheet25.xml"/><Relationship Id="rId72" Type="http://schemas.openxmlformats.org/officeDocument/2006/relationships/chartsheet" Target="chartsheets/sheet46.xml"/><Relationship Id="rId80" Type="http://schemas.openxmlformats.org/officeDocument/2006/relationships/chartsheet" Target="chartsheets/sheet54.xml"/><Relationship Id="rId85" Type="http://schemas.openxmlformats.org/officeDocument/2006/relationships/chartsheet" Target="chartsheets/sheet59.xml"/><Relationship Id="rId93" Type="http://schemas.openxmlformats.org/officeDocument/2006/relationships/chartsheet" Target="chartsheets/sheet67.xml"/><Relationship Id="rId98" Type="http://schemas.openxmlformats.org/officeDocument/2006/relationships/chartsheet" Target="chart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hartsheet" Target="chartsheets/sheet7.xml"/><Relationship Id="rId38" Type="http://schemas.openxmlformats.org/officeDocument/2006/relationships/chartsheet" Target="chartsheets/sheet12.xml"/><Relationship Id="rId46" Type="http://schemas.openxmlformats.org/officeDocument/2006/relationships/chartsheet" Target="chartsheets/sheet20.xml"/><Relationship Id="rId59" Type="http://schemas.openxmlformats.org/officeDocument/2006/relationships/chartsheet" Target="chartsheets/sheet33.xml"/><Relationship Id="rId67" Type="http://schemas.openxmlformats.org/officeDocument/2006/relationships/chartsheet" Target="chartsheets/sheet41.xml"/><Relationship Id="rId103" Type="http://schemas.openxmlformats.org/officeDocument/2006/relationships/chartsheet" Target="chartsheets/sheet77.xml"/><Relationship Id="rId108"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chartsheet" Target="chartsheets/sheet15.xml"/><Relationship Id="rId54" Type="http://schemas.openxmlformats.org/officeDocument/2006/relationships/chartsheet" Target="chartsheets/sheet28.xml"/><Relationship Id="rId62" Type="http://schemas.openxmlformats.org/officeDocument/2006/relationships/chartsheet" Target="chartsheets/sheet36.xml"/><Relationship Id="rId70" Type="http://schemas.openxmlformats.org/officeDocument/2006/relationships/chartsheet" Target="chartsheets/sheet44.xml"/><Relationship Id="rId75" Type="http://schemas.openxmlformats.org/officeDocument/2006/relationships/chartsheet" Target="chartsheets/sheet49.xml"/><Relationship Id="rId83" Type="http://schemas.openxmlformats.org/officeDocument/2006/relationships/chartsheet" Target="chartsheets/sheet57.xml"/><Relationship Id="rId88" Type="http://schemas.openxmlformats.org/officeDocument/2006/relationships/chartsheet" Target="chartsheets/sheet62.xml"/><Relationship Id="rId91" Type="http://schemas.openxmlformats.org/officeDocument/2006/relationships/chartsheet" Target="chartsheets/sheet65.xml"/><Relationship Id="rId96" Type="http://schemas.openxmlformats.org/officeDocument/2006/relationships/chartsheet" Target="chartsheets/sheet70.xml"/><Relationship Id="rId111"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hartsheet" Target="chartsheets/sheet2.xml"/><Relationship Id="rId36" Type="http://schemas.openxmlformats.org/officeDocument/2006/relationships/chartsheet" Target="chartsheets/sheet10.xml"/><Relationship Id="rId49" Type="http://schemas.openxmlformats.org/officeDocument/2006/relationships/chartsheet" Target="chartsheets/sheet23.xml"/><Relationship Id="rId57" Type="http://schemas.openxmlformats.org/officeDocument/2006/relationships/chartsheet" Target="chartsheets/sheet31.xml"/><Relationship Id="rId106" Type="http://schemas.openxmlformats.org/officeDocument/2006/relationships/chartsheet" Target="chartsheets/sheet80.xml"/><Relationship Id="rId10" Type="http://schemas.openxmlformats.org/officeDocument/2006/relationships/worksheet" Target="worksheets/sheet10.xml"/><Relationship Id="rId31" Type="http://schemas.openxmlformats.org/officeDocument/2006/relationships/chartsheet" Target="chartsheets/sheet5.xml"/><Relationship Id="rId44" Type="http://schemas.openxmlformats.org/officeDocument/2006/relationships/chartsheet" Target="chartsheets/sheet18.xml"/><Relationship Id="rId52" Type="http://schemas.openxmlformats.org/officeDocument/2006/relationships/chartsheet" Target="chartsheets/sheet26.xml"/><Relationship Id="rId60" Type="http://schemas.openxmlformats.org/officeDocument/2006/relationships/chartsheet" Target="chartsheets/sheet34.xml"/><Relationship Id="rId65" Type="http://schemas.openxmlformats.org/officeDocument/2006/relationships/chartsheet" Target="chartsheets/sheet39.xml"/><Relationship Id="rId73" Type="http://schemas.openxmlformats.org/officeDocument/2006/relationships/chartsheet" Target="chartsheets/sheet47.xml"/><Relationship Id="rId78" Type="http://schemas.openxmlformats.org/officeDocument/2006/relationships/chartsheet" Target="chartsheets/sheet52.xml"/><Relationship Id="rId81" Type="http://schemas.openxmlformats.org/officeDocument/2006/relationships/chartsheet" Target="chartsheets/sheet55.xml"/><Relationship Id="rId86" Type="http://schemas.openxmlformats.org/officeDocument/2006/relationships/chartsheet" Target="chartsheets/sheet60.xml"/><Relationship Id="rId94" Type="http://schemas.openxmlformats.org/officeDocument/2006/relationships/chartsheet" Target="chartsheets/sheet68.xml"/><Relationship Id="rId99" Type="http://schemas.openxmlformats.org/officeDocument/2006/relationships/chartsheet" Target="chartsheets/sheet73.xml"/><Relationship Id="rId101" Type="http://schemas.openxmlformats.org/officeDocument/2006/relationships/chartsheet" Target="chartsheets/sheet7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chartsheet" Target="chartsheets/sheet13.xml"/><Relationship Id="rId109" Type="http://schemas.openxmlformats.org/officeDocument/2006/relationships/sharedStrings" Target="sharedStrings.xml"/><Relationship Id="rId34" Type="http://schemas.openxmlformats.org/officeDocument/2006/relationships/chartsheet" Target="chartsheets/sheet8.xml"/><Relationship Id="rId50" Type="http://schemas.openxmlformats.org/officeDocument/2006/relationships/chartsheet" Target="chartsheets/sheet24.xml"/><Relationship Id="rId55" Type="http://schemas.openxmlformats.org/officeDocument/2006/relationships/chartsheet" Target="chartsheets/sheet29.xml"/><Relationship Id="rId76" Type="http://schemas.openxmlformats.org/officeDocument/2006/relationships/chartsheet" Target="chartsheets/sheet50.xml"/><Relationship Id="rId97" Type="http://schemas.openxmlformats.org/officeDocument/2006/relationships/chartsheet" Target="chartsheets/sheet71.xml"/><Relationship Id="rId104" Type="http://schemas.openxmlformats.org/officeDocument/2006/relationships/chartsheet" Target="chartsheets/sheet78.xml"/><Relationship Id="rId7" Type="http://schemas.openxmlformats.org/officeDocument/2006/relationships/worksheet" Target="worksheets/sheet7.xml"/><Relationship Id="rId71" Type="http://schemas.openxmlformats.org/officeDocument/2006/relationships/chartsheet" Target="chartsheets/sheet45.xml"/><Relationship Id="rId92" Type="http://schemas.openxmlformats.org/officeDocument/2006/relationships/chartsheet" Target="chartsheets/sheet66.xml"/></Relationships>
</file>

<file path=xl/charts/_rels/chart72.xml.rels><?xml version="1.0" encoding="UTF-8" standalone="yes"?>
<Relationships xmlns="http://schemas.openxmlformats.org/package/2006/relationships"><Relationship Id="rId1" Type="http://schemas.openxmlformats.org/officeDocument/2006/relationships/chartUserShapes" Target="../drawings/drawing7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Cumulative Rate Increase over Base Rates
</a:t>
            </a:r>
          </a:p>
        </c:rich>
      </c:tx>
      <c:layout>
        <c:manualLayout>
          <c:xMode val="edge"/>
          <c:yMode val="edge"/>
          <c:x val="0.31742508324084501"/>
          <c:y val="1.9575856443719449E-2"/>
        </c:manualLayout>
      </c:layout>
      <c:overlay val="0"/>
      <c:spPr>
        <a:noFill/>
        <a:ln w="25400">
          <a:noFill/>
        </a:ln>
      </c:spPr>
    </c:title>
    <c:autoTitleDeleted val="0"/>
    <c:plotArea>
      <c:layout>
        <c:manualLayout>
          <c:layoutTarget val="inner"/>
          <c:xMode val="edge"/>
          <c:yMode val="edge"/>
          <c:x val="0.11431742508324086"/>
          <c:y val="8.9722675367047644E-2"/>
          <c:w val="0.87458379578246237"/>
          <c:h val="0.78955954323001631"/>
        </c:manualLayout>
      </c:layout>
      <c:lineChart>
        <c:grouping val="standard"/>
        <c:varyColors val="0"/>
        <c:ser>
          <c:idx val="0"/>
          <c:order val="0"/>
          <c:spPr>
            <a:ln w="3175">
              <a:solidFill>
                <a:srgbClr val="FF0000"/>
              </a:solidFill>
              <a:prstDash val="solid"/>
            </a:ln>
          </c:spPr>
          <c:marker>
            <c:symbol val="square"/>
            <c:size val="5"/>
            <c:spPr>
              <a:solidFill>
                <a:srgbClr val="FF0000"/>
              </a:solidFill>
              <a:ln w="9525">
                <a:noFill/>
              </a:ln>
            </c:spPr>
          </c:marker>
          <c:cat>
            <c:numRef>
              <c:f>'a &amp; b'!$E$12:$N$12</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'a &amp; b'!$E$32:$N$32</c:f>
              <c:numCache>
                <c:formatCode>0.00_)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CBBE-4B57-AC2E-BA0A3BBF8B38}"/>
            </c:ext>
          </c:extLst>
        </c:ser>
        <c:dLbls>
          <c:showLegendKey val="0"/>
          <c:showVal val="0"/>
          <c:showCatName val="0"/>
          <c:showSerName val="0"/>
          <c:showPercent val="0"/>
          <c:showBubbleSize val="0"/>
        </c:dLbls>
        <c:marker val="1"/>
        <c:smooth val="0"/>
        <c:axId val="489960640"/>
        <c:axId val="489961032"/>
      </c:lineChart>
      <c:catAx>
        <c:axId val="489960640"/>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Years</a:t>
                </a:r>
              </a:p>
            </c:rich>
          </c:tx>
          <c:layout>
            <c:manualLayout>
              <c:xMode val="edge"/>
              <c:yMode val="edge"/>
              <c:x val="0.52497225305216422"/>
              <c:y val="0.92985318107667159"/>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89961032"/>
        <c:crosses val="autoZero"/>
        <c:auto val="0"/>
        <c:lblAlgn val="ctr"/>
        <c:lblOffset val="100"/>
        <c:tickLblSkip val="2"/>
        <c:tickMarkSkip val="1"/>
        <c:noMultiLvlLbl val="0"/>
      </c:catAx>
      <c:valAx>
        <c:axId val="48996103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Cumul Rate Increase over Present Rates (%)</a:t>
                </a:r>
              </a:p>
            </c:rich>
          </c:tx>
          <c:layout>
            <c:manualLayout>
              <c:xMode val="edge"/>
              <c:yMode val="edge"/>
              <c:x val="3.6625971143174313E-2"/>
              <c:y val="0.20554649265905409"/>
            </c:manualLayout>
          </c:layout>
          <c:overlay val="0"/>
          <c:spPr>
            <a:noFill/>
            <a:ln w="25400">
              <a:noFill/>
            </a:ln>
          </c:spPr>
        </c:title>
        <c:numFmt formatCode="0.00_)"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89960640"/>
        <c:crosses val="autoZero"/>
        <c:crossBetween val="between"/>
      </c:valAx>
      <c:spPr>
        <a:solidFill>
          <a:srgbClr val="C0C0C0"/>
        </a:solidFill>
        <a:ln w="12700">
          <a:solidFill>
            <a:srgbClr val="808080"/>
          </a:solidFill>
          <a:prstDash val="solid"/>
        </a:ln>
      </c:spPr>
    </c:plotArea>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Total Utility Plant per MWh Sold
</a:t>
            </a:r>
          </a:p>
        </c:rich>
      </c:tx>
      <c:layout>
        <c:manualLayout>
          <c:xMode val="edge"/>
          <c:yMode val="edge"/>
          <c:x val="0.36403995560488395"/>
          <c:y val="1.9575856443719449E-2"/>
        </c:manualLayout>
      </c:layout>
      <c:overlay val="0"/>
      <c:spPr>
        <a:noFill/>
        <a:ln w="25400">
          <a:noFill/>
        </a:ln>
      </c:spPr>
    </c:title>
    <c:autoTitleDeleted val="0"/>
    <c:plotArea>
      <c:layout>
        <c:manualLayout>
          <c:layoutTarget val="inner"/>
          <c:xMode val="edge"/>
          <c:yMode val="edge"/>
          <c:x val="9.3229744728080113E-2"/>
          <c:y val="9.2985318107667206E-2"/>
          <c:w val="0.89567147613762588"/>
          <c:h val="0.76998368678629692"/>
        </c:manualLayout>
      </c:layout>
      <c:lineChart>
        <c:grouping val="standard"/>
        <c:varyColors val="0"/>
        <c:ser>
          <c:idx val="0"/>
          <c:order val="0"/>
          <c:tx>
            <c:v>Total Utility Plant per kWh Sold</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Data'!$DI$7:$DI$69</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formatCode="0.00_)">
                  <c:v>0</c:v>
                </c:pt>
                <c:pt idx="54" formatCode="0.00_)">
                  <c:v>0</c:v>
                </c:pt>
                <c:pt idx="55" formatCode="0.00_)">
                  <c:v>0</c:v>
                </c:pt>
                <c:pt idx="56" formatCode="0.00_)">
                  <c:v>0</c:v>
                </c:pt>
                <c:pt idx="57" formatCode="0.00_)">
                  <c:v>0</c:v>
                </c:pt>
                <c:pt idx="58" formatCode="0.00_)">
                  <c:v>0</c:v>
                </c:pt>
                <c:pt idx="59" formatCode="0.00_)">
                  <c:v>0</c:v>
                </c:pt>
                <c:pt idx="60" formatCode="0.00_)">
                  <c:v>0</c:v>
                </c:pt>
                <c:pt idx="61" formatCode="0.00_)">
                  <c:v>0</c:v>
                </c:pt>
                <c:pt idx="62" formatCode="0.00_)">
                  <c:v>0</c:v>
                </c:pt>
              </c:numCache>
            </c:numRef>
          </c:val>
          <c:smooth val="0"/>
          <c:extLst>
            <c:ext xmlns:c16="http://schemas.microsoft.com/office/drawing/2014/chart" uri="{C3380CC4-5D6E-409C-BE32-E72D297353CC}">
              <c16:uniqueId val="{00000000-A844-4F69-B681-B34CA1306693}"/>
            </c:ext>
          </c:extLst>
        </c:ser>
        <c:dLbls>
          <c:showLegendKey val="0"/>
          <c:showVal val="0"/>
          <c:showCatName val="0"/>
          <c:showSerName val="0"/>
          <c:showPercent val="0"/>
          <c:showBubbleSize val="0"/>
        </c:dLbls>
        <c:marker val="1"/>
        <c:smooth val="0"/>
        <c:axId val="406254496"/>
        <c:axId val="476272640"/>
      </c:lineChart>
      <c:catAx>
        <c:axId val="406254496"/>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1831298557158656"/>
              <c:y val="0.91353996737357379"/>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76272640"/>
        <c:crosses val="autoZero"/>
        <c:auto val="0"/>
        <c:lblAlgn val="ctr"/>
        <c:lblOffset val="100"/>
        <c:tickLblSkip val="2"/>
        <c:tickMarkSkip val="1"/>
        <c:noMultiLvlLbl val="0"/>
      </c:catAx>
      <c:valAx>
        <c:axId val="47627264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Total Utilily Plant / MWh Sold  (Dollars)</a:t>
                </a:r>
              </a:p>
            </c:rich>
          </c:tx>
          <c:layout>
            <c:manualLayout>
              <c:xMode val="edge"/>
              <c:yMode val="edge"/>
              <c:x val="1.5538290788013319E-2"/>
              <c:y val="0.23817292006525267"/>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06254496"/>
        <c:crosses val="autoZero"/>
        <c:crossBetween val="between"/>
      </c:valAx>
      <c:spPr>
        <a:solidFill>
          <a:srgbClr val="C0C0C0"/>
        </a:solidFill>
        <a:ln w="12700">
          <a:solidFill>
            <a:srgbClr val="808080"/>
          </a:solidFill>
          <a:prstDash val="solid"/>
        </a:ln>
      </c:spPr>
    </c:plotArea>
    <c:legend>
      <c:legendPos val="b"/>
      <c:layout>
        <c:manualLayout>
          <c:xMode val="edge"/>
          <c:yMode val="edge"/>
          <c:x val="0.40843507214206437"/>
          <c:y val="0.96084828711256165"/>
          <c:w val="0.26637069922308643"/>
          <c:h val="3.9151712887438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Administrative &amp; General Expense ($)
</a:t>
            </a:r>
          </a:p>
        </c:rich>
      </c:tx>
      <c:layout>
        <c:manualLayout>
          <c:xMode val="edge"/>
          <c:yMode val="edge"/>
          <c:x val="0.33962264150943494"/>
          <c:y val="1.9575856443719449E-2"/>
        </c:manualLayout>
      </c:layout>
      <c:overlay val="0"/>
      <c:spPr>
        <a:noFill/>
        <a:ln w="25400">
          <a:noFill/>
        </a:ln>
      </c:spPr>
    </c:title>
    <c:autoTitleDeleted val="0"/>
    <c:plotArea>
      <c:layout>
        <c:manualLayout>
          <c:layoutTarget val="inner"/>
          <c:xMode val="edge"/>
          <c:yMode val="edge"/>
          <c:x val="7.3251942286348501E-2"/>
          <c:y val="0.10440456769983671"/>
          <c:w val="0.91564927857935785"/>
          <c:h val="0.73898858075040752"/>
        </c:manualLayout>
      </c:layout>
      <c:lineChart>
        <c:grouping val="standard"/>
        <c:varyColors val="0"/>
        <c:ser>
          <c:idx val="0"/>
          <c:order val="0"/>
          <c:tx>
            <c:v>A&amp;G Expense</c:v>
          </c:tx>
          <c:spPr>
            <a:ln w="3175">
              <a:solidFill>
                <a:srgbClr val="FF0000"/>
              </a:solidFill>
              <a:prstDash val="solid"/>
            </a:ln>
          </c:spPr>
          <c:marker>
            <c:symbol val="square"/>
            <c:size val="5"/>
            <c:spPr>
              <a:solidFill>
                <a:srgbClr val="FF0000"/>
              </a:solidFill>
              <a:ln w="9525">
                <a:noFill/>
              </a:ln>
            </c:spPr>
          </c:marker>
          <c:cat>
            <c:numRef>
              <c:f>'k - Exp'!$D$5:$P$5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'k - Exp'!$D$16:$P$16</c:f>
              <c:numCache>
                <c:formatCode>#,##0_);\(#,##0\)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5C6A-49DC-A8D6-1E549414664A}"/>
            </c:ext>
          </c:extLst>
        </c:ser>
        <c:dLbls>
          <c:showLegendKey val="0"/>
          <c:showVal val="0"/>
          <c:showCatName val="0"/>
          <c:showSerName val="0"/>
          <c:showPercent val="0"/>
          <c:showBubbleSize val="0"/>
        </c:dLbls>
        <c:marker val="1"/>
        <c:smooth val="0"/>
        <c:axId val="381482256"/>
        <c:axId val="381482648"/>
      </c:lineChart>
      <c:catAx>
        <c:axId val="381482256"/>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832408435072141"/>
              <c:y val="0.89396411092985317"/>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81482648"/>
        <c:crosses val="autoZero"/>
        <c:auto val="0"/>
        <c:lblAlgn val="ctr"/>
        <c:lblOffset val="100"/>
        <c:tickLblSkip val="2"/>
        <c:tickMarkSkip val="1"/>
        <c:noMultiLvlLbl val="0"/>
      </c:catAx>
      <c:valAx>
        <c:axId val="38148264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A&amp;G Expense (Dollars)</a:t>
                </a:r>
              </a:p>
            </c:rich>
          </c:tx>
          <c:layout>
            <c:manualLayout>
              <c:xMode val="edge"/>
              <c:yMode val="edge"/>
              <c:x val="1.5538290788013319E-2"/>
              <c:y val="0.32626427406199032"/>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81482256"/>
        <c:crosses val="autoZero"/>
        <c:crossBetween val="between"/>
      </c:valAx>
      <c:spPr>
        <a:solidFill>
          <a:srgbClr val="C0C0C0"/>
        </a:solidFill>
        <a:ln w="12700">
          <a:solidFill>
            <a:srgbClr val="808080"/>
          </a:solidFill>
          <a:prstDash val="solid"/>
        </a:ln>
      </c:spPr>
    </c:plotArea>
    <c:legend>
      <c:legendPos val="b"/>
      <c:layout>
        <c:manualLayout>
          <c:xMode val="edge"/>
          <c:yMode val="edge"/>
          <c:x val="0.46170921198668147"/>
          <c:y val="0.95921696574224835"/>
          <c:w val="0.14095449500554921"/>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A&amp;G Expense to Total Utility Plant Ratio
</a:t>
            </a:r>
          </a:p>
        </c:rich>
      </c:tx>
      <c:layout>
        <c:manualLayout>
          <c:xMode val="edge"/>
          <c:yMode val="edge"/>
          <c:x val="0.32963374028856834"/>
          <c:y val="1.9575856443719449E-2"/>
        </c:manualLayout>
      </c:layout>
      <c:overlay val="0"/>
      <c:spPr>
        <a:noFill/>
        <a:ln w="25400">
          <a:noFill/>
        </a:ln>
      </c:spPr>
    </c:title>
    <c:autoTitleDeleted val="0"/>
    <c:plotArea>
      <c:layout>
        <c:manualLayout>
          <c:layoutTarget val="inner"/>
          <c:xMode val="edge"/>
          <c:yMode val="edge"/>
          <c:x val="9.655937846836872E-2"/>
          <c:y val="0.10114192495921713"/>
          <c:w val="0.8923418423973366"/>
          <c:h val="0.74714518760195769"/>
        </c:manualLayout>
      </c:layout>
      <c:lineChart>
        <c:grouping val="standard"/>
        <c:varyColors val="0"/>
        <c:ser>
          <c:idx val="0"/>
          <c:order val="0"/>
          <c:tx>
            <c:v>A&amp;G / TUP</c:v>
          </c:tx>
          <c:spPr>
            <a:ln w="3175">
              <a:solidFill>
                <a:srgbClr val="FF0000"/>
              </a:solidFill>
              <a:prstDash val="solid"/>
            </a:ln>
          </c:spPr>
          <c:marker>
            <c:symbol val="square"/>
            <c:size val="5"/>
            <c:spPr>
              <a:solidFill>
                <a:srgbClr val="FF0000"/>
              </a:solidFill>
              <a:ln w="9525">
                <a:noFill/>
              </a:ln>
            </c:spPr>
          </c:marker>
          <c:cat>
            <c:numRef>
              <c:f>'k - Exp'!$D$5:$P$5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'k - Exp'!$D$17:$P$17</c:f>
              <c:numCache>
                <c:formatCode>#,##0.000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D9D1-468B-810A-D1798EAC4A04}"/>
            </c:ext>
          </c:extLst>
        </c:ser>
        <c:dLbls>
          <c:showLegendKey val="0"/>
          <c:showVal val="0"/>
          <c:showCatName val="0"/>
          <c:showSerName val="0"/>
          <c:showPercent val="0"/>
          <c:showBubbleSize val="0"/>
        </c:dLbls>
        <c:marker val="1"/>
        <c:smooth val="0"/>
        <c:axId val="381483432"/>
        <c:axId val="381483824"/>
      </c:lineChart>
      <c:catAx>
        <c:axId val="381483432"/>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2053274139844496"/>
              <c:y val="0.8988580750407836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81483824"/>
        <c:crosses val="autoZero"/>
        <c:auto val="0"/>
        <c:lblAlgn val="ctr"/>
        <c:lblOffset val="100"/>
        <c:tickLblSkip val="2"/>
        <c:tickMarkSkip val="1"/>
        <c:noMultiLvlLbl val="0"/>
      </c:catAx>
      <c:valAx>
        <c:axId val="38148382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A&amp;G divided by TUP (Percent)</a:t>
                </a:r>
              </a:p>
            </c:rich>
          </c:tx>
          <c:layout>
            <c:manualLayout>
              <c:xMode val="edge"/>
              <c:yMode val="edge"/>
              <c:x val="1.5538290788013319E-2"/>
              <c:y val="0.28384991843393143"/>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81483432"/>
        <c:crosses val="autoZero"/>
        <c:crossBetween val="between"/>
      </c:valAx>
      <c:spPr>
        <a:solidFill>
          <a:srgbClr val="C0C0C0"/>
        </a:solidFill>
        <a:ln w="12700">
          <a:solidFill>
            <a:srgbClr val="808080"/>
          </a:solidFill>
          <a:prstDash val="solid"/>
        </a:ln>
      </c:spPr>
    </c:plotArea>
    <c:legend>
      <c:legendPos val="b"/>
      <c:layout>
        <c:manualLayout>
          <c:xMode val="edge"/>
          <c:yMode val="edge"/>
          <c:x val="0.48834628190899088"/>
          <c:y val="0.95921696574224835"/>
          <c:w val="0.11875693673695914"/>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Administrative &amp; General Expense ($)
</a:t>
            </a:r>
          </a:p>
        </c:rich>
      </c:tx>
      <c:layout>
        <c:manualLayout>
          <c:xMode val="edge"/>
          <c:yMode val="edge"/>
          <c:x val="0.33962264150943494"/>
          <c:y val="1.9575856443719449E-2"/>
        </c:manualLayout>
      </c:layout>
      <c:overlay val="0"/>
      <c:spPr>
        <a:noFill/>
        <a:ln w="25400">
          <a:noFill/>
        </a:ln>
      </c:spPr>
    </c:title>
    <c:autoTitleDeleted val="0"/>
    <c:plotArea>
      <c:layout>
        <c:manualLayout>
          <c:layoutTarget val="inner"/>
          <c:xMode val="edge"/>
          <c:yMode val="edge"/>
          <c:x val="6.8812430632630622E-2"/>
          <c:y val="0.10603588907014692"/>
          <c:w val="0.92008879023307533"/>
          <c:h val="0.74061990212071904"/>
        </c:manualLayout>
      </c:layout>
      <c:lineChart>
        <c:grouping val="standard"/>
        <c:varyColors val="0"/>
        <c:ser>
          <c:idx val="0"/>
          <c:order val="0"/>
          <c:tx>
            <c:v>A&amp;G Expense</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Data'!$AM$7:$AM$69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0-37CE-4771-9A3B-4139CDCDCAA7}"/>
            </c:ext>
          </c:extLst>
        </c:ser>
        <c:dLbls>
          <c:showLegendKey val="0"/>
          <c:showVal val="0"/>
          <c:showCatName val="0"/>
          <c:showSerName val="0"/>
          <c:showPercent val="0"/>
          <c:showBubbleSize val="0"/>
        </c:dLbls>
        <c:marker val="1"/>
        <c:smooth val="0"/>
        <c:axId val="374059696"/>
        <c:axId val="374060088"/>
      </c:lineChart>
      <c:catAx>
        <c:axId val="374059696"/>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610432852386233"/>
              <c:y val="0.89722675367047411"/>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74060088"/>
        <c:crosses val="autoZero"/>
        <c:auto val="0"/>
        <c:lblAlgn val="ctr"/>
        <c:lblOffset val="100"/>
        <c:tickLblSkip val="2"/>
        <c:tickMarkSkip val="1"/>
        <c:noMultiLvlLbl val="0"/>
      </c:catAx>
      <c:valAx>
        <c:axId val="37406008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A&amp;G Expense (Dollars)</a:t>
                </a:r>
              </a:p>
            </c:rich>
          </c:tx>
          <c:layout>
            <c:manualLayout>
              <c:xMode val="edge"/>
              <c:yMode val="edge"/>
              <c:x val="1.5538290788013319E-2"/>
              <c:y val="0.329526916802611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74059696"/>
        <c:crosses val="autoZero"/>
        <c:crossBetween val="between"/>
      </c:valAx>
      <c:spPr>
        <a:solidFill>
          <a:srgbClr val="C0C0C0"/>
        </a:solidFill>
        <a:ln w="12700">
          <a:solidFill>
            <a:srgbClr val="808080"/>
          </a:solidFill>
          <a:prstDash val="solid"/>
        </a:ln>
      </c:spPr>
    </c:plotArea>
    <c:legend>
      <c:legendPos val="b"/>
      <c:layout>
        <c:manualLayout>
          <c:xMode val="edge"/>
          <c:yMode val="edge"/>
          <c:x val="0.45948945615982295"/>
          <c:y val="0.95921696574224835"/>
          <c:w val="0.14095449500554924"/>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A&amp;G Expense to Total Utility Plant Ratio
</a:t>
            </a:r>
          </a:p>
        </c:rich>
      </c:tx>
      <c:layout>
        <c:manualLayout>
          <c:xMode val="edge"/>
          <c:yMode val="edge"/>
          <c:x val="0.32963374028856834"/>
          <c:y val="1.9575856443719449E-2"/>
        </c:manualLayout>
      </c:layout>
      <c:overlay val="0"/>
      <c:spPr>
        <a:noFill/>
        <a:ln w="25400">
          <a:noFill/>
        </a:ln>
      </c:spPr>
    </c:title>
    <c:autoTitleDeleted val="0"/>
    <c:plotArea>
      <c:layout>
        <c:manualLayout>
          <c:layoutTarget val="inner"/>
          <c:xMode val="edge"/>
          <c:yMode val="edge"/>
          <c:x val="0.11542730299667039"/>
          <c:y val="9.2985318107667206E-2"/>
          <c:w val="0.87347391786903461"/>
          <c:h val="0.76345840130505704"/>
        </c:manualLayout>
      </c:layout>
      <c:lineChart>
        <c:grouping val="standard"/>
        <c:varyColors val="0"/>
        <c:ser>
          <c:idx val="0"/>
          <c:order val="0"/>
          <c:tx>
            <c:v>A&amp;G / TUP</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Data'!$CX$7:$CX$69</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0-AAD4-4A06-B720-F0D9B79B7643}"/>
            </c:ext>
          </c:extLst>
        </c:ser>
        <c:dLbls>
          <c:showLegendKey val="0"/>
          <c:showVal val="0"/>
          <c:showCatName val="0"/>
          <c:showSerName val="0"/>
          <c:showPercent val="0"/>
          <c:showBubbleSize val="0"/>
        </c:dLbls>
        <c:marker val="1"/>
        <c:smooth val="0"/>
        <c:axId val="374060872"/>
        <c:axId val="349745888"/>
      </c:lineChart>
      <c:catAx>
        <c:axId val="374060872"/>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2941176470588236"/>
              <c:y val="0.90701468189233136"/>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49745888"/>
        <c:crosses val="autoZero"/>
        <c:auto val="0"/>
        <c:lblAlgn val="ctr"/>
        <c:lblOffset val="100"/>
        <c:tickLblSkip val="2"/>
        <c:tickMarkSkip val="1"/>
        <c:noMultiLvlLbl val="0"/>
      </c:catAx>
      <c:valAx>
        <c:axId val="34974588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A&amp;G divided by TUP (Percent)</a:t>
                </a:r>
              </a:p>
            </c:rich>
          </c:tx>
          <c:layout>
            <c:manualLayout>
              <c:xMode val="edge"/>
              <c:yMode val="edge"/>
              <c:x val="1.5538290788013319E-2"/>
              <c:y val="0.2838499184339314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74060872"/>
        <c:crosses val="autoZero"/>
        <c:crossBetween val="between"/>
      </c:valAx>
      <c:spPr>
        <a:solidFill>
          <a:srgbClr val="C0C0C0"/>
        </a:solidFill>
        <a:ln w="12700">
          <a:solidFill>
            <a:srgbClr val="808080"/>
          </a:solidFill>
          <a:prstDash val="solid"/>
        </a:ln>
      </c:spPr>
    </c:plotArea>
    <c:legend>
      <c:legendPos val="r"/>
      <c:layout>
        <c:manualLayout>
          <c:xMode val="edge"/>
          <c:yMode val="edge"/>
          <c:x val="0.49833518312985697"/>
          <c:y val="0.96084828711256165"/>
          <c:w val="0.11875693673695872"/>
          <c:h val="3.9151712887438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Consumer Accounting, Service &amp; Sales Expense
</a:t>
            </a:r>
          </a:p>
        </c:rich>
      </c:tx>
      <c:layout>
        <c:manualLayout>
          <c:xMode val="edge"/>
          <c:yMode val="edge"/>
          <c:x val="0.29078801331853532"/>
          <c:y val="1.9575856443719449E-2"/>
        </c:manualLayout>
      </c:layout>
      <c:overlay val="0"/>
      <c:spPr>
        <a:noFill/>
        <a:ln w="25400">
          <a:noFill/>
        </a:ln>
      </c:spPr>
    </c:title>
    <c:autoTitleDeleted val="0"/>
    <c:plotArea>
      <c:layout>
        <c:manualLayout>
          <c:layoutTarget val="inner"/>
          <c:xMode val="edge"/>
          <c:yMode val="edge"/>
          <c:x val="9.4339622641509524E-2"/>
          <c:y val="9.9510603588907065E-2"/>
          <c:w val="0.89456159822419534"/>
          <c:h val="0.74714518760195769"/>
        </c:manualLayout>
      </c:layout>
      <c:lineChart>
        <c:grouping val="standard"/>
        <c:varyColors val="0"/>
        <c:ser>
          <c:idx val="0"/>
          <c:order val="0"/>
          <c:tx>
            <c:v>Cons Acct, Service, Sales Expense</c:v>
          </c:tx>
          <c:spPr>
            <a:ln w="3175">
              <a:solidFill>
                <a:srgbClr val="FF0000"/>
              </a:solidFill>
              <a:prstDash val="solid"/>
            </a:ln>
          </c:spPr>
          <c:marker>
            <c:symbol val="square"/>
            <c:size val="5"/>
            <c:spPr>
              <a:solidFill>
                <a:srgbClr val="FF0000"/>
              </a:solidFill>
              <a:ln w="9525">
                <a:noFill/>
              </a:ln>
            </c:spPr>
          </c:marker>
          <c:cat>
            <c:numRef>
              <c:f>'k - Exp'!$D$5:$P$5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'k - Exp'!$D$27:$P$27</c:f>
              <c:numCache>
                <c:formatCode>#,##0_);\(#,##0\)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BF3D-4845-A61D-432C4A51495B}"/>
            </c:ext>
          </c:extLst>
        </c:ser>
        <c:dLbls>
          <c:showLegendKey val="0"/>
          <c:showVal val="0"/>
          <c:showCatName val="0"/>
          <c:showSerName val="0"/>
          <c:showPercent val="0"/>
          <c:showBubbleSize val="0"/>
        </c:dLbls>
        <c:marker val="1"/>
        <c:smooth val="0"/>
        <c:axId val="349746672"/>
        <c:axId val="349747064"/>
      </c:lineChart>
      <c:catAx>
        <c:axId val="349746672"/>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1942286348501654"/>
              <c:y val="0.89722675367047411"/>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49747064"/>
        <c:crosses val="autoZero"/>
        <c:auto val="0"/>
        <c:lblAlgn val="ctr"/>
        <c:lblOffset val="100"/>
        <c:tickLblSkip val="2"/>
        <c:tickMarkSkip val="1"/>
        <c:noMultiLvlLbl val="0"/>
      </c:catAx>
      <c:valAx>
        <c:axId val="34974706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Consumer Acct, Service &amp; Sales (Dollars)</a:t>
                </a:r>
              </a:p>
            </c:rich>
          </c:tx>
          <c:layout>
            <c:manualLayout>
              <c:xMode val="edge"/>
              <c:yMode val="edge"/>
              <c:x val="3.6625971143174313E-2"/>
              <c:y val="0.21370309951060396"/>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49746672"/>
        <c:crosses val="autoZero"/>
        <c:crossBetween val="between"/>
      </c:valAx>
      <c:spPr>
        <a:solidFill>
          <a:srgbClr val="C0C0C0"/>
        </a:solidFill>
        <a:ln w="12700">
          <a:solidFill>
            <a:srgbClr val="808080"/>
          </a:solidFill>
          <a:prstDash val="solid"/>
        </a:ln>
      </c:spPr>
    </c:plotArea>
    <c:legend>
      <c:legendPos val="b"/>
      <c:layout>
        <c:manualLayout>
          <c:xMode val="edge"/>
          <c:yMode val="edge"/>
          <c:x val="0.39289678135405287"/>
          <c:y val="0.95921696574224835"/>
          <c:w val="0.28856825749167547"/>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Consumer Accounting, Service &amp; Sales Expense per Consumer
</a:t>
            </a:r>
          </a:p>
        </c:rich>
      </c:tx>
      <c:layout>
        <c:manualLayout>
          <c:xMode val="edge"/>
          <c:yMode val="edge"/>
          <c:x val="0.22863485016648191"/>
          <c:y val="1.9575856443719449E-2"/>
        </c:manualLayout>
      </c:layout>
      <c:overlay val="0"/>
      <c:spPr>
        <a:noFill/>
        <a:ln w="25400">
          <a:noFill/>
        </a:ln>
      </c:spPr>
    </c:title>
    <c:autoTitleDeleted val="0"/>
    <c:plotArea>
      <c:layout>
        <c:manualLayout>
          <c:layoutTarget val="inner"/>
          <c:xMode val="edge"/>
          <c:yMode val="edge"/>
          <c:x val="6.2153163152053312E-2"/>
          <c:y val="9.9510603588907065E-2"/>
          <c:w val="0.92785793562708163"/>
          <c:h val="0.74388254486133643"/>
        </c:manualLayout>
      </c:layout>
      <c:lineChart>
        <c:grouping val="standard"/>
        <c:varyColors val="0"/>
        <c:ser>
          <c:idx val="0"/>
          <c:order val="0"/>
          <c:tx>
            <c:v>Cons Acct, Service, Sales per Consumer</c:v>
          </c:tx>
          <c:spPr>
            <a:ln w="3175">
              <a:solidFill>
                <a:srgbClr val="FF0000"/>
              </a:solidFill>
              <a:prstDash val="solid"/>
            </a:ln>
          </c:spPr>
          <c:marker>
            <c:symbol val="square"/>
            <c:size val="5"/>
            <c:spPr>
              <a:solidFill>
                <a:srgbClr val="FF0000"/>
              </a:solidFill>
              <a:ln w="9525">
                <a:noFill/>
              </a:ln>
            </c:spPr>
          </c:marker>
          <c:cat>
            <c:numRef>
              <c:f>'k - Exp'!$D$5:$P$5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'k - Exp'!$D$28:$P$28</c:f>
              <c:numCache>
                <c:formatCode>#,##0.000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725E-4F23-BFB1-AAA383BCF8A2}"/>
            </c:ext>
          </c:extLst>
        </c:ser>
        <c:dLbls>
          <c:showLegendKey val="0"/>
          <c:showVal val="0"/>
          <c:showCatName val="0"/>
          <c:showSerName val="0"/>
          <c:showPercent val="0"/>
          <c:showBubbleSize val="0"/>
        </c:dLbls>
        <c:marker val="1"/>
        <c:smooth val="0"/>
        <c:axId val="591483208"/>
        <c:axId val="591483600"/>
      </c:lineChart>
      <c:catAx>
        <c:axId val="591483208"/>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38845726970036"/>
              <c:y val="0.89396411092985317"/>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91483600"/>
        <c:crosses val="autoZero"/>
        <c:auto val="0"/>
        <c:lblAlgn val="ctr"/>
        <c:lblOffset val="100"/>
        <c:tickLblSkip val="2"/>
        <c:tickMarkSkip val="1"/>
        <c:noMultiLvlLbl val="0"/>
      </c:catAx>
      <c:valAx>
        <c:axId val="59148360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Cons Acct, Service, Sales per Cons ($/Cons)</a:t>
                </a:r>
              </a:p>
            </c:rich>
          </c:tx>
          <c:layout>
            <c:manualLayout>
              <c:xMode val="edge"/>
              <c:yMode val="edge"/>
              <c:x val="0"/>
              <c:y val="0.19249592169657423"/>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91483208"/>
        <c:crosses val="autoZero"/>
        <c:crossBetween val="between"/>
      </c:valAx>
      <c:spPr>
        <a:solidFill>
          <a:srgbClr val="C0C0C0"/>
        </a:solidFill>
        <a:ln w="12700">
          <a:solidFill>
            <a:srgbClr val="808080"/>
          </a:solidFill>
          <a:prstDash val="solid"/>
        </a:ln>
      </c:spPr>
    </c:plotArea>
    <c:legend>
      <c:legendPos val="b"/>
      <c:layout>
        <c:manualLayout>
          <c:xMode val="edge"/>
          <c:yMode val="edge"/>
          <c:x val="0.36071032186459545"/>
          <c:y val="0.95921696574224835"/>
          <c:w val="0.32741398446170938"/>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Consumer Accounting, Service &amp; Sales Expense
</a:t>
            </a:r>
          </a:p>
        </c:rich>
      </c:tx>
      <c:layout>
        <c:manualLayout>
          <c:xMode val="edge"/>
          <c:yMode val="edge"/>
          <c:x val="0.29078801331853532"/>
          <c:y val="1.9575856443719449E-2"/>
        </c:manualLayout>
      </c:layout>
      <c:overlay val="0"/>
      <c:spPr>
        <a:noFill/>
        <a:ln w="25400">
          <a:noFill/>
        </a:ln>
      </c:spPr>
    </c:title>
    <c:autoTitleDeleted val="0"/>
    <c:plotArea>
      <c:layout>
        <c:manualLayout>
          <c:layoutTarget val="inner"/>
          <c:xMode val="edge"/>
          <c:yMode val="edge"/>
          <c:x val="9.4339622641509524E-2"/>
          <c:y val="9.461663947797716E-2"/>
          <c:w val="0.89456159822419534"/>
          <c:h val="0.7520391517128876"/>
        </c:manualLayout>
      </c:layout>
      <c:lineChart>
        <c:grouping val="standard"/>
        <c:varyColors val="0"/>
        <c:ser>
          <c:idx val="0"/>
          <c:order val="0"/>
          <c:tx>
            <c:v>Cons Acct, Service, Sales Expense</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Data'!$DN$7:$DN$69</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formatCode="#,##0_);\(#,##0\)">
                  <c:v>0</c:v>
                </c:pt>
                <c:pt idx="54" formatCode="#,##0_);\(#,##0\)">
                  <c:v>0</c:v>
                </c:pt>
                <c:pt idx="55" formatCode="#,##0_);\(#,##0\)">
                  <c:v>0</c:v>
                </c:pt>
                <c:pt idx="56" formatCode="#,##0_);\(#,##0\)">
                  <c:v>0</c:v>
                </c:pt>
                <c:pt idx="57" formatCode="#,##0_);\(#,##0\)">
                  <c:v>0</c:v>
                </c:pt>
                <c:pt idx="58" formatCode="#,##0_);\(#,##0\)">
                  <c:v>0</c:v>
                </c:pt>
                <c:pt idx="59" formatCode="#,##0_);\(#,##0\)">
                  <c:v>0</c:v>
                </c:pt>
                <c:pt idx="60" formatCode="#,##0_);\(#,##0\)">
                  <c:v>0</c:v>
                </c:pt>
                <c:pt idx="61" formatCode="#,##0_);\(#,##0\)">
                  <c:v>0</c:v>
                </c:pt>
                <c:pt idx="62" formatCode="#,##0_);\(#,##0\)">
                  <c:v>0</c:v>
                </c:pt>
              </c:numCache>
            </c:numRef>
          </c:val>
          <c:smooth val="0"/>
          <c:extLst>
            <c:ext xmlns:c16="http://schemas.microsoft.com/office/drawing/2014/chart" uri="{C3380CC4-5D6E-409C-BE32-E72D297353CC}">
              <c16:uniqueId val="{00000000-38B8-431D-8203-55498A38F6BA}"/>
            </c:ext>
          </c:extLst>
        </c:ser>
        <c:dLbls>
          <c:showLegendKey val="0"/>
          <c:showVal val="0"/>
          <c:showCatName val="0"/>
          <c:showSerName val="0"/>
          <c:showPercent val="0"/>
          <c:showBubbleSize val="0"/>
        </c:dLbls>
        <c:marker val="1"/>
        <c:smooth val="0"/>
        <c:axId val="591484384"/>
        <c:axId val="591484776"/>
      </c:lineChart>
      <c:catAx>
        <c:axId val="591484384"/>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1942286348501654"/>
              <c:y val="0.89722675367047411"/>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91484776"/>
        <c:crosses val="autoZero"/>
        <c:auto val="0"/>
        <c:lblAlgn val="ctr"/>
        <c:lblOffset val="100"/>
        <c:tickLblSkip val="2"/>
        <c:tickMarkSkip val="1"/>
        <c:noMultiLvlLbl val="0"/>
      </c:catAx>
      <c:valAx>
        <c:axId val="59148477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Consumer Acct, Service &amp; Sales (Dollars)</a:t>
                </a:r>
              </a:p>
            </c:rich>
          </c:tx>
          <c:layout>
            <c:manualLayout>
              <c:xMode val="edge"/>
              <c:yMode val="edge"/>
              <c:x val="3.6625971143174313E-2"/>
              <c:y val="0.21044045676998407"/>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91484384"/>
        <c:crosses val="autoZero"/>
        <c:crossBetween val="between"/>
      </c:valAx>
      <c:spPr>
        <a:solidFill>
          <a:srgbClr val="C0C0C0"/>
        </a:solidFill>
        <a:ln w="12700">
          <a:solidFill>
            <a:srgbClr val="808080"/>
          </a:solidFill>
          <a:prstDash val="solid"/>
        </a:ln>
      </c:spPr>
    </c:plotArea>
    <c:legend>
      <c:legendPos val="b"/>
      <c:layout>
        <c:manualLayout>
          <c:xMode val="edge"/>
          <c:yMode val="edge"/>
          <c:x val="0.39289678135405287"/>
          <c:y val="0.95921696574224835"/>
          <c:w val="0.28856825749167547"/>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Consumer Accounting, Service &amp; Sales Expense per Consumer
</a:t>
            </a:r>
          </a:p>
        </c:rich>
      </c:tx>
      <c:layout>
        <c:manualLayout>
          <c:xMode val="edge"/>
          <c:yMode val="edge"/>
          <c:x val="0.22863485016648191"/>
          <c:y val="1.9575856443719449E-2"/>
        </c:manualLayout>
      </c:layout>
      <c:overlay val="0"/>
      <c:spPr>
        <a:noFill/>
        <a:ln w="25400">
          <a:noFill/>
        </a:ln>
      </c:spPr>
    </c:title>
    <c:autoTitleDeleted val="0"/>
    <c:plotArea>
      <c:layout>
        <c:manualLayout>
          <c:layoutTarget val="inner"/>
          <c:xMode val="edge"/>
          <c:yMode val="edge"/>
          <c:x val="5.8823529411764705E-2"/>
          <c:y val="0.10114192495921713"/>
          <c:w val="0.93118756936736791"/>
          <c:h val="0.74714518760195769"/>
        </c:manualLayout>
      </c:layout>
      <c:lineChart>
        <c:grouping val="standard"/>
        <c:varyColors val="0"/>
        <c:ser>
          <c:idx val="0"/>
          <c:order val="0"/>
          <c:tx>
            <c:v>Cons Acct, Service, Sales per Consumer</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Data'!$CT$7:$CT$69</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formatCode="0.00_)">
                  <c:v>0</c:v>
                </c:pt>
                <c:pt idx="54" formatCode="0.00_)">
                  <c:v>0</c:v>
                </c:pt>
                <c:pt idx="55" formatCode="0.00_)">
                  <c:v>0</c:v>
                </c:pt>
                <c:pt idx="56" formatCode="0.00_)">
                  <c:v>0</c:v>
                </c:pt>
                <c:pt idx="57" formatCode="0.00_)">
                  <c:v>0</c:v>
                </c:pt>
                <c:pt idx="58" formatCode="0.00_)">
                  <c:v>0</c:v>
                </c:pt>
                <c:pt idx="59" formatCode="0.00_)">
                  <c:v>0</c:v>
                </c:pt>
                <c:pt idx="60" formatCode="0.00_)">
                  <c:v>0</c:v>
                </c:pt>
                <c:pt idx="61" formatCode="0.00_)">
                  <c:v>0</c:v>
                </c:pt>
                <c:pt idx="62" formatCode="0.00_)">
                  <c:v>0</c:v>
                </c:pt>
              </c:numCache>
            </c:numRef>
          </c:val>
          <c:smooth val="0"/>
          <c:extLst>
            <c:ext xmlns:c16="http://schemas.microsoft.com/office/drawing/2014/chart" uri="{C3380CC4-5D6E-409C-BE32-E72D297353CC}">
              <c16:uniqueId val="{00000000-72BD-4DF5-A77C-B57E9BF9AA2C}"/>
            </c:ext>
          </c:extLst>
        </c:ser>
        <c:dLbls>
          <c:showLegendKey val="0"/>
          <c:showVal val="0"/>
          <c:showCatName val="0"/>
          <c:showSerName val="0"/>
          <c:showPercent val="0"/>
          <c:showBubbleSize val="0"/>
        </c:dLbls>
        <c:marker val="1"/>
        <c:smooth val="0"/>
        <c:axId val="477122584"/>
        <c:axId val="477122976"/>
      </c:lineChart>
      <c:catAx>
        <c:axId val="477122584"/>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166481687014464"/>
              <c:y val="0.8988580750407836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77122976"/>
        <c:crosses val="autoZero"/>
        <c:auto val="0"/>
        <c:lblAlgn val="ctr"/>
        <c:lblOffset val="100"/>
        <c:tickLblSkip val="2"/>
        <c:tickMarkSkip val="1"/>
        <c:noMultiLvlLbl val="0"/>
      </c:catAx>
      <c:valAx>
        <c:axId val="47712297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Cons Acct, Service, Sales per Cons ($/Cons)</a:t>
                </a:r>
              </a:p>
            </c:rich>
          </c:tx>
          <c:layout>
            <c:manualLayout>
              <c:xMode val="edge"/>
              <c:yMode val="edge"/>
              <c:x val="0"/>
              <c:y val="0.19575856443719442"/>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77122584"/>
        <c:crosses val="autoZero"/>
        <c:crossBetween val="between"/>
      </c:valAx>
      <c:spPr>
        <a:solidFill>
          <a:srgbClr val="C0C0C0"/>
        </a:solidFill>
        <a:ln w="12700">
          <a:solidFill>
            <a:srgbClr val="808080"/>
          </a:solidFill>
          <a:prstDash val="solid"/>
        </a:ln>
      </c:spPr>
    </c:plotArea>
    <c:legend>
      <c:legendPos val="b"/>
      <c:layout>
        <c:manualLayout>
          <c:xMode val="edge"/>
          <c:yMode val="edge"/>
          <c:x val="0.35960044395116536"/>
          <c:y val="0.95921696574224835"/>
          <c:w val="0.32741398446170938"/>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Operations &amp; Maintenance Expense ($)
</a:t>
            </a:r>
          </a:p>
        </c:rich>
      </c:tx>
      <c:layout>
        <c:manualLayout>
          <c:xMode val="edge"/>
          <c:yMode val="edge"/>
          <c:x val="0.33296337402885789"/>
          <c:y val="1.9575856443719449E-2"/>
        </c:manualLayout>
      </c:layout>
      <c:overlay val="0"/>
      <c:spPr>
        <a:noFill/>
        <a:ln w="25400">
          <a:noFill/>
        </a:ln>
      </c:spPr>
    </c:title>
    <c:autoTitleDeleted val="0"/>
    <c:plotArea>
      <c:layout>
        <c:manualLayout>
          <c:layoutTarget val="inner"/>
          <c:xMode val="edge"/>
          <c:yMode val="edge"/>
          <c:x val="7.3251942286348501E-2"/>
          <c:y val="9.1353996737357251E-2"/>
          <c:w val="0.91564927857935785"/>
          <c:h val="0.76182707993474763"/>
        </c:manualLayout>
      </c:layout>
      <c:lineChart>
        <c:grouping val="standard"/>
        <c:varyColors val="0"/>
        <c:ser>
          <c:idx val="0"/>
          <c:order val="0"/>
          <c:tx>
            <c:v>O&amp;M Expense</c:v>
          </c:tx>
          <c:spPr>
            <a:ln w="3175">
              <a:solidFill>
                <a:srgbClr val="FF0000"/>
              </a:solidFill>
              <a:prstDash val="solid"/>
            </a:ln>
          </c:spPr>
          <c:marker>
            <c:symbol val="square"/>
            <c:size val="5"/>
            <c:spPr>
              <a:solidFill>
                <a:srgbClr val="FF0000"/>
              </a:solidFill>
              <a:ln w="9525">
                <a:noFill/>
              </a:ln>
            </c:spPr>
          </c:marker>
          <c:cat>
            <c:numRef>
              <c:f>'k - Exp'!$D$5:$P$5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'k - Exp'!$D$13:$P$13</c:f>
              <c:numCache>
                <c:formatCode>#,##0_);\(#,##0\)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0030-4549-AC9A-7BDF8E0A7006}"/>
            </c:ext>
          </c:extLst>
        </c:ser>
        <c:dLbls>
          <c:showLegendKey val="0"/>
          <c:showVal val="0"/>
          <c:showCatName val="0"/>
          <c:showSerName val="0"/>
          <c:showPercent val="0"/>
          <c:showBubbleSize val="0"/>
        </c:dLbls>
        <c:marker val="1"/>
        <c:smooth val="0"/>
        <c:axId val="477123760"/>
        <c:axId val="384737544"/>
      </c:lineChart>
      <c:catAx>
        <c:axId val="477123760"/>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832408435072141"/>
              <c:y val="0.90375203915171287"/>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84737544"/>
        <c:crosses val="autoZero"/>
        <c:auto val="0"/>
        <c:lblAlgn val="ctr"/>
        <c:lblOffset val="100"/>
        <c:tickLblSkip val="2"/>
        <c:tickMarkSkip val="1"/>
        <c:noMultiLvlLbl val="0"/>
      </c:catAx>
      <c:valAx>
        <c:axId val="38473754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O&amp;M Expense (Dollars)</a:t>
                </a:r>
              </a:p>
            </c:rich>
          </c:tx>
          <c:layout>
            <c:manualLayout>
              <c:xMode val="edge"/>
              <c:yMode val="edge"/>
              <c:x val="1.5538290788013319E-2"/>
              <c:y val="0.32300163132137083"/>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77123760"/>
        <c:crosses val="autoZero"/>
        <c:crossBetween val="between"/>
      </c:valAx>
      <c:spPr>
        <a:solidFill>
          <a:srgbClr val="C0C0C0"/>
        </a:solidFill>
        <a:ln w="12700">
          <a:solidFill>
            <a:srgbClr val="808080"/>
          </a:solidFill>
          <a:prstDash val="solid"/>
        </a:ln>
      </c:spPr>
    </c:plotArea>
    <c:legend>
      <c:legendPos val="b"/>
      <c:layout>
        <c:manualLayout>
          <c:xMode val="edge"/>
          <c:yMode val="edge"/>
          <c:x val="0.46059933407325193"/>
          <c:y val="0.95921696574224835"/>
          <c:w val="0.14317425083240842"/>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Annual Overall kWH Sales &amp; Purchases
</a:t>
            </a:r>
          </a:p>
        </c:rich>
      </c:tx>
      <c:layout>
        <c:manualLayout>
          <c:xMode val="edge"/>
          <c:yMode val="edge"/>
          <c:x val="0.33074361820199777"/>
          <c:y val="1.9575856443719449E-2"/>
        </c:manualLayout>
      </c:layout>
      <c:overlay val="0"/>
      <c:spPr>
        <a:noFill/>
        <a:ln w="25400">
          <a:noFill/>
        </a:ln>
      </c:spPr>
    </c:title>
    <c:autoTitleDeleted val="0"/>
    <c:plotArea>
      <c:layout>
        <c:manualLayout>
          <c:layoutTarget val="inner"/>
          <c:xMode val="edge"/>
          <c:yMode val="edge"/>
          <c:x val="8.990011098779134E-2"/>
          <c:y val="9.461663947797716E-2"/>
          <c:w val="0.89900110987791215"/>
          <c:h val="0.76182707993474763"/>
        </c:manualLayout>
      </c:layout>
      <c:lineChart>
        <c:grouping val="standard"/>
        <c:varyColors val="0"/>
        <c:ser>
          <c:idx val="0"/>
          <c:order val="0"/>
          <c:tx>
            <c:v>kWh Sales</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Data'!$BK$7:$BK$69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0-FC68-4E87-BF4A-B04D402351C1}"/>
            </c:ext>
          </c:extLst>
        </c:ser>
        <c:ser>
          <c:idx val="1"/>
          <c:order val="1"/>
          <c:tx>
            <c:v>kWh Purchases</c:v>
          </c:tx>
          <c:spPr>
            <a:ln w="3175">
              <a:solidFill>
                <a:srgbClr val="000080"/>
              </a:solidFill>
              <a:prstDash val="solid"/>
            </a:ln>
          </c:spPr>
          <c:marker>
            <c:symbol val="diamond"/>
            <c:size val="5"/>
            <c:spPr>
              <a:solidFill>
                <a:srgbClr val="000080"/>
              </a:solidFill>
              <a:ln>
                <a:solidFill>
                  <a:srgbClr val="000080"/>
                </a:solidFill>
                <a:prstDash val="solid"/>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Data'!$CB$7:$CB$69</c:f>
              <c:numCache>
                <c:formatCode>#,##0</c:formatCode>
                <c:ptCount val="63"/>
                <c:pt idx="48">
                  <c:v>0</c:v>
                </c:pt>
                <c:pt idx="49">
                  <c:v>0</c:v>
                </c:pt>
                <c:pt idx="50">
                  <c:v>0</c:v>
                </c:pt>
                <c:pt idx="51">
                  <c:v>0</c:v>
                </c:pt>
                <c:pt idx="52">
                  <c:v>0</c:v>
                </c:pt>
                <c:pt idx="53" formatCode="0_)">
                  <c:v>0</c:v>
                </c:pt>
                <c:pt idx="54" formatCode="0_)">
                  <c:v>0</c:v>
                </c:pt>
                <c:pt idx="55" formatCode="0_)">
                  <c:v>0</c:v>
                </c:pt>
                <c:pt idx="56" formatCode="0_)">
                  <c:v>0</c:v>
                </c:pt>
                <c:pt idx="57" formatCode="0_)">
                  <c:v>0</c:v>
                </c:pt>
                <c:pt idx="58" formatCode="0_)">
                  <c:v>0</c:v>
                </c:pt>
                <c:pt idx="59" formatCode="0_)">
                  <c:v>0</c:v>
                </c:pt>
                <c:pt idx="60" formatCode="0_)">
                  <c:v>0</c:v>
                </c:pt>
                <c:pt idx="61" formatCode="0_)">
                  <c:v>0</c:v>
                </c:pt>
                <c:pt idx="62" formatCode="0_)">
                  <c:v>0</c:v>
                </c:pt>
              </c:numCache>
            </c:numRef>
          </c:val>
          <c:smooth val="0"/>
          <c:extLst>
            <c:ext xmlns:c16="http://schemas.microsoft.com/office/drawing/2014/chart" uri="{C3380CC4-5D6E-409C-BE32-E72D297353CC}">
              <c16:uniqueId val="{00000001-FC68-4E87-BF4A-B04D402351C1}"/>
            </c:ext>
          </c:extLst>
        </c:ser>
        <c:dLbls>
          <c:showLegendKey val="0"/>
          <c:showVal val="0"/>
          <c:showCatName val="0"/>
          <c:showSerName val="0"/>
          <c:showPercent val="0"/>
          <c:showBubbleSize val="0"/>
        </c:dLbls>
        <c:marker val="1"/>
        <c:smooth val="0"/>
        <c:axId val="489961816"/>
        <c:axId val="394104352"/>
      </c:lineChart>
      <c:catAx>
        <c:axId val="489961816"/>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Years</a:t>
                </a:r>
              </a:p>
            </c:rich>
          </c:tx>
          <c:layout>
            <c:manualLayout>
              <c:xMode val="edge"/>
              <c:yMode val="edge"/>
              <c:x val="0.51276359600443955"/>
              <c:y val="0.90701468189233136"/>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94104352"/>
        <c:crosses val="autoZero"/>
        <c:auto val="0"/>
        <c:lblAlgn val="ctr"/>
        <c:lblOffset val="100"/>
        <c:tickLblSkip val="2"/>
        <c:tickMarkSkip val="1"/>
        <c:noMultiLvlLbl val="0"/>
      </c:catAx>
      <c:valAx>
        <c:axId val="39410435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Annual Overall Sales &amp; Purchases (kWh)</a:t>
                </a:r>
              </a:p>
            </c:rich>
          </c:tx>
          <c:layout>
            <c:manualLayout>
              <c:xMode val="edge"/>
              <c:yMode val="edge"/>
              <c:x val="3.6625971143174313E-2"/>
              <c:y val="0.2202283849918434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89961816"/>
        <c:crosses val="autoZero"/>
        <c:crossBetween val="between"/>
      </c:valAx>
      <c:spPr>
        <a:solidFill>
          <a:srgbClr val="C0C0C0"/>
        </a:solidFill>
        <a:ln w="12700">
          <a:solidFill>
            <a:srgbClr val="808080"/>
          </a:solidFill>
          <a:prstDash val="solid"/>
        </a:ln>
      </c:spPr>
    </c:plotArea>
    <c:legend>
      <c:legendPos val="b"/>
      <c:layout>
        <c:manualLayout>
          <c:xMode val="edge"/>
          <c:yMode val="edge"/>
          <c:x val="0.27192008879023338"/>
          <c:y val="0.9559543230016313"/>
          <c:w val="0.53718091009988989"/>
          <c:h val="3.9151712887438801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 &amp; M Expense to Total Utility Plant Ratio
</a:t>
            </a:r>
          </a:p>
        </c:rich>
      </c:tx>
      <c:layout>
        <c:manualLayout>
          <c:xMode val="edge"/>
          <c:yMode val="edge"/>
          <c:x val="0.32408435072142117"/>
          <c:y val="1.9575856443719449E-2"/>
        </c:manualLayout>
      </c:layout>
      <c:overlay val="0"/>
      <c:spPr>
        <a:noFill/>
        <a:ln w="25400">
          <a:noFill/>
        </a:ln>
      </c:spPr>
    </c:title>
    <c:autoTitleDeleted val="0"/>
    <c:plotArea>
      <c:layout>
        <c:manualLayout>
          <c:layoutTarget val="inner"/>
          <c:xMode val="edge"/>
          <c:yMode val="edge"/>
          <c:x val="9.655937846836872E-2"/>
          <c:y val="9.7879282218596986E-2"/>
          <c:w val="0.8923418423973366"/>
          <c:h val="0.74388254486133643"/>
        </c:manualLayout>
      </c:layout>
      <c:lineChart>
        <c:grouping val="standard"/>
        <c:varyColors val="0"/>
        <c:ser>
          <c:idx val="0"/>
          <c:order val="0"/>
          <c:tx>
            <c:v>O&amp;M / TUP</c:v>
          </c:tx>
          <c:spPr>
            <a:ln w="3175">
              <a:solidFill>
                <a:srgbClr val="FF0000"/>
              </a:solidFill>
              <a:prstDash val="solid"/>
            </a:ln>
          </c:spPr>
          <c:marker>
            <c:symbol val="square"/>
            <c:size val="5"/>
            <c:spPr>
              <a:solidFill>
                <a:srgbClr val="FF0000"/>
              </a:solidFill>
              <a:ln w="9525">
                <a:noFill/>
              </a:ln>
            </c:spPr>
          </c:marker>
          <c:cat>
            <c:numRef>
              <c:f>'k - Exp'!$D$5:$P$5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'k - Exp'!$D$14:$P$14</c:f>
              <c:numCache>
                <c:formatCode>#,##0.000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684E-431F-834B-20BA8E10F11E}"/>
            </c:ext>
          </c:extLst>
        </c:ser>
        <c:dLbls>
          <c:showLegendKey val="0"/>
          <c:showVal val="0"/>
          <c:showCatName val="0"/>
          <c:showSerName val="0"/>
          <c:showPercent val="0"/>
          <c:showBubbleSize val="0"/>
        </c:dLbls>
        <c:marker val="1"/>
        <c:smooth val="0"/>
        <c:axId val="384738328"/>
        <c:axId val="384738720"/>
      </c:lineChart>
      <c:catAx>
        <c:axId val="384738328"/>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2053274139844496"/>
              <c:y val="0.89233278955954209"/>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84738720"/>
        <c:crosses val="autoZero"/>
        <c:auto val="0"/>
        <c:lblAlgn val="ctr"/>
        <c:lblOffset val="100"/>
        <c:tickLblSkip val="2"/>
        <c:tickMarkSkip val="1"/>
        <c:noMultiLvlLbl val="0"/>
      </c:catAx>
      <c:valAx>
        <c:axId val="38473872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O&amp;M Expense Ratio to TUP (Percent)</a:t>
                </a:r>
              </a:p>
            </c:rich>
          </c:tx>
          <c:layout>
            <c:manualLayout>
              <c:xMode val="edge"/>
              <c:yMode val="edge"/>
              <c:x val="1.5538290788013319E-2"/>
              <c:y val="0.2365415986949429"/>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84738328"/>
        <c:crosses val="autoZero"/>
        <c:crossBetween val="between"/>
      </c:valAx>
      <c:spPr>
        <a:solidFill>
          <a:srgbClr val="C0C0C0"/>
        </a:solidFill>
        <a:ln w="12700">
          <a:solidFill>
            <a:srgbClr val="808080"/>
          </a:solidFill>
          <a:prstDash val="solid"/>
        </a:ln>
      </c:spPr>
    </c:plotArea>
    <c:legend>
      <c:legendPos val="b"/>
      <c:layout>
        <c:manualLayout>
          <c:xMode val="edge"/>
          <c:yMode val="edge"/>
          <c:x val="0.48501664816870182"/>
          <c:y val="0.95921696574224835"/>
          <c:w val="0.12097669256381803"/>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Operations &amp; Maintenance Expense ($)
</a:t>
            </a:r>
          </a:p>
        </c:rich>
      </c:tx>
      <c:layout>
        <c:manualLayout>
          <c:xMode val="edge"/>
          <c:yMode val="edge"/>
          <c:x val="0.33296337402885789"/>
          <c:y val="1.9575856443719449E-2"/>
        </c:manualLayout>
      </c:layout>
      <c:overlay val="0"/>
      <c:spPr>
        <a:noFill/>
        <a:ln w="25400">
          <a:noFill/>
        </a:ln>
      </c:spPr>
    </c:title>
    <c:autoTitleDeleted val="0"/>
    <c:plotArea>
      <c:layout>
        <c:manualLayout>
          <c:layoutTarget val="inner"/>
          <c:xMode val="edge"/>
          <c:yMode val="edge"/>
          <c:x val="7.4361820199778134E-2"/>
          <c:y val="9.461663947797716E-2"/>
          <c:w val="0.9178690344062157"/>
          <c:h val="0.7520391517128876"/>
        </c:manualLayout>
      </c:layout>
      <c:lineChart>
        <c:grouping val="standard"/>
        <c:varyColors val="0"/>
        <c:ser>
          <c:idx val="0"/>
          <c:order val="0"/>
          <c:tx>
            <c:v>O&amp;M Expense</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Data'!$CP$7:$CP$69</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formatCode="#,##0_);\(#,##0\)">
                  <c:v>0</c:v>
                </c:pt>
                <c:pt idx="54" formatCode="#,##0_);\(#,##0\)">
                  <c:v>0</c:v>
                </c:pt>
                <c:pt idx="55" formatCode="#,##0_);\(#,##0\)">
                  <c:v>0</c:v>
                </c:pt>
                <c:pt idx="56" formatCode="#,##0_);\(#,##0\)">
                  <c:v>0</c:v>
                </c:pt>
                <c:pt idx="57" formatCode="#,##0_);\(#,##0\)">
                  <c:v>0</c:v>
                </c:pt>
                <c:pt idx="58" formatCode="#,##0_);\(#,##0\)">
                  <c:v>0</c:v>
                </c:pt>
                <c:pt idx="59" formatCode="#,##0_);\(#,##0\)">
                  <c:v>0</c:v>
                </c:pt>
                <c:pt idx="60" formatCode="#,##0_);\(#,##0\)">
                  <c:v>0</c:v>
                </c:pt>
                <c:pt idx="61" formatCode="#,##0_);\(#,##0\)">
                  <c:v>0</c:v>
                </c:pt>
                <c:pt idx="62" formatCode="#,##0_);\(#,##0\)">
                  <c:v>0</c:v>
                </c:pt>
              </c:numCache>
            </c:numRef>
          </c:val>
          <c:smooth val="0"/>
          <c:extLst>
            <c:ext xmlns:c16="http://schemas.microsoft.com/office/drawing/2014/chart" uri="{C3380CC4-5D6E-409C-BE32-E72D297353CC}">
              <c16:uniqueId val="{00000000-21E9-41A0-9CE5-604C3FB9CB96}"/>
            </c:ext>
          </c:extLst>
        </c:ser>
        <c:dLbls>
          <c:showLegendKey val="0"/>
          <c:showVal val="0"/>
          <c:showCatName val="0"/>
          <c:showSerName val="0"/>
          <c:showPercent val="0"/>
          <c:showBubbleSize val="0"/>
        </c:dLbls>
        <c:marker val="1"/>
        <c:smooth val="0"/>
        <c:axId val="477311992"/>
        <c:axId val="477312384"/>
      </c:lineChart>
      <c:catAx>
        <c:axId val="477311992"/>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105438401775807"/>
              <c:y val="0.89722675367047411"/>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77312384"/>
        <c:crosses val="autoZero"/>
        <c:auto val="0"/>
        <c:lblAlgn val="ctr"/>
        <c:lblOffset val="100"/>
        <c:tickLblSkip val="2"/>
        <c:tickMarkSkip val="1"/>
        <c:noMultiLvlLbl val="0"/>
      </c:catAx>
      <c:valAx>
        <c:axId val="47731238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O&amp;M Expense (Dollars)</a:t>
                </a:r>
              </a:p>
            </c:rich>
          </c:tx>
          <c:layout>
            <c:manualLayout>
              <c:xMode val="edge"/>
              <c:yMode val="edge"/>
              <c:x val="1.6648168701442843E-2"/>
              <c:y val="0.32137030995106147"/>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77311992"/>
        <c:crosses val="autoZero"/>
        <c:crossBetween val="between"/>
      </c:valAx>
      <c:spPr>
        <a:solidFill>
          <a:srgbClr val="C0C0C0"/>
        </a:solidFill>
        <a:ln w="12700">
          <a:solidFill>
            <a:srgbClr val="808080"/>
          </a:solidFill>
          <a:prstDash val="solid"/>
        </a:ln>
      </c:spPr>
    </c:plotArea>
    <c:legend>
      <c:legendPos val="b"/>
      <c:layout>
        <c:manualLayout>
          <c:xMode val="edge"/>
          <c:yMode val="edge"/>
          <c:x val="0.46059933407325193"/>
          <c:y val="0.95921696574224835"/>
          <c:w val="0.14317425083240842"/>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 &amp; M Expense to Total Utility Plant Ratio
</a:t>
            </a:r>
          </a:p>
        </c:rich>
      </c:tx>
      <c:layout>
        <c:manualLayout>
          <c:xMode val="edge"/>
          <c:yMode val="edge"/>
          <c:x val="0.32408435072142117"/>
          <c:y val="1.9575856443719449E-2"/>
        </c:manualLayout>
      </c:layout>
      <c:overlay val="0"/>
      <c:spPr>
        <a:noFill/>
        <a:ln w="25400">
          <a:noFill/>
        </a:ln>
      </c:spPr>
    </c:title>
    <c:autoTitleDeleted val="0"/>
    <c:plotArea>
      <c:layout>
        <c:manualLayout>
          <c:layoutTarget val="inner"/>
          <c:xMode val="edge"/>
          <c:yMode val="edge"/>
          <c:x val="0.11542730299667039"/>
          <c:y val="9.9510603588907065E-2"/>
          <c:w val="0.87347391786903461"/>
          <c:h val="0.75367047308320023"/>
        </c:manualLayout>
      </c:layout>
      <c:lineChart>
        <c:grouping val="standard"/>
        <c:varyColors val="0"/>
        <c:ser>
          <c:idx val="0"/>
          <c:order val="0"/>
          <c:tx>
            <c:v>O&amp;M / TUP</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Data'!$CS$7:$CS$69</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0-D7C1-423A-B235-E4AC4DEC19DB}"/>
            </c:ext>
          </c:extLst>
        </c:ser>
        <c:dLbls>
          <c:showLegendKey val="0"/>
          <c:showVal val="0"/>
          <c:showCatName val="0"/>
          <c:showSerName val="0"/>
          <c:showPercent val="0"/>
          <c:showBubbleSize val="0"/>
        </c:dLbls>
        <c:marker val="1"/>
        <c:smooth val="0"/>
        <c:axId val="477313168"/>
        <c:axId val="477313560"/>
      </c:lineChart>
      <c:catAx>
        <c:axId val="477313168"/>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2941176470588236"/>
              <c:y val="0.90375203915171287"/>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77313560"/>
        <c:crosses val="autoZero"/>
        <c:auto val="0"/>
        <c:lblAlgn val="ctr"/>
        <c:lblOffset val="100"/>
        <c:tickLblSkip val="2"/>
        <c:tickMarkSkip val="1"/>
        <c:noMultiLvlLbl val="0"/>
      </c:catAx>
      <c:valAx>
        <c:axId val="47731356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O&amp;M Expense Ratio to TUP (Percent)</a:t>
                </a:r>
              </a:p>
            </c:rich>
          </c:tx>
          <c:layout>
            <c:manualLayout>
              <c:xMode val="edge"/>
              <c:yMode val="edge"/>
              <c:x val="1.5538290788013319E-2"/>
              <c:y val="0.2430668841761831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77313168"/>
        <c:crosses val="autoZero"/>
        <c:crossBetween val="between"/>
      </c:valAx>
      <c:spPr>
        <a:solidFill>
          <a:srgbClr val="C0C0C0"/>
        </a:solidFill>
        <a:ln w="12700">
          <a:solidFill>
            <a:srgbClr val="808080"/>
          </a:solidFill>
          <a:prstDash val="solid"/>
        </a:ln>
      </c:spPr>
    </c:plotArea>
    <c:legend>
      <c:legendPos val="b"/>
      <c:layout>
        <c:manualLayout>
          <c:xMode val="edge"/>
          <c:yMode val="edge"/>
          <c:x val="0.49500554938956792"/>
          <c:y val="0.95921696574224835"/>
          <c:w val="0.12097669256381779"/>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Tax Expense ($)
</a:t>
            </a:r>
          </a:p>
        </c:rich>
      </c:tx>
      <c:layout>
        <c:manualLayout>
          <c:xMode val="edge"/>
          <c:yMode val="edge"/>
          <c:x val="0.4284128745837964"/>
          <c:y val="1.9575856443719449E-2"/>
        </c:manualLayout>
      </c:layout>
      <c:overlay val="0"/>
      <c:spPr>
        <a:noFill/>
        <a:ln w="25400">
          <a:noFill/>
        </a:ln>
      </c:spPr>
    </c:title>
    <c:autoTitleDeleted val="0"/>
    <c:plotArea>
      <c:layout>
        <c:manualLayout>
          <c:layoutTarget val="inner"/>
          <c:xMode val="edge"/>
          <c:yMode val="edge"/>
          <c:x val="7.3251942286348501E-2"/>
          <c:y val="9.2985318107667206E-2"/>
          <c:w val="0.91564927857935785"/>
          <c:h val="0.7553017944535092"/>
        </c:manualLayout>
      </c:layout>
      <c:lineChart>
        <c:grouping val="standard"/>
        <c:varyColors val="0"/>
        <c:ser>
          <c:idx val="0"/>
          <c:order val="0"/>
          <c:tx>
            <c:v>Tax Expense</c:v>
          </c:tx>
          <c:spPr>
            <a:ln w="3175">
              <a:solidFill>
                <a:srgbClr val="FF0000"/>
              </a:solidFill>
              <a:prstDash val="solid"/>
            </a:ln>
          </c:spPr>
          <c:marker>
            <c:symbol val="square"/>
            <c:size val="5"/>
            <c:spPr>
              <a:solidFill>
                <a:srgbClr val="FF0000"/>
              </a:solidFill>
              <a:ln w="9525">
                <a:noFill/>
              </a:ln>
            </c:spPr>
          </c:marker>
          <c:cat>
            <c:numRef>
              <c:f>'k - Exp'!$D$5:$P$5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'k - Exp'!$D$22:$P$22</c:f>
              <c:numCache>
                <c:formatCode>#,##0_);\(#,##0\)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2FC0-4A44-90CF-8AAB53A09A74}"/>
            </c:ext>
          </c:extLst>
        </c:ser>
        <c:dLbls>
          <c:showLegendKey val="0"/>
          <c:showVal val="0"/>
          <c:showCatName val="0"/>
          <c:showSerName val="0"/>
          <c:showPercent val="0"/>
          <c:showBubbleSize val="0"/>
        </c:dLbls>
        <c:marker val="1"/>
        <c:smooth val="0"/>
        <c:axId val="479877856"/>
        <c:axId val="479878248"/>
      </c:lineChart>
      <c:catAx>
        <c:axId val="479877856"/>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832408435072141"/>
              <c:y val="0.8988580750407836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79878248"/>
        <c:crosses val="autoZero"/>
        <c:auto val="0"/>
        <c:lblAlgn val="ctr"/>
        <c:lblOffset val="100"/>
        <c:tickLblSkip val="2"/>
        <c:tickMarkSkip val="1"/>
        <c:noMultiLvlLbl val="0"/>
      </c:catAx>
      <c:valAx>
        <c:axId val="47987824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Tax Expense (Dollars)</a:t>
                </a:r>
              </a:p>
            </c:rich>
          </c:tx>
          <c:layout>
            <c:manualLayout>
              <c:xMode val="edge"/>
              <c:yMode val="edge"/>
              <c:x val="1.5538290788013319E-2"/>
              <c:y val="0.32952691680261154"/>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79877856"/>
        <c:crosses val="autoZero"/>
        <c:crossBetween val="between"/>
      </c:valAx>
      <c:spPr>
        <a:solidFill>
          <a:srgbClr val="C0C0C0"/>
        </a:solidFill>
        <a:ln w="12700">
          <a:solidFill>
            <a:srgbClr val="808080"/>
          </a:solidFill>
          <a:prstDash val="solid"/>
        </a:ln>
      </c:spPr>
    </c:plotArea>
    <c:legend>
      <c:legendPos val="b"/>
      <c:layout>
        <c:manualLayout>
          <c:xMode val="edge"/>
          <c:yMode val="edge"/>
          <c:x val="0.46170921198668147"/>
          <c:y val="0.95921696574224835"/>
          <c:w val="0.13651498335183157"/>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Tax Expense to Total Utility Plant Ratio
</a:t>
            </a:r>
          </a:p>
        </c:rich>
      </c:tx>
      <c:layout>
        <c:manualLayout>
          <c:xMode val="edge"/>
          <c:yMode val="edge"/>
          <c:x val="0.33296337402885789"/>
          <c:y val="1.9575856443719449E-2"/>
        </c:manualLayout>
      </c:layout>
      <c:overlay val="0"/>
      <c:spPr>
        <a:noFill/>
        <a:ln w="25400">
          <a:noFill/>
        </a:ln>
      </c:spPr>
    </c:title>
    <c:autoTitleDeleted val="0"/>
    <c:plotArea>
      <c:layout>
        <c:manualLayout>
          <c:layoutTarget val="inner"/>
          <c:xMode val="edge"/>
          <c:yMode val="edge"/>
          <c:x val="9.655937846836872E-2"/>
          <c:y val="9.1353996737357251E-2"/>
          <c:w val="0.8923418423973366"/>
          <c:h val="0.74877650897226655"/>
        </c:manualLayout>
      </c:layout>
      <c:lineChart>
        <c:grouping val="standard"/>
        <c:varyColors val="0"/>
        <c:ser>
          <c:idx val="0"/>
          <c:order val="0"/>
          <c:tx>
            <c:v>Tax / TUP</c:v>
          </c:tx>
          <c:spPr>
            <a:ln w="3175">
              <a:solidFill>
                <a:srgbClr val="FF0000"/>
              </a:solidFill>
              <a:prstDash val="solid"/>
            </a:ln>
          </c:spPr>
          <c:marker>
            <c:symbol val="square"/>
            <c:size val="5"/>
            <c:spPr>
              <a:solidFill>
                <a:srgbClr val="FF0000"/>
              </a:solidFill>
              <a:ln w="9525">
                <a:noFill/>
              </a:ln>
            </c:spPr>
          </c:marker>
          <c:cat>
            <c:numRef>
              <c:f>'k - Exp'!$D$5:$P$5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'k - Exp'!$D$23:$P$23</c:f>
              <c:numCache>
                <c:formatCode>#,##0.000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F5A3-4D29-A258-2B637AB73942}"/>
            </c:ext>
          </c:extLst>
        </c:ser>
        <c:dLbls>
          <c:showLegendKey val="0"/>
          <c:showVal val="0"/>
          <c:showCatName val="0"/>
          <c:showSerName val="0"/>
          <c:showPercent val="0"/>
          <c:showBubbleSize val="0"/>
        </c:dLbls>
        <c:marker val="1"/>
        <c:smooth val="0"/>
        <c:axId val="479879032"/>
        <c:axId val="721763328"/>
      </c:lineChart>
      <c:catAx>
        <c:axId val="479879032"/>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2053274139844496"/>
              <c:y val="0.89070146818923324"/>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21763328"/>
        <c:crosses val="autoZero"/>
        <c:auto val="0"/>
        <c:lblAlgn val="ctr"/>
        <c:lblOffset val="100"/>
        <c:tickLblSkip val="2"/>
        <c:tickMarkSkip val="1"/>
        <c:noMultiLvlLbl val="0"/>
      </c:catAx>
      <c:valAx>
        <c:axId val="72176332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Tax to TUP Ratio (Percent)</a:t>
                </a:r>
              </a:p>
            </c:rich>
          </c:tx>
          <c:layout>
            <c:manualLayout>
              <c:xMode val="edge"/>
              <c:yMode val="edge"/>
              <c:x val="1.5538290788013319E-2"/>
              <c:y val="0.29690048939641223"/>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79879032"/>
        <c:crosses val="autoZero"/>
        <c:crossBetween val="between"/>
      </c:valAx>
      <c:spPr>
        <a:solidFill>
          <a:srgbClr val="C0C0C0"/>
        </a:solidFill>
        <a:ln w="12700">
          <a:solidFill>
            <a:srgbClr val="808080"/>
          </a:solidFill>
          <a:prstDash val="solid"/>
        </a:ln>
      </c:spPr>
    </c:plotArea>
    <c:legend>
      <c:legendPos val="b"/>
      <c:layout>
        <c:manualLayout>
          <c:xMode val="edge"/>
          <c:yMode val="edge"/>
          <c:x val="0.48501664816870182"/>
          <c:y val="0.96084828711256165"/>
          <c:w val="0.11431742508324055"/>
          <c:h val="3.9151712887438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Tax Expense ($)
</a:t>
            </a:r>
          </a:p>
        </c:rich>
      </c:tx>
      <c:layout>
        <c:manualLayout>
          <c:xMode val="edge"/>
          <c:yMode val="edge"/>
          <c:x val="0.4284128745837964"/>
          <c:y val="1.9575856443719449E-2"/>
        </c:manualLayout>
      </c:layout>
      <c:overlay val="0"/>
      <c:spPr>
        <a:noFill/>
        <a:ln w="25400">
          <a:noFill/>
        </a:ln>
      </c:spPr>
    </c:title>
    <c:autoTitleDeleted val="0"/>
    <c:plotArea>
      <c:layout>
        <c:manualLayout>
          <c:layoutTarget val="inner"/>
          <c:xMode val="edge"/>
          <c:yMode val="edge"/>
          <c:x val="6.8812430632630622E-2"/>
          <c:y val="8.8091353996737606E-2"/>
          <c:w val="0.92008879023307533"/>
          <c:h val="0.7683523654159865"/>
        </c:manualLayout>
      </c:layout>
      <c:lineChart>
        <c:grouping val="standard"/>
        <c:varyColors val="0"/>
        <c:ser>
          <c:idx val="0"/>
          <c:order val="0"/>
          <c:tx>
            <c:v>Tax Expense</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Data'!$AP$7:$AP$69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0-70B1-4C6D-A4A8-BB91E2ED33A2}"/>
            </c:ext>
          </c:extLst>
        </c:ser>
        <c:dLbls>
          <c:showLegendKey val="0"/>
          <c:showVal val="0"/>
          <c:showCatName val="0"/>
          <c:showSerName val="0"/>
          <c:showPercent val="0"/>
          <c:showBubbleSize val="0"/>
        </c:dLbls>
        <c:marker val="1"/>
        <c:smooth val="0"/>
        <c:axId val="721764112"/>
        <c:axId val="721764504"/>
      </c:lineChart>
      <c:catAx>
        <c:axId val="721764112"/>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610432852386233"/>
              <c:y val="0.90701468189233136"/>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21764504"/>
        <c:crosses val="autoZero"/>
        <c:auto val="0"/>
        <c:lblAlgn val="ctr"/>
        <c:lblOffset val="100"/>
        <c:tickLblSkip val="2"/>
        <c:tickMarkSkip val="1"/>
        <c:noMultiLvlLbl val="0"/>
      </c:catAx>
      <c:valAx>
        <c:axId val="72176450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Tax Expense (Dollars)</a:t>
                </a:r>
              </a:p>
            </c:rich>
          </c:tx>
          <c:layout>
            <c:manualLayout>
              <c:xMode val="edge"/>
              <c:yMode val="edge"/>
              <c:x val="1.5538290788013319E-2"/>
              <c:y val="0.331158238172920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21764112"/>
        <c:crosses val="autoZero"/>
        <c:crossBetween val="between"/>
      </c:valAx>
      <c:spPr>
        <a:solidFill>
          <a:srgbClr val="C0C0C0"/>
        </a:solidFill>
        <a:ln w="12700">
          <a:solidFill>
            <a:srgbClr val="808080"/>
          </a:solidFill>
          <a:prstDash val="solid"/>
        </a:ln>
      </c:spPr>
    </c:plotArea>
    <c:legend>
      <c:legendPos val="b"/>
      <c:layout>
        <c:manualLayout>
          <c:xMode val="edge"/>
          <c:yMode val="edge"/>
          <c:x val="0.45948945615982295"/>
          <c:y val="0.95921696574224835"/>
          <c:w val="0.13651498335183129"/>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Tax Expense to Total Utility Plant Ratio
</a:t>
            </a:r>
          </a:p>
        </c:rich>
      </c:tx>
      <c:layout>
        <c:manualLayout>
          <c:xMode val="edge"/>
          <c:yMode val="edge"/>
          <c:x val="0.33296337402885789"/>
          <c:y val="1.9575856443719449E-2"/>
        </c:manualLayout>
      </c:layout>
      <c:overlay val="0"/>
      <c:spPr>
        <a:noFill/>
        <a:ln w="25400">
          <a:noFill/>
        </a:ln>
      </c:spPr>
    </c:title>
    <c:autoTitleDeleted val="0"/>
    <c:plotArea>
      <c:layout>
        <c:manualLayout>
          <c:layoutTarget val="inner"/>
          <c:xMode val="edge"/>
          <c:yMode val="edge"/>
          <c:x val="0.11542730299667039"/>
          <c:y val="9.461663947797716E-2"/>
          <c:w val="0.87569367369589668"/>
          <c:h val="0.75367047308320023"/>
        </c:manualLayout>
      </c:layout>
      <c:lineChart>
        <c:grouping val="standard"/>
        <c:varyColors val="0"/>
        <c:ser>
          <c:idx val="0"/>
          <c:order val="0"/>
          <c:tx>
            <c:v>Tax / TUP</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Data'!$CW$7:$CW$69</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0-31CF-4753-B182-DE07B70AD46E}"/>
            </c:ext>
          </c:extLst>
        </c:ser>
        <c:dLbls>
          <c:showLegendKey val="0"/>
          <c:showVal val="0"/>
          <c:showCatName val="0"/>
          <c:showSerName val="0"/>
          <c:showPercent val="0"/>
          <c:showBubbleSize val="0"/>
        </c:dLbls>
        <c:marker val="1"/>
        <c:smooth val="0"/>
        <c:axId val="482263072"/>
        <c:axId val="482263464"/>
      </c:lineChart>
      <c:catAx>
        <c:axId val="482263072"/>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3052164261931301"/>
              <c:y val="0.8988580750407836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82263464"/>
        <c:crosses val="autoZero"/>
        <c:auto val="0"/>
        <c:lblAlgn val="ctr"/>
        <c:lblOffset val="100"/>
        <c:tickLblSkip val="2"/>
        <c:tickMarkSkip val="1"/>
        <c:noMultiLvlLbl val="0"/>
      </c:catAx>
      <c:valAx>
        <c:axId val="48226346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Tax to TUP Ratio (Percent)</a:t>
                </a:r>
              </a:p>
            </c:rich>
          </c:tx>
          <c:layout>
            <c:manualLayout>
              <c:xMode val="edge"/>
              <c:yMode val="edge"/>
              <c:x val="1.5538290788013319E-2"/>
              <c:y val="0.30342577487765227"/>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82263072"/>
        <c:crosses val="autoZero"/>
        <c:crossBetween val="between"/>
      </c:valAx>
      <c:spPr>
        <a:solidFill>
          <a:srgbClr val="C0C0C0"/>
        </a:solidFill>
        <a:ln w="12700">
          <a:solidFill>
            <a:srgbClr val="808080"/>
          </a:solidFill>
          <a:prstDash val="solid"/>
        </a:ln>
      </c:spPr>
    </c:plotArea>
    <c:legend>
      <c:legendPos val="b"/>
      <c:layout>
        <c:manualLayout>
          <c:xMode val="edge"/>
          <c:yMode val="edge"/>
          <c:x val="0.49278579356270885"/>
          <c:y val="0.95921696574224835"/>
          <c:w val="0.11431742508324083"/>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Cost Of Power (Dollars)
</a:t>
            </a:r>
          </a:p>
        </c:rich>
      </c:tx>
      <c:layout>
        <c:manualLayout>
          <c:xMode val="edge"/>
          <c:yMode val="edge"/>
          <c:x val="0.39733629300777029"/>
          <c:y val="1.9575856443719449E-2"/>
        </c:manualLayout>
      </c:layout>
      <c:overlay val="0"/>
      <c:spPr>
        <a:noFill/>
        <a:ln w="25400">
          <a:noFill/>
        </a:ln>
      </c:spPr>
    </c:title>
    <c:autoTitleDeleted val="0"/>
    <c:plotArea>
      <c:layout>
        <c:manualLayout>
          <c:layoutTarget val="inner"/>
          <c:xMode val="edge"/>
          <c:yMode val="edge"/>
          <c:x val="6.8812430632630622E-2"/>
          <c:y val="9.461663947797716E-2"/>
          <c:w val="0.92008879023307533"/>
          <c:h val="0.75856443719412858"/>
        </c:manualLayout>
      </c:layout>
      <c:lineChart>
        <c:grouping val="standard"/>
        <c:varyColors val="0"/>
        <c:ser>
          <c:idx val="0"/>
          <c:order val="0"/>
          <c:tx>
            <c:v>Power Cost</c:v>
          </c:tx>
          <c:spPr>
            <a:ln w="3175">
              <a:solidFill>
                <a:srgbClr val="FF0000"/>
              </a:solidFill>
              <a:prstDash val="solid"/>
            </a:ln>
          </c:spPr>
          <c:marker>
            <c:symbol val="square"/>
            <c:size val="5"/>
            <c:spPr>
              <a:solidFill>
                <a:srgbClr val="FF0000"/>
              </a:solidFill>
              <a:ln w="9525">
                <a:noFill/>
              </a:ln>
            </c:spPr>
          </c:marker>
          <c:cat>
            <c:numRef>
              <c:f>'k - Exp'!$D$5:$P$5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'k - Exp'!$D$11:$P$11</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2685-4F19-AEB7-B71B187E8AD9}"/>
            </c:ext>
          </c:extLst>
        </c:ser>
        <c:dLbls>
          <c:showLegendKey val="0"/>
          <c:showVal val="0"/>
          <c:showCatName val="0"/>
          <c:showSerName val="0"/>
          <c:showPercent val="0"/>
          <c:showBubbleSize val="0"/>
        </c:dLbls>
        <c:marker val="1"/>
        <c:smooth val="0"/>
        <c:axId val="482264248"/>
        <c:axId val="482264640"/>
      </c:lineChart>
      <c:catAx>
        <c:axId val="482264248"/>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610432852386233"/>
              <c:y val="0.90375203915171287"/>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82264640"/>
        <c:crosses val="autoZero"/>
        <c:auto val="0"/>
        <c:lblAlgn val="ctr"/>
        <c:lblOffset val="100"/>
        <c:tickLblSkip val="2"/>
        <c:tickMarkSkip val="1"/>
        <c:noMultiLvlLbl val="0"/>
      </c:catAx>
      <c:valAx>
        <c:axId val="48226464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Power Cost (Dollars)</a:t>
                </a:r>
              </a:p>
            </c:rich>
          </c:tx>
          <c:layout>
            <c:manualLayout>
              <c:xMode val="edge"/>
              <c:yMode val="edge"/>
              <c:x val="1.5538290788013319E-2"/>
              <c:y val="0.3409461663947806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82264248"/>
        <c:crosses val="autoZero"/>
        <c:crossBetween val="between"/>
      </c:valAx>
      <c:spPr>
        <a:solidFill>
          <a:srgbClr val="C0C0C0"/>
        </a:solidFill>
        <a:ln w="12700">
          <a:solidFill>
            <a:srgbClr val="808080"/>
          </a:solidFill>
          <a:prstDash val="solid"/>
        </a:ln>
      </c:spPr>
    </c:plotArea>
    <c:legend>
      <c:legendPos val="r"/>
      <c:layout>
        <c:manualLayout>
          <c:xMode val="edge"/>
          <c:yMode val="edge"/>
          <c:x val="0.46725860155382931"/>
          <c:y val="0.96084828711256165"/>
          <c:w val="0.12541620421753574"/>
          <c:h val="3.9151712887438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Cost Of Power per MWh Purchased
</a:t>
            </a:r>
          </a:p>
        </c:rich>
      </c:tx>
      <c:layout>
        <c:manualLayout>
          <c:xMode val="edge"/>
          <c:yMode val="edge"/>
          <c:x val="0.34739178690344136"/>
          <c:y val="1.9575856443719449E-2"/>
        </c:manualLayout>
      </c:layout>
      <c:overlay val="0"/>
      <c:spPr>
        <a:noFill/>
        <a:ln w="25400">
          <a:noFill/>
        </a:ln>
      </c:spPr>
    </c:title>
    <c:autoTitleDeleted val="0"/>
    <c:plotArea>
      <c:layout>
        <c:manualLayout>
          <c:layoutTarget val="inner"/>
          <c:xMode val="edge"/>
          <c:yMode val="edge"/>
          <c:x val="0.11653718091010001"/>
          <c:y val="9.461663947797716E-2"/>
          <c:w val="0.87236403995560452"/>
          <c:h val="0.75040783034257896"/>
        </c:manualLayout>
      </c:layout>
      <c:lineChart>
        <c:grouping val="standard"/>
        <c:varyColors val="0"/>
        <c:ser>
          <c:idx val="0"/>
          <c:order val="0"/>
          <c:tx>
            <c:v>Power Cost per MWh Purchased</c:v>
          </c:tx>
          <c:spPr>
            <a:ln w="3175">
              <a:solidFill>
                <a:srgbClr val="FF0000"/>
              </a:solidFill>
              <a:prstDash val="solid"/>
            </a:ln>
          </c:spPr>
          <c:marker>
            <c:symbol val="square"/>
            <c:size val="5"/>
            <c:spPr>
              <a:solidFill>
                <a:srgbClr val="FF0000"/>
              </a:solidFill>
              <a:ln w="9525">
                <a:noFill/>
              </a:ln>
            </c:spPr>
          </c:marker>
          <c:cat>
            <c:numRef>
              <c:f>'k - Exp'!$D$5:$P$5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'k - Exp'!$D$10:$P$10</c:f>
              <c:numCache>
                <c:formatCode>0.00000_);\(0.00000\)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5833-4AAF-8D63-66FF0B625B9E}"/>
            </c:ext>
          </c:extLst>
        </c:ser>
        <c:dLbls>
          <c:showLegendKey val="0"/>
          <c:showVal val="0"/>
          <c:showCatName val="0"/>
          <c:showSerName val="0"/>
          <c:showPercent val="0"/>
          <c:showBubbleSize val="0"/>
        </c:dLbls>
        <c:marker val="1"/>
        <c:smooth val="0"/>
        <c:axId val="404655440"/>
        <c:axId val="404655832"/>
      </c:lineChart>
      <c:catAx>
        <c:axId val="404655440"/>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3052164261931301"/>
              <c:y val="0.89559543230016436"/>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04655832"/>
        <c:crosses val="autoZero"/>
        <c:auto val="0"/>
        <c:lblAlgn val="ctr"/>
        <c:lblOffset val="100"/>
        <c:tickLblSkip val="2"/>
        <c:tickMarkSkip val="1"/>
        <c:noMultiLvlLbl val="0"/>
      </c:catAx>
      <c:valAx>
        <c:axId val="40465583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Dollars per Megawatt-hour</a:t>
                </a:r>
              </a:p>
            </c:rich>
          </c:tx>
          <c:layout>
            <c:manualLayout>
              <c:xMode val="edge"/>
              <c:yMode val="edge"/>
              <c:x val="1.5538290788013319E-2"/>
              <c:y val="0.30179445350734097"/>
            </c:manualLayout>
          </c:layout>
          <c:overlay val="0"/>
          <c:spPr>
            <a:noFill/>
            <a:ln w="25400">
              <a:noFill/>
            </a:ln>
          </c:spPr>
        </c:title>
        <c:numFmt formatCode="0.00000_);\(0.00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04655440"/>
        <c:crosses val="autoZero"/>
        <c:crossBetween val="between"/>
      </c:valAx>
      <c:spPr>
        <a:solidFill>
          <a:srgbClr val="C0C0C0"/>
        </a:solidFill>
        <a:ln w="12700">
          <a:solidFill>
            <a:srgbClr val="808080"/>
          </a:solidFill>
          <a:prstDash val="solid"/>
        </a:ln>
      </c:spPr>
    </c:plotArea>
    <c:legend>
      <c:legendPos val="b"/>
      <c:layout>
        <c:manualLayout>
          <c:xMode val="edge"/>
          <c:yMode val="edge"/>
          <c:x val="0.41398446170921344"/>
          <c:y val="0.95921696574224835"/>
          <c:w val="0.27192008879023338"/>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Cost Of Power (Dollars)
</a:t>
            </a:r>
          </a:p>
        </c:rich>
      </c:tx>
      <c:layout>
        <c:manualLayout>
          <c:xMode val="edge"/>
          <c:yMode val="edge"/>
          <c:x val="0.39733629300777029"/>
          <c:y val="1.9575856443719449E-2"/>
        </c:manualLayout>
      </c:layout>
      <c:overlay val="0"/>
      <c:spPr>
        <a:noFill/>
        <a:ln w="25400">
          <a:noFill/>
        </a:ln>
      </c:spPr>
    </c:title>
    <c:autoTitleDeleted val="0"/>
    <c:plotArea>
      <c:layout>
        <c:manualLayout>
          <c:layoutTarget val="inner"/>
          <c:xMode val="edge"/>
          <c:yMode val="edge"/>
          <c:x val="6.8812430632630622E-2"/>
          <c:y val="9.461663947797716E-2"/>
          <c:w val="0.92008879023307533"/>
          <c:h val="0.75040783034257896"/>
        </c:manualLayout>
      </c:layout>
      <c:lineChart>
        <c:grouping val="standard"/>
        <c:varyColors val="0"/>
        <c:ser>
          <c:idx val="0"/>
          <c:order val="0"/>
          <c:tx>
            <c:v>Power Cost</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Data'!$AH$7:$AH$69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0-86E8-43A4-B00E-63309958E08F}"/>
            </c:ext>
          </c:extLst>
        </c:ser>
        <c:dLbls>
          <c:showLegendKey val="0"/>
          <c:showVal val="0"/>
          <c:showCatName val="0"/>
          <c:showSerName val="0"/>
          <c:showPercent val="0"/>
          <c:showBubbleSize val="0"/>
        </c:dLbls>
        <c:marker val="1"/>
        <c:smooth val="0"/>
        <c:axId val="404656616"/>
        <c:axId val="407047744"/>
      </c:lineChart>
      <c:catAx>
        <c:axId val="404656616"/>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610432852386233"/>
              <c:y val="0.89559543230016436"/>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07047744"/>
        <c:crosses val="autoZero"/>
        <c:auto val="0"/>
        <c:lblAlgn val="ctr"/>
        <c:lblOffset val="100"/>
        <c:tickLblSkip val="2"/>
        <c:tickMarkSkip val="1"/>
        <c:noMultiLvlLbl val="0"/>
      </c:catAx>
      <c:valAx>
        <c:axId val="40704774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Power Cost (Dollars)</a:t>
                </a:r>
              </a:p>
            </c:rich>
          </c:tx>
          <c:layout>
            <c:manualLayout>
              <c:xMode val="edge"/>
              <c:yMode val="edge"/>
              <c:x val="1.5538290788013319E-2"/>
              <c:y val="0.3376835236541607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04656616"/>
        <c:crosses val="autoZero"/>
        <c:crossBetween val="between"/>
      </c:valAx>
      <c:spPr>
        <a:solidFill>
          <a:srgbClr val="C0C0C0"/>
        </a:solidFill>
        <a:ln w="12700">
          <a:solidFill>
            <a:srgbClr val="808080"/>
          </a:solidFill>
          <a:prstDash val="solid"/>
        </a:ln>
      </c:spPr>
    </c:plotArea>
    <c:legend>
      <c:legendPos val="b"/>
      <c:layout>
        <c:manualLayout>
          <c:xMode val="edge"/>
          <c:yMode val="edge"/>
          <c:x val="0.46725860155382931"/>
          <c:y val="0.95921696574224835"/>
          <c:w val="0.12541620421753574"/>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Net General Funds Level (Beginning of Year)
</a:t>
            </a:r>
          </a:p>
        </c:rich>
      </c:tx>
      <c:layout>
        <c:manualLayout>
          <c:xMode val="edge"/>
          <c:yMode val="edge"/>
          <c:x val="0.30965593784683687"/>
          <c:y val="1.9575856443719449E-2"/>
        </c:manualLayout>
      </c:layout>
      <c:overlay val="0"/>
      <c:spPr>
        <a:noFill/>
        <a:ln w="25400">
          <a:noFill/>
        </a:ln>
      </c:spPr>
    </c:title>
    <c:autoTitleDeleted val="0"/>
    <c:plotArea>
      <c:layout>
        <c:manualLayout>
          <c:layoutTarget val="inner"/>
          <c:xMode val="edge"/>
          <c:yMode val="edge"/>
          <c:x val="7.3251942286348501E-2"/>
          <c:y val="9.2985318107667206E-2"/>
          <c:w val="0.91564927857935785"/>
          <c:h val="0.76019575856443922"/>
        </c:manualLayout>
      </c:layout>
      <c:lineChart>
        <c:grouping val="standard"/>
        <c:varyColors val="0"/>
        <c:ser>
          <c:idx val="0"/>
          <c:order val="0"/>
          <c:tx>
            <c:v>Net General Funds (beginning of year)</c:v>
          </c:tx>
          <c:spPr>
            <a:ln w="3175">
              <a:solidFill>
                <a:srgbClr val="FF0000"/>
              </a:solidFill>
              <a:prstDash val="solid"/>
            </a:ln>
          </c:spPr>
          <c:marker>
            <c:symbol val="square"/>
            <c:size val="5"/>
            <c:spPr>
              <a:solidFill>
                <a:srgbClr val="FF0000"/>
              </a:solidFill>
              <a:ln w="9525">
                <a:noFill/>
              </a:ln>
            </c:spPr>
          </c:marker>
          <c:cat>
            <c:numRef>
              <c:f>'c &amp; d'!$D$35:$M$35</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'c &amp; d'!$D$38:$M$38</c:f>
              <c:numCache>
                <c:formatCode>#,##0_);\(#,##0\)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130C-4B87-A7E0-D2CE5FA5DA11}"/>
            </c:ext>
          </c:extLst>
        </c:ser>
        <c:dLbls>
          <c:showLegendKey val="0"/>
          <c:showVal val="0"/>
          <c:showCatName val="0"/>
          <c:showSerName val="0"/>
          <c:showPercent val="0"/>
          <c:showBubbleSize val="0"/>
        </c:dLbls>
        <c:marker val="1"/>
        <c:smooth val="0"/>
        <c:axId val="394105136"/>
        <c:axId val="394105528"/>
      </c:lineChart>
      <c:catAx>
        <c:axId val="394105136"/>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Years</a:t>
                </a:r>
              </a:p>
            </c:rich>
          </c:tx>
          <c:layout>
            <c:manualLayout>
              <c:xMode val="edge"/>
              <c:yMode val="edge"/>
              <c:x val="0.5038845726970036"/>
              <c:y val="0.90375203915171287"/>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94105528"/>
        <c:crosses val="autoZero"/>
        <c:auto val="0"/>
        <c:lblAlgn val="ctr"/>
        <c:lblOffset val="100"/>
        <c:tickLblSkip val="2"/>
        <c:tickMarkSkip val="1"/>
        <c:noMultiLvlLbl val="0"/>
      </c:catAx>
      <c:valAx>
        <c:axId val="39410552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Net General Funds (Dollars)</a:t>
                </a:r>
              </a:p>
            </c:rich>
          </c:tx>
          <c:layout>
            <c:manualLayout>
              <c:xMode val="edge"/>
              <c:yMode val="edge"/>
              <c:x val="1.5538290788013319E-2"/>
              <c:y val="0.29690048939641223"/>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94105136"/>
        <c:crosses val="autoZero"/>
        <c:crossBetween val="between"/>
      </c:valAx>
      <c:spPr>
        <a:solidFill>
          <a:srgbClr val="C0C0C0"/>
        </a:solidFill>
        <a:ln w="12700">
          <a:solidFill>
            <a:srgbClr val="808080"/>
          </a:solidFill>
          <a:prstDash val="solid"/>
        </a:ln>
      </c:spPr>
    </c:plotArea>
    <c:legend>
      <c:legendPos val="b"/>
      <c:layout>
        <c:manualLayout>
          <c:xMode val="edge"/>
          <c:yMode val="edge"/>
          <c:x val="0.37291897891232073"/>
          <c:y val="0.95921696574224835"/>
          <c:w val="0.31409544950055485"/>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Cost Of Power per kWh Purchased
</a:t>
            </a:r>
          </a:p>
        </c:rich>
      </c:tx>
      <c:layout>
        <c:manualLayout>
          <c:xMode val="edge"/>
          <c:yMode val="edge"/>
          <c:x val="0.34961154273029965"/>
          <c:y val="1.9575856443719449E-2"/>
        </c:manualLayout>
      </c:layout>
      <c:overlay val="0"/>
      <c:spPr>
        <a:noFill/>
        <a:ln w="25400">
          <a:noFill/>
        </a:ln>
      </c:spPr>
    </c:title>
    <c:autoTitleDeleted val="0"/>
    <c:plotArea>
      <c:layout>
        <c:manualLayout>
          <c:layoutTarget val="inner"/>
          <c:xMode val="edge"/>
          <c:yMode val="edge"/>
          <c:x val="9.3229744728080113E-2"/>
          <c:y val="9.1353996737357251E-2"/>
          <c:w val="0.89567147613762588"/>
          <c:h val="0.75856443719412858"/>
        </c:manualLayout>
      </c:layout>
      <c:lineChart>
        <c:grouping val="standard"/>
        <c:varyColors val="0"/>
        <c:ser>
          <c:idx val="0"/>
          <c:order val="0"/>
          <c:tx>
            <c:v>Power Cost per kWh Purchased</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Data'!$DK$7:$DK$69</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formatCode="0.00_)">
                  <c:v>0</c:v>
                </c:pt>
                <c:pt idx="54" formatCode="0.00_)">
                  <c:v>0</c:v>
                </c:pt>
                <c:pt idx="55" formatCode="0.00_)">
                  <c:v>0</c:v>
                </c:pt>
                <c:pt idx="56" formatCode="0.00_)">
                  <c:v>0</c:v>
                </c:pt>
                <c:pt idx="57" formatCode="0.00_)">
                  <c:v>0</c:v>
                </c:pt>
                <c:pt idx="58" formatCode="0.00_)">
                  <c:v>0</c:v>
                </c:pt>
                <c:pt idx="59" formatCode="0.00_)">
                  <c:v>0</c:v>
                </c:pt>
                <c:pt idx="60" formatCode="0.00_)">
                  <c:v>0</c:v>
                </c:pt>
                <c:pt idx="61" formatCode="0.00_)">
                  <c:v>0</c:v>
                </c:pt>
                <c:pt idx="62" formatCode="0.00_)">
                  <c:v>0</c:v>
                </c:pt>
              </c:numCache>
            </c:numRef>
          </c:val>
          <c:smooth val="0"/>
          <c:extLst>
            <c:ext xmlns:c16="http://schemas.microsoft.com/office/drawing/2014/chart" uri="{C3380CC4-5D6E-409C-BE32-E72D297353CC}">
              <c16:uniqueId val="{00000000-8DDC-44D1-B081-BCCEE478731B}"/>
            </c:ext>
          </c:extLst>
        </c:ser>
        <c:dLbls>
          <c:showLegendKey val="0"/>
          <c:showVal val="0"/>
          <c:showCatName val="0"/>
          <c:showSerName val="0"/>
          <c:showPercent val="0"/>
          <c:showBubbleSize val="0"/>
        </c:dLbls>
        <c:marker val="1"/>
        <c:smooth val="0"/>
        <c:axId val="407048528"/>
        <c:axId val="407048920"/>
      </c:lineChart>
      <c:catAx>
        <c:axId val="407048528"/>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1831298557158656"/>
              <c:y val="0.9004893964110929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07048920"/>
        <c:crosses val="autoZero"/>
        <c:auto val="0"/>
        <c:lblAlgn val="ctr"/>
        <c:lblOffset val="100"/>
        <c:tickLblSkip val="2"/>
        <c:tickMarkSkip val="1"/>
        <c:noMultiLvlLbl val="0"/>
      </c:catAx>
      <c:valAx>
        <c:axId val="40704892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Mills per kWh Purchased</a:t>
                </a:r>
              </a:p>
            </c:rich>
          </c:tx>
          <c:layout>
            <c:manualLayout>
              <c:xMode val="edge"/>
              <c:yMode val="edge"/>
              <c:x val="1.5538290788013319E-2"/>
              <c:y val="0.3115823817292021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07048528"/>
        <c:crosses val="autoZero"/>
        <c:crossBetween val="between"/>
      </c:valAx>
      <c:spPr>
        <a:solidFill>
          <a:srgbClr val="C0C0C0"/>
        </a:solidFill>
        <a:ln w="12700">
          <a:solidFill>
            <a:srgbClr val="808080"/>
          </a:solidFill>
          <a:prstDash val="solid"/>
        </a:ln>
      </c:spPr>
    </c:plotArea>
    <c:legend>
      <c:legendPos val="b"/>
      <c:layout>
        <c:manualLayout>
          <c:xMode val="edge"/>
          <c:yMode val="edge"/>
          <c:x val="0.40732519422863533"/>
          <c:y val="0.95921696574224835"/>
          <c:w val="0.26748057713651574"/>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Total Plant Additions (Dollars)
</a:t>
            </a:r>
          </a:p>
        </c:rich>
      </c:tx>
      <c:layout>
        <c:manualLayout>
          <c:xMode val="edge"/>
          <c:yMode val="edge"/>
          <c:x val="0.37069922308546088"/>
          <c:y val="1.9575856443719449E-2"/>
        </c:manualLayout>
      </c:layout>
      <c:overlay val="0"/>
      <c:spPr>
        <a:noFill/>
        <a:ln w="25400">
          <a:noFill/>
        </a:ln>
      </c:spPr>
    </c:title>
    <c:autoTitleDeleted val="0"/>
    <c:plotArea>
      <c:layout>
        <c:manualLayout>
          <c:layoutTarget val="inner"/>
          <c:xMode val="edge"/>
          <c:yMode val="edge"/>
          <c:x val="7.3251942286348501E-2"/>
          <c:y val="8.9722675367047644E-2"/>
          <c:w val="0.91564927857935785"/>
          <c:h val="0.7553017944535092"/>
        </c:manualLayout>
      </c:layout>
      <c:lineChart>
        <c:grouping val="standard"/>
        <c:varyColors val="0"/>
        <c:ser>
          <c:idx val="0"/>
          <c:order val="0"/>
          <c:tx>
            <c:v>Total Plant Additions</c:v>
          </c:tx>
          <c:spPr>
            <a:ln w="3175">
              <a:solidFill>
                <a:srgbClr val="FF0000"/>
              </a:solidFill>
              <a:prstDash val="solid"/>
            </a:ln>
          </c:spPr>
          <c:marker>
            <c:symbol val="square"/>
            <c:size val="5"/>
            <c:spPr>
              <a:solidFill>
                <a:srgbClr val="FF0000"/>
              </a:solidFill>
              <a:ln w="9525">
                <a:noFill/>
              </a:ln>
            </c:spPr>
          </c:marker>
          <c:cat>
            <c:numRef>
              <c:f>'g - Plant'!$E$5:$Q$5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'g - Plant'!$E$9:$Q$9</c:f>
              <c:numCache>
                <c:formatCode>#,##0_);[Red]\(#,##0\)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3F92-4FBF-AE03-D458511A74C8}"/>
            </c:ext>
          </c:extLst>
        </c:ser>
        <c:dLbls>
          <c:showLegendKey val="0"/>
          <c:showVal val="0"/>
          <c:showCatName val="0"/>
          <c:showSerName val="0"/>
          <c:showPercent val="0"/>
          <c:showBubbleSize val="0"/>
        </c:dLbls>
        <c:marker val="1"/>
        <c:smooth val="0"/>
        <c:axId val="402598720"/>
        <c:axId val="402599112"/>
      </c:lineChart>
      <c:catAx>
        <c:axId val="402598720"/>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832408435072141"/>
              <c:y val="0.89559543230016436"/>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02599112"/>
        <c:crosses val="autoZero"/>
        <c:auto val="0"/>
        <c:lblAlgn val="ctr"/>
        <c:lblOffset val="100"/>
        <c:tickLblSkip val="2"/>
        <c:tickMarkSkip val="1"/>
        <c:noMultiLvlLbl val="0"/>
      </c:catAx>
      <c:valAx>
        <c:axId val="40259911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Dollars</a:t>
                </a:r>
              </a:p>
            </c:rich>
          </c:tx>
          <c:layout>
            <c:manualLayout>
              <c:xMode val="edge"/>
              <c:yMode val="edge"/>
              <c:x val="1.5538290788013319E-2"/>
              <c:y val="0.41761827079934838"/>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02598720"/>
        <c:crosses val="autoZero"/>
        <c:crossBetween val="between"/>
      </c:valAx>
      <c:spPr>
        <a:solidFill>
          <a:srgbClr val="C0C0C0"/>
        </a:solidFill>
        <a:ln w="12700">
          <a:solidFill>
            <a:srgbClr val="808080"/>
          </a:solidFill>
          <a:prstDash val="solid"/>
        </a:ln>
      </c:spPr>
    </c:plotArea>
    <c:legend>
      <c:legendPos val="b"/>
      <c:layout>
        <c:manualLayout>
          <c:xMode val="edge"/>
          <c:yMode val="edge"/>
          <c:x val="0.43951165371809131"/>
          <c:y val="0.95921696574224835"/>
          <c:w val="0.19200887902330738"/>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Total Utility Plant (End of Year)
</a:t>
            </a:r>
          </a:p>
        </c:rich>
      </c:tx>
      <c:layout>
        <c:manualLayout>
          <c:xMode val="edge"/>
          <c:yMode val="edge"/>
          <c:x val="0.36847946725860287"/>
          <c:y val="1.9575856443719449E-2"/>
        </c:manualLayout>
      </c:layout>
      <c:overlay val="0"/>
      <c:spPr>
        <a:noFill/>
        <a:ln w="25400">
          <a:noFill/>
        </a:ln>
      </c:spPr>
    </c:title>
    <c:autoTitleDeleted val="0"/>
    <c:plotArea>
      <c:layout>
        <c:manualLayout>
          <c:layoutTarget val="inner"/>
          <c:xMode val="edge"/>
          <c:yMode val="edge"/>
          <c:x val="6.8812430632630622E-2"/>
          <c:y val="9.9510603588907065E-2"/>
          <c:w val="0.92008879023307533"/>
          <c:h val="0.75367047308320023"/>
        </c:manualLayout>
      </c:layout>
      <c:lineChart>
        <c:grouping val="standard"/>
        <c:varyColors val="0"/>
        <c:ser>
          <c:idx val="0"/>
          <c:order val="0"/>
          <c:tx>
            <c:v>Total Utility Plant (end of year)</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Data'!$O$7:$O$69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0-60EE-412C-970E-2579C100158A}"/>
            </c:ext>
          </c:extLst>
        </c:ser>
        <c:dLbls>
          <c:showLegendKey val="0"/>
          <c:showVal val="0"/>
          <c:showCatName val="0"/>
          <c:showSerName val="0"/>
          <c:showPercent val="0"/>
          <c:showBubbleSize val="0"/>
        </c:dLbls>
        <c:marker val="1"/>
        <c:smooth val="0"/>
        <c:axId val="402599896"/>
        <c:axId val="402600288"/>
      </c:lineChart>
      <c:catAx>
        <c:axId val="402599896"/>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610432852386233"/>
              <c:y val="0.90375203915171287"/>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02600288"/>
        <c:crosses val="autoZero"/>
        <c:auto val="0"/>
        <c:lblAlgn val="ctr"/>
        <c:lblOffset val="100"/>
        <c:tickLblSkip val="2"/>
        <c:tickMarkSkip val="1"/>
        <c:noMultiLvlLbl val="0"/>
      </c:catAx>
      <c:valAx>
        <c:axId val="40260028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Total Utility Plant (Dollars)</a:t>
                </a:r>
              </a:p>
            </c:rich>
          </c:tx>
          <c:layout>
            <c:manualLayout>
              <c:xMode val="edge"/>
              <c:yMode val="edge"/>
              <c:x val="1.5538290788013319E-2"/>
              <c:y val="0.311582381729202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02599896"/>
        <c:crosses val="autoZero"/>
        <c:crossBetween val="between"/>
      </c:valAx>
      <c:spPr>
        <a:solidFill>
          <a:srgbClr val="C0C0C0"/>
        </a:solidFill>
        <a:ln w="12700">
          <a:solidFill>
            <a:srgbClr val="808080"/>
          </a:solidFill>
          <a:prstDash val="solid"/>
        </a:ln>
      </c:spPr>
    </c:plotArea>
    <c:legend>
      <c:legendPos val="b"/>
      <c:layout>
        <c:manualLayout>
          <c:xMode val="edge"/>
          <c:yMode val="edge"/>
          <c:x val="0.39955604883462892"/>
          <c:y val="0.95921696574224835"/>
          <c:w val="0.25971143174250833"/>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Depreciation Expense ($)
</a:t>
            </a:r>
          </a:p>
        </c:rich>
      </c:tx>
      <c:layout>
        <c:manualLayout>
          <c:xMode val="edge"/>
          <c:yMode val="edge"/>
          <c:x val="0.39067702552719202"/>
          <c:y val="1.9575856443719449E-2"/>
        </c:manualLayout>
      </c:layout>
      <c:overlay val="0"/>
      <c:spPr>
        <a:noFill/>
        <a:ln w="25400">
          <a:noFill/>
        </a:ln>
      </c:spPr>
    </c:title>
    <c:autoTitleDeleted val="0"/>
    <c:plotArea>
      <c:layout>
        <c:manualLayout>
          <c:layoutTarget val="inner"/>
          <c:xMode val="edge"/>
          <c:yMode val="edge"/>
          <c:x val="5.5493895671476154E-2"/>
          <c:y val="9.7879282218596986E-2"/>
          <c:w val="0.93340732519422742"/>
          <c:h val="0.76672104404567876"/>
        </c:manualLayout>
      </c:layout>
      <c:lineChart>
        <c:grouping val="standard"/>
        <c:varyColors val="0"/>
        <c:ser>
          <c:idx val="0"/>
          <c:order val="0"/>
          <c:tx>
            <c:v>Depreciation Expense</c:v>
          </c:tx>
          <c:spPr>
            <a:ln w="3175">
              <a:solidFill>
                <a:srgbClr val="FF0000"/>
              </a:solidFill>
              <a:prstDash val="solid"/>
            </a:ln>
          </c:spPr>
          <c:marker>
            <c:symbol val="square"/>
            <c:size val="5"/>
            <c:spPr>
              <a:solidFill>
                <a:srgbClr val="FF0000"/>
              </a:solidFill>
              <a:ln w="9525">
                <a:noFill/>
              </a:ln>
            </c:spPr>
          </c:marker>
          <c:cat>
            <c:numRef>
              <c:f>'k - Exp'!$D$5:$P$5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'k - Exp'!$D$19:$P$19</c:f>
              <c:numCache>
                <c:formatCode>#,##0_);\(#,##0\)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1B9A-41B8-88DB-3471AA861B0E}"/>
            </c:ext>
          </c:extLst>
        </c:ser>
        <c:dLbls>
          <c:showLegendKey val="0"/>
          <c:showVal val="0"/>
          <c:showCatName val="0"/>
          <c:showSerName val="0"/>
          <c:showPercent val="0"/>
          <c:showBubbleSize val="0"/>
        </c:dLbls>
        <c:marker val="1"/>
        <c:smooth val="0"/>
        <c:axId val="217214016"/>
        <c:axId val="217214408"/>
      </c:lineChart>
      <c:catAx>
        <c:axId val="217214016"/>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49944506104328584"/>
              <c:y val="0.91517128874388265"/>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217214408"/>
        <c:crosses val="autoZero"/>
        <c:auto val="0"/>
        <c:lblAlgn val="ctr"/>
        <c:lblOffset val="100"/>
        <c:tickLblSkip val="2"/>
        <c:tickMarkSkip val="1"/>
        <c:noMultiLvlLbl val="0"/>
      </c:catAx>
      <c:valAx>
        <c:axId val="21721440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Depreciation Expense (Dollars)</a:t>
                </a:r>
              </a:p>
            </c:rich>
          </c:tx>
          <c:layout>
            <c:manualLayout>
              <c:xMode val="edge"/>
              <c:yMode val="edge"/>
              <c:x val="0"/>
              <c:y val="0.28384991843393143"/>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217214016"/>
        <c:crosses val="autoZero"/>
        <c:crossBetween val="between"/>
      </c:valAx>
      <c:spPr>
        <a:solidFill>
          <a:srgbClr val="C0C0C0"/>
        </a:solidFill>
        <a:ln w="12700">
          <a:solidFill>
            <a:srgbClr val="808080"/>
          </a:solidFill>
          <a:prstDash val="solid"/>
        </a:ln>
      </c:spPr>
    </c:plotArea>
    <c:legend>
      <c:legendPos val="b"/>
      <c:layout>
        <c:manualLayout>
          <c:xMode val="edge"/>
          <c:yMode val="edge"/>
          <c:x val="0.41842397336293119"/>
          <c:y val="0.96084828711256165"/>
          <c:w val="0.1997780244173139"/>
          <c:h val="3.9151712887438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Depreciation Expense to Total Utility Plant Ratio
</a:t>
            </a:r>
          </a:p>
        </c:rich>
      </c:tx>
      <c:layout>
        <c:manualLayout>
          <c:xMode val="edge"/>
          <c:yMode val="edge"/>
          <c:x val="0.29522752497225374"/>
          <c:y val="1.9575856443719449E-2"/>
        </c:manualLayout>
      </c:layout>
      <c:overlay val="0"/>
      <c:spPr>
        <a:noFill/>
        <a:ln w="25400">
          <a:noFill/>
        </a:ln>
      </c:spPr>
    </c:title>
    <c:autoTitleDeleted val="0"/>
    <c:plotArea>
      <c:layout>
        <c:manualLayout>
          <c:layoutTarget val="inner"/>
          <c:xMode val="edge"/>
          <c:yMode val="edge"/>
          <c:x val="7.8801331853496276E-2"/>
          <c:y val="9.1353996737357251E-2"/>
          <c:w val="0.91009988901220851"/>
          <c:h val="0.79934747145187712"/>
        </c:manualLayout>
      </c:layout>
      <c:lineChart>
        <c:grouping val="standard"/>
        <c:varyColors val="0"/>
        <c:ser>
          <c:idx val="0"/>
          <c:order val="0"/>
          <c:spPr>
            <a:ln w="3175">
              <a:solidFill>
                <a:srgbClr val="FF0000"/>
              </a:solidFill>
              <a:prstDash val="solid"/>
            </a:ln>
          </c:spPr>
          <c:marker>
            <c:symbol val="square"/>
            <c:size val="5"/>
            <c:spPr>
              <a:solidFill>
                <a:srgbClr val="FF0000"/>
              </a:solidFill>
              <a:ln w="9525">
                <a:noFill/>
              </a:ln>
            </c:spPr>
          </c:marker>
          <c:cat>
            <c:numRef>
              <c:f>'k - Exp'!$D$5:$P$5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'k - Exp'!$D$20:$P$20</c:f>
              <c:numCache>
                <c:formatCode>#,##0.000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7112-4DDE-8233-24AE8FB3C9E3}"/>
            </c:ext>
          </c:extLst>
        </c:ser>
        <c:dLbls>
          <c:showLegendKey val="0"/>
          <c:showVal val="0"/>
          <c:showCatName val="0"/>
          <c:showSerName val="0"/>
          <c:showPercent val="0"/>
          <c:showBubbleSize val="0"/>
        </c:dLbls>
        <c:marker val="1"/>
        <c:smooth val="0"/>
        <c:axId val="217215192"/>
        <c:axId val="217215584"/>
      </c:lineChart>
      <c:catAx>
        <c:axId val="217215192"/>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1165371809101001"/>
              <c:y val="0.9412724306688430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217215584"/>
        <c:crosses val="autoZero"/>
        <c:auto val="0"/>
        <c:lblAlgn val="ctr"/>
        <c:lblOffset val="100"/>
        <c:tickLblSkip val="2"/>
        <c:tickMarkSkip val="1"/>
        <c:noMultiLvlLbl val="0"/>
      </c:catAx>
      <c:valAx>
        <c:axId val="21721558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Depreciation to TUP Ratio (Percent)</a:t>
                </a:r>
              </a:p>
            </c:rich>
          </c:tx>
          <c:layout>
            <c:manualLayout>
              <c:xMode val="edge"/>
              <c:yMode val="edge"/>
              <c:x val="0"/>
              <c:y val="0.26590538336052238"/>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217215192"/>
        <c:crosses val="autoZero"/>
        <c:crossBetween val="between"/>
      </c:valAx>
      <c:spPr>
        <a:solidFill>
          <a:srgbClr val="C0C0C0"/>
        </a:solidFill>
        <a:ln w="12700">
          <a:solidFill>
            <a:srgbClr val="808080"/>
          </a:solidFill>
          <a:prstDash val="solid"/>
        </a:ln>
      </c:spPr>
    </c:plotArea>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Depreciation Expense ($)
</a:t>
            </a:r>
          </a:p>
        </c:rich>
      </c:tx>
      <c:layout>
        <c:manualLayout>
          <c:xMode val="edge"/>
          <c:yMode val="edge"/>
          <c:x val="0.39067702552719202"/>
          <c:y val="1.9575856443719449E-2"/>
        </c:manualLayout>
      </c:layout>
      <c:overlay val="0"/>
      <c:spPr>
        <a:noFill/>
        <a:ln w="25400">
          <a:noFill/>
        </a:ln>
      </c:spPr>
    </c:title>
    <c:autoTitleDeleted val="0"/>
    <c:plotArea>
      <c:layout>
        <c:manualLayout>
          <c:layoutTarget val="inner"/>
          <c:xMode val="edge"/>
          <c:yMode val="edge"/>
          <c:x val="5.1054384017758053E-2"/>
          <c:y val="9.1353996737357251E-2"/>
          <c:w val="0.93784683684794667"/>
          <c:h val="0.75367047308320023"/>
        </c:manualLayout>
      </c:layout>
      <c:lineChart>
        <c:grouping val="standard"/>
        <c:varyColors val="0"/>
        <c:ser>
          <c:idx val="0"/>
          <c:order val="0"/>
          <c:tx>
            <c:v>Depreciation Expense</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Data'!$AO$7:$AO$69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0-D6FD-4423-BCDE-DD9B87E30B6B}"/>
            </c:ext>
          </c:extLst>
        </c:ser>
        <c:dLbls>
          <c:showLegendKey val="0"/>
          <c:showVal val="0"/>
          <c:showCatName val="0"/>
          <c:showSerName val="0"/>
          <c:showPercent val="0"/>
          <c:showBubbleSize val="0"/>
        </c:dLbls>
        <c:marker val="1"/>
        <c:smooth val="0"/>
        <c:axId val="217216368"/>
        <c:axId val="217216760"/>
      </c:lineChart>
      <c:catAx>
        <c:axId val="217216368"/>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49722530521642638"/>
              <c:y val="0.89559543230016436"/>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217216760"/>
        <c:crosses val="autoZero"/>
        <c:auto val="0"/>
        <c:lblAlgn val="ctr"/>
        <c:lblOffset val="100"/>
        <c:tickLblSkip val="2"/>
        <c:tickMarkSkip val="1"/>
        <c:noMultiLvlLbl val="0"/>
      </c:catAx>
      <c:valAx>
        <c:axId val="21721676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Depreciation Expense (Dollars)</a:t>
                </a:r>
              </a:p>
            </c:rich>
          </c:tx>
          <c:layout>
            <c:manualLayout>
              <c:xMode val="edge"/>
              <c:yMode val="edge"/>
              <c:x val="0"/>
              <c:y val="0.2707993474714517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217216368"/>
        <c:crosses val="autoZero"/>
        <c:crossBetween val="between"/>
      </c:valAx>
      <c:spPr>
        <a:solidFill>
          <a:srgbClr val="C0C0C0"/>
        </a:solidFill>
        <a:ln w="12700">
          <a:solidFill>
            <a:srgbClr val="808080"/>
          </a:solidFill>
          <a:prstDash val="solid"/>
        </a:ln>
      </c:spPr>
    </c:plotArea>
    <c:legend>
      <c:legendPos val="b"/>
      <c:layout>
        <c:manualLayout>
          <c:xMode val="edge"/>
          <c:yMode val="edge"/>
          <c:x val="0.41842397336293119"/>
          <c:y val="0.95921696574224835"/>
          <c:w val="0.1997780244173139"/>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Depreciation Expense to Total Utility Plant Ratio
</a:t>
            </a:r>
          </a:p>
        </c:rich>
      </c:tx>
      <c:layout>
        <c:manualLayout>
          <c:xMode val="edge"/>
          <c:yMode val="edge"/>
          <c:x val="0.29522752497225374"/>
          <c:y val="1.9575856443719449E-2"/>
        </c:manualLayout>
      </c:layout>
      <c:overlay val="0"/>
      <c:spPr>
        <a:noFill/>
        <a:ln w="25400">
          <a:noFill/>
        </a:ln>
      </c:spPr>
    </c:title>
    <c:autoTitleDeleted val="0"/>
    <c:plotArea>
      <c:layout>
        <c:manualLayout>
          <c:layoutTarget val="inner"/>
          <c:xMode val="edge"/>
          <c:yMode val="edge"/>
          <c:x val="9.7669256381798006E-2"/>
          <c:y val="0.10114192495921713"/>
          <c:w val="0.89123196448390651"/>
          <c:h val="0.7862969004893966"/>
        </c:manualLayout>
      </c:layout>
      <c:lineChart>
        <c:grouping val="standard"/>
        <c:varyColors val="0"/>
        <c:ser>
          <c:idx val="0"/>
          <c:order val="0"/>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Data'!$CV$7:$CV$69</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0-08AF-4A14-BDA7-9134A1184B86}"/>
            </c:ext>
          </c:extLst>
        </c:ser>
        <c:dLbls>
          <c:showLegendKey val="0"/>
          <c:showVal val="0"/>
          <c:showCatName val="0"/>
          <c:showSerName val="0"/>
          <c:showPercent val="0"/>
          <c:showBubbleSize val="0"/>
        </c:dLbls>
        <c:marker val="1"/>
        <c:smooth val="0"/>
        <c:axId val="706827760"/>
        <c:axId val="706828152"/>
      </c:lineChart>
      <c:catAx>
        <c:axId val="706827760"/>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2053274139844496"/>
              <c:y val="0.93800978792822187"/>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06828152"/>
        <c:crosses val="autoZero"/>
        <c:auto val="0"/>
        <c:lblAlgn val="ctr"/>
        <c:lblOffset val="100"/>
        <c:tickLblSkip val="2"/>
        <c:tickMarkSkip val="1"/>
        <c:noMultiLvlLbl val="0"/>
      </c:catAx>
      <c:valAx>
        <c:axId val="70682815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Depreciation to TUP Ratio (Percent)</a:t>
                </a:r>
              </a:p>
            </c:rich>
          </c:tx>
          <c:layout>
            <c:manualLayout>
              <c:xMode val="edge"/>
              <c:yMode val="edge"/>
              <c:x val="0"/>
              <c:y val="0.2691680261011419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06827760"/>
        <c:crosses val="autoZero"/>
        <c:crossBetween val="between"/>
      </c:valAx>
      <c:spPr>
        <a:solidFill>
          <a:srgbClr val="C0C0C0"/>
        </a:solidFill>
        <a:ln w="12700">
          <a:solidFill>
            <a:srgbClr val="808080"/>
          </a:solidFill>
          <a:prstDash val="solid"/>
        </a:ln>
      </c:spPr>
    </c:plotArea>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Accumulated Provision for Depreciation divided by Tot Utility Plant
(represents what portion of plant has been depreciated)</a:t>
            </a:r>
          </a:p>
        </c:rich>
      </c:tx>
      <c:layout>
        <c:manualLayout>
          <c:xMode val="edge"/>
          <c:yMode val="edge"/>
          <c:x val="0.21642619311875694"/>
          <c:y val="1.9575856443719449E-2"/>
        </c:manualLayout>
      </c:layout>
      <c:overlay val="0"/>
      <c:spPr>
        <a:noFill/>
        <a:ln w="25400">
          <a:noFill/>
        </a:ln>
      </c:spPr>
    </c:title>
    <c:autoTitleDeleted val="0"/>
    <c:plotArea>
      <c:layout>
        <c:manualLayout>
          <c:layoutTarget val="inner"/>
          <c:xMode val="edge"/>
          <c:yMode val="edge"/>
          <c:x val="9.7669256381798006E-2"/>
          <c:y val="0.11745513866231648"/>
          <c:w val="0.8923418423973366"/>
          <c:h val="0.72920065252855037"/>
        </c:manualLayout>
      </c:layout>
      <c:lineChart>
        <c:grouping val="standard"/>
        <c:varyColors val="0"/>
        <c:ser>
          <c:idx val="0"/>
          <c:order val="0"/>
          <c:tx>
            <c:v>Accum. Prov. for Deprec / Tot Utility Plant</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Data'!$DL$7:$DL$69</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formatCode="0.000%">
                  <c:v>0</c:v>
                </c:pt>
                <c:pt idx="54" formatCode="0.000%">
                  <c:v>0</c:v>
                </c:pt>
                <c:pt idx="55" formatCode="0.000%">
                  <c:v>0</c:v>
                </c:pt>
                <c:pt idx="56" formatCode="0.000%">
                  <c:v>0</c:v>
                </c:pt>
                <c:pt idx="57" formatCode="0.000%">
                  <c:v>0</c:v>
                </c:pt>
                <c:pt idx="58" formatCode="0.000%">
                  <c:v>0</c:v>
                </c:pt>
                <c:pt idx="59" formatCode="0.000%">
                  <c:v>0</c:v>
                </c:pt>
                <c:pt idx="60" formatCode="0.000%">
                  <c:v>0</c:v>
                </c:pt>
                <c:pt idx="61" formatCode="0.000%">
                  <c:v>0</c:v>
                </c:pt>
                <c:pt idx="62" formatCode="0.000%">
                  <c:v>0</c:v>
                </c:pt>
              </c:numCache>
            </c:numRef>
          </c:val>
          <c:smooth val="0"/>
          <c:extLst>
            <c:ext xmlns:c16="http://schemas.microsoft.com/office/drawing/2014/chart" uri="{C3380CC4-5D6E-409C-BE32-E72D297353CC}">
              <c16:uniqueId val="{00000000-48C5-42F1-A031-0A8347F8B1D8}"/>
            </c:ext>
          </c:extLst>
        </c:ser>
        <c:dLbls>
          <c:showLegendKey val="0"/>
          <c:showVal val="0"/>
          <c:showCatName val="0"/>
          <c:showSerName val="0"/>
          <c:showPercent val="0"/>
          <c:showBubbleSize val="0"/>
        </c:dLbls>
        <c:marker val="1"/>
        <c:smooth val="0"/>
        <c:axId val="706828936"/>
        <c:axId val="706829328"/>
      </c:lineChart>
      <c:catAx>
        <c:axId val="706828936"/>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2164261931187694"/>
              <c:y val="0.89722675367047411"/>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06829328"/>
        <c:crosses val="autoZero"/>
        <c:auto val="0"/>
        <c:lblAlgn val="ctr"/>
        <c:lblOffset val="100"/>
        <c:tickLblSkip val="2"/>
        <c:tickMarkSkip val="1"/>
        <c:noMultiLvlLbl val="0"/>
      </c:catAx>
      <c:valAx>
        <c:axId val="70682932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Accum. Prov. for Depreciation/ TUP (Percent)</a:t>
                </a:r>
              </a:p>
            </c:rich>
          </c:tx>
          <c:layout>
            <c:manualLayout>
              <c:xMode val="edge"/>
              <c:yMode val="edge"/>
              <c:x val="1.7758046614872364E-2"/>
              <c:y val="0.1990212071778142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06828936"/>
        <c:crosses val="autoZero"/>
        <c:crossBetween val="between"/>
      </c:valAx>
      <c:spPr>
        <a:solidFill>
          <a:srgbClr val="C0C0C0"/>
        </a:solidFill>
        <a:ln w="12700">
          <a:solidFill>
            <a:srgbClr val="808080"/>
          </a:solidFill>
          <a:prstDash val="solid"/>
        </a:ln>
      </c:spPr>
    </c:plotArea>
    <c:legend>
      <c:legendPos val="b"/>
      <c:layout>
        <c:manualLayout>
          <c:xMode val="edge"/>
          <c:yMode val="edge"/>
          <c:x val="0.37402885682575004"/>
          <c:y val="0.95921696574224835"/>
          <c:w val="0.33740288568257609"/>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Interest Expense on Long Term Debt (Dollars)
</a:t>
            </a:r>
          </a:p>
        </c:rich>
      </c:tx>
      <c:layout>
        <c:manualLayout>
          <c:xMode val="edge"/>
          <c:yMode val="edge"/>
          <c:x val="0.30410654827968997"/>
          <c:y val="1.9575856443719449E-2"/>
        </c:manualLayout>
      </c:layout>
      <c:overlay val="0"/>
      <c:spPr>
        <a:noFill/>
        <a:ln w="25400">
          <a:noFill/>
        </a:ln>
      </c:spPr>
    </c:title>
    <c:autoTitleDeleted val="0"/>
    <c:plotArea>
      <c:layout>
        <c:manualLayout>
          <c:layoutTarget val="inner"/>
          <c:xMode val="edge"/>
          <c:yMode val="edge"/>
          <c:x val="7.3251942286348501E-2"/>
          <c:y val="9.9510603588907065E-2"/>
          <c:w val="0.91564927857935785"/>
          <c:h val="0.74225122349102879"/>
        </c:manualLayout>
      </c:layout>
      <c:lineChart>
        <c:grouping val="standard"/>
        <c:varyColors val="0"/>
        <c:ser>
          <c:idx val="0"/>
          <c:order val="0"/>
          <c:tx>
            <c:v>Total Interest Expense</c:v>
          </c:tx>
          <c:spPr>
            <a:ln w="3175">
              <a:solidFill>
                <a:srgbClr val="FF0000"/>
              </a:solidFill>
              <a:prstDash val="solid"/>
            </a:ln>
          </c:spPr>
          <c:marker>
            <c:symbol val="square"/>
            <c:size val="5"/>
            <c:spPr>
              <a:solidFill>
                <a:srgbClr val="FF0000"/>
              </a:solidFill>
              <a:ln w="9525">
                <a:noFill/>
              </a:ln>
            </c:spPr>
          </c:marker>
          <c:cat>
            <c:numRef>
              <c:f>'c &amp; d'!$D$3:$M$3</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'c &amp; d'!$D$16:$M$16</c:f>
              <c:numCache>
                <c:formatCode>#,##0_);\(#,##0\)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91CF-4213-AC1C-F7E5CF1D0AC2}"/>
            </c:ext>
          </c:extLst>
        </c:ser>
        <c:dLbls>
          <c:showLegendKey val="0"/>
          <c:showVal val="0"/>
          <c:showCatName val="0"/>
          <c:showSerName val="0"/>
          <c:showPercent val="0"/>
          <c:showBubbleSize val="0"/>
        </c:dLbls>
        <c:marker val="1"/>
        <c:smooth val="0"/>
        <c:axId val="706830112"/>
        <c:axId val="706830504"/>
      </c:lineChart>
      <c:catAx>
        <c:axId val="706830112"/>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832408435072141"/>
              <c:y val="0.89233278955954209"/>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06830504"/>
        <c:crosses val="autoZero"/>
        <c:auto val="0"/>
        <c:lblAlgn val="ctr"/>
        <c:lblOffset val="100"/>
        <c:tickLblSkip val="2"/>
        <c:tickMarkSkip val="1"/>
        <c:noMultiLvlLbl val="0"/>
      </c:catAx>
      <c:valAx>
        <c:axId val="70683050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Interest Expense (Dollars)</a:t>
                </a:r>
              </a:p>
            </c:rich>
          </c:tx>
          <c:layout>
            <c:manualLayout>
              <c:xMode val="edge"/>
              <c:yMode val="edge"/>
              <c:x val="1.5538290788013319E-2"/>
              <c:y val="0.3050570962479614"/>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06830112"/>
        <c:crosses val="autoZero"/>
        <c:crossBetween val="between"/>
      </c:valAx>
      <c:spPr>
        <a:solidFill>
          <a:srgbClr val="C0C0C0"/>
        </a:solidFill>
        <a:ln w="12700">
          <a:solidFill>
            <a:srgbClr val="808080"/>
          </a:solidFill>
          <a:prstDash val="solid"/>
        </a:ln>
      </c:spPr>
    </c:plotArea>
    <c:legend>
      <c:legendPos val="b"/>
      <c:layout>
        <c:manualLayout>
          <c:xMode val="edge"/>
          <c:yMode val="edge"/>
          <c:x val="0.42952275249722532"/>
          <c:y val="0.95921696574224835"/>
          <c:w val="0.2019977802441735"/>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Interest Expense on Long Term Debt (Dollars)
</a:t>
            </a:r>
          </a:p>
        </c:rich>
      </c:tx>
      <c:layout>
        <c:manualLayout>
          <c:xMode val="edge"/>
          <c:yMode val="edge"/>
          <c:x val="0.30410654827968997"/>
          <c:y val="1.9575856443719449E-2"/>
        </c:manualLayout>
      </c:layout>
      <c:overlay val="0"/>
      <c:spPr>
        <a:noFill/>
        <a:ln w="25400">
          <a:noFill/>
        </a:ln>
      </c:spPr>
    </c:title>
    <c:autoTitleDeleted val="0"/>
    <c:plotArea>
      <c:layout>
        <c:manualLayout>
          <c:layoutTarget val="inner"/>
          <c:xMode val="edge"/>
          <c:yMode val="edge"/>
          <c:x val="6.8812430632630622E-2"/>
          <c:y val="0.10277324632952706"/>
          <c:w val="0.92008879023307533"/>
          <c:h val="0.74061990212071904"/>
        </c:manualLayout>
      </c:layout>
      <c:lineChart>
        <c:grouping val="standard"/>
        <c:varyColors val="0"/>
        <c:ser>
          <c:idx val="0"/>
          <c:order val="0"/>
          <c:tx>
            <c:v>Total Interest Expense</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Data'!$AU$7:$AU$69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0-D88D-44BA-B0A6-CF7ED6719050}"/>
            </c:ext>
          </c:extLst>
        </c:ser>
        <c:dLbls>
          <c:showLegendKey val="0"/>
          <c:showVal val="0"/>
          <c:showCatName val="0"/>
          <c:showSerName val="0"/>
          <c:showPercent val="0"/>
          <c:showBubbleSize val="0"/>
        </c:dLbls>
        <c:marker val="1"/>
        <c:smooth val="0"/>
        <c:axId val="706831288"/>
        <c:axId val="475619344"/>
      </c:lineChart>
      <c:catAx>
        <c:axId val="706831288"/>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610432852386233"/>
              <c:y val="0.89396411092985317"/>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75619344"/>
        <c:crosses val="autoZero"/>
        <c:auto val="0"/>
        <c:lblAlgn val="ctr"/>
        <c:lblOffset val="100"/>
        <c:tickLblSkip val="2"/>
        <c:tickMarkSkip val="1"/>
        <c:noMultiLvlLbl val="0"/>
      </c:catAx>
      <c:valAx>
        <c:axId val="47561934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Interest Expense (Dollars)</a:t>
                </a:r>
              </a:p>
            </c:rich>
          </c:tx>
          <c:layout>
            <c:manualLayout>
              <c:xMode val="edge"/>
              <c:yMode val="edge"/>
              <c:x val="1.5538290788013319E-2"/>
              <c:y val="0.3083197389885813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06831288"/>
        <c:crosses val="autoZero"/>
        <c:crossBetween val="between"/>
      </c:valAx>
      <c:spPr>
        <a:solidFill>
          <a:srgbClr val="C0C0C0"/>
        </a:solidFill>
        <a:ln w="12700">
          <a:solidFill>
            <a:srgbClr val="808080"/>
          </a:solidFill>
          <a:prstDash val="solid"/>
        </a:ln>
      </c:spPr>
    </c:plotArea>
    <c:legend>
      <c:legendPos val="b"/>
      <c:layout>
        <c:manualLayout>
          <c:xMode val="edge"/>
          <c:yMode val="edge"/>
          <c:x val="0.42619311875693616"/>
          <c:y val="0.95921696574224835"/>
          <c:w val="0.20199778024417361"/>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General Funds as a percent of Total Utility Plant
</a:t>
            </a:r>
          </a:p>
        </c:rich>
      </c:tx>
      <c:layout>
        <c:manualLayout>
          <c:xMode val="edge"/>
          <c:yMode val="edge"/>
          <c:x val="0.29633740288568305"/>
          <c:y val="1.9575856443719449E-2"/>
        </c:manualLayout>
      </c:layout>
      <c:overlay val="0"/>
      <c:spPr>
        <a:noFill/>
        <a:ln w="25400">
          <a:noFill/>
        </a:ln>
      </c:spPr>
    </c:title>
    <c:autoTitleDeleted val="0"/>
    <c:plotArea>
      <c:layout>
        <c:manualLayout>
          <c:layoutTarget val="inner"/>
          <c:xMode val="edge"/>
          <c:yMode val="edge"/>
          <c:x val="9.3229744728080113E-2"/>
          <c:y val="9.7879282218596986E-2"/>
          <c:w val="0.89567147613762588"/>
          <c:h val="0.76508972267536812"/>
        </c:manualLayout>
      </c:layout>
      <c:lineChart>
        <c:grouping val="standard"/>
        <c:varyColors val="0"/>
        <c:ser>
          <c:idx val="0"/>
          <c:order val="0"/>
          <c:tx>
            <c:v>Gen. Funds as % of TUP</c:v>
          </c:tx>
          <c:spPr>
            <a:ln w="3175">
              <a:solidFill>
                <a:srgbClr val="FF0000"/>
              </a:solidFill>
              <a:prstDash val="solid"/>
            </a:ln>
          </c:spPr>
          <c:marker>
            <c:symbol val="square"/>
            <c:size val="5"/>
            <c:spPr>
              <a:solidFill>
                <a:srgbClr val="FF0000"/>
              </a:solidFill>
              <a:ln w="9525">
                <a:noFill/>
              </a:ln>
            </c:spPr>
          </c:marker>
          <c:cat>
            <c:numRef>
              <c:f>'a &amp; b'!$D$12:$N$12</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'a &amp; b'!$D$23:$N$23</c:f>
              <c:numCache>
                <c:formatCode>0.00_)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4DC8-4DB3-A3EE-049F04302059}"/>
            </c:ext>
          </c:extLst>
        </c:ser>
        <c:dLbls>
          <c:showLegendKey val="0"/>
          <c:showVal val="0"/>
          <c:showCatName val="0"/>
          <c:showSerName val="0"/>
          <c:showPercent val="0"/>
          <c:showBubbleSize val="0"/>
        </c:dLbls>
        <c:marker val="1"/>
        <c:smooth val="0"/>
        <c:axId val="406253320"/>
        <c:axId val="406253712"/>
      </c:lineChart>
      <c:catAx>
        <c:axId val="406253320"/>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Years</a:t>
                </a:r>
              </a:p>
            </c:rich>
          </c:tx>
          <c:layout>
            <c:manualLayout>
              <c:xMode val="edge"/>
              <c:yMode val="edge"/>
              <c:x val="0.51387347391786908"/>
              <c:y val="0.91353996737357379"/>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06253712"/>
        <c:crosses val="autoZero"/>
        <c:auto val="0"/>
        <c:lblAlgn val="ctr"/>
        <c:lblOffset val="100"/>
        <c:tickLblSkip val="2"/>
        <c:tickMarkSkip val="1"/>
        <c:noMultiLvlLbl val="0"/>
      </c:catAx>
      <c:valAx>
        <c:axId val="40625371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General Funds / TUP (Percent)</a:t>
                </a:r>
              </a:p>
            </c:rich>
          </c:tx>
          <c:layout>
            <c:manualLayout>
              <c:xMode val="edge"/>
              <c:yMode val="edge"/>
              <c:x val="1.5538290788013319E-2"/>
              <c:y val="0.28711256117455247"/>
            </c:manualLayout>
          </c:layout>
          <c:overlay val="0"/>
          <c:spPr>
            <a:noFill/>
            <a:ln w="25400">
              <a:noFill/>
            </a:ln>
          </c:spPr>
        </c:title>
        <c:numFmt formatCode="0.00_)"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06253320"/>
        <c:crosses val="autoZero"/>
        <c:crossBetween val="between"/>
      </c:valAx>
      <c:spPr>
        <a:solidFill>
          <a:srgbClr val="C0C0C0"/>
        </a:solidFill>
        <a:ln w="12700">
          <a:solidFill>
            <a:srgbClr val="808080"/>
          </a:solidFill>
          <a:prstDash val="solid"/>
        </a:ln>
      </c:spPr>
    </c:plotArea>
    <c:legend>
      <c:legendPos val="r"/>
      <c:layout>
        <c:manualLayout>
          <c:xMode val="edge"/>
          <c:yMode val="edge"/>
          <c:x val="0.43507214206437345"/>
          <c:y val="0.96084828711256165"/>
          <c:w val="0.21198668146503949"/>
          <c:h val="3.9151712887438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Residential, Seasonal, Irrigation
# of Consumers</a:t>
            </a:r>
          </a:p>
        </c:rich>
      </c:tx>
      <c:layout>
        <c:manualLayout>
          <c:xMode val="edge"/>
          <c:yMode val="edge"/>
          <c:x val="0.36293007769145458"/>
          <c:y val="1.9575856443719449E-2"/>
        </c:manualLayout>
      </c:layout>
      <c:overlay val="0"/>
      <c:spPr>
        <a:noFill/>
        <a:ln w="25400">
          <a:noFill/>
        </a:ln>
      </c:spPr>
    </c:title>
    <c:autoTitleDeleted val="0"/>
    <c:plotArea>
      <c:layout>
        <c:manualLayout>
          <c:layoutTarget val="inner"/>
          <c:xMode val="edge"/>
          <c:yMode val="edge"/>
          <c:x val="7.3251942286348501E-2"/>
          <c:y val="0.12561174551386622"/>
          <c:w val="0.91564927857935785"/>
          <c:h val="0.76182707993474763"/>
        </c:manualLayout>
      </c:layout>
      <c:lineChart>
        <c:grouping val="standard"/>
        <c:varyColors val="0"/>
        <c:ser>
          <c:idx val="0"/>
          <c:order val="0"/>
          <c:tx>
            <c:v>Residential</c:v>
          </c:tx>
          <c:spPr>
            <a:ln w="12700">
              <a:solidFill>
                <a:srgbClr val="FF0000"/>
              </a:solidFill>
              <a:prstDash val="solid"/>
            </a:ln>
          </c:spPr>
          <c:marker>
            <c:symbol val="square"/>
            <c:size val="5"/>
            <c:spPr>
              <a:solidFill>
                <a:srgbClr val="FF0000"/>
              </a:solidFill>
              <a:ln w="9525">
                <a:noFill/>
              </a:ln>
            </c:spPr>
          </c:marker>
          <c:cat>
            <c:numRef>
              <c:f>'e - Sales'!$D$5:$P$5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'e - Sales'!$D$8:$P$8</c:f>
              <c:numCache>
                <c:formatCode>#,##0_);\(#,##0\)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128B-473C-B16E-AFA8F11CE054}"/>
            </c:ext>
          </c:extLst>
        </c:ser>
        <c:ser>
          <c:idx val="1"/>
          <c:order val="1"/>
          <c:tx>
            <c:v>Seasonal</c:v>
          </c:tx>
          <c:spPr>
            <a:ln w="12700">
              <a:solidFill>
                <a:srgbClr val="000000"/>
              </a:solidFill>
              <a:prstDash val="solid"/>
            </a:ln>
          </c:spPr>
          <c:marker>
            <c:symbol val="diamond"/>
            <c:size val="5"/>
            <c:spPr>
              <a:solidFill>
                <a:srgbClr val="000000"/>
              </a:solidFill>
              <a:ln>
                <a:solidFill>
                  <a:srgbClr val="000000"/>
                </a:solidFill>
                <a:prstDash val="solid"/>
              </a:ln>
            </c:spPr>
          </c:marker>
          <c:cat>
            <c:numRef>
              <c:f>'e - Sales'!$D$5:$P$5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'e - Sales'!$D$9:$P$9</c:f>
              <c:numCache>
                <c:formatCode>#,##0_);\(#,##0\)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1-128B-473C-B16E-AFA8F11CE054}"/>
            </c:ext>
          </c:extLst>
        </c:ser>
        <c:ser>
          <c:idx val="2"/>
          <c:order val="2"/>
          <c:tx>
            <c:v>Irrigation</c:v>
          </c:tx>
          <c:spPr>
            <a:ln w="12700">
              <a:solidFill>
                <a:srgbClr val="0000FF"/>
              </a:solidFill>
              <a:prstDash val="solid"/>
            </a:ln>
          </c:spPr>
          <c:marker>
            <c:symbol val="triangle"/>
            <c:size val="5"/>
            <c:spPr>
              <a:solidFill>
                <a:srgbClr val="0000FF"/>
              </a:solidFill>
              <a:ln w="9525">
                <a:noFill/>
              </a:ln>
            </c:spPr>
          </c:marker>
          <c:cat>
            <c:numRef>
              <c:f>'e - Sales'!$D$5:$P$5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'e - Sales'!$D$10:$P$10</c:f>
              <c:numCache>
                <c:formatCode>#,##0_);\(#,##0\)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2-128B-473C-B16E-AFA8F11CE054}"/>
            </c:ext>
          </c:extLst>
        </c:ser>
        <c:dLbls>
          <c:showLegendKey val="0"/>
          <c:showVal val="0"/>
          <c:showCatName val="0"/>
          <c:showSerName val="0"/>
          <c:showPercent val="0"/>
          <c:showBubbleSize val="0"/>
        </c:dLbls>
        <c:marker val="1"/>
        <c:smooth val="0"/>
        <c:axId val="475620520"/>
        <c:axId val="475620912"/>
      </c:lineChart>
      <c:catAx>
        <c:axId val="475620520"/>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75620912"/>
        <c:crosses val="autoZero"/>
        <c:auto val="0"/>
        <c:lblAlgn val="ctr"/>
        <c:lblOffset val="100"/>
        <c:tickLblSkip val="2"/>
        <c:tickMarkSkip val="1"/>
        <c:noMultiLvlLbl val="0"/>
      </c:catAx>
      <c:valAx>
        <c:axId val="47562091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 of Consumers</a:t>
                </a:r>
              </a:p>
            </c:rich>
          </c:tx>
          <c:layout>
            <c:manualLayout>
              <c:xMode val="edge"/>
              <c:yMode val="edge"/>
              <c:x val="1.5538290788013319E-2"/>
              <c:y val="0.40293637846655789"/>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75620520"/>
        <c:crosses val="autoZero"/>
        <c:crossBetween val="between"/>
      </c:valAx>
      <c:spPr>
        <a:solidFill>
          <a:srgbClr val="C0C0C0"/>
        </a:solidFill>
        <a:ln w="12700">
          <a:solidFill>
            <a:srgbClr val="808080"/>
          </a:solidFill>
          <a:prstDash val="solid"/>
        </a:ln>
      </c:spPr>
    </c:plotArea>
    <c:legend>
      <c:legendPos val="b"/>
      <c:layout>
        <c:manualLayout>
          <c:xMode val="edge"/>
          <c:yMode val="edge"/>
          <c:x val="0.23418423973362931"/>
          <c:y val="0.95432300163132133"/>
          <c:w val="0.6337402885682587"/>
          <c:h val="3.9151712887438801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Small &amp; Large Commercial
# of Consumers</a:t>
            </a:r>
          </a:p>
        </c:rich>
      </c:tx>
      <c:layout>
        <c:manualLayout>
          <c:xMode val="edge"/>
          <c:yMode val="edge"/>
          <c:x val="0.38512763596004551"/>
          <c:y val="1.9575856443719449E-2"/>
        </c:manualLayout>
      </c:layout>
      <c:overlay val="0"/>
      <c:spPr>
        <a:noFill/>
        <a:ln w="25400">
          <a:noFill/>
        </a:ln>
      </c:spPr>
    </c:title>
    <c:autoTitleDeleted val="0"/>
    <c:plotArea>
      <c:layout>
        <c:manualLayout>
          <c:layoutTarget val="inner"/>
          <c:xMode val="edge"/>
          <c:yMode val="edge"/>
          <c:x val="7.3251942286348501E-2"/>
          <c:y val="0.1207177814029365"/>
          <c:w val="0.91564927857935785"/>
          <c:h val="0.72593800978792722"/>
        </c:manualLayout>
      </c:layout>
      <c:lineChart>
        <c:grouping val="standard"/>
        <c:varyColors val="0"/>
        <c:ser>
          <c:idx val="0"/>
          <c:order val="0"/>
          <c:tx>
            <c:v>Small Commercial</c:v>
          </c:tx>
          <c:spPr>
            <a:ln w="3175">
              <a:solidFill>
                <a:srgbClr val="FF0000"/>
              </a:solidFill>
              <a:prstDash val="solid"/>
            </a:ln>
          </c:spPr>
          <c:marker>
            <c:symbol val="square"/>
            <c:size val="5"/>
            <c:spPr>
              <a:solidFill>
                <a:srgbClr val="FF0000"/>
              </a:solidFill>
              <a:ln w="9525">
                <a:noFill/>
              </a:ln>
            </c:spPr>
          </c:marker>
          <c:cat>
            <c:numRef>
              <c:f>'e - Sales'!$F$5:$P$5</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'Historic Data'!$AY$54:$AY$69</c:f>
              <c:numCache>
                <c:formatCode>#,##0</c:formatCode>
                <c:ptCount val="16"/>
                <c:pt idx="1">
                  <c:v>0</c:v>
                </c:pt>
                <c:pt idx="2">
                  <c:v>0</c:v>
                </c:pt>
                <c:pt idx="3">
                  <c:v>0</c:v>
                </c:pt>
                <c:pt idx="4">
                  <c:v>0</c:v>
                </c:pt>
                <c:pt idx="5">
                  <c:v>0</c:v>
                </c:pt>
                <c:pt idx="6" formatCode="0.00">
                  <c:v>0</c:v>
                </c:pt>
                <c:pt idx="7" formatCode="0.00">
                  <c:v>0</c:v>
                </c:pt>
                <c:pt idx="8" formatCode="0.00">
                  <c:v>0</c:v>
                </c:pt>
                <c:pt idx="9" formatCode="0.00">
                  <c:v>0</c:v>
                </c:pt>
                <c:pt idx="10" formatCode="0.00">
                  <c:v>0</c:v>
                </c:pt>
                <c:pt idx="11" formatCode="0.00">
                  <c:v>0</c:v>
                </c:pt>
                <c:pt idx="12" formatCode="0.00">
                  <c:v>0</c:v>
                </c:pt>
                <c:pt idx="13" formatCode="0.00">
                  <c:v>0</c:v>
                </c:pt>
                <c:pt idx="14" formatCode="0.00">
                  <c:v>0</c:v>
                </c:pt>
                <c:pt idx="15" formatCode="0.00">
                  <c:v>0</c:v>
                </c:pt>
              </c:numCache>
            </c:numRef>
          </c:val>
          <c:smooth val="0"/>
          <c:extLst>
            <c:ext xmlns:c16="http://schemas.microsoft.com/office/drawing/2014/chart" uri="{C3380CC4-5D6E-409C-BE32-E72D297353CC}">
              <c16:uniqueId val="{00000000-ED1D-49D8-9172-51F0A9A70015}"/>
            </c:ext>
          </c:extLst>
        </c:ser>
        <c:ser>
          <c:idx val="1"/>
          <c:order val="1"/>
          <c:tx>
            <c:v>Large Commercial</c:v>
          </c:tx>
          <c:spPr>
            <a:ln w="3175">
              <a:solidFill>
                <a:srgbClr val="000080"/>
              </a:solidFill>
              <a:prstDash val="solid"/>
            </a:ln>
          </c:spPr>
          <c:marker>
            <c:symbol val="diamond"/>
            <c:size val="5"/>
            <c:spPr>
              <a:solidFill>
                <a:srgbClr val="000080"/>
              </a:solidFill>
              <a:ln>
                <a:solidFill>
                  <a:srgbClr val="000080"/>
                </a:solidFill>
                <a:prstDash val="solid"/>
              </a:ln>
            </c:spPr>
          </c:marker>
          <c:cat>
            <c:numRef>
              <c:f>'e - Sales'!$F$5:$P$5</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'Historic Data'!$AZ$54:$AZ$69</c:f>
              <c:numCache>
                <c:formatCode>General</c:formatCode>
                <c:ptCount val="16"/>
                <c:pt idx="1">
                  <c:v>0</c:v>
                </c:pt>
                <c:pt idx="2">
                  <c:v>0</c:v>
                </c:pt>
                <c:pt idx="3">
                  <c:v>0</c:v>
                </c:pt>
                <c:pt idx="4">
                  <c:v>0</c:v>
                </c:pt>
                <c:pt idx="5">
                  <c:v>0</c:v>
                </c:pt>
                <c:pt idx="6" formatCode="0.00">
                  <c:v>0</c:v>
                </c:pt>
                <c:pt idx="7" formatCode="0.00">
                  <c:v>0</c:v>
                </c:pt>
                <c:pt idx="8" formatCode="0.00">
                  <c:v>0</c:v>
                </c:pt>
                <c:pt idx="9" formatCode="0.00">
                  <c:v>0</c:v>
                </c:pt>
                <c:pt idx="10" formatCode="0.00">
                  <c:v>0</c:v>
                </c:pt>
                <c:pt idx="11" formatCode="0.00">
                  <c:v>0</c:v>
                </c:pt>
                <c:pt idx="12" formatCode="0.00">
                  <c:v>0</c:v>
                </c:pt>
                <c:pt idx="13" formatCode="0.00">
                  <c:v>0</c:v>
                </c:pt>
                <c:pt idx="14" formatCode="0.00">
                  <c:v>0</c:v>
                </c:pt>
                <c:pt idx="15" formatCode="0.00">
                  <c:v>0</c:v>
                </c:pt>
              </c:numCache>
            </c:numRef>
          </c:val>
          <c:smooth val="0"/>
          <c:extLst>
            <c:ext xmlns:c16="http://schemas.microsoft.com/office/drawing/2014/chart" uri="{C3380CC4-5D6E-409C-BE32-E72D297353CC}">
              <c16:uniqueId val="{00000001-ED1D-49D8-9172-51F0A9A70015}"/>
            </c:ext>
          </c:extLst>
        </c:ser>
        <c:dLbls>
          <c:showLegendKey val="0"/>
          <c:showVal val="0"/>
          <c:showCatName val="0"/>
          <c:showSerName val="0"/>
          <c:showPercent val="0"/>
          <c:showBubbleSize val="0"/>
        </c:dLbls>
        <c:marker val="1"/>
        <c:smooth val="0"/>
        <c:axId val="475621696"/>
        <c:axId val="475622088"/>
      </c:lineChart>
      <c:catAx>
        <c:axId val="475621696"/>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832408435072141"/>
              <c:y val="0.89722675367047411"/>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75622088"/>
        <c:crosses val="autoZero"/>
        <c:auto val="0"/>
        <c:lblAlgn val="ctr"/>
        <c:lblOffset val="100"/>
        <c:tickLblSkip val="2"/>
        <c:tickMarkSkip val="1"/>
        <c:noMultiLvlLbl val="0"/>
      </c:catAx>
      <c:valAx>
        <c:axId val="47562208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 of Consumers</a:t>
                </a:r>
              </a:p>
            </c:rich>
          </c:tx>
          <c:layout>
            <c:manualLayout>
              <c:xMode val="edge"/>
              <c:yMode val="edge"/>
              <c:x val="1.5538290788013319E-2"/>
              <c:y val="0.3800978792822196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75621696"/>
        <c:crosses val="autoZero"/>
        <c:crossBetween val="between"/>
      </c:valAx>
      <c:spPr>
        <a:solidFill>
          <a:srgbClr val="C0C0C0"/>
        </a:solidFill>
        <a:ln w="12700">
          <a:solidFill>
            <a:srgbClr val="808080"/>
          </a:solidFill>
          <a:prstDash val="solid"/>
        </a:ln>
      </c:spPr>
    </c:plotArea>
    <c:legend>
      <c:legendPos val="b"/>
      <c:layout>
        <c:manualLayout>
          <c:xMode val="edge"/>
          <c:yMode val="edge"/>
          <c:x val="0.24750277469478357"/>
          <c:y val="0.9559543230016313"/>
          <c:w val="0.60488346281909122"/>
          <c:h val="3.9151712887438801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Total Number of Consumers
</a:t>
            </a:r>
          </a:p>
        </c:rich>
      </c:tx>
      <c:layout>
        <c:manualLayout>
          <c:xMode val="edge"/>
          <c:yMode val="edge"/>
          <c:x val="0.37735849056603782"/>
          <c:y val="1.9575856443719449E-2"/>
        </c:manualLayout>
      </c:layout>
      <c:overlay val="0"/>
      <c:spPr>
        <a:noFill/>
        <a:ln w="25400">
          <a:noFill/>
        </a:ln>
      </c:spPr>
    </c:title>
    <c:autoTitleDeleted val="0"/>
    <c:plotArea>
      <c:layout>
        <c:manualLayout>
          <c:layoutTarget val="inner"/>
          <c:xMode val="edge"/>
          <c:yMode val="edge"/>
          <c:x val="7.3251942286348501E-2"/>
          <c:y val="9.461663947797716E-2"/>
          <c:w val="0.91564927857935785"/>
          <c:h val="0.75040783034257896"/>
        </c:manualLayout>
      </c:layout>
      <c:lineChart>
        <c:grouping val="standard"/>
        <c:varyColors val="0"/>
        <c:ser>
          <c:idx val="0"/>
          <c:order val="0"/>
          <c:tx>
            <c:v>Total # of Consumers</c:v>
          </c:tx>
          <c:spPr>
            <a:ln w="3175">
              <a:solidFill>
                <a:srgbClr val="FF0000"/>
              </a:solidFill>
              <a:prstDash val="solid"/>
            </a:ln>
          </c:spPr>
          <c:marker>
            <c:symbol val="square"/>
            <c:size val="5"/>
            <c:spPr>
              <a:solidFill>
                <a:srgbClr val="FF0000"/>
              </a:solidFill>
              <a:ln w="9525">
                <a:noFill/>
              </a:ln>
            </c:spPr>
          </c:marker>
          <c:cat>
            <c:numRef>
              <c:f>'e - Sales'!$D$5:$P$5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'e - Sales'!$D$21:$P$21</c:f>
              <c:numCache>
                <c:formatCode>#,##0_);\(#,##0\)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8544-4C5A-B93A-FCEEDFCA2F79}"/>
            </c:ext>
          </c:extLst>
        </c:ser>
        <c:dLbls>
          <c:showLegendKey val="0"/>
          <c:showVal val="0"/>
          <c:showCatName val="0"/>
          <c:showSerName val="0"/>
          <c:showPercent val="0"/>
          <c:showBubbleSize val="0"/>
        </c:dLbls>
        <c:marker val="1"/>
        <c:smooth val="0"/>
        <c:axId val="475622480"/>
        <c:axId val="475622872"/>
      </c:lineChart>
      <c:catAx>
        <c:axId val="475622480"/>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832408435072141"/>
              <c:y val="0.89559543230016436"/>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75622872"/>
        <c:crosses val="autoZero"/>
        <c:auto val="0"/>
        <c:lblAlgn val="ctr"/>
        <c:lblOffset val="100"/>
        <c:tickLblSkip val="2"/>
        <c:tickMarkSkip val="1"/>
        <c:noMultiLvlLbl val="0"/>
      </c:catAx>
      <c:valAx>
        <c:axId val="47562287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 of Consumers</a:t>
                </a:r>
              </a:p>
            </c:rich>
          </c:tx>
          <c:layout>
            <c:manualLayout>
              <c:xMode val="edge"/>
              <c:yMode val="edge"/>
              <c:x val="1.5538290788013319E-2"/>
              <c:y val="0.36704730831973897"/>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75622480"/>
        <c:crosses val="autoZero"/>
        <c:crossBetween val="between"/>
      </c:valAx>
      <c:spPr>
        <a:solidFill>
          <a:srgbClr val="C0C0C0"/>
        </a:solidFill>
        <a:ln w="12700">
          <a:solidFill>
            <a:srgbClr val="808080"/>
          </a:solidFill>
          <a:prstDash val="solid"/>
        </a:ln>
      </c:spPr>
    </c:plotArea>
    <c:legend>
      <c:legendPos val="b"/>
      <c:layout>
        <c:manualLayout>
          <c:xMode val="edge"/>
          <c:yMode val="edge"/>
          <c:x val="0.43285238623751476"/>
          <c:y val="0.95921696574224835"/>
          <c:w val="0.1931187569367368"/>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Residential/Seasonal, Irrigation, &amp; Commercial
# of Consumers</a:t>
            </a:r>
          </a:p>
        </c:rich>
      </c:tx>
      <c:layout>
        <c:manualLayout>
          <c:xMode val="edge"/>
          <c:yMode val="edge"/>
          <c:x val="0.30188679245283129"/>
          <c:y val="1.9575856443719449E-2"/>
        </c:manualLayout>
      </c:layout>
      <c:overlay val="0"/>
      <c:spPr>
        <a:noFill/>
        <a:ln w="25400">
          <a:noFill/>
        </a:ln>
      </c:spPr>
    </c:title>
    <c:autoTitleDeleted val="0"/>
    <c:plotArea>
      <c:layout>
        <c:manualLayout>
          <c:layoutTarget val="inner"/>
          <c:xMode val="edge"/>
          <c:yMode val="edge"/>
          <c:x val="6.8812430632630622E-2"/>
          <c:y val="0.11745513866231648"/>
          <c:w val="0.92008879023307533"/>
          <c:h val="0.76998368678629692"/>
        </c:manualLayout>
      </c:layout>
      <c:lineChart>
        <c:grouping val="standard"/>
        <c:varyColors val="0"/>
        <c:ser>
          <c:idx val="0"/>
          <c:order val="0"/>
          <c:tx>
            <c:v>Residential/Seasonal</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Data'!$AX$7:$AX$69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0-B13D-4F34-B3D1-B54F78F438B7}"/>
            </c:ext>
          </c:extLst>
        </c:ser>
        <c:ser>
          <c:idx val="1"/>
          <c:order val="1"/>
          <c:tx>
            <c:v>Irrigation</c:v>
          </c:tx>
          <c:spPr>
            <a:ln w="25400">
              <a:solidFill>
                <a:srgbClr val="00FF00"/>
              </a:solidFill>
              <a:prstDash val="solid"/>
            </a:ln>
          </c:spPr>
          <c:marker>
            <c:symbol val="diamond"/>
            <c:size val="5"/>
            <c:spPr>
              <a:solidFill>
                <a:srgbClr val="00FF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Data'!$BA$7:$BA$69</c:f>
              <c:numCache>
                <c:formatCode>#,##0</c:formatCode>
                <c:ptCount val="63"/>
                <c:pt idx="48" formatCode="General">
                  <c:v>0</c:v>
                </c:pt>
                <c:pt idx="49" formatCode="General">
                  <c:v>0</c:v>
                </c:pt>
                <c:pt idx="50" formatCode="General">
                  <c:v>0</c:v>
                </c:pt>
                <c:pt idx="51" formatCode="General">
                  <c:v>0</c:v>
                </c:pt>
                <c:pt idx="52" formatCode="General">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1-B13D-4F34-B3D1-B54F78F438B7}"/>
            </c:ext>
          </c:extLst>
        </c:ser>
        <c:ser>
          <c:idx val="2"/>
          <c:order val="2"/>
          <c:tx>
            <c:v>Small Commercial</c:v>
          </c:tx>
          <c:spPr>
            <a:ln w="3175">
              <a:solidFill>
                <a:srgbClr val="0000FF"/>
              </a:solidFill>
              <a:prstDash val="solid"/>
            </a:ln>
          </c:spPr>
          <c:marker>
            <c:symbol val="triangle"/>
            <c:size val="5"/>
            <c:spPr>
              <a:solidFill>
                <a:srgbClr val="0000FF"/>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Data'!$AY$7:$AY$69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2-B13D-4F34-B3D1-B54F78F438B7}"/>
            </c:ext>
          </c:extLst>
        </c:ser>
        <c:ser>
          <c:idx val="3"/>
          <c:order val="3"/>
          <c:tx>
            <c:v>Large Commerical</c:v>
          </c:tx>
          <c:spPr>
            <a:ln w="12700">
              <a:solidFill>
                <a:srgbClr val="000000"/>
              </a:solidFill>
              <a:prstDash val="solid"/>
            </a:ln>
          </c:spPr>
          <c:marker>
            <c:symbol val="square"/>
            <c:size val="5"/>
            <c:spPr>
              <a:noFill/>
              <a:ln>
                <a:solidFill>
                  <a:srgbClr val="000000"/>
                </a:solidFill>
                <a:prstDash val="solid"/>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Data'!$AZ$7:$AZ$69</c:f>
              <c:numCache>
                <c:formatCode>#,##0</c:formatCode>
                <c:ptCount val="63"/>
                <c:pt idx="48" formatCode="General">
                  <c:v>0</c:v>
                </c:pt>
                <c:pt idx="49" formatCode="General">
                  <c:v>0</c:v>
                </c:pt>
                <c:pt idx="50" formatCode="General">
                  <c:v>0</c:v>
                </c:pt>
                <c:pt idx="51" formatCode="General">
                  <c:v>0</c:v>
                </c:pt>
                <c:pt idx="52" formatCode="General">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3-B13D-4F34-B3D1-B54F78F438B7}"/>
            </c:ext>
          </c:extLst>
        </c:ser>
        <c:dLbls>
          <c:showLegendKey val="0"/>
          <c:showVal val="0"/>
          <c:showCatName val="0"/>
          <c:showSerName val="0"/>
          <c:showPercent val="0"/>
          <c:showBubbleSize val="0"/>
        </c:dLbls>
        <c:marker val="1"/>
        <c:smooth val="0"/>
        <c:axId val="356875176"/>
        <c:axId val="356875568"/>
      </c:lineChart>
      <c:catAx>
        <c:axId val="356875176"/>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56875568"/>
        <c:crosses val="autoZero"/>
        <c:auto val="0"/>
        <c:lblAlgn val="ctr"/>
        <c:lblOffset val="100"/>
        <c:tickLblSkip val="2"/>
        <c:tickMarkSkip val="1"/>
        <c:noMultiLvlLbl val="0"/>
      </c:catAx>
      <c:valAx>
        <c:axId val="35687556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 of Consumers</a:t>
                </a:r>
              </a:p>
            </c:rich>
          </c:tx>
          <c:layout>
            <c:manualLayout>
              <c:xMode val="edge"/>
              <c:yMode val="edge"/>
              <c:x val="1.5538290788013319E-2"/>
              <c:y val="0.3996737357259385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56875176"/>
        <c:crosses val="autoZero"/>
        <c:crossBetween val="between"/>
      </c:valAx>
      <c:spPr>
        <a:solidFill>
          <a:srgbClr val="C0C0C0"/>
        </a:solidFill>
        <a:ln w="12700">
          <a:solidFill>
            <a:srgbClr val="808080"/>
          </a:solidFill>
          <a:prstDash val="solid"/>
        </a:ln>
      </c:spPr>
    </c:plotArea>
    <c:legend>
      <c:legendPos val="b"/>
      <c:layout>
        <c:manualLayout>
          <c:xMode val="edge"/>
          <c:yMode val="edge"/>
          <c:x val="8.8790233074361818E-2"/>
          <c:y val="0.95432300163132133"/>
          <c:w val="0.91120976692563749"/>
          <c:h val="3.9151712887438801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Debt Balance by Source
as of End of Year</a:t>
            </a:r>
          </a:p>
        </c:rich>
      </c:tx>
      <c:layout>
        <c:manualLayout>
          <c:xMode val="edge"/>
          <c:yMode val="edge"/>
          <c:x val="0.39400665926748168"/>
          <c:y val="1.9575856443719449E-2"/>
        </c:manualLayout>
      </c:layout>
      <c:overlay val="0"/>
      <c:spPr>
        <a:noFill/>
        <a:ln w="25400">
          <a:noFill/>
        </a:ln>
      </c:spPr>
    </c:title>
    <c:autoTitleDeleted val="0"/>
    <c:plotArea>
      <c:layout>
        <c:manualLayout>
          <c:layoutTarget val="inner"/>
          <c:xMode val="edge"/>
          <c:yMode val="edge"/>
          <c:x val="7.3251942286348501E-2"/>
          <c:y val="0.1141924959216967"/>
          <c:w val="0.91564927857935785"/>
          <c:h val="0.7340946166394815"/>
        </c:manualLayout>
      </c:layout>
      <c:lineChart>
        <c:grouping val="standard"/>
        <c:varyColors val="0"/>
        <c:ser>
          <c:idx val="0"/>
          <c:order val="0"/>
          <c:tx>
            <c:v>Quarterly 2% &amp; 5%  RUS</c:v>
          </c:tx>
          <c:spPr>
            <a:ln w="3175">
              <a:solidFill>
                <a:srgbClr val="FF0000"/>
              </a:solidFill>
              <a:prstDash val="solid"/>
            </a:ln>
          </c:spPr>
          <c:marker>
            <c:symbol val="square"/>
            <c:size val="5"/>
            <c:spPr>
              <a:solidFill>
                <a:srgbClr val="FF0000"/>
              </a:solidFill>
              <a:ln w="9525">
                <a:noFill/>
              </a:ln>
            </c:spPr>
          </c:marker>
          <c:cat>
            <c:numRef>
              <c:f>'a &amp; b'!$D$12:$N$12</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'a &amp; b'!$D$57:$N$57</c:f>
              <c:numCache>
                <c:formatCode>#,##0_);\(#,##0\)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F144-487E-9852-37AB9ED3F99E}"/>
            </c:ext>
          </c:extLst>
        </c:ser>
        <c:ser>
          <c:idx val="1"/>
          <c:order val="1"/>
          <c:tx>
            <c:v>Monthly 5% RUS &amp; Muni</c:v>
          </c:tx>
          <c:spPr>
            <a:ln w="3175">
              <a:solidFill>
                <a:srgbClr val="00FF00"/>
              </a:solidFill>
              <a:prstDash val="solid"/>
            </a:ln>
          </c:spPr>
          <c:marker>
            <c:symbol val="diamond"/>
            <c:size val="5"/>
            <c:spPr>
              <a:solidFill>
                <a:srgbClr val="00FF00"/>
              </a:solidFill>
              <a:ln w="9525">
                <a:noFill/>
              </a:ln>
            </c:spPr>
          </c:marker>
          <c:cat>
            <c:numRef>
              <c:f>'a &amp; b'!$D$12:$N$12</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'a &amp; b'!$D$58:$N$58</c:f>
              <c:numCache>
                <c:formatCode>#,##0_);\(#,##0\)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1-F144-487E-9852-37AB9ED3F99E}"/>
            </c:ext>
          </c:extLst>
        </c:ser>
        <c:ser>
          <c:idx val="2"/>
          <c:order val="2"/>
          <c:tx>
            <c:v>Guaranteed</c:v>
          </c:tx>
          <c:spPr>
            <a:ln w="3175">
              <a:solidFill>
                <a:srgbClr val="0000FF"/>
              </a:solidFill>
              <a:prstDash val="solid"/>
            </a:ln>
          </c:spPr>
          <c:marker>
            <c:symbol val="triangle"/>
            <c:size val="5"/>
            <c:spPr>
              <a:solidFill>
                <a:srgbClr val="0000FF"/>
              </a:solidFill>
              <a:ln w="9525">
                <a:noFill/>
              </a:ln>
            </c:spPr>
          </c:marker>
          <c:cat>
            <c:numRef>
              <c:f>'a &amp; b'!$D$12:$N$12</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'a &amp; b'!$D$59:$N$59</c:f>
              <c:numCache>
                <c:formatCode>#,##0_);\(#,##0\)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2-F144-487E-9852-37AB9ED3F99E}"/>
            </c:ext>
          </c:extLst>
        </c:ser>
        <c:ser>
          <c:idx val="3"/>
          <c:order val="3"/>
          <c:tx>
            <c:v>Other</c:v>
          </c:tx>
          <c:spPr>
            <a:ln w="12700">
              <a:solidFill>
                <a:srgbClr val="000000"/>
              </a:solidFill>
              <a:prstDash val="solid"/>
            </a:ln>
          </c:spPr>
          <c:marker>
            <c:symbol val="square"/>
            <c:size val="5"/>
            <c:spPr>
              <a:noFill/>
              <a:ln>
                <a:solidFill>
                  <a:srgbClr val="000000"/>
                </a:solidFill>
                <a:prstDash val="solid"/>
              </a:ln>
            </c:spPr>
          </c:marker>
          <c:cat>
            <c:numRef>
              <c:f>'a &amp; b'!$D$12:$N$12</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'a &amp; b'!$D$62:$N$62</c:f>
              <c:numCache>
                <c:formatCode>#,##0_);\(#,##0\)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3-F144-487E-9852-37AB9ED3F99E}"/>
            </c:ext>
          </c:extLst>
        </c:ser>
        <c:dLbls>
          <c:showLegendKey val="0"/>
          <c:showVal val="0"/>
          <c:showCatName val="0"/>
          <c:showSerName val="0"/>
          <c:showPercent val="0"/>
          <c:showBubbleSize val="0"/>
        </c:dLbls>
        <c:marker val="1"/>
        <c:smooth val="0"/>
        <c:axId val="356876352"/>
        <c:axId val="356876744"/>
      </c:lineChart>
      <c:catAx>
        <c:axId val="356876352"/>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832408435072141"/>
              <c:y val="0.8988580750407836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56876744"/>
        <c:crosses val="autoZero"/>
        <c:auto val="0"/>
        <c:lblAlgn val="ctr"/>
        <c:lblOffset val="100"/>
        <c:tickLblSkip val="2"/>
        <c:tickMarkSkip val="1"/>
        <c:noMultiLvlLbl val="0"/>
      </c:catAx>
      <c:valAx>
        <c:axId val="35687674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Dollars</a:t>
                </a:r>
              </a:p>
            </c:rich>
          </c:tx>
          <c:layout>
            <c:manualLayout>
              <c:xMode val="edge"/>
              <c:yMode val="edge"/>
              <c:x val="1.5538290788013319E-2"/>
              <c:y val="0.43230016313213793"/>
            </c:manualLayout>
          </c:layout>
          <c:overlay val="0"/>
          <c:spPr>
            <a:noFill/>
            <a:ln w="25400">
              <a:noFill/>
            </a:ln>
          </c:spPr>
        </c:title>
        <c:numFmt formatCode="#,##0_);[Red]\(#,##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56876352"/>
        <c:crosses val="autoZero"/>
        <c:crossBetween val="between"/>
      </c:valAx>
      <c:spPr>
        <a:solidFill>
          <a:srgbClr val="C0C0C0"/>
        </a:solidFill>
        <a:ln w="12700">
          <a:solidFill>
            <a:srgbClr val="808080"/>
          </a:solidFill>
          <a:prstDash val="solid"/>
        </a:ln>
      </c:spPr>
    </c:plotArea>
    <c:legend>
      <c:legendPos val="b"/>
      <c:layout>
        <c:manualLayout>
          <c:xMode val="edge"/>
          <c:yMode val="edge"/>
          <c:x val="4.2175360710321866E-2"/>
          <c:y val="0.9559543230016313"/>
          <c:w val="0.95782463928967965"/>
          <c:h val="3.9151712887438801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Debt Balance (RUS and Other)
as of End of Year</a:t>
            </a:r>
          </a:p>
        </c:rich>
      </c:tx>
      <c:layout>
        <c:manualLayout>
          <c:xMode val="edge"/>
          <c:yMode val="edge"/>
          <c:x val="0.36847946725860287"/>
          <c:y val="1.9575856443719449E-2"/>
        </c:manualLayout>
      </c:layout>
      <c:overlay val="0"/>
      <c:spPr>
        <a:noFill/>
        <a:ln w="25400">
          <a:noFill/>
        </a:ln>
      </c:spPr>
    </c:title>
    <c:autoTitleDeleted val="0"/>
    <c:plotArea>
      <c:layout>
        <c:manualLayout>
          <c:layoutTarget val="inner"/>
          <c:xMode val="edge"/>
          <c:yMode val="edge"/>
          <c:x val="6.8812430632630622E-2"/>
          <c:y val="0.11745513866231648"/>
          <c:w val="0.92008879023307533"/>
          <c:h val="0.72920065252855037"/>
        </c:manualLayout>
      </c:layout>
      <c:lineChart>
        <c:grouping val="standard"/>
        <c:varyColors val="0"/>
        <c:ser>
          <c:idx val="0"/>
          <c:order val="0"/>
          <c:tx>
            <c:v>Total RUS Debt</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Data'!$Z$7:$Z$69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0-AEF8-4D62-B0DB-4777462BD235}"/>
            </c:ext>
          </c:extLst>
        </c:ser>
        <c:ser>
          <c:idx val="1"/>
          <c:order val="1"/>
          <c:tx>
            <c:v>Other Debt</c:v>
          </c:tx>
          <c:spPr>
            <a:ln w="3175">
              <a:solidFill>
                <a:srgbClr val="000080"/>
              </a:solidFill>
              <a:prstDash val="solid"/>
            </a:ln>
          </c:spPr>
          <c:marker>
            <c:symbol val="diamond"/>
            <c:size val="5"/>
            <c:spPr>
              <a:solidFill>
                <a:srgbClr val="000080"/>
              </a:solidFill>
              <a:ln>
                <a:solidFill>
                  <a:srgbClr val="000080"/>
                </a:solidFill>
                <a:prstDash val="solid"/>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Data'!$AA$7:$AA$69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1-AEF8-4D62-B0DB-4777462BD235}"/>
            </c:ext>
          </c:extLst>
        </c:ser>
        <c:dLbls>
          <c:showLegendKey val="0"/>
          <c:showVal val="0"/>
          <c:showCatName val="0"/>
          <c:showSerName val="0"/>
          <c:showPercent val="0"/>
          <c:showBubbleSize val="0"/>
        </c:dLbls>
        <c:marker val="1"/>
        <c:smooth val="0"/>
        <c:axId val="356877528"/>
        <c:axId val="356877920"/>
      </c:lineChart>
      <c:catAx>
        <c:axId val="356877528"/>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610432852386233"/>
              <c:y val="0.89722675367047411"/>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56877920"/>
        <c:crosses val="autoZero"/>
        <c:auto val="0"/>
        <c:lblAlgn val="ctr"/>
        <c:lblOffset val="100"/>
        <c:tickLblSkip val="2"/>
        <c:tickMarkSkip val="1"/>
        <c:noMultiLvlLbl val="0"/>
      </c:catAx>
      <c:valAx>
        <c:axId val="35687792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Debt Balance (Dollars)</a:t>
                </a:r>
              </a:p>
            </c:rich>
          </c:tx>
          <c:layout>
            <c:manualLayout>
              <c:xMode val="edge"/>
              <c:yMode val="edge"/>
              <c:x val="1.5538290788013319E-2"/>
              <c:y val="0.3376835236541607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56877528"/>
        <c:crosses val="autoZero"/>
        <c:crossBetween val="between"/>
      </c:valAx>
      <c:spPr>
        <a:solidFill>
          <a:srgbClr val="C0C0C0"/>
        </a:solidFill>
        <a:ln w="12700">
          <a:solidFill>
            <a:srgbClr val="808080"/>
          </a:solidFill>
          <a:prstDash val="solid"/>
        </a:ln>
      </c:spPr>
    </c:plotArea>
    <c:legend>
      <c:legendPos val="b"/>
      <c:layout>
        <c:manualLayout>
          <c:xMode val="edge"/>
          <c:yMode val="edge"/>
          <c:x val="0.31742508324084501"/>
          <c:y val="0.9559543230016313"/>
          <c:w val="0.46614872364039905"/>
          <c:h val="3.9151712887438801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Total Assets compared with Total Liabilities
</a:t>
            </a:r>
          </a:p>
        </c:rich>
      </c:tx>
      <c:layout>
        <c:manualLayout>
          <c:xMode val="edge"/>
          <c:yMode val="edge"/>
          <c:x val="0.31409544950055496"/>
          <c:y val="1.9575856443719449E-2"/>
        </c:manualLayout>
      </c:layout>
      <c:overlay val="0"/>
      <c:spPr>
        <a:noFill/>
        <a:ln w="25400">
          <a:noFill/>
        </a:ln>
      </c:spPr>
    </c:title>
    <c:autoTitleDeleted val="0"/>
    <c:plotArea>
      <c:layout>
        <c:manualLayout>
          <c:layoutTarget val="inner"/>
          <c:xMode val="edge"/>
          <c:yMode val="edge"/>
          <c:x val="6.8812430632630622E-2"/>
          <c:y val="8.9722675367047644E-2"/>
          <c:w val="0.92008879023307533"/>
          <c:h val="0.75693311582381761"/>
        </c:manualLayout>
      </c:layout>
      <c:lineChart>
        <c:grouping val="standard"/>
        <c:varyColors val="0"/>
        <c:ser>
          <c:idx val="0"/>
          <c:order val="0"/>
          <c:tx>
            <c:v>Total Assets</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Data'!$V$7:$V$69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0-B423-4818-A98F-4C2AF137C524}"/>
            </c:ext>
          </c:extLst>
        </c:ser>
        <c:ser>
          <c:idx val="1"/>
          <c:order val="1"/>
          <c:tx>
            <c:v>Total Liabilities (including Equity)</c:v>
          </c:tx>
          <c:spPr>
            <a:ln w="3175">
              <a:solidFill>
                <a:srgbClr val="000080"/>
              </a:solidFill>
              <a:prstDash val="solid"/>
            </a:ln>
          </c:spPr>
          <c:marker>
            <c:symbol val="diamond"/>
            <c:size val="5"/>
            <c:spPr>
              <a:solidFill>
                <a:srgbClr val="000080"/>
              </a:solidFill>
              <a:ln>
                <a:solidFill>
                  <a:srgbClr val="000080"/>
                </a:solidFill>
                <a:prstDash val="solid"/>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Data'!$AE$7:$AE$69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1-B423-4818-A98F-4C2AF137C524}"/>
            </c:ext>
          </c:extLst>
        </c:ser>
        <c:dLbls>
          <c:showLegendKey val="0"/>
          <c:showVal val="0"/>
          <c:showCatName val="0"/>
          <c:showSerName val="0"/>
          <c:showPercent val="0"/>
          <c:showBubbleSize val="0"/>
        </c:dLbls>
        <c:marker val="1"/>
        <c:smooth val="0"/>
        <c:axId val="768339904"/>
        <c:axId val="768340296"/>
      </c:lineChart>
      <c:catAx>
        <c:axId val="768339904"/>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610432852386233"/>
              <c:y val="0.89722675367047411"/>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340296"/>
        <c:crosses val="autoZero"/>
        <c:auto val="0"/>
        <c:lblAlgn val="ctr"/>
        <c:lblOffset val="100"/>
        <c:tickLblSkip val="2"/>
        <c:tickMarkSkip val="1"/>
        <c:noMultiLvlLbl val="0"/>
      </c:catAx>
      <c:valAx>
        <c:axId val="76834029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Dollars</a:t>
                </a:r>
              </a:p>
            </c:rich>
          </c:tx>
          <c:layout>
            <c:manualLayout>
              <c:xMode val="edge"/>
              <c:yMode val="edge"/>
              <c:x val="1.5538290788013319E-2"/>
              <c:y val="0.419249592169658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339904"/>
        <c:crosses val="autoZero"/>
        <c:crossBetween val="between"/>
      </c:valAx>
      <c:spPr>
        <a:solidFill>
          <a:srgbClr val="C0C0C0"/>
        </a:solidFill>
        <a:ln w="12700">
          <a:solidFill>
            <a:srgbClr val="808080"/>
          </a:solidFill>
          <a:prstDash val="solid"/>
        </a:ln>
      </c:spPr>
    </c:plotArea>
    <c:legend>
      <c:legendPos val="b"/>
      <c:layout>
        <c:manualLayout>
          <c:xMode val="edge"/>
          <c:yMode val="edge"/>
          <c:x val="0.24306326304106582"/>
          <c:y val="0.95432300163132133"/>
          <c:w val="0.6270810210876806"/>
          <c:h val="3.9151712887438801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Debt Service Coverage Ratio
with Rate Increases over Forecast Period</a:t>
            </a:r>
          </a:p>
        </c:rich>
      </c:tx>
      <c:layout>
        <c:manualLayout>
          <c:xMode val="edge"/>
          <c:yMode val="edge"/>
          <c:x val="0.3229744728079923"/>
          <c:y val="1.9575856443719449E-2"/>
        </c:manualLayout>
      </c:layout>
      <c:overlay val="0"/>
      <c:spPr>
        <a:noFill/>
        <a:ln w="25400">
          <a:noFill/>
        </a:ln>
      </c:spPr>
    </c:title>
    <c:autoTitleDeleted val="0"/>
    <c:plotArea>
      <c:layout>
        <c:manualLayout>
          <c:layoutTarget val="inner"/>
          <c:xMode val="edge"/>
          <c:yMode val="edge"/>
          <c:x val="9.3229744728080113E-2"/>
          <c:y val="0.12234910277324645"/>
          <c:w val="0.89567147613762588"/>
          <c:h val="0.72430668841761758"/>
        </c:manualLayout>
      </c:layout>
      <c:lineChart>
        <c:grouping val="standard"/>
        <c:varyColors val="0"/>
        <c:ser>
          <c:idx val="0"/>
          <c:order val="0"/>
          <c:tx>
            <c:v>With Increase</c:v>
          </c:tx>
          <c:spPr>
            <a:ln w="3175">
              <a:solidFill>
                <a:srgbClr val="FF0000"/>
              </a:solidFill>
              <a:prstDash val="solid"/>
            </a:ln>
          </c:spPr>
          <c:marker>
            <c:symbol val="square"/>
            <c:size val="5"/>
            <c:spPr>
              <a:solidFill>
                <a:srgbClr val="FF0000"/>
              </a:solidFill>
              <a:ln w="9525">
                <a:noFill/>
              </a:ln>
            </c:spPr>
          </c:marker>
          <c:cat>
            <c:numRef>
              <c:f>'a &amp; b'!$D$12:$N$12</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'a &amp; b'!$D$15:$N$15</c:f>
              <c:numCache>
                <c:formatCode>0.00_)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4807-4EE4-9E30-083B59AA1754}"/>
            </c:ext>
          </c:extLst>
        </c:ser>
        <c:dLbls>
          <c:showLegendKey val="0"/>
          <c:showVal val="0"/>
          <c:showCatName val="0"/>
          <c:showSerName val="0"/>
          <c:showPercent val="0"/>
          <c:showBubbleSize val="0"/>
        </c:dLbls>
        <c:marker val="1"/>
        <c:smooth val="0"/>
        <c:axId val="768341080"/>
        <c:axId val="768341472"/>
      </c:lineChart>
      <c:catAx>
        <c:axId val="768341080"/>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1831298557158656"/>
              <c:y val="0.89722675367047411"/>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341472"/>
        <c:crosses val="autoZero"/>
        <c:auto val="0"/>
        <c:lblAlgn val="ctr"/>
        <c:lblOffset val="100"/>
        <c:tickLblSkip val="2"/>
        <c:tickMarkSkip val="1"/>
        <c:noMultiLvlLbl val="0"/>
      </c:catAx>
      <c:valAx>
        <c:axId val="76834147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DSC Level</a:t>
                </a:r>
              </a:p>
            </c:rich>
          </c:tx>
          <c:layout>
            <c:manualLayout>
              <c:xMode val="edge"/>
              <c:yMode val="edge"/>
              <c:x val="1.5538290788013319E-2"/>
              <c:y val="0.41435562805872755"/>
            </c:manualLayout>
          </c:layout>
          <c:overlay val="0"/>
          <c:spPr>
            <a:noFill/>
            <a:ln w="25400">
              <a:noFill/>
            </a:ln>
          </c:spPr>
        </c:title>
        <c:numFmt formatCode="0.00_)"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341080"/>
        <c:crosses val="autoZero"/>
        <c:crossBetween val="between"/>
      </c:valAx>
      <c:spPr>
        <a:solidFill>
          <a:srgbClr val="C0C0C0"/>
        </a:solidFill>
        <a:ln w="12700">
          <a:solidFill>
            <a:srgbClr val="808080"/>
          </a:solidFill>
          <a:prstDash val="solid"/>
        </a:ln>
      </c:spPr>
    </c:plotArea>
    <c:legend>
      <c:legendPos val="b"/>
      <c:layout>
        <c:manualLayout>
          <c:xMode val="edge"/>
          <c:yMode val="edge"/>
          <c:x val="0.46836847946725974"/>
          <c:y val="0.95921696574224835"/>
          <c:w val="0.14206437291897878"/>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Debt Service Coverage Ratio
with Rate Increases over Forecast Period</a:t>
            </a:r>
          </a:p>
        </c:rich>
      </c:tx>
      <c:layout>
        <c:manualLayout>
          <c:xMode val="edge"/>
          <c:yMode val="edge"/>
          <c:x val="0.3229744728079923"/>
          <c:y val="1.9575856443719449E-2"/>
        </c:manualLayout>
      </c:layout>
      <c:overlay val="0"/>
      <c:spPr>
        <a:noFill/>
        <a:ln w="25400">
          <a:noFill/>
        </a:ln>
      </c:spPr>
    </c:title>
    <c:autoTitleDeleted val="0"/>
    <c:plotArea>
      <c:layout>
        <c:manualLayout>
          <c:layoutTarget val="inner"/>
          <c:xMode val="edge"/>
          <c:yMode val="edge"/>
          <c:x val="8.8790233074361818E-2"/>
          <c:y val="0.1207177814029365"/>
          <c:w val="0.90011098779134113"/>
          <c:h val="0.72756933115823819"/>
        </c:manualLayout>
      </c:layout>
      <c:lineChart>
        <c:grouping val="standard"/>
        <c:varyColors val="0"/>
        <c:ser>
          <c:idx val="0"/>
          <c:order val="0"/>
          <c:tx>
            <c:v>With Rate Increases over Forecast Period</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Data'!$CE$7:$CE$69</c:f>
              <c:numCache>
                <c:formatCode>0.00</c:formatCode>
                <c:ptCount val="63"/>
                <c:pt idx="48" formatCode="General">
                  <c:v>0</c:v>
                </c:pt>
                <c:pt idx="49" formatCode="General">
                  <c:v>0</c:v>
                </c:pt>
                <c:pt idx="50" formatCode="General">
                  <c:v>0</c:v>
                </c:pt>
                <c:pt idx="51" formatCode="General">
                  <c:v>0</c:v>
                </c:pt>
                <c:pt idx="52" formatCode="General">
                  <c:v>0</c:v>
                </c:pt>
                <c:pt idx="53" formatCode="0.00_)">
                  <c:v>0</c:v>
                </c:pt>
                <c:pt idx="54" formatCode="0.00_)">
                  <c:v>0</c:v>
                </c:pt>
                <c:pt idx="55" formatCode="0.00_)">
                  <c:v>0</c:v>
                </c:pt>
                <c:pt idx="56" formatCode="0.00_)">
                  <c:v>0</c:v>
                </c:pt>
                <c:pt idx="57" formatCode="0.00_)">
                  <c:v>0</c:v>
                </c:pt>
                <c:pt idx="58" formatCode="0.00_)">
                  <c:v>0</c:v>
                </c:pt>
                <c:pt idx="59" formatCode="0.00_)">
                  <c:v>0</c:v>
                </c:pt>
                <c:pt idx="60" formatCode="0.00_)">
                  <c:v>0</c:v>
                </c:pt>
                <c:pt idx="61" formatCode="0.00_)">
                  <c:v>0</c:v>
                </c:pt>
                <c:pt idx="62" formatCode="0.00_)">
                  <c:v>0</c:v>
                </c:pt>
              </c:numCache>
            </c:numRef>
          </c:val>
          <c:smooth val="0"/>
          <c:extLst>
            <c:ext xmlns:c16="http://schemas.microsoft.com/office/drawing/2014/chart" uri="{C3380CC4-5D6E-409C-BE32-E72D297353CC}">
              <c16:uniqueId val="{00000000-7AD3-4172-865E-756D6A285A2F}"/>
            </c:ext>
          </c:extLst>
        </c:ser>
        <c:dLbls>
          <c:showLegendKey val="0"/>
          <c:showVal val="0"/>
          <c:showCatName val="0"/>
          <c:showSerName val="0"/>
          <c:showPercent val="0"/>
          <c:showBubbleSize val="0"/>
        </c:dLbls>
        <c:marker val="1"/>
        <c:smooth val="0"/>
        <c:axId val="768342256"/>
        <c:axId val="768342648"/>
      </c:lineChart>
      <c:catAx>
        <c:axId val="768342256"/>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1609322974472749"/>
              <c:y val="0.8988580750407836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342648"/>
        <c:crosses val="autoZero"/>
        <c:auto val="0"/>
        <c:lblAlgn val="ctr"/>
        <c:lblOffset val="100"/>
        <c:tickLblSkip val="2"/>
        <c:tickMarkSkip val="1"/>
        <c:noMultiLvlLbl val="0"/>
      </c:catAx>
      <c:valAx>
        <c:axId val="76834264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DSC Level</a:t>
                </a:r>
              </a:p>
            </c:rich>
          </c:tx>
          <c:layout>
            <c:manualLayout>
              <c:xMode val="edge"/>
              <c:yMode val="edge"/>
              <c:x val="1.5538290788013319E-2"/>
              <c:y val="0.41435562805872755"/>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342256"/>
        <c:crosses val="autoZero"/>
        <c:crossBetween val="between"/>
      </c:valAx>
      <c:spPr>
        <a:solidFill>
          <a:srgbClr val="C0C0C0"/>
        </a:solidFill>
        <a:ln w="12700">
          <a:solidFill>
            <a:srgbClr val="808080"/>
          </a:solidFill>
          <a:prstDash val="solid"/>
        </a:ln>
      </c:spPr>
    </c:plotArea>
    <c:legend>
      <c:legendPos val="b"/>
      <c:layout>
        <c:manualLayout>
          <c:xMode val="edge"/>
          <c:yMode val="edge"/>
          <c:x val="0.37291897891232073"/>
          <c:y val="0.95921696574224835"/>
          <c:w val="0.3362930077691455"/>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Capital Credit Retirements ($)
</a:t>
            </a:r>
          </a:p>
        </c:rich>
      </c:tx>
      <c:layout>
        <c:manualLayout>
          <c:xMode val="edge"/>
          <c:yMode val="edge"/>
          <c:x val="0.37291897891232073"/>
          <c:y val="1.9575856443719449E-2"/>
        </c:manualLayout>
      </c:layout>
      <c:overlay val="0"/>
      <c:spPr>
        <a:noFill/>
        <a:ln w="25400">
          <a:noFill/>
        </a:ln>
      </c:spPr>
    </c:title>
    <c:autoTitleDeleted val="0"/>
    <c:plotArea>
      <c:layout>
        <c:manualLayout>
          <c:layoutTarget val="inner"/>
          <c:xMode val="edge"/>
          <c:yMode val="edge"/>
          <c:x val="5.5493895671476154E-2"/>
          <c:y val="0.10114192495921713"/>
          <c:w val="0.93340732519422742"/>
          <c:h val="0.74714518760195769"/>
        </c:manualLayout>
      </c:layout>
      <c:lineChart>
        <c:grouping val="standard"/>
        <c:varyColors val="0"/>
        <c:ser>
          <c:idx val="0"/>
          <c:order val="0"/>
          <c:tx>
            <c:v>Capital Credits Retired</c:v>
          </c:tx>
          <c:spPr>
            <a:ln w="3175">
              <a:solidFill>
                <a:srgbClr val="FF0000"/>
              </a:solidFill>
              <a:prstDash val="solid"/>
            </a:ln>
          </c:spPr>
          <c:marker>
            <c:symbol val="square"/>
            <c:size val="5"/>
            <c:spPr>
              <a:solidFill>
                <a:srgbClr val="FF0000"/>
              </a:solidFill>
              <a:ln w="9525">
                <a:noFill/>
              </a:ln>
            </c:spPr>
          </c:marker>
          <c:cat>
            <c:numRef>
              <c:f>'c &amp; d'!$D$35:$M$35</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'c &amp; d'!$D$50:$M$50</c:f>
              <c:numCache>
                <c:formatCode>#,##0_);\(#,##0\)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5DAB-48C1-B834-5CF2E8DC15C1}"/>
            </c:ext>
          </c:extLst>
        </c:ser>
        <c:dLbls>
          <c:showLegendKey val="0"/>
          <c:showVal val="0"/>
          <c:showCatName val="0"/>
          <c:showSerName val="0"/>
          <c:showPercent val="0"/>
          <c:showBubbleSize val="0"/>
        </c:dLbls>
        <c:marker val="1"/>
        <c:smooth val="0"/>
        <c:axId val="768343432"/>
        <c:axId val="768356288"/>
      </c:lineChart>
      <c:catAx>
        <c:axId val="768343432"/>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49944506104328584"/>
              <c:y val="0.8988580750407836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356288"/>
        <c:crosses val="autoZero"/>
        <c:auto val="0"/>
        <c:lblAlgn val="ctr"/>
        <c:lblOffset val="100"/>
        <c:tickLblSkip val="2"/>
        <c:tickMarkSkip val="1"/>
        <c:noMultiLvlLbl val="0"/>
      </c:catAx>
      <c:valAx>
        <c:axId val="76835628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Capital Credits Retired (Dollars)</a:t>
                </a:r>
              </a:p>
            </c:rich>
          </c:tx>
          <c:layout>
            <c:manualLayout>
              <c:xMode val="edge"/>
              <c:yMode val="edge"/>
              <c:x val="0"/>
              <c:y val="0.27569331158238175"/>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343432"/>
        <c:crosses val="autoZero"/>
        <c:crossBetween val="between"/>
      </c:valAx>
      <c:spPr>
        <a:solidFill>
          <a:srgbClr val="C0C0C0"/>
        </a:solidFill>
        <a:ln w="12700">
          <a:solidFill>
            <a:srgbClr val="808080"/>
          </a:solidFill>
          <a:prstDash val="solid"/>
        </a:ln>
      </c:spPr>
    </c:plotArea>
    <c:legend>
      <c:legendPos val="b"/>
      <c:layout>
        <c:manualLayout>
          <c:xMode val="edge"/>
          <c:yMode val="edge"/>
          <c:x val="0.41842397336293119"/>
          <c:y val="0.95921696574224835"/>
          <c:w val="0.20421753607103243"/>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Times Interest Earned Ratio
</a:t>
            </a:r>
          </a:p>
        </c:rich>
      </c:tx>
      <c:layout>
        <c:manualLayout>
          <c:xMode val="edge"/>
          <c:yMode val="edge"/>
          <c:x val="0.37957824639289778"/>
          <c:y val="1.9575856443719449E-2"/>
        </c:manualLayout>
      </c:layout>
      <c:overlay val="0"/>
      <c:spPr>
        <a:noFill/>
        <a:ln w="25400">
          <a:noFill/>
        </a:ln>
      </c:spPr>
    </c:title>
    <c:autoTitleDeleted val="0"/>
    <c:plotArea>
      <c:layout>
        <c:manualLayout>
          <c:layoutTarget val="inner"/>
          <c:xMode val="edge"/>
          <c:yMode val="edge"/>
          <c:x val="9.3229744728080113E-2"/>
          <c:y val="9.461663947797716E-2"/>
          <c:w val="0.89567147613762588"/>
          <c:h val="0.7520391517128876"/>
        </c:manualLayout>
      </c:layout>
      <c:lineChart>
        <c:grouping val="standard"/>
        <c:varyColors val="0"/>
        <c:ser>
          <c:idx val="0"/>
          <c:order val="0"/>
          <c:tx>
            <c:v>With Increase</c:v>
          </c:tx>
          <c:spPr>
            <a:ln w="3175">
              <a:solidFill>
                <a:srgbClr val="FF0000"/>
              </a:solidFill>
              <a:prstDash val="solid"/>
            </a:ln>
          </c:spPr>
          <c:marker>
            <c:symbol val="square"/>
            <c:size val="5"/>
            <c:spPr>
              <a:solidFill>
                <a:srgbClr val="FF0000"/>
              </a:solidFill>
              <a:ln w="9525">
                <a:noFill/>
              </a:ln>
            </c:spPr>
          </c:marker>
          <c:cat>
            <c:numRef>
              <c:f>'a &amp; b'!$E$12:$N$12</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'a &amp; b'!$E$17:$N$17</c:f>
              <c:numCache>
                <c:formatCode>0.00_)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C112-462D-BE91-0E08326C3DAD}"/>
            </c:ext>
          </c:extLst>
        </c:ser>
        <c:ser>
          <c:idx val="1"/>
          <c:order val="1"/>
          <c:tx>
            <c:v>Without Increase</c:v>
          </c:tx>
          <c:spPr>
            <a:ln w="3175">
              <a:solidFill>
                <a:srgbClr val="000080"/>
              </a:solidFill>
              <a:prstDash val="solid"/>
            </a:ln>
          </c:spPr>
          <c:marker>
            <c:symbol val="diamond"/>
            <c:size val="5"/>
            <c:spPr>
              <a:solidFill>
                <a:srgbClr val="000080"/>
              </a:solidFill>
              <a:ln>
                <a:solidFill>
                  <a:srgbClr val="000080"/>
                </a:solidFill>
                <a:prstDash val="solid"/>
              </a:ln>
            </c:spPr>
          </c:marker>
          <c:cat>
            <c:numRef>
              <c:f>'a &amp; b'!$E$12:$N$12</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Summary!$D$7:$M$7</c:f>
              <c:numCache>
                <c:formatCode>0.00_)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C112-462D-BE91-0E08326C3DAD}"/>
            </c:ext>
          </c:extLst>
        </c:ser>
        <c:dLbls>
          <c:showLegendKey val="0"/>
          <c:showVal val="0"/>
          <c:showCatName val="0"/>
          <c:showSerName val="0"/>
          <c:showPercent val="0"/>
          <c:showBubbleSize val="0"/>
        </c:dLbls>
        <c:marker val="1"/>
        <c:smooth val="0"/>
        <c:axId val="406254888"/>
        <c:axId val="400024768"/>
      </c:lineChart>
      <c:catAx>
        <c:axId val="406254888"/>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Years</a:t>
                </a:r>
              </a:p>
            </c:rich>
          </c:tx>
          <c:layout>
            <c:manualLayout>
              <c:xMode val="edge"/>
              <c:yMode val="edge"/>
              <c:x val="0.51387347391786908"/>
              <c:y val="0.89722675367047411"/>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00024768"/>
        <c:crosses val="autoZero"/>
        <c:auto val="0"/>
        <c:lblAlgn val="ctr"/>
        <c:lblOffset val="100"/>
        <c:tickLblSkip val="2"/>
        <c:tickMarkSkip val="1"/>
        <c:noMultiLvlLbl val="0"/>
      </c:catAx>
      <c:valAx>
        <c:axId val="40002476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TIER Level</a:t>
                </a:r>
              </a:p>
            </c:rich>
          </c:tx>
          <c:layout>
            <c:manualLayout>
              <c:xMode val="edge"/>
              <c:yMode val="edge"/>
              <c:x val="1.5538290788013319E-2"/>
              <c:y val="0.39804241435562893"/>
            </c:manualLayout>
          </c:layout>
          <c:overlay val="0"/>
          <c:spPr>
            <a:noFill/>
            <a:ln w="25400">
              <a:noFill/>
            </a:ln>
          </c:spPr>
        </c:title>
        <c:numFmt formatCode="0.00_)"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06254888"/>
        <c:crosses val="autoZero"/>
        <c:crossBetween val="between"/>
      </c:valAx>
      <c:spPr>
        <a:solidFill>
          <a:srgbClr val="C0C0C0"/>
        </a:solidFill>
        <a:ln w="12700">
          <a:solidFill>
            <a:srgbClr val="808080"/>
          </a:solidFill>
          <a:prstDash val="solid"/>
        </a:ln>
      </c:spPr>
    </c:plotArea>
    <c:legend>
      <c:legendPos val="b"/>
      <c:layout>
        <c:manualLayout>
          <c:xMode val="edge"/>
          <c:yMode val="edge"/>
          <c:x val="0.30188679245283129"/>
          <c:y val="0.9559543230016313"/>
          <c:w val="0.52497225305216433"/>
          <c:h val="3.9151712887438801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Residential, Seasonal, Irrigation
Overall Annual KWh Sales by Rate Class</a:t>
            </a:r>
          </a:p>
        </c:rich>
      </c:tx>
      <c:layout>
        <c:manualLayout>
          <c:xMode val="edge"/>
          <c:yMode val="edge"/>
          <c:x val="0.32630410654828035"/>
          <c:y val="1.9575856443719449E-2"/>
        </c:manualLayout>
      </c:layout>
      <c:overlay val="0"/>
      <c:spPr>
        <a:noFill/>
        <a:ln w="25400">
          <a:noFill/>
        </a:ln>
      </c:spPr>
    </c:title>
    <c:autoTitleDeleted val="0"/>
    <c:plotArea>
      <c:layout>
        <c:manualLayout>
          <c:layoutTarget val="inner"/>
          <c:xMode val="edge"/>
          <c:yMode val="edge"/>
          <c:x val="7.3251942286348501E-2"/>
          <c:y val="0.1207177814029365"/>
          <c:w val="0.91564927857935785"/>
          <c:h val="0.72920065252855037"/>
        </c:manualLayout>
      </c:layout>
      <c:lineChart>
        <c:grouping val="standard"/>
        <c:varyColors val="0"/>
        <c:ser>
          <c:idx val="0"/>
          <c:order val="0"/>
          <c:tx>
            <c:v>Residential</c:v>
          </c:tx>
          <c:spPr>
            <a:ln w="12700">
              <a:solidFill>
                <a:srgbClr val="FF0000"/>
              </a:solidFill>
              <a:prstDash val="solid"/>
            </a:ln>
          </c:spPr>
          <c:marker>
            <c:symbol val="square"/>
            <c:size val="5"/>
            <c:spPr>
              <a:solidFill>
                <a:srgbClr val="FF0000"/>
              </a:solidFill>
              <a:ln w="9525">
                <a:noFill/>
              </a:ln>
            </c:spPr>
          </c:marker>
          <c:cat>
            <c:numRef>
              <c:f>'e - Sales'!$D$5:$P$5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'e - Sales'!$D$39:$P$39</c:f>
              <c:numCache>
                <c:formatCode>#,##0_);\(#,##0\)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A082-49E2-AF76-5F82F24E9A69}"/>
            </c:ext>
          </c:extLst>
        </c:ser>
        <c:ser>
          <c:idx val="1"/>
          <c:order val="1"/>
          <c:tx>
            <c:v>Seasonal</c:v>
          </c:tx>
          <c:spPr>
            <a:ln w="12700">
              <a:solidFill>
                <a:srgbClr val="000000"/>
              </a:solidFill>
              <a:prstDash val="solid"/>
            </a:ln>
          </c:spPr>
          <c:marker>
            <c:symbol val="diamond"/>
            <c:size val="5"/>
            <c:spPr>
              <a:solidFill>
                <a:srgbClr val="000000"/>
              </a:solidFill>
              <a:ln>
                <a:solidFill>
                  <a:srgbClr val="000000"/>
                </a:solidFill>
                <a:prstDash val="solid"/>
              </a:ln>
            </c:spPr>
          </c:marker>
          <c:cat>
            <c:numRef>
              <c:f>'e - Sales'!$D$5:$P$5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'e - Sales'!$D$40:$P$40</c:f>
              <c:numCache>
                <c:formatCode>#,##0_);\(#,##0\)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1-A082-49E2-AF76-5F82F24E9A69}"/>
            </c:ext>
          </c:extLst>
        </c:ser>
        <c:ser>
          <c:idx val="2"/>
          <c:order val="2"/>
          <c:tx>
            <c:v>Irrigation</c:v>
          </c:tx>
          <c:spPr>
            <a:ln w="12700">
              <a:solidFill>
                <a:srgbClr val="0000FF"/>
              </a:solidFill>
              <a:prstDash val="solid"/>
            </a:ln>
          </c:spPr>
          <c:marker>
            <c:symbol val="triangle"/>
            <c:size val="5"/>
            <c:spPr>
              <a:solidFill>
                <a:srgbClr val="0000FF"/>
              </a:solidFill>
              <a:ln w="9525">
                <a:noFill/>
              </a:ln>
            </c:spPr>
          </c:marker>
          <c:cat>
            <c:numRef>
              <c:f>'e - Sales'!$D$5:$P$5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'e - Sales'!$D$41:$P$41</c:f>
              <c:numCache>
                <c:formatCode>#,##0_);\(#,##0\)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2-A082-49E2-AF76-5F82F24E9A69}"/>
            </c:ext>
          </c:extLst>
        </c:ser>
        <c:dLbls>
          <c:showLegendKey val="0"/>
          <c:showVal val="0"/>
          <c:showCatName val="0"/>
          <c:showSerName val="0"/>
          <c:showPercent val="0"/>
          <c:showBubbleSize val="0"/>
        </c:dLbls>
        <c:marker val="1"/>
        <c:smooth val="0"/>
        <c:axId val="768357072"/>
        <c:axId val="768357464"/>
      </c:lineChart>
      <c:catAx>
        <c:axId val="768357072"/>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832408435072141"/>
              <c:y val="0.9004893964110929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357464"/>
        <c:crosses val="autoZero"/>
        <c:auto val="0"/>
        <c:lblAlgn val="ctr"/>
        <c:lblOffset val="100"/>
        <c:tickLblSkip val="2"/>
        <c:tickMarkSkip val="1"/>
        <c:noMultiLvlLbl val="0"/>
      </c:catAx>
      <c:valAx>
        <c:axId val="76835746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Annual Kwh Sales</a:t>
                </a:r>
              </a:p>
            </c:rich>
          </c:tx>
          <c:layout>
            <c:manualLayout>
              <c:xMode val="edge"/>
              <c:yMode val="edge"/>
              <c:x val="1.5538290788013319E-2"/>
              <c:y val="0.36704730831973897"/>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357072"/>
        <c:crosses val="autoZero"/>
        <c:crossBetween val="between"/>
      </c:valAx>
      <c:spPr>
        <a:solidFill>
          <a:srgbClr val="C0C0C0"/>
        </a:solidFill>
        <a:ln w="12700">
          <a:solidFill>
            <a:srgbClr val="808080"/>
          </a:solidFill>
          <a:prstDash val="solid"/>
        </a:ln>
      </c:spPr>
    </c:plotArea>
    <c:legend>
      <c:legendPos val="b"/>
      <c:layout>
        <c:manualLayout>
          <c:xMode val="edge"/>
          <c:yMode val="edge"/>
          <c:x val="0.2519422863485018"/>
          <c:y val="0.9559543230016313"/>
          <c:w val="0.61598224195338525"/>
          <c:h val="3.9151712887438801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Residential/Seasonal, Irrigation
Overall Annual KWh Sales by Rate Class</a:t>
            </a:r>
          </a:p>
        </c:rich>
      </c:tx>
      <c:layout>
        <c:manualLayout>
          <c:xMode val="edge"/>
          <c:yMode val="edge"/>
          <c:x val="0.32630410654828035"/>
          <c:y val="1.9575856443719449E-2"/>
        </c:manualLayout>
      </c:layout>
      <c:overlay val="0"/>
      <c:spPr>
        <a:noFill/>
        <a:ln w="25400">
          <a:noFill/>
        </a:ln>
      </c:spPr>
    </c:title>
    <c:autoTitleDeleted val="0"/>
    <c:plotArea>
      <c:layout>
        <c:manualLayout>
          <c:layoutTarget val="inner"/>
          <c:xMode val="edge"/>
          <c:yMode val="edge"/>
          <c:x val="6.8812430632630622E-2"/>
          <c:y val="0.1141924959216967"/>
          <c:w val="0.92008879023307533"/>
          <c:h val="0.7340946166394815"/>
        </c:manualLayout>
      </c:layout>
      <c:lineChart>
        <c:grouping val="standard"/>
        <c:varyColors val="0"/>
        <c:ser>
          <c:idx val="0"/>
          <c:order val="0"/>
          <c:tx>
            <c:v>Residential/Seasonal</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Data'!$BE$7:$BE$69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0-2257-495E-85B4-2C889CB21FA5}"/>
            </c:ext>
          </c:extLst>
        </c:ser>
        <c:ser>
          <c:idx val="1"/>
          <c:order val="1"/>
          <c:tx>
            <c:v>Irrigation</c:v>
          </c:tx>
          <c:spPr>
            <a:ln w="3175">
              <a:solidFill>
                <a:srgbClr val="000080"/>
              </a:solidFill>
              <a:prstDash val="solid"/>
            </a:ln>
          </c:spPr>
          <c:marker>
            <c:symbol val="diamond"/>
            <c:size val="5"/>
            <c:spPr>
              <a:solidFill>
                <a:srgbClr val="000080"/>
              </a:solidFill>
              <a:ln>
                <a:solidFill>
                  <a:srgbClr val="000080"/>
                </a:solidFill>
                <a:prstDash val="solid"/>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Data'!$BH$7:$BH$69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1-2257-495E-85B4-2C889CB21FA5}"/>
            </c:ext>
          </c:extLst>
        </c:ser>
        <c:dLbls>
          <c:showLegendKey val="0"/>
          <c:showVal val="0"/>
          <c:showCatName val="0"/>
          <c:showSerName val="0"/>
          <c:showPercent val="0"/>
          <c:showBubbleSize val="0"/>
        </c:dLbls>
        <c:marker val="1"/>
        <c:smooth val="0"/>
        <c:axId val="768358248"/>
        <c:axId val="768358640"/>
      </c:lineChart>
      <c:catAx>
        <c:axId val="768358248"/>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832408435072141"/>
              <c:y val="0.8988580750407836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358640"/>
        <c:crosses val="autoZero"/>
        <c:auto val="0"/>
        <c:lblAlgn val="ctr"/>
        <c:lblOffset val="100"/>
        <c:tickLblSkip val="2"/>
        <c:tickMarkSkip val="1"/>
        <c:noMultiLvlLbl val="0"/>
      </c:catAx>
      <c:valAx>
        <c:axId val="76835864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Annual Kwh Sales</a:t>
                </a:r>
              </a:p>
            </c:rich>
          </c:tx>
          <c:layout>
            <c:manualLayout>
              <c:xMode val="edge"/>
              <c:yMode val="edge"/>
              <c:x val="1.5538290788013319E-2"/>
              <c:y val="0.363784665579119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358248"/>
        <c:crosses val="autoZero"/>
        <c:crossBetween val="between"/>
      </c:valAx>
      <c:spPr>
        <a:solidFill>
          <a:srgbClr val="C0C0C0"/>
        </a:solidFill>
        <a:ln w="12700">
          <a:solidFill>
            <a:srgbClr val="808080"/>
          </a:solidFill>
          <a:prstDash val="solid"/>
        </a:ln>
      </c:spPr>
    </c:plotArea>
    <c:legend>
      <c:legendPos val="b"/>
      <c:layout>
        <c:manualLayout>
          <c:xMode val="edge"/>
          <c:yMode val="edge"/>
          <c:x val="0.24972253052164295"/>
          <c:y val="0.9559543230016313"/>
          <c:w val="0.58490566037735858"/>
          <c:h val="3.9151712887438801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Small &amp; Large Commercial
Annual KWh Sales by Rate Class</a:t>
            </a:r>
          </a:p>
        </c:rich>
      </c:tx>
      <c:layout>
        <c:manualLayout>
          <c:xMode val="edge"/>
          <c:yMode val="edge"/>
          <c:x val="0.35738068812430746"/>
          <c:y val="1.9575856443719449E-2"/>
        </c:manualLayout>
      </c:layout>
      <c:overlay val="0"/>
      <c:spPr>
        <a:noFill/>
        <a:ln w="25400">
          <a:noFill/>
        </a:ln>
      </c:spPr>
    </c:title>
    <c:autoTitleDeleted val="0"/>
    <c:plotArea>
      <c:layout>
        <c:manualLayout>
          <c:layoutTarget val="inner"/>
          <c:xMode val="edge"/>
          <c:yMode val="edge"/>
          <c:x val="6.8812430632630622E-2"/>
          <c:y val="0.1158238172920064"/>
          <c:w val="0.92008879023307533"/>
          <c:h val="0.73246329526916798"/>
        </c:manualLayout>
      </c:layout>
      <c:lineChart>
        <c:grouping val="standard"/>
        <c:varyColors val="0"/>
        <c:ser>
          <c:idx val="0"/>
          <c:order val="0"/>
          <c:tx>
            <c:v>Small Commercial</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Data'!$BF$7:$BF$69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0-C258-4F74-94D2-4CD088BC1506}"/>
            </c:ext>
          </c:extLst>
        </c:ser>
        <c:ser>
          <c:idx val="1"/>
          <c:order val="1"/>
          <c:tx>
            <c:v>Large Commercial</c:v>
          </c:tx>
          <c:spPr>
            <a:ln w="3175">
              <a:solidFill>
                <a:srgbClr val="000080"/>
              </a:solidFill>
              <a:prstDash val="solid"/>
            </a:ln>
          </c:spPr>
          <c:marker>
            <c:symbol val="diamond"/>
            <c:size val="5"/>
            <c:spPr>
              <a:solidFill>
                <a:srgbClr val="000080"/>
              </a:solidFill>
              <a:ln>
                <a:solidFill>
                  <a:srgbClr val="000080"/>
                </a:solidFill>
                <a:prstDash val="solid"/>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Data'!$BG$7:$BG$69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1-C258-4F74-94D2-4CD088BC1506}"/>
            </c:ext>
          </c:extLst>
        </c:ser>
        <c:dLbls>
          <c:showLegendKey val="0"/>
          <c:showVal val="0"/>
          <c:showCatName val="0"/>
          <c:showSerName val="0"/>
          <c:showPercent val="0"/>
          <c:showBubbleSize val="0"/>
        </c:dLbls>
        <c:marker val="1"/>
        <c:smooth val="0"/>
        <c:axId val="768359424"/>
        <c:axId val="768359816"/>
      </c:lineChart>
      <c:catAx>
        <c:axId val="768359424"/>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610432852386233"/>
              <c:y val="0.8988580750407836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359816"/>
        <c:crosses val="autoZero"/>
        <c:auto val="0"/>
        <c:lblAlgn val="ctr"/>
        <c:lblOffset val="100"/>
        <c:tickLblSkip val="2"/>
        <c:tickMarkSkip val="1"/>
        <c:noMultiLvlLbl val="0"/>
      </c:catAx>
      <c:valAx>
        <c:axId val="76835981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Annual Kwh Sales</a:t>
                </a:r>
              </a:p>
            </c:rich>
          </c:tx>
          <c:layout>
            <c:manualLayout>
              <c:xMode val="edge"/>
              <c:yMode val="edge"/>
              <c:x val="1.5538290788013319E-2"/>
              <c:y val="0.363784665579119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359424"/>
        <c:crosses val="autoZero"/>
        <c:crossBetween val="between"/>
      </c:valAx>
      <c:spPr>
        <a:solidFill>
          <a:srgbClr val="C0C0C0"/>
        </a:solidFill>
        <a:ln w="12700">
          <a:solidFill>
            <a:srgbClr val="808080"/>
          </a:solidFill>
          <a:prstDash val="solid"/>
        </a:ln>
      </c:spPr>
    </c:plotArea>
    <c:legend>
      <c:legendPos val="b"/>
      <c:layout>
        <c:manualLayout>
          <c:xMode val="edge"/>
          <c:yMode val="edge"/>
          <c:x val="0.23196448390677069"/>
          <c:y val="0.9559543230016313"/>
          <c:w val="0.59600443951165349"/>
          <c:h val="3.9151712887438801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Small &amp; Large Commercial
Annual KWh Sales by Rate Class</a:t>
            </a:r>
          </a:p>
        </c:rich>
      </c:tx>
      <c:layout>
        <c:manualLayout>
          <c:xMode val="edge"/>
          <c:yMode val="edge"/>
          <c:x val="0.35738068812430746"/>
          <c:y val="1.9575856443719449E-2"/>
        </c:manualLayout>
      </c:layout>
      <c:overlay val="0"/>
      <c:spPr>
        <a:noFill/>
        <a:ln w="25400">
          <a:noFill/>
        </a:ln>
      </c:spPr>
    </c:title>
    <c:autoTitleDeleted val="0"/>
    <c:plotArea>
      <c:layout>
        <c:manualLayout>
          <c:layoutTarget val="inner"/>
          <c:xMode val="edge"/>
          <c:yMode val="edge"/>
          <c:x val="6.8812430632630622E-2"/>
          <c:y val="0.11256117455138674"/>
          <c:w val="0.92008879023307533"/>
          <c:h val="0.73735725938009888"/>
        </c:manualLayout>
      </c:layout>
      <c:lineChart>
        <c:grouping val="standard"/>
        <c:varyColors val="0"/>
        <c:ser>
          <c:idx val="0"/>
          <c:order val="0"/>
          <c:tx>
            <c:v>Small Commercial</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Data'!$BF$7:$BF$69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0-750F-44C7-A647-54AD5C9BB514}"/>
            </c:ext>
          </c:extLst>
        </c:ser>
        <c:ser>
          <c:idx val="1"/>
          <c:order val="1"/>
          <c:tx>
            <c:v>Large Commercial</c:v>
          </c:tx>
          <c:spPr>
            <a:ln w="3175">
              <a:solidFill>
                <a:srgbClr val="000000"/>
              </a:solidFill>
              <a:prstDash val="solid"/>
            </a:ln>
          </c:spPr>
          <c:marker>
            <c:symbol val="diamond"/>
            <c:size val="5"/>
            <c:spPr>
              <a:solidFill>
                <a:srgbClr val="000000"/>
              </a:solidFill>
              <a:ln>
                <a:solidFill>
                  <a:srgbClr val="000000"/>
                </a:solidFill>
                <a:prstDash val="solid"/>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Data'!$BG$7:$BG$69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1-750F-44C7-A647-54AD5C9BB514}"/>
            </c:ext>
          </c:extLst>
        </c:ser>
        <c:ser>
          <c:idx val="2"/>
          <c:order val="2"/>
          <c:tx>
            <c:v>Small + Large Commercial</c:v>
          </c:tx>
          <c:spPr>
            <a:ln w="3175">
              <a:solidFill>
                <a:srgbClr val="0000FF"/>
              </a:solidFill>
              <a:prstDash val="solid"/>
            </a:ln>
          </c:spPr>
          <c:marker>
            <c:symbol val="triangle"/>
            <c:size val="5"/>
            <c:spPr>
              <a:solidFill>
                <a:srgbClr val="0000FF"/>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Data'!$DF$7:$DF$69</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formatCode="#,##0.0_);\(#,##0.0\)">
                  <c:v>0</c:v>
                </c:pt>
                <c:pt idx="54" formatCode="#,##0.0_);\(#,##0.0\)">
                  <c:v>0</c:v>
                </c:pt>
                <c:pt idx="55" formatCode="#,##0.0_);\(#,##0.0\)">
                  <c:v>0</c:v>
                </c:pt>
                <c:pt idx="56" formatCode="#,##0.0_);\(#,##0.0\)">
                  <c:v>0</c:v>
                </c:pt>
                <c:pt idx="57" formatCode="#,##0.0_);\(#,##0.0\)">
                  <c:v>0</c:v>
                </c:pt>
                <c:pt idx="58" formatCode="#,##0.0_);\(#,##0.0\)">
                  <c:v>0</c:v>
                </c:pt>
                <c:pt idx="59" formatCode="#,##0.0_);\(#,##0.0\)">
                  <c:v>0</c:v>
                </c:pt>
                <c:pt idx="60" formatCode="#,##0.0_);\(#,##0.0\)">
                  <c:v>0</c:v>
                </c:pt>
                <c:pt idx="61" formatCode="#,##0.0_);\(#,##0.0\)">
                  <c:v>0</c:v>
                </c:pt>
                <c:pt idx="62" formatCode="#,##0.0_);\(#,##0.0\)">
                  <c:v>0</c:v>
                </c:pt>
              </c:numCache>
            </c:numRef>
          </c:val>
          <c:smooth val="0"/>
          <c:extLst>
            <c:ext xmlns:c16="http://schemas.microsoft.com/office/drawing/2014/chart" uri="{C3380CC4-5D6E-409C-BE32-E72D297353CC}">
              <c16:uniqueId val="{00000002-750F-44C7-A647-54AD5C9BB514}"/>
            </c:ext>
          </c:extLst>
        </c:ser>
        <c:dLbls>
          <c:showLegendKey val="0"/>
          <c:showVal val="0"/>
          <c:showCatName val="0"/>
          <c:showSerName val="0"/>
          <c:showPercent val="0"/>
          <c:showBubbleSize val="0"/>
        </c:dLbls>
        <c:marker val="1"/>
        <c:smooth val="0"/>
        <c:axId val="717645016"/>
        <c:axId val="717645408"/>
      </c:lineChart>
      <c:catAx>
        <c:axId val="717645016"/>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610432852386233"/>
              <c:y val="0.9004893964110929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17645408"/>
        <c:crosses val="autoZero"/>
        <c:auto val="0"/>
        <c:lblAlgn val="ctr"/>
        <c:lblOffset val="100"/>
        <c:tickLblSkip val="2"/>
        <c:tickMarkSkip val="1"/>
        <c:noMultiLvlLbl val="0"/>
      </c:catAx>
      <c:valAx>
        <c:axId val="71764540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Annual Kwh Sales</a:t>
                </a:r>
              </a:p>
            </c:rich>
          </c:tx>
          <c:layout>
            <c:manualLayout>
              <c:xMode val="edge"/>
              <c:yMode val="edge"/>
              <c:x val="1.5538290788013319E-2"/>
              <c:y val="0.363784665579119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17645016"/>
        <c:crosses val="autoZero"/>
        <c:crossBetween val="between"/>
      </c:valAx>
      <c:spPr>
        <a:solidFill>
          <a:srgbClr val="C0C0C0"/>
        </a:solidFill>
        <a:ln w="12700">
          <a:solidFill>
            <a:srgbClr val="808080"/>
          </a:solidFill>
          <a:prstDash val="solid"/>
        </a:ln>
      </c:spPr>
    </c:plotArea>
    <c:legend>
      <c:legendPos val="b"/>
      <c:layout>
        <c:manualLayout>
          <c:xMode val="edge"/>
          <c:yMode val="edge"/>
          <c:x val="0.20643729189789198"/>
          <c:y val="0.9559543230016313"/>
          <c:w val="0.73140954495005528"/>
          <c:h val="3.9151712887438801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Annual Overall KWH Sales &amp; Purchases
</a:t>
            </a:r>
          </a:p>
        </c:rich>
      </c:tx>
      <c:layout>
        <c:manualLayout>
          <c:xMode val="edge"/>
          <c:yMode val="edge"/>
          <c:x val="0.32852386237513947"/>
          <c:y val="1.9575856443719449E-2"/>
        </c:manualLayout>
      </c:layout>
      <c:overlay val="0"/>
      <c:spPr>
        <a:noFill/>
        <a:ln w="25400">
          <a:noFill/>
        </a:ln>
      </c:spPr>
    </c:title>
    <c:autoTitleDeleted val="0"/>
    <c:plotArea>
      <c:layout>
        <c:manualLayout>
          <c:layoutTarget val="inner"/>
          <c:xMode val="edge"/>
          <c:yMode val="edge"/>
          <c:x val="9.4339622641509524E-2"/>
          <c:y val="9.9510603588907065E-2"/>
          <c:w val="0.89456159822419534"/>
          <c:h val="0.75040783034257896"/>
        </c:manualLayout>
      </c:layout>
      <c:lineChart>
        <c:grouping val="standard"/>
        <c:varyColors val="0"/>
        <c:ser>
          <c:idx val="0"/>
          <c:order val="0"/>
          <c:tx>
            <c:v>Kwh Sales</c:v>
          </c:tx>
          <c:spPr>
            <a:ln w="3175">
              <a:solidFill>
                <a:srgbClr val="FF0000"/>
              </a:solidFill>
              <a:prstDash val="solid"/>
            </a:ln>
          </c:spPr>
          <c:marker>
            <c:symbol val="square"/>
            <c:size val="5"/>
            <c:spPr>
              <a:solidFill>
                <a:srgbClr val="FF0000"/>
              </a:solidFill>
              <a:ln w="9525">
                <a:noFill/>
              </a:ln>
            </c:spPr>
          </c:marker>
          <c:cat>
            <c:numRef>
              <c:f>'e - Sales'!$D$5:$P$5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'e - Sales'!$D$54:$P$54</c:f>
              <c:numCache>
                <c:formatCode>#,##0_);\(#,##0\)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B909-4EA0-BE21-CA8EB64FE402}"/>
            </c:ext>
          </c:extLst>
        </c:ser>
        <c:ser>
          <c:idx val="1"/>
          <c:order val="1"/>
          <c:tx>
            <c:v>Kwh Purchases</c:v>
          </c:tx>
          <c:spPr>
            <a:ln w="3175">
              <a:solidFill>
                <a:srgbClr val="000080"/>
              </a:solidFill>
              <a:prstDash val="solid"/>
            </a:ln>
          </c:spPr>
          <c:marker>
            <c:symbol val="diamond"/>
            <c:size val="5"/>
            <c:spPr>
              <a:solidFill>
                <a:srgbClr val="000080"/>
              </a:solidFill>
              <a:ln>
                <a:solidFill>
                  <a:srgbClr val="000080"/>
                </a:solidFill>
                <a:prstDash val="solid"/>
              </a:ln>
            </c:spPr>
          </c:marker>
          <c:cat>
            <c:numRef>
              <c:f>'e - Sales'!$D$5:$P$5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'e - Sales'!$D$61:$P$61</c:f>
              <c:numCache>
                <c:formatCode>#,##0_);\(#,##0\)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1-B909-4EA0-BE21-CA8EB64FE402}"/>
            </c:ext>
          </c:extLst>
        </c:ser>
        <c:dLbls>
          <c:showLegendKey val="0"/>
          <c:showVal val="0"/>
          <c:showCatName val="0"/>
          <c:showSerName val="0"/>
          <c:showPercent val="0"/>
          <c:showBubbleSize val="0"/>
        </c:dLbls>
        <c:marker val="1"/>
        <c:smooth val="0"/>
        <c:axId val="717646192"/>
        <c:axId val="717646584"/>
      </c:lineChart>
      <c:catAx>
        <c:axId val="717646192"/>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1942286348501654"/>
              <c:y val="0.9004893964110929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17646584"/>
        <c:crosses val="autoZero"/>
        <c:auto val="0"/>
        <c:lblAlgn val="ctr"/>
        <c:lblOffset val="100"/>
        <c:tickLblSkip val="2"/>
        <c:tickMarkSkip val="1"/>
        <c:noMultiLvlLbl val="0"/>
      </c:catAx>
      <c:valAx>
        <c:axId val="71764658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Annual Overall Sales &amp; Purchases (kWh)</a:t>
                </a:r>
              </a:p>
            </c:rich>
          </c:tx>
          <c:layout>
            <c:manualLayout>
              <c:xMode val="edge"/>
              <c:yMode val="edge"/>
              <c:x val="3.6625971143174313E-2"/>
              <c:y val="0.22022838499184341"/>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17646192"/>
        <c:crosses val="autoZero"/>
        <c:crossBetween val="between"/>
      </c:valAx>
      <c:spPr>
        <a:solidFill>
          <a:srgbClr val="C0C0C0"/>
        </a:solidFill>
        <a:ln w="12700">
          <a:solidFill>
            <a:srgbClr val="808080"/>
          </a:solidFill>
          <a:prstDash val="solid"/>
        </a:ln>
      </c:spPr>
    </c:plotArea>
    <c:legend>
      <c:legendPos val="b"/>
      <c:layout>
        <c:manualLayout>
          <c:xMode val="edge"/>
          <c:yMode val="edge"/>
          <c:x val="0.29966703662597116"/>
          <c:y val="0.9559543230016313"/>
          <c:w val="0.54051054384017749"/>
          <c:h val="3.9151712887438801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Cash Margins versus General Funds Invested
in Plant Additions</a:t>
            </a:r>
          </a:p>
        </c:rich>
      </c:tx>
      <c:layout>
        <c:manualLayout>
          <c:xMode val="edge"/>
          <c:yMode val="edge"/>
          <c:x val="0.30410654827968997"/>
          <c:y val="1.9575856443719449E-2"/>
        </c:manualLayout>
      </c:layout>
      <c:overlay val="0"/>
      <c:spPr>
        <a:noFill/>
        <a:ln w="25400">
          <a:noFill/>
        </a:ln>
      </c:spPr>
    </c:title>
    <c:autoTitleDeleted val="0"/>
    <c:plotArea>
      <c:layout>
        <c:manualLayout>
          <c:layoutTarget val="inner"/>
          <c:xMode val="edge"/>
          <c:yMode val="edge"/>
          <c:x val="7.3251942286348501E-2"/>
          <c:y val="0.1207177814029365"/>
          <c:w val="0.91564927857935785"/>
          <c:h val="0.72593800978792722"/>
        </c:manualLayout>
      </c:layout>
      <c:lineChart>
        <c:grouping val="standard"/>
        <c:varyColors val="0"/>
        <c:ser>
          <c:idx val="0"/>
          <c:order val="0"/>
          <c:tx>
            <c:v>Cash Margins</c:v>
          </c:tx>
          <c:spPr>
            <a:ln w="3175">
              <a:solidFill>
                <a:srgbClr val="FF0000"/>
              </a:solidFill>
              <a:prstDash val="solid"/>
            </a:ln>
          </c:spPr>
          <c:marker>
            <c:symbol val="square"/>
            <c:size val="5"/>
            <c:spPr>
              <a:solidFill>
                <a:srgbClr val="FF0000"/>
              </a:solidFill>
              <a:ln w="9525">
                <a:noFill/>
              </a:ln>
            </c:spPr>
          </c:marker>
          <c:cat>
            <c:numRef>
              <c:f>'c &amp; d'!$D$35:$M$35</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'c &amp; d'!$D$26:$M$26</c:f>
              <c:numCache>
                <c:formatCode>#,##0_);\(#,##0\)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FE88-4D1A-8BA4-433E0EDB0718}"/>
            </c:ext>
          </c:extLst>
        </c:ser>
        <c:ser>
          <c:idx val="1"/>
          <c:order val="1"/>
          <c:tx>
            <c:v>GF Invested in Plant</c:v>
          </c:tx>
          <c:spPr>
            <a:ln w="3175">
              <a:solidFill>
                <a:srgbClr val="000080"/>
              </a:solidFill>
              <a:prstDash val="solid"/>
            </a:ln>
          </c:spPr>
          <c:marker>
            <c:symbol val="diamond"/>
            <c:size val="5"/>
            <c:spPr>
              <a:solidFill>
                <a:srgbClr val="000080"/>
              </a:solidFill>
              <a:ln>
                <a:solidFill>
                  <a:srgbClr val="000080"/>
                </a:solidFill>
                <a:prstDash val="solid"/>
              </a:ln>
            </c:spPr>
          </c:marker>
          <c:cat>
            <c:numRef>
              <c:f>'c &amp; d'!$D$35:$M$35</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'c &amp; d'!$D$51:$M$51</c:f>
              <c:numCache>
                <c:formatCode>#,##0_);\(#,##0\)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FE88-4D1A-8BA4-433E0EDB0718}"/>
            </c:ext>
          </c:extLst>
        </c:ser>
        <c:dLbls>
          <c:showLegendKey val="0"/>
          <c:showVal val="0"/>
          <c:showCatName val="0"/>
          <c:showSerName val="0"/>
          <c:showPercent val="0"/>
          <c:showBubbleSize val="0"/>
        </c:dLbls>
        <c:marker val="1"/>
        <c:smooth val="0"/>
        <c:axId val="717647368"/>
        <c:axId val="717647760"/>
      </c:lineChart>
      <c:catAx>
        <c:axId val="717647368"/>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832408435072141"/>
              <c:y val="0.89722675367047411"/>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17647760"/>
        <c:crosses val="autoZero"/>
        <c:auto val="0"/>
        <c:lblAlgn val="ctr"/>
        <c:lblOffset val="100"/>
        <c:tickLblSkip val="2"/>
        <c:tickMarkSkip val="1"/>
        <c:noMultiLvlLbl val="0"/>
      </c:catAx>
      <c:valAx>
        <c:axId val="71764776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Dollars</a:t>
                </a:r>
              </a:p>
            </c:rich>
          </c:tx>
          <c:layout>
            <c:manualLayout>
              <c:xMode val="edge"/>
              <c:yMode val="edge"/>
              <c:x val="1.5538290788013319E-2"/>
              <c:y val="0.43393148450244756"/>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17647368"/>
        <c:crosses val="autoZero"/>
        <c:crossBetween val="between"/>
      </c:valAx>
      <c:spPr>
        <a:solidFill>
          <a:srgbClr val="C0C0C0"/>
        </a:solidFill>
        <a:ln w="12700">
          <a:solidFill>
            <a:srgbClr val="808080"/>
          </a:solidFill>
          <a:prstDash val="solid"/>
        </a:ln>
      </c:spPr>
    </c:plotArea>
    <c:legend>
      <c:legendPos val="b"/>
      <c:layout>
        <c:manualLayout>
          <c:xMode val="edge"/>
          <c:yMode val="edge"/>
          <c:x val="0.28745837957824727"/>
          <c:y val="0.9559543230016313"/>
          <c:w val="0.54051054384017749"/>
          <c:h val="3.9151712887438801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Operating Margins, Net Margins, Cash Margins
</a:t>
            </a:r>
          </a:p>
        </c:rich>
      </c:tx>
      <c:layout>
        <c:manualLayout>
          <c:xMode val="edge"/>
          <c:yMode val="edge"/>
          <c:x val="0.30077691453940142"/>
          <c:y val="1.9575856443719449E-2"/>
        </c:manualLayout>
      </c:layout>
      <c:overlay val="0"/>
      <c:spPr>
        <a:noFill/>
        <a:ln w="25400">
          <a:noFill/>
        </a:ln>
      </c:spPr>
    </c:title>
    <c:autoTitleDeleted val="0"/>
    <c:plotArea>
      <c:layout>
        <c:manualLayout>
          <c:layoutTarget val="inner"/>
          <c:xMode val="edge"/>
          <c:yMode val="edge"/>
          <c:x val="7.3251942286348501E-2"/>
          <c:y val="0.10603588907014692"/>
          <c:w val="0.91564927857935785"/>
          <c:h val="0.74388254486133643"/>
        </c:manualLayout>
      </c:layout>
      <c:lineChart>
        <c:grouping val="standard"/>
        <c:varyColors val="0"/>
        <c:ser>
          <c:idx val="0"/>
          <c:order val="0"/>
          <c:tx>
            <c:v>Operating Margins</c:v>
          </c:tx>
          <c:spPr>
            <a:ln w="3175">
              <a:solidFill>
                <a:srgbClr val="FF0000"/>
              </a:solidFill>
              <a:prstDash val="solid"/>
            </a:ln>
          </c:spPr>
          <c:marker>
            <c:symbol val="square"/>
            <c:size val="5"/>
            <c:spPr>
              <a:solidFill>
                <a:srgbClr val="FF0000"/>
              </a:solidFill>
              <a:ln w="9525">
                <a:noFill/>
              </a:ln>
            </c:spPr>
          </c:marker>
          <c:cat>
            <c:numRef>
              <c:f>'c &amp; d'!$D$3:$M$3</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'c &amp; d'!$D$18:$M$18</c:f>
              <c:numCache>
                <c:formatCode>#,##0_);\(#,##0\)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B9F8-4CF7-8FB4-91E518CCA383}"/>
            </c:ext>
          </c:extLst>
        </c:ser>
        <c:ser>
          <c:idx val="1"/>
          <c:order val="1"/>
          <c:tx>
            <c:v>Net Margins</c:v>
          </c:tx>
          <c:spPr>
            <a:ln w="3175">
              <a:solidFill>
                <a:srgbClr val="00FF00"/>
              </a:solidFill>
              <a:prstDash val="solid"/>
            </a:ln>
          </c:spPr>
          <c:marker>
            <c:symbol val="diamond"/>
            <c:size val="5"/>
            <c:spPr>
              <a:solidFill>
                <a:srgbClr val="00FF00"/>
              </a:solidFill>
              <a:ln w="9525">
                <a:noFill/>
              </a:ln>
            </c:spPr>
          </c:marker>
          <c:cat>
            <c:numRef>
              <c:f>'c &amp; d'!$D$3:$M$3</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'c &amp; d'!$D$21:$M$21</c:f>
              <c:numCache>
                <c:formatCode>#,##0_);\(#,##0\)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B9F8-4CF7-8FB4-91E518CCA383}"/>
            </c:ext>
          </c:extLst>
        </c:ser>
        <c:ser>
          <c:idx val="2"/>
          <c:order val="2"/>
          <c:tx>
            <c:v>Cash Margins</c:v>
          </c:tx>
          <c:spPr>
            <a:ln w="12700">
              <a:solidFill>
                <a:srgbClr val="0000FF"/>
              </a:solidFill>
              <a:prstDash val="solid"/>
            </a:ln>
          </c:spPr>
          <c:marker>
            <c:symbol val="triangle"/>
            <c:size val="5"/>
            <c:spPr>
              <a:solidFill>
                <a:srgbClr val="0000FF"/>
              </a:solidFill>
              <a:ln w="9525">
                <a:noFill/>
              </a:ln>
            </c:spPr>
          </c:marker>
          <c:cat>
            <c:numRef>
              <c:f>'c &amp; d'!$D$3:$M$3</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'c &amp; d'!$D$26:$M$26</c:f>
              <c:numCache>
                <c:formatCode>#,##0_);\(#,##0\)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B9F8-4CF7-8FB4-91E518CCA383}"/>
            </c:ext>
          </c:extLst>
        </c:ser>
        <c:dLbls>
          <c:showLegendKey val="0"/>
          <c:showVal val="0"/>
          <c:showCatName val="0"/>
          <c:showSerName val="0"/>
          <c:showPercent val="0"/>
          <c:showBubbleSize val="0"/>
        </c:dLbls>
        <c:marker val="1"/>
        <c:smooth val="0"/>
        <c:axId val="717826616"/>
        <c:axId val="717827008"/>
      </c:lineChart>
      <c:catAx>
        <c:axId val="717826616"/>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832408435072141"/>
              <c:y val="0.9004893964110929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17827008"/>
        <c:crosses val="autoZero"/>
        <c:auto val="0"/>
        <c:lblAlgn val="ctr"/>
        <c:lblOffset val="100"/>
        <c:tickLblSkip val="2"/>
        <c:tickMarkSkip val="1"/>
        <c:noMultiLvlLbl val="0"/>
      </c:catAx>
      <c:valAx>
        <c:axId val="71782700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Dollars</a:t>
                </a:r>
              </a:p>
            </c:rich>
          </c:tx>
          <c:layout>
            <c:manualLayout>
              <c:xMode val="edge"/>
              <c:yMode val="edge"/>
              <c:x val="1.5538290788013319E-2"/>
              <c:y val="0.4290375203915171"/>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17826616"/>
        <c:crosses val="autoZero"/>
        <c:crossBetween val="between"/>
      </c:valAx>
      <c:spPr>
        <a:solidFill>
          <a:srgbClr val="C0C0C0"/>
        </a:solidFill>
        <a:ln w="12700">
          <a:solidFill>
            <a:srgbClr val="808080"/>
          </a:solidFill>
          <a:prstDash val="solid"/>
        </a:ln>
      </c:spPr>
    </c:plotArea>
    <c:legend>
      <c:legendPos val="b"/>
      <c:layout>
        <c:manualLayout>
          <c:xMode val="edge"/>
          <c:yMode val="edge"/>
          <c:x val="0.22419533851276399"/>
          <c:y val="0.9559543230016313"/>
          <c:w val="0.66925638179800151"/>
          <c:h val="3.9151712887438801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Non-Operating Margins (Dollars)
</a:t>
            </a:r>
          </a:p>
        </c:rich>
      </c:tx>
      <c:layout>
        <c:manualLayout>
          <c:xMode val="edge"/>
          <c:yMode val="edge"/>
          <c:x val="0.36071032186459545"/>
          <c:y val="1.9575856443719449E-2"/>
        </c:manualLayout>
      </c:layout>
      <c:overlay val="0"/>
      <c:spPr>
        <a:noFill/>
        <a:ln w="25400">
          <a:noFill/>
        </a:ln>
      </c:spPr>
    </c:title>
    <c:autoTitleDeleted val="0"/>
    <c:plotArea>
      <c:layout>
        <c:manualLayout>
          <c:layoutTarget val="inner"/>
          <c:xMode val="edge"/>
          <c:yMode val="edge"/>
          <c:x val="7.3251942286348501E-2"/>
          <c:y val="0.10440456769983671"/>
          <c:w val="0.91564927857935785"/>
          <c:h val="0.74061990212071904"/>
        </c:manualLayout>
      </c:layout>
      <c:lineChart>
        <c:grouping val="standard"/>
        <c:varyColors val="0"/>
        <c:ser>
          <c:idx val="0"/>
          <c:order val="0"/>
          <c:tx>
            <c:v>Non-Operating Margins</c:v>
          </c:tx>
          <c:spPr>
            <a:ln w="3175">
              <a:solidFill>
                <a:srgbClr val="FF0000"/>
              </a:solidFill>
              <a:prstDash val="solid"/>
            </a:ln>
          </c:spPr>
          <c:marker>
            <c:symbol val="square"/>
            <c:size val="5"/>
            <c:spPr>
              <a:solidFill>
                <a:srgbClr val="FF0000"/>
              </a:solidFill>
              <a:ln w="9525">
                <a:noFill/>
              </a:ln>
            </c:spPr>
          </c:marker>
          <c:cat>
            <c:numRef>
              <c:f>'c &amp; d'!$D$3:$M$3</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'c &amp; d'!$D$19:$M$19</c:f>
              <c:numCache>
                <c:formatCode>#,##0_);\(#,##0\)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537D-41A5-9F63-DD04F822FF22}"/>
            </c:ext>
          </c:extLst>
        </c:ser>
        <c:dLbls>
          <c:showLegendKey val="0"/>
          <c:showVal val="0"/>
          <c:showCatName val="0"/>
          <c:showSerName val="0"/>
          <c:showPercent val="0"/>
          <c:showBubbleSize val="0"/>
        </c:dLbls>
        <c:marker val="1"/>
        <c:smooth val="0"/>
        <c:axId val="717827792"/>
        <c:axId val="717828184"/>
      </c:lineChart>
      <c:catAx>
        <c:axId val="717827792"/>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832408435072141"/>
              <c:y val="0.89559543230016436"/>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17828184"/>
        <c:crosses val="autoZero"/>
        <c:auto val="0"/>
        <c:lblAlgn val="ctr"/>
        <c:lblOffset val="100"/>
        <c:tickLblSkip val="2"/>
        <c:tickMarkSkip val="1"/>
        <c:noMultiLvlLbl val="0"/>
      </c:catAx>
      <c:valAx>
        <c:axId val="71782818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Dollars</a:t>
                </a:r>
              </a:p>
            </c:rich>
          </c:tx>
          <c:layout>
            <c:manualLayout>
              <c:xMode val="edge"/>
              <c:yMode val="edge"/>
              <c:x val="1.5538290788013319E-2"/>
              <c:y val="0.42577487765089822"/>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17827792"/>
        <c:crosses val="autoZero"/>
        <c:crossBetween val="between"/>
      </c:valAx>
      <c:spPr>
        <a:solidFill>
          <a:srgbClr val="C0C0C0"/>
        </a:solidFill>
        <a:ln w="12700">
          <a:solidFill>
            <a:srgbClr val="808080"/>
          </a:solidFill>
          <a:prstDash val="solid"/>
        </a:ln>
      </c:spPr>
    </c:plotArea>
    <c:legend>
      <c:legendPos val="b"/>
      <c:layout>
        <c:manualLayout>
          <c:xMode val="edge"/>
          <c:yMode val="edge"/>
          <c:x val="0.4284128745837964"/>
          <c:y val="0.95921696574224835"/>
          <c:w val="0.20754716981132129"/>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Rate of Return on Rate Base
with Additional Revenue from Rate Increases</a:t>
            </a:r>
          </a:p>
        </c:rich>
      </c:tx>
      <c:layout>
        <c:manualLayout>
          <c:xMode val="edge"/>
          <c:yMode val="edge"/>
          <c:x val="0.30743618201997841"/>
          <c:y val="1.9575856443719449E-2"/>
        </c:manualLayout>
      </c:layout>
      <c:overlay val="0"/>
      <c:spPr>
        <a:noFill/>
        <a:ln w="25400">
          <a:noFill/>
        </a:ln>
      </c:spPr>
    </c:title>
    <c:autoTitleDeleted val="0"/>
    <c:plotArea>
      <c:layout>
        <c:manualLayout>
          <c:layoutTarget val="inner"/>
          <c:xMode val="edge"/>
          <c:yMode val="edge"/>
          <c:x val="9.3229744728080113E-2"/>
          <c:y val="0.1207177814029365"/>
          <c:w val="0.89567147613762588"/>
          <c:h val="0.72593800978792722"/>
        </c:manualLayout>
      </c:layout>
      <c:lineChart>
        <c:grouping val="standard"/>
        <c:varyColors val="0"/>
        <c:ser>
          <c:idx val="0"/>
          <c:order val="0"/>
          <c:tx>
            <c:v>Rate of Return</c:v>
          </c:tx>
          <c:spPr>
            <a:ln w="3175">
              <a:solidFill>
                <a:srgbClr val="FF0000"/>
              </a:solidFill>
              <a:prstDash val="solid"/>
            </a:ln>
          </c:spPr>
          <c:marker>
            <c:symbol val="square"/>
            <c:size val="5"/>
            <c:spPr>
              <a:solidFill>
                <a:srgbClr val="FF0000"/>
              </a:solidFill>
              <a:ln w="9525">
                <a:noFill/>
              </a:ln>
            </c:spPr>
          </c:marker>
          <c:cat>
            <c:numRef>
              <c:f>'a &amp; b'!$E$12:$N$12</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'a &amp; b'!$E$29:$N$29</c:f>
              <c:numCache>
                <c:formatCode>0.00_)</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4421-45AF-A1AC-6CC4577EE6AD}"/>
            </c:ext>
          </c:extLst>
        </c:ser>
        <c:dLbls>
          <c:showLegendKey val="0"/>
          <c:showVal val="0"/>
          <c:showCatName val="0"/>
          <c:showSerName val="0"/>
          <c:showPercent val="0"/>
          <c:showBubbleSize val="0"/>
        </c:dLbls>
        <c:marker val="1"/>
        <c:smooth val="0"/>
        <c:axId val="717828968"/>
        <c:axId val="717829360"/>
      </c:lineChart>
      <c:catAx>
        <c:axId val="717828968"/>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1831298557158656"/>
              <c:y val="0.89722675367047411"/>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17829360"/>
        <c:crosses val="autoZero"/>
        <c:auto val="0"/>
        <c:lblAlgn val="ctr"/>
        <c:lblOffset val="100"/>
        <c:tickLblSkip val="2"/>
        <c:tickMarkSkip val="1"/>
        <c:noMultiLvlLbl val="0"/>
      </c:catAx>
      <c:valAx>
        <c:axId val="71782936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Rate of Return on Rate Base</a:t>
                </a:r>
              </a:p>
            </c:rich>
          </c:tx>
          <c:layout>
            <c:manualLayout>
              <c:xMode val="edge"/>
              <c:yMode val="edge"/>
              <c:x val="1.5538290788013319E-2"/>
              <c:y val="0.30179445350734097"/>
            </c:manualLayout>
          </c:layout>
          <c:overlay val="0"/>
          <c:spPr>
            <a:noFill/>
            <a:ln w="25400">
              <a:noFill/>
            </a:ln>
          </c:spPr>
        </c:title>
        <c:numFmt formatCode="0.00_)"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17828968"/>
        <c:crosses val="autoZero"/>
        <c:crossBetween val="between"/>
      </c:valAx>
      <c:spPr>
        <a:solidFill>
          <a:srgbClr val="C0C0C0"/>
        </a:solidFill>
        <a:ln w="12700">
          <a:solidFill>
            <a:srgbClr val="808080"/>
          </a:solidFill>
          <a:prstDash val="solid"/>
        </a:ln>
      </c:spPr>
    </c:plotArea>
    <c:legend>
      <c:legendPos val="b"/>
      <c:layout>
        <c:manualLayout>
          <c:xMode val="edge"/>
          <c:yMode val="edge"/>
          <c:x val="0.46503884572697002"/>
          <c:y val="0.95921696574224835"/>
          <c:w val="0.14650388457269736"/>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Annual Residential Revenue (Dollars)
</a:t>
            </a:r>
          </a:p>
        </c:rich>
      </c:tx>
      <c:layout>
        <c:manualLayout>
          <c:xMode val="edge"/>
          <c:yMode val="edge"/>
          <c:x val="0.33962264150943494"/>
          <c:y val="1.9575856443719449E-2"/>
        </c:manualLayout>
      </c:layout>
      <c:overlay val="0"/>
      <c:spPr>
        <a:noFill/>
        <a:ln w="25400">
          <a:noFill/>
        </a:ln>
      </c:spPr>
    </c:title>
    <c:autoTitleDeleted val="0"/>
    <c:plotArea>
      <c:layout>
        <c:manualLayout>
          <c:layoutTarget val="inner"/>
          <c:xMode val="edge"/>
          <c:yMode val="edge"/>
          <c:x val="7.3251942286348501E-2"/>
          <c:y val="0.10114192495921713"/>
          <c:w val="0.91564927857935785"/>
          <c:h val="0.78792822185970635"/>
        </c:manualLayout>
      </c:layout>
      <c:lineChart>
        <c:grouping val="standard"/>
        <c:varyColors val="0"/>
        <c:ser>
          <c:idx val="0"/>
          <c:order val="0"/>
          <c:tx>
            <c:v>Residential Revenue</c:v>
          </c:tx>
          <c:spPr>
            <a:ln w="3175">
              <a:solidFill>
                <a:srgbClr val="FF0000"/>
              </a:solidFill>
              <a:prstDash val="solid"/>
            </a:ln>
          </c:spPr>
          <c:marker>
            <c:symbol val="square"/>
            <c:size val="5"/>
            <c:spPr>
              <a:solidFill>
                <a:srgbClr val="FF0000"/>
              </a:solidFill>
              <a:ln w="9525">
                <a:noFill/>
              </a:ln>
            </c:spPr>
          </c:marker>
          <c:cat>
            <c:numRef>
              <c:f>'f - Rev'!$D$5:$P$5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'f - Rev'!$D$15:$P$15</c:f>
              <c:numCache>
                <c:formatCode>#,##0_);\(#,##0\)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AE74-482A-A4BC-CFA9A2DCFFC3}"/>
            </c:ext>
          </c:extLst>
        </c:ser>
        <c:dLbls>
          <c:showLegendKey val="0"/>
          <c:showVal val="0"/>
          <c:showCatName val="0"/>
          <c:showSerName val="0"/>
          <c:showPercent val="0"/>
          <c:showBubbleSize val="0"/>
        </c:dLbls>
        <c:marker val="1"/>
        <c:smooth val="0"/>
        <c:axId val="717830144"/>
        <c:axId val="767118504"/>
      </c:lineChart>
      <c:catAx>
        <c:axId val="717830144"/>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118504"/>
        <c:crosses val="autoZero"/>
        <c:auto val="0"/>
        <c:lblAlgn val="ctr"/>
        <c:lblOffset val="100"/>
        <c:tickLblSkip val="2"/>
        <c:tickMarkSkip val="1"/>
        <c:noMultiLvlLbl val="0"/>
      </c:catAx>
      <c:valAx>
        <c:axId val="76711850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Dollars</a:t>
                </a:r>
              </a:p>
            </c:rich>
          </c:tx>
          <c:layout>
            <c:manualLayout>
              <c:xMode val="edge"/>
              <c:yMode val="edge"/>
              <c:x val="1.5538290788013319E-2"/>
              <c:y val="0.44535073409461717"/>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17830144"/>
        <c:crosses val="autoZero"/>
        <c:crossBetween val="between"/>
      </c:valAx>
      <c:spPr>
        <a:solidFill>
          <a:srgbClr val="C0C0C0"/>
        </a:solidFill>
        <a:ln w="12700">
          <a:solidFill>
            <a:srgbClr val="808080"/>
          </a:solidFill>
          <a:prstDash val="solid"/>
        </a:ln>
      </c:spPr>
    </c:plotArea>
    <c:legend>
      <c:legendPos val="b"/>
      <c:layout>
        <c:manualLayout>
          <c:xMode val="edge"/>
          <c:yMode val="edge"/>
          <c:x val="0.43285238623751476"/>
          <c:y val="0.96084828711256165"/>
          <c:w val="0.19089900110987795"/>
          <c:h val="3.9151712887438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Times Interest Earned Ratio
with Rate Increases for Future Years</a:t>
            </a:r>
          </a:p>
        </c:rich>
      </c:tx>
      <c:layout>
        <c:manualLayout>
          <c:xMode val="edge"/>
          <c:yMode val="edge"/>
          <c:x val="0.34406215316315208"/>
          <c:y val="1.9575856443719449E-2"/>
        </c:manualLayout>
      </c:layout>
      <c:overlay val="0"/>
      <c:spPr>
        <a:noFill/>
        <a:ln w="25400">
          <a:noFill/>
        </a:ln>
      </c:spPr>
    </c:title>
    <c:autoTitleDeleted val="0"/>
    <c:plotArea>
      <c:layout>
        <c:manualLayout>
          <c:layoutTarget val="inner"/>
          <c:xMode val="edge"/>
          <c:yMode val="edge"/>
          <c:x val="8.8790233074361818E-2"/>
          <c:y val="0.1158238172920064"/>
          <c:w val="0.90011098779134113"/>
          <c:h val="0.74388254486133643"/>
        </c:manualLayout>
      </c:layout>
      <c:lineChart>
        <c:grouping val="standard"/>
        <c:varyColors val="0"/>
        <c:ser>
          <c:idx val="0"/>
          <c:order val="0"/>
          <c:tx>
            <c:v>With Rate Increases for Future Years</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Data'!$CD$7:$CD$69</c:f>
              <c:numCache>
                <c:formatCode>0.00</c:formatCode>
                <c:ptCount val="63"/>
                <c:pt idx="48" formatCode="General">
                  <c:v>0</c:v>
                </c:pt>
                <c:pt idx="49" formatCode="General">
                  <c:v>0</c:v>
                </c:pt>
                <c:pt idx="50" formatCode="General">
                  <c:v>0</c:v>
                </c:pt>
                <c:pt idx="51" formatCode="General">
                  <c:v>0</c:v>
                </c:pt>
                <c:pt idx="52" formatCode="General">
                  <c:v>0</c:v>
                </c:pt>
                <c:pt idx="53" formatCode="0.00_)">
                  <c:v>0</c:v>
                </c:pt>
                <c:pt idx="54" formatCode="0.00_)">
                  <c:v>0</c:v>
                </c:pt>
                <c:pt idx="55" formatCode="0.00_)">
                  <c:v>0</c:v>
                </c:pt>
                <c:pt idx="56" formatCode="0.00_)">
                  <c:v>0</c:v>
                </c:pt>
                <c:pt idx="57" formatCode="0.00_)">
                  <c:v>0</c:v>
                </c:pt>
                <c:pt idx="58" formatCode="0.00_)">
                  <c:v>0</c:v>
                </c:pt>
                <c:pt idx="59" formatCode="0.00_)">
                  <c:v>0</c:v>
                </c:pt>
                <c:pt idx="60" formatCode="0.00_)">
                  <c:v>0</c:v>
                </c:pt>
                <c:pt idx="61" formatCode="0.00_)">
                  <c:v>0</c:v>
                </c:pt>
                <c:pt idx="62" formatCode="0.00_)">
                  <c:v>0</c:v>
                </c:pt>
              </c:numCache>
            </c:numRef>
          </c:val>
          <c:smooth val="0"/>
          <c:extLst>
            <c:ext xmlns:c16="http://schemas.microsoft.com/office/drawing/2014/chart" uri="{C3380CC4-5D6E-409C-BE32-E72D297353CC}">
              <c16:uniqueId val="{00000000-EAB9-45ED-A1F9-711AB981CCDD}"/>
            </c:ext>
          </c:extLst>
        </c:ser>
        <c:dLbls>
          <c:showLegendKey val="0"/>
          <c:showVal val="0"/>
          <c:showCatName val="0"/>
          <c:showSerName val="0"/>
          <c:showPercent val="0"/>
          <c:showBubbleSize val="0"/>
        </c:dLbls>
        <c:marker val="1"/>
        <c:smooth val="0"/>
        <c:axId val="400025160"/>
        <c:axId val="400025552"/>
      </c:lineChart>
      <c:catAx>
        <c:axId val="400025160"/>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Years</a:t>
                </a:r>
              </a:p>
            </c:rich>
          </c:tx>
          <c:layout>
            <c:manualLayout>
              <c:xMode val="edge"/>
              <c:yMode val="edge"/>
              <c:x val="0.51165371809101001"/>
              <c:y val="0.91027732463295152"/>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00025552"/>
        <c:crosses val="autoZero"/>
        <c:auto val="0"/>
        <c:lblAlgn val="ctr"/>
        <c:lblOffset val="100"/>
        <c:tickLblSkip val="2"/>
        <c:tickMarkSkip val="1"/>
        <c:noMultiLvlLbl val="0"/>
      </c:catAx>
      <c:valAx>
        <c:axId val="40002555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TIER Level</a:t>
                </a:r>
              </a:p>
            </c:rich>
          </c:tx>
          <c:layout>
            <c:manualLayout>
              <c:xMode val="edge"/>
              <c:yMode val="edge"/>
              <c:x val="1.5538290788013319E-2"/>
              <c:y val="0.4159869494290381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00025160"/>
        <c:crosses val="autoZero"/>
        <c:crossBetween val="between"/>
      </c:valAx>
      <c:spPr>
        <a:solidFill>
          <a:srgbClr val="C0C0C0"/>
        </a:solidFill>
        <a:ln w="12700">
          <a:solidFill>
            <a:srgbClr val="808080"/>
          </a:solidFill>
          <a:prstDash val="solid"/>
        </a:ln>
      </c:spPr>
    </c:plotArea>
    <c:legend>
      <c:legendPos val="b"/>
      <c:layout>
        <c:manualLayout>
          <c:xMode val="edge"/>
          <c:yMode val="edge"/>
          <c:x val="0.38734739178690414"/>
          <c:y val="0.96084828711256165"/>
          <c:w val="0.30188679245283095"/>
          <c:h val="3.9151712887438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Annual Seasonal Revenue (Dollars)
</a:t>
            </a:r>
          </a:p>
        </c:rich>
      </c:tx>
      <c:layout>
        <c:manualLayout>
          <c:xMode val="edge"/>
          <c:yMode val="edge"/>
          <c:x val="0.34739178690344136"/>
          <c:y val="1.9575856443719449E-2"/>
        </c:manualLayout>
      </c:layout>
      <c:overlay val="0"/>
      <c:spPr>
        <a:noFill/>
        <a:ln w="25400">
          <a:noFill/>
        </a:ln>
      </c:spPr>
    </c:title>
    <c:autoTitleDeleted val="0"/>
    <c:plotArea>
      <c:layout>
        <c:manualLayout>
          <c:layoutTarget val="inner"/>
          <c:xMode val="edge"/>
          <c:yMode val="edge"/>
          <c:x val="7.3251942286348501E-2"/>
          <c:y val="9.1353996737357251E-2"/>
          <c:w val="0.91564927857935785"/>
          <c:h val="0.76508972267536812"/>
        </c:manualLayout>
      </c:layout>
      <c:lineChart>
        <c:grouping val="standard"/>
        <c:varyColors val="0"/>
        <c:ser>
          <c:idx val="0"/>
          <c:order val="0"/>
          <c:tx>
            <c:v>Seasonal Revenue</c:v>
          </c:tx>
          <c:spPr>
            <a:ln w="3175">
              <a:solidFill>
                <a:srgbClr val="FF0000"/>
              </a:solidFill>
              <a:prstDash val="solid"/>
            </a:ln>
          </c:spPr>
          <c:marker>
            <c:symbol val="square"/>
            <c:size val="5"/>
            <c:spPr>
              <a:solidFill>
                <a:srgbClr val="FF0000"/>
              </a:solidFill>
              <a:ln w="9525">
                <a:noFill/>
              </a:ln>
            </c:spPr>
          </c:marker>
          <c:cat>
            <c:numRef>
              <c:f>'f - Rev'!$D$5:$P$5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'f - Rev'!$D$24:$P$24</c:f>
              <c:numCache>
                <c:formatCode>#,##0_);\(#,##0\)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F199-4BD0-B34E-FC38FE56FEE1}"/>
            </c:ext>
          </c:extLst>
        </c:ser>
        <c:dLbls>
          <c:showLegendKey val="0"/>
          <c:showVal val="0"/>
          <c:showCatName val="0"/>
          <c:showSerName val="0"/>
          <c:showPercent val="0"/>
          <c:showBubbleSize val="0"/>
        </c:dLbls>
        <c:marker val="1"/>
        <c:smooth val="0"/>
        <c:axId val="767119288"/>
        <c:axId val="767119680"/>
      </c:lineChart>
      <c:catAx>
        <c:axId val="767119288"/>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832408435072141"/>
              <c:y val="0.90701468189233136"/>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119680"/>
        <c:crosses val="autoZero"/>
        <c:auto val="0"/>
        <c:lblAlgn val="ctr"/>
        <c:lblOffset val="100"/>
        <c:tickLblSkip val="2"/>
        <c:tickMarkSkip val="1"/>
        <c:noMultiLvlLbl val="0"/>
      </c:catAx>
      <c:valAx>
        <c:axId val="76711968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Dollars</a:t>
                </a:r>
              </a:p>
            </c:rich>
          </c:tx>
          <c:layout>
            <c:manualLayout>
              <c:xMode val="edge"/>
              <c:yMode val="edge"/>
              <c:x val="1.5538290788013319E-2"/>
              <c:y val="0.42414355628058725"/>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119288"/>
        <c:crosses val="autoZero"/>
        <c:crossBetween val="between"/>
      </c:valAx>
      <c:spPr>
        <a:solidFill>
          <a:srgbClr val="C0C0C0"/>
        </a:solidFill>
        <a:ln w="12700">
          <a:solidFill>
            <a:srgbClr val="808080"/>
          </a:solidFill>
          <a:prstDash val="solid"/>
        </a:ln>
      </c:spPr>
    </c:plotArea>
    <c:legend>
      <c:legendPos val="b"/>
      <c:layout>
        <c:manualLayout>
          <c:xMode val="edge"/>
          <c:yMode val="edge"/>
          <c:x val="0.4450610432852386"/>
          <c:y val="0.95921696574224835"/>
          <c:w val="0.17758046614872391"/>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Annual Irrigation Revenue (Dollars)
</a:t>
            </a:r>
          </a:p>
        </c:rich>
      </c:tx>
      <c:layout>
        <c:manualLayout>
          <c:xMode val="edge"/>
          <c:yMode val="edge"/>
          <c:x val="0.34850166481687073"/>
          <c:y val="1.9575856443719449E-2"/>
        </c:manualLayout>
      </c:layout>
      <c:overlay val="0"/>
      <c:spPr>
        <a:noFill/>
        <a:ln w="25400">
          <a:noFill/>
        </a:ln>
      </c:spPr>
    </c:title>
    <c:autoTitleDeleted val="0"/>
    <c:plotArea>
      <c:layout>
        <c:manualLayout>
          <c:layoutTarget val="inner"/>
          <c:xMode val="edge"/>
          <c:yMode val="edge"/>
          <c:x val="7.3251942286348501E-2"/>
          <c:y val="0.10114192495921713"/>
          <c:w val="0.91564927857935785"/>
          <c:h val="0.78792822185970635"/>
        </c:manualLayout>
      </c:layout>
      <c:lineChart>
        <c:grouping val="standard"/>
        <c:varyColors val="0"/>
        <c:ser>
          <c:idx val="0"/>
          <c:order val="0"/>
          <c:tx>
            <c:v>Irrigation Revenue</c:v>
          </c:tx>
          <c:spPr>
            <a:ln w="3175">
              <a:solidFill>
                <a:srgbClr val="FF0000"/>
              </a:solidFill>
              <a:prstDash val="solid"/>
            </a:ln>
          </c:spPr>
          <c:marker>
            <c:symbol val="square"/>
            <c:size val="5"/>
            <c:spPr>
              <a:solidFill>
                <a:srgbClr val="FF0000"/>
              </a:solidFill>
              <a:ln w="9525">
                <a:noFill/>
              </a:ln>
            </c:spPr>
          </c:marker>
          <c:cat>
            <c:numRef>
              <c:f>'f - Rev'!$D$5:$P$5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'f - Rev'!$D$33:$P$33</c:f>
              <c:numCache>
                <c:formatCode>#,##0_);\(#,##0\)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0743-412B-BCFC-436960A9579E}"/>
            </c:ext>
          </c:extLst>
        </c:ser>
        <c:dLbls>
          <c:showLegendKey val="0"/>
          <c:showVal val="0"/>
          <c:showCatName val="0"/>
          <c:showSerName val="0"/>
          <c:showPercent val="0"/>
          <c:showBubbleSize val="0"/>
        </c:dLbls>
        <c:marker val="1"/>
        <c:smooth val="0"/>
        <c:axId val="767120464"/>
        <c:axId val="767120856"/>
      </c:lineChart>
      <c:catAx>
        <c:axId val="767120464"/>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120856"/>
        <c:crosses val="autoZero"/>
        <c:auto val="0"/>
        <c:lblAlgn val="ctr"/>
        <c:lblOffset val="100"/>
        <c:tickLblSkip val="2"/>
        <c:tickMarkSkip val="1"/>
        <c:noMultiLvlLbl val="0"/>
      </c:catAx>
      <c:valAx>
        <c:axId val="76712085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Dollars</a:t>
                </a:r>
              </a:p>
            </c:rich>
          </c:tx>
          <c:layout>
            <c:manualLayout>
              <c:xMode val="edge"/>
              <c:yMode val="edge"/>
              <c:x val="1.5538290788013319E-2"/>
              <c:y val="0.44535073409461717"/>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120464"/>
        <c:crosses val="autoZero"/>
        <c:crossBetween val="between"/>
      </c:valAx>
      <c:spPr>
        <a:solidFill>
          <a:srgbClr val="C0C0C0"/>
        </a:solidFill>
        <a:ln w="12700">
          <a:solidFill>
            <a:srgbClr val="808080"/>
          </a:solidFill>
          <a:prstDash val="solid"/>
        </a:ln>
      </c:spPr>
    </c:plotArea>
    <c:legend>
      <c:legendPos val="b"/>
      <c:layout>
        <c:manualLayout>
          <c:xMode val="edge"/>
          <c:yMode val="edge"/>
          <c:x val="0.44728079911209823"/>
          <c:y val="0.96084828711256165"/>
          <c:w val="0.17647058823529421"/>
          <c:h val="3.9151712887438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Annual Small Commercial Revenue (Dollars)
</a:t>
            </a:r>
          </a:p>
        </c:rich>
      </c:tx>
      <c:layout>
        <c:manualLayout>
          <c:xMode val="edge"/>
          <c:yMode val="edge"/>
          <c:x val="0.31076581576026696"/>
          <c:y val="1.9575856443719449E-2"/>
        </c:manualLayout>
      </c:layout>
      <c:overlay val="0"/>
      <c:spPr>
        <a:noFill/>
        <a:ln w="25400">
          <a:noFill/>
        </a:ln>
      </c:spPr>
    </c:title>
    <c:autoTitleDeleted val="0"/>
    <c:plotArea>
      <c:layout>
        <c:manualLayout>
          <c:layoutTarget val="inner"/>
          <c:xMode val="edge"/>
          <c:yMode val="edge"/>
          <c:x val="7.3251942286348501E-2"/>
          <c:y val="9.1353996737357251E-2"/>
          <c:w val="0.91564927857935785"/>
          <c:h val="0.76182707993474763"/>
        </c:manualLayout>
      </c:layout>
      <c:lineChart>
        <c:grouping val="standard"/>
        <c:varyColors val="0"/>
        <c:ser>
          <c:idx val="0"/>
          <c:order val="0"/>
          <c:tx>
            <c:v>Small Commercial Revenue</c:v>
          </c:tx>
          <c:spPr>
            <a:ln w="3175">
              <a:solidFill>
                <a:srgbClr val="FF0000"/>
              </a:solidFill>
              <a:prstDash val="solid"/>
            </a:ln>
          </c:spPr>
          <c:marker>
            <c:symbol val="square"/>
            <c:size val="5"/>
            <c:spPr>
              <a:solidFill>
                <a:srgbClr val="FF0000"/>
              </a:solidFill>
              <a:ln w="9525">
                <a:noFill/>
              </a:ln>
            </c:spPr>
          </c:marker>
          <c:cat>
            <c:numRef>
              <c:f>'f - Rev'!$D$5:$P$5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'f - Rev'!$D$42:$P$42</c:f>
              <c:numCache>
                <c:formatCode>#,##0_);\(#,##0\)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0CE7-4894-BD79-3E9C4D4AEEA2}"/>
            </c:ext>
          </c:extLst>
        </c:ser>
        <c:dLbls>
          <c:showLegendKey val="0"/>
          <c:showVal val="0"/>
          <c:showCatName val="0"/>
          <c:showSerName val="0"/>
          <c:showPercent val="0"/>
          <c:showBubbleSize val="0"/>
        </c:dLbls>
        <c:marker val="1"/>
        <c:smooth val="0"/>
        <c:axId val="767121640"/>
        <c:axId val="767122032"/>
      </c:lineChart>
      <c:catAx>
        <c:axId val="767121640"/>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105438401775807"/>
              <c:y val="0.9004893964110929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122032"/>
        <c:crosses val="autoZero"/>
        <c:auto val="0"/>
        <c:lblAlgn val="ctr"/>
        <c:lblOffset val="100"/>
        <c:tickLblSkip val="2"/>
        <c:tickMarkSkip val="1"/>
        <c:noMultiLvlLbl val="0"/>
      </c:catAx>
      <c:valAx>
        <c:axId val="76712203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Dollars</a:t>
                </a:r>
              </a:p>
            </c:rich>
          </c:tx>
          <c:layout>
            <c:manualLayout>
              <c:xMode val="edge"/>
              <c:yMode val="edge"/>
              <c:x val="1.5538290788013319E-2"/>
              <c:y val="0.4225122349102779"/>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121640"/>
        <c:crosses val="autoZero"/>
        <c:crossBetween val="between"/>
      </c:valAx>
      <c:spPr>
        <a:solidFill>
          <a:srgbClr val="C0C0C0"/>
        </a:solidFill>
        <a:ln w="12700">
          <a:solidFill>
            <a:srgbClr val="808080"/>
          </a:solidFill>
          <a:prstDash val="solid"/>
        </a:ln>
      </c:spPr>
    </c:plotArea>
    <c:legend>
      <c:legendPos val="b"/>
      <c:layout>
        <c:manualLayout>
          <c:xMode val="edge"/>
          <c:yMode val="edge"/>
          <c:x val="0.40954495005549391"/>
          <c:y val="0.95921696574224835"/>
          <c:w val="0.24306326304106629"/>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Annual Large Commercial Revenue (Dollars)
</a:t>
            </a:r>
          </a:p>
        </c:rich>
      </c:tx>
      <c:layout>
        <c:manualLayout>
          <c:xMode val="edge"/>
          <c:yMode val="edge"/>
          <c:x val="0.30965593784683687"/>
          <c:y val="1.9575856443719449E-2"/>
        </c:manualLayout>
      </c:layout>
      <c:overlay val="0"/>
      <c:spPr>
        <a:noFill/>
        <a:ln w="25400">
          <a:noFill/>
        </a:ln>
      </c:spPr>
    </c:title>
    <c:autoTitleDeleted val="0"/>
    <c:plotArea>
      <c:layout>
        <c:manualLayout>
          <c:layoutTarget val="inner"/>
          <c:xMode val="edge"/>
          <c:yMode val="edge"/>
          <c:x val="7.3251942286348501E-2"/>
          <c:y val="9.461663947797716E-2"/>
          <c:w val="0.91564927857935785"/>
          <c:h val="0.79445350734094522"/>
        </c:manualLayout>
      </c:layout>
      <c:lineChart>
        <c:grouping val="standard"/>
        <c:varyColors val="0"/>
        <c:ser>
          <c:idx val="0"/>
          <c:order val="0"/>
          <c:tx>
            <c:v>Large Commercial Revenue</c:v>
          </c:tx>
          <c:spPr>
            <a:ln w="3175">
              <a:solidFill>
                <a:srgbClr val="FF0000"/>
              </a:solidFill>
              <a:prstDash val="solid"/>
            </a:ln>
          </c:spPr>
          <c:marker>
            <c:symbol val="square"/>
            <c:size val="5"/>
            <c:spPr>
              <a:solidFill>
                <a:srgbClr val="FF0000"/>
              </a:solidFill>
              <a:ln w="9525">
                <a:noFill/>
              </a:ln>
            </c:spPr>
          </c:marker>
          <c:cat>
            <c:numRef>
              <c:f>'f - Rev'!$F$5:$P$5</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'Historic Data'!$BN$54:$BN$69</c:f>
              <c:numCache>
                <c:formatCode>#,##0</c:formatCode>
                <c:ptCount val="16"/>
                <c:pt idx="1">
                  <c:v>0</c:v>
                </c:pt>
                <c:pt idx="2">
                  <c:v>0</c:v>
                </c:pt>
                <c:pt idx="3">
                  <c:v>0</c:v>
                </c:pt>
                <c:pt idx="4">
                  <c:v>0</c:v>
                </c:pt>
                <c:pt idx="5">
                  <c:v>0</c:v>
                </c:pt>
                <c:pt idx="6" formatCode="0.00">
                  <c:v>0</c:v>
                </c:pt>
                <c:pt idx="7" formatCode="0.00">
                  <c:v>0</c:v>
                </c:pt>
                <c:pt idx="8" formatCode="0.00">
                  <c:v>0</c:v>
                </c:pt>
                <c:pt idx="9" formatCode="0.00">
                  <c:v>0</c:v>
                </c:pt>
                <c:pt idx="10" formatCode="0.00">
                  <c:v>0</c:v>
                </c:pt>
                <c:pt idx="11" formatCode="0.00">
                  <c:v>0</c:v>
                </c:pt>
                <c:pt idx="12" formatCode="0.00">
                  <c:v>0</c:v>
                </c:pt>
                <c:pt idx="13" formatCode="0.00">
                  <c:v>0</c:v>
                </c:pt>
                <c:pt idx="14" formatCode="0.00">
                  <c:v>0</c:v>
                </c:pt>
                <c:pt idx="15" formatCode="0.00">
                  <c:v>0</c:v>
                </c:pt>
              </c:numCache>
            </c:numRef>
          </c:val>
          <c:smooth val="0"/>
          <c:extLst>
            <c:ext xmlns:c16="http://schemas.microsoft.com/office/drawing/2014/chart" uri="{C3380CC4-5D6E-409C-BE32-E72D297353CC}">
              <c16:uniqueId val="{00000000-09CD-4207-90A7-3661ADAF3800}"/>
            </c:ext>
          </c:extLst>
        </c:ser>
        <c:dLbls>
          <c:showLegendKey val="0"/>
          <c:showVal val="0"/>
          <c:showCatName val="0"/>
          <c:showSerName val="0"/>
          <c:showPercent val="0"/>
          <c:showBubbleSize val="0"/>
        </c:dLbls>
        <c:marker val="1"/>
        <c:smooth val="0"/>
        <c:axId val="767122816"/>
        <c:axId val="767123208"/>
      </c:lineChart>
      <c:catAx>
        <c:axId val="767122816"/>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123208"/>
        <c:crosses val="autoZero"/>
        <c:auto val="0"/>
        <c:lblAlgn val="ctr"/>
        <c:lblOffset val="100"/>
        <c:tickLblSkip val="2"/>
        <c:tickMarkSkip val="1"/>
        <c:noMultiLvlLbl val="0"/>
      </c:catAx>
      <c:valAx>
        <c:axId val="76712320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Dollars</a:t>
                </a:r>
              </a:p>
            </c:rich>
          </c:tx>
          <c:layout>
            <c:manualLayout>
              <c:xMode val="edge"/>
              <c:yMode val="edge"/>
              <c:x val="1.5538290788013319E-2"/>
              <c:y val="0.442088091353997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122816"/>
        <c:crosses val="autoZero"/>
        <c:crossBetween val="between"/>
      </c:valAx>
      <c:spPr>
        <a:solidFill>
          <a:srgbClr val="C0C0C0"/>
        </a:solidFill>
        <a:ln w="12700">
          <a:solidFill>
            <a:srgbClr val="808080"/>
          </a:solidFill>
          <a:prstDash val="solid"/>
        </a:ln>
      </c:spPr>
    </c:plotArea>
    <c:legend>
      <c:legendPos val="b"/>
      <c:layout>
        <c:manualLayout>
          <c:xMode val="edge"/>
          <c:yMode val="edge"/>
          <c:x val="0.40954495005549391"/>
          <c:y val="0.96084828711256165"/>
          <c:w val="0.24306326304106629"/>
          <c:h val="3.9151712887438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Total Annual Electric &amp; Operating Revenue ($)
</a:t>
            </a:r>
          </a:p>
        </c:rich>
      </c:tx>
      <c:layout>
        <c:manualLayout>
          <c:xMode val="edge"/>
          <c:yMode val="edge"/>
          <c:x val="0.30410654827968997"/>
          <c:y val="1.9575856443719449E-2"/>
        </c:manualLayout>
      </c:layout>
      <c:overlay val="0"/>
      <c:spPr>
        <a:noFill/>
        <a:ln w="25400">
          <a:noFill/>
        </a:ln>
      </c:spPr>
    </c:title>
    <c:autoTitleDeleted val="0"/>
    <c:plotArea>
      <c:layout>
        <c:manualLayout>
          <c:layoutTarget val="inner"/>
          <c:xMode val="edge"/>
          <c:yMode val="edge"/>
          <c:x val="7.3251942286348501E-2"/>
          <c:y val="9.2985318107667206E-2"/>
          <c:w val="0.91564927857935785"/>
          <c:h val="0.79445350734094522"/>
        </c:manualLayout>
      </c:layout>
      <c:lineChart>
        <c:grouping val="standard"/>
        <c:varyColors val="0"/>
        <c:ser>
          <c:idx val="0"/>
          <c:order val="0"/>
          <c:tx>
            <c:v>Electric Revenue</c:v>
          </c:tx>
          <c:spPr>
            <a:ln w="3175">
              <a:solidFill>
                <a:srgbClr val="FF0000"/>
              </a:solidFill>
              <a:prstDash val="solid"/>
            </a:ln>
          </c:spPr>
          <c:marker>
            <c:symbol val="square"/>
            <c:size val="5"/>
            <c:spPr>
              <a:solidFill>
                <a:srgbClr val="FF0000"/>
              </a:solidFill>
              <a:ln w="9525">
                <a:noFill/>
              </a:ln>
            </c:spPr>
          </c:marker>
          <c:cat>
            <c:numRef>
              <c:f>'f - Rev'!$D$5:$P$5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'f - Rev'!$D$164:$P$164</c:f>
              <c:numCache>
                <c:formatCode>#,##0_);\(#,##0\)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05A5-4401-8697-496EB608FC30}"/>
            </c:ext>
          </c:extLst>
        </c:ser>
        <c:ser>
          <c:idx val="1"/>
          <c:order val="1"/>
          <c:tx>
            <c:v>Total Revenue (without necessary rate increases)</c:v>
          </c:tx>
          <c:spPr>
            <a:ln w="3175">
              <a:solidFill>
                <a:srgbClr val="000080"/>
              </a:solidFill>
              <a:prstDash val="solid"/>
            </a:ln>
          </c:spPr>
          <c:marker>
            <c:symbol val="diamond"/>
            <c:size val="5"/>
            <c:spPr>
              <a:solidFill>
                <a:srgbClr val="000080"/>
              </a:solidFill>
              <a:ln>
                <a:solidFill>
                  <a:srgbClr val="000080"/>
                </a:solidFill>
                <a:prstDash val="solid"/>
              </a:ln>
            </c:spPr>
          </c:marker>
          <c:cat>
            <c:numRef>
              <c:f>'f - Rev'!$D$5:$P$5</c:f>
              <c:numCache>
                <c:formatCode>General</c:formatCode>
                <c:ptCount val="13"/>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numCache>
            </c:numRef>
          </c:cat>
          <c:val>
            <c:numRef>
              <c:f>'f - Rev'!$D$166:$P$166</c:f>
              <c:numCache>
                <c:formatCode>#,##0_);\(#,##0\)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1-05A5-4401-8697-496EB608FC30}"/>
            </c:ext>
          </c:extLst>
        </c:ser>
        <c:dLbls>
          <c:showLegendKey val="0"/>
          <c:showVal val="0"/>
          <c:showCatName val="0"/>
          <c:showSerName val="0"/>
          <c:showPercent val="0"/>
          <c:showBubbleSize val="0"/>
        </c:dLbls>
        <c:marker val="1"/>
        <c:smooth val="0"/>
        <c:axId val="767123992"/>
        <c:axId val="767124384"/>
      </c:lineChart>
      <c:catAx>
        <c:axId val="767123992"/>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124384"/>
        <c:crosses val="autoZero"/>
        <c:auto val="0"/>
        <c:lblAlgn val="ctr"/>
        <c:lblOffset val="100"/>
        <c:tickLblSkip val="2"/>
        <c:tickMarkSkip val="1"/>
        <c:noMultiLvlLbl val="0"/>
      </c:catAx>
      <c:valAx>
        <c:axId val="76712438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Dollars</a:t>
                </a:r>
              </a:p>
            </c:rich>
          </c:tx>
          <c:layout>
            <c:manualLayout>
              <c:xMode val="edge"/>
              <c:yMode val="edge"/>
              <c:x val="1.5538290788013319E-2"/>
              <c:y val="0.44045676998368766"/>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123992"/>
        <c:crosses val="autoZero"/>
        <c:crossBetween val="between"/>
      </c:valAx>
      <c:spPr>
        <a:solidFill>
          <a:srgbClr val="C0C0C0"/>
        </a:solidFill>
        <a:ln w="12700">
          <a:solidFill>
            <a:srgbClr val="808080"/>
          </a:solidFill>
          <a:prstDash val="solid"/>
        </a:ln>
      </c:spPr>
    </c:plotArea>
    <c:legend>
      <c:legendPos val="b"/>
      <c:layout>
        <c:manualLayout>
          <c:xMode val="edge"/>
          <c:yMode val="edge"/>
          <c:x val="0.20643729189789198"/>
          <c:y val="0.95432300163132133"/>
          <c:w val="0.67147613762486213"/>
          <c:h val="3.9151712887438801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G&amp;T &amp; Other Capital Credits
Allocated (not retired)</a:t>
            </a:r>
          </a:p>
        </c:rich>
      </c:tx>
      <c:layout>
        <c:manualLayout>
          <c:xMode val="edge"/>
          <c:yMode val="edge"/>
          <c:x val="0.37846836847946841"/>
          <c:y val="1.9575856443719449E-2"/>
        </c:manualLayout>
      </c:layout>
      <c:overlay val="0"/>
      <c:spPr>
        <a:noFill/>
        <a:ln w="25400">
          <a:noFill/>
        </a:ln>
      </c:spPr>
    </c:title>
    <c:autoTitleDeleted val="0"/>
    <c:plotArea>
      <c:layout>
        <c:manualLayout>
          <c:layoutTarget val="inner"/>
          <c:xMode val="edge"/>
          <c:yMode val="edge"/>
          <c:x val="7.3251942286348501E-2"/>
          <c:y val="0.12561174551386622"/>
          <c:w val="0.91564927857935785"/>
          <c:h val="0.73083197389885923"/>
        </c:manualLayout>
      </c:layout>
      <c:lineChart>
        <c:grouping val="standard"/>
        <c:varyColors val="0"/>
        <c:ser>
          <c:idx val="0"/>
          <c:order val="0"/>
          <c:tx>
            <c:v>G&amp;T Capital Credits and Other CCs</c:v>
          </c:tx>
          <c:spPr>
            <a:ln w="3175">
              <a:solidFill>
                <a:srgbClr val="FF0000"/>
              </a:solidFill>
              <a:prstDash val="solid"/>
            </a:ln>
          </c:spPr>
          <c:marker>
            <c:symbol val="square"/>
            <c:size val="5"/>
            <c:spPr>
              <a:solidFill>
                <a:srgbClr val="FF0000"/>
              </a:solidFill>
              <a:ln w="9525">
                <a:noFill/>
              </a:ln>
            </c:spPr>
          </c:marker>
          <c:cat>
            <c:numRef>
              <c:f>Input!$G$8:$P$8</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Input!$G$35:$P$35</c:f>
              <c:numCache>
                <c:formatCode>#,##0_);\(#,##0\)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FBDA-42BB-AF4B-A26E86C12AE2}"/>
            </c:ext>
          </c:extLst>
        </c:ser>
        <c:dLbls>
          <c:showLegendKey val="0"/>
          <c:showVal val="0"/>
          <c:showCatName val="0"/>
          <c:showSerName val="0"/>
          <c:showPercent val="0"/>
          <c:showBubbleSize val="0"/>
        </c:dLbls>
        <c:marker val="1"/>
        <c:smooth val="0"/>
        <c:axId val="767125168"/>
        <c:axId val="767125560"/>
      </c:lineChart>
      <c:catAx>
        <c:axId val="767125168"/>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832408435072141"/>
              <c:y val="0.90701468189233136"/>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125560"/>
        <c:crosses val="autoZero"/>
        <c:auto val="0"/>
        <c:lblAlgn val="ctr"/>
        <c:lblOffset val="100"/>
        <c:tickLblSkip val="2"/>
        <c:tickMarkSkip val="1"/>
        <c:noMultiLvlLbl val="0"/>
      </c:catAx>
      <c:valAx>
        <c:axId val="76712556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Dollars</a:t>
                </a:r>
              </a:p>
            </c:rich>
          </c:tx>
          <c:layout>
            <c:manualLayout>
              <c:xMode val="edge"/>
              <c:yMode val="edge"/>
              <c:x val="1.5538290788013319E-2"/>
              <c:y val="0.4420880913539974"/>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125168"/>
        <c:crosses val="autoZero"/>
        <c:crossBetween val="between"/>
      </c:valAx>
      <c:spPr>
        <a:solidFill>
          <a:srgbClr val="C0C0C0"/>
        </a:solidFill>
        <a:ln w="12700">
          <a:solidFill>
            <a:srgbClr val="808080"/>
          </a:solidFill>
          <a:prstDash val="solid"/>
        </a:ln>
      </c:spPr>
    </c:plotArea>
    <c:legend>
      <c:legendPos val="b"/>
      <c:layout>
        <c:manualLayout>
          <c:xMode val="edge"/>
          <c:yMode val="edge"/>
          <c:x val="0.38734739178690414"/>
          <c:y val="0.95921696574224835"/>
          <c:w val="0.28856825749167631"/>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G&amp;T &amp; Other Capital Credits
Allocated (not retired)</a:t>
            </a:r>
          </a:p>
        </c:rich>
      </c:tx>
      <c:layout>
        <c:manualLayout>
          <c:xMode val="edge"/>
          <c:yMode val="edge"/>
          <c:x val="0.37846836847946841"/>
          <c:y val="1.9575856443719449E-2"/>
        </c:manualLayout>
      </c:layout>
      <c:overlay val="0"/>
      <c:spPr>
        <a:noFill/>
        <a:ln w="25400">
          <a:noFill/>
        </a:ln>
      </c:spPr>
    </c:title>
    <c:autoTitleDeleted val="0"/>
    <c:plotArea>
      <c:layout>
        <c:manualLayout>
          <c:layoutTarget val="inner"/>
          <c:xMode val="edge"/>
          <c:yMode val="edge"/>
          <c:x val="6.8812430632630622E-2"/>
          <c:y val="0.11256117455138674"/>
          <c:w val="0.92008879023307533"/>
          <c:h val="0.74388254486133643"/>
        </c:manualLayout>
      </c:layout>
      <c:lineChart>
        <c:grouping val="standard"/>
        <c:varyColors val="0"/>
        <c:ser>
          <c:idx val="0"/>
          <c:order val="0"/>
          <c:tx>
            <c:v>G&amp;T Capital Credits</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Data'!$AS$7:$AS$69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0-38DB-4680-8D4E-E21D56D56388}"/>
            </c:ext>
          </c:extLst>
        </c:ser>
        <c:ser>
          <c:idx val="1"/>
          <c:order val="1"/>
          <c:tx>
            <c:v>Other Capital Credits</c:v>
          </c:tx>
          <c:spPr>
            <a:ln w="3175">
              <a:solidFill>
                <a:srgbClr val="000080"/>
              </a:solidFill>
              <a:prstDash val="solid"/>
            </a:ln>
          </c:spPr>
          <c:marker>
            <c:symbol val="diamond"/>
            <c:size val="5"/>
            <c:spPr>
              <a:solidFill>
                <a:srgbClr val="000080"/>
              </a:solidFill>
              <a:ln>
                <a:solidFill>
                  <a:srgbClr val="000080"/>
                </a:solidFill>
                <a:prstDash val="solid"/>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Data'!$AT$7:$AT$69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1-38DB-4680-8D4E-E21D56D56388}"/>
            </c:ext>
          </c:extLst>
        </c:ser>
        <c:dLbls>
          <c:showLegendKey val="0"/>
          <c:showVal val="0"/>
          <c:showCatName val="0"/>
          <c:showSerName val="0"/>
          <c:showPercent val="0"/>
          <c:showBubbleSize val="0"/>
        </c:dLbls>
        <c:marker val="1"/>
        <c:smooth val="0"/>
        <c:axId val="767059112"/>
        <c:axId val="767059504"/>
      </c:lineChart>
      <c:catAx>
        <c:axId val="767059112"/>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610432852386233"/>
              <c:y val="0.90701468189233136"/>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059504"/>
        <c:crosses val="autoZero"/>
        <c:auto val="0"/>
        <c:lblAlgn val="ctr"/>
        <c:lblOffset val="100"/>
        <c:tickLblSkip val="2"/>
        <c:tickMarkSkip val="1"/>
        <c:noMultiLvlLbl val="0"/>
      </c:catAx>
      <c:valAx>
        <c:axId val="76705950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Dollars</a:t>
                </a:r>
              </a:p>
            </c:rich>
          </c:tx>
          <c:layout>
            <c:manualLayout>
              <c:xMode val="edge"/>
              <c:yMode val="edge"/>
              <c:x val="1.5538290788013319E-2"/>
              <c:y val="0.43556280587275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059112"/>
        <c:crosses val="autoZero"/>
        <c:crossBetween val="between"/>
      </c:valAx>
      <c:spPr>
        <a:solidFill>
          <a:srgbClr val="C0C0C0"/>
        </a:solidFill>
        <a:ln w="12700">
          <a:solidFill>
            <a:srgbClr val="808080"/>
          </a:solidFill>
          <a:prstDash val="solid"/>
        </a:ln>
      </c:spPr>
    </c:plotArea>
    <c:legend>
      <c:legendPos val="b"/>
      <c:layout>
        <c:manualLayout>
          <c:xMode val="edge"/>
          <c:yMode val="edge"/>
          <c:x val="0.27857935627081032"/>
          <c:y val="0.95432300163132133"/>
          <c:w val="0.55493895671476168"/>
          <c:h val="3.9151712887438801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Total Annual Electric &amp; Operating Revenue ($)
</a:t>
            </a:r>
          </a:p>
        </c:rich>
      </c:tx>
      <c:layout>
        <c:manualLayout>
          <c:xMode val="edge"/>
          <c:yMode val="edge"/>
          <c:x val="0.30410654827968997"/>
          <c:y val="1.9575856443719449E-2"/>
        </c:manualLayout>
      </c:layout>
      <c:overlay val="0"/>
      <c:spPr>
        <a:noFill/>
        <a:ln w="25400">
          <a:noFill/>
        </a:ln>
      </c:spPr>
    </c:title>
    <c:autoTitleDeleted val="0"/>
    <c:plotArea>
      <c:layout>
        <c:manualLayout>
          <c:layoutTarget val="inner"/>
          <c:xMode val="edge"/>
          <c:yMode val="edge"/>
          <c:x val="6.8812430632630622E-2"/>
          <c:y val="9.1353996737357251E-2"/>
          <c:w val="0.92008879023307533"/>
          <c:h val="0.79608482871125485"/>
        </c:manualLayout>
      </c:layout>
      <c:lineChart>
        <c:grouping val="standard"/>
        <c:varyColors val="0"/>
        <c:ser>
          <c:idx val="0"/>
          <c:order val="0"/>
          <c:tx>
            <c:v>Electric Revenue</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Data'!$BR$7:$BR$69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0-A591-44F6-8774-4E94ADF2FEF6}"/>
            </c:ext>
          </c:extLst>
        </c:ser>
        <c:ser>
          <c:idx val="1"/>
          <c:order val="1"/>
          <c:tx>
            <c:v>Total Revenue (with necessary rate increases)</c:v>
          </c:tx>
          <c:spPr>
            <a:ln w="3175">
              <a:solidFill>
                <a:srgbClr val="000080"/>
              </a:solidFill>
              <a:prstDash val="solid"/>
            </a:ln>
          </c:spPr>
          <c:marker>
            <c:symbol val="diamond"/>
            <c:size val="5"/>
            <c:spPr>
              <a:solidFill>
                <a:srgbClr val="000080"/>
              </a:solidFill>
              <a:ln>
                <a:solidFill>
                  <a:srgbClr val="000080"/>
                </a:solidFill>
                <a:prstDash val="solid"/>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Data'!$BT$7:$BT$69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1-A591-44F6-8774-4E94ADF2FEF6}"/>
            </c:ext>
          </c:extLst>
        </c:ser>
        <c:dLbls>
          <c:showLegendKey val="0"/>
          <c:showVal val="0"/>
          <c:showCatName val="0"/>
          <c:showSerName val="0"/>
          <c:showPercent val="0"/>
          <c:showBubbleSize val="0"/>
        </c:dLbls>
        <c:marker val="1"/>
        <c:smooth val="0"/>
        <c:axId val="767060288"/>
        <c:axId val="767060680"/>
      </c:lineChart>
      <c:catAx>
        <c:axId val="767060288"/>
        <c:scaling>
          <c:orientation val="minMax"/>
        </c:scaling>
        <c:delete val="0"/>
        <c:axPos val="b"/>
        <c:majorGridlines>
          <c:spPr>
            <a:ln w="3175">
              <a:solidFill>
                <a:srgbClr val="000000"/>
              </a:solidFill>
              <a:prstDash val="solid"/>
            </a:ln>
          </c:spPr>
        </c:majorGridlines>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060680"/>
        <c:crosses val="autoZero"/>
        <c:auto val="0"/>
        <c:lblAlgn val="ctr"/>
        <c:lblOffset val="100"/>
        <c:tickLblSkip val="2"/>
        <c:tickMarkSkip val="1"/>
        <c:noMultiLvlLbl val="0"/>
      </c:catAx>
      <c:valAx>
        <c:axId val="76706068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Dollars</a:t>
                </a:r>
              </a:p>
            </c:rich>
          </c:tx>
          <c:layout>
            <c:manualLayout>
              <c:xMode val="edge"/>
              <c:yMode val="edge"/>
              <c:x val="1.5538290788013319E-2"/>
              <c:y val="0.4404567699836876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060288"/>
        <c:crosses val="autoZero"/>
        <c:crossBetween val="between"/>
      </c:valAx>
      <c:spPr>
        <a:solidFill>
          <a:srgbClr val="C0C0C0"/>
        </a:solidFill>
        <a:ln w="12700">
          <a:solidFill>
            <a:srgbClr val="808080"/>
          </a:solidFill>
          <a:prstDash val="solid"/>
        </a:ln>
      </c:spPr>
    </c:plotArea>
    <c:legend>
      <c:legendPos val="b"/>
      <c:layout>
        <c:manualLayout>
          <c:xMode val="edge"/>
          <c:yMode val="edge"/>
          <c:x val="0.1875693673695894"/>
          <c:y val="0.95432300163132133"/>
          <c:w val="0.72253052164261833"/>
          <c:h val="3.9151712887438801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Total Revenue, Power Cost, and Difference
</a:t>
            </a:r>
          </a:p>
        </c:rich>
      </c:tx>
      <c:layout>
        <c:manualLayout>
          <c:xMode val="edge"/>
          <c:yMode val="edge"/>
          <c:x val="0.31520532741398444"/>
          <c:y val="1.9575856443719449E-2"/>
        </c:manualLayout>
      </c:layout>
      <c:overlay val="0"/>
      <c:spPr>
        <a:noFill/>
        <a:ln w="25400">
          <a:noFill/>
        </a:ln>
      </c:spPr>
    </c:title>
    <c:autoTitleDeleted val="0"/>
    <c:plotArea>
      <c:layout>
        <c:manualLayout>
          <c:layoutTarget val="inner"/>
          <c:xMode val="edge"/>
          <c:yMode val="edge"/>
          <c:x val="6.8812430632630622E-2"/>
          <c:y val="8.9722675367047644E-2"/>
          <c:w val="0.92008879023307533"/>
          <c:h val="0.76672104404567876"/>
        </c:manualLayout>
      </c:layout>
      <c:lineChart>
        <c:grouping val="standard"/>
        <c:varyColors val="0"/>
        <c:ser>
          <c:idx val="0"/>
          <c:order val="0"/>
          <c:tx>
            <c:v>Total Revenue</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Data'!$AF$7:$AF$69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0-26F8-4EE8-BE1E-24B1652E5C2D}"/>
            </c:ext>
          </c:extLst>
        </c:ser>
        <c:ser>
          <c:idx val="1"/>
          <c:order val="1"/>
          <c:tx>
            <c:v>Power Cost</c:v>
          </c:tx>
          <c:spPr>
            <a:ln w="3175">
              <a:solidFill>
                <a:srgbClr val="000000"/>
              </a:solidFill>
              <a:prstDash val="solid"/>
            </a:ln>
          </c:spPr>
          <c:marker>
            <c:symbol val="diamond"/>
            <c:size val="5"/>
            <c:spPr>
              <a:solidFill>
                <a:srgbClr val="000000"/>
              </a:solidFill>
              <a:ln>
                <a:solidFill>
                  <a:srgbClr val="000000"/>
                </a:solidFill>
                <a:prstDash val="solid"/>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Data'!$AH$7:$AH$69</c:f>
              <c:numCache>
                <c:formatCode>#,##0</c:formatCode>
                <c:ptCount val="63"/>
                <c:pt idx="48">
                  <c:v>0</c:v>
                </c:pt>
                <c:pt idx="49">
                  <c:v>0</c:v>
                </c:pt>
                <c:pt idx="50">
                  <c:v>0</c:v>
                </c:pt>
                <c:pt idx="51">
                  <c:v>0</c:v>
                </c:pt>
                <c:pt idx="52">
                  <c:v>0</c:v>
                </c:pt>
                <c:pt idx="53" formatCode="0.00">
                  <c:v>0</c:v>
                </c:pt>
                <c:pt idx="54" formatCode="0.00">
                  <c:v>0</c:v>
                </c:pt>
                <c:pt idx="55" formatCode="0.00">
                  <c:v>0</c:v>
                </c:pt>
                <c:pt idx="56" formatCode="0.00">
                  <c:v>0</c:v>
                </c:pt>
                <c:pt idx="57" formatCode="0.00">
                  <c:v>0</c:v>
                </c:pt>
                <c:pt idx="58" formatCode="0.00">
                  <c:v>0</c:v>
                </c:pt>
                <c:pt idx="59" formatCode="0.00">
                  <c:v>0</c:v>
                </c:pt>
                <c:pt idx="60" formatCode="0.00">
                  <c:v>0</c:v>
                </c:pt>
                <c:pt idx="61" formatCode="0.00">
                  <c:v>0</c:v>
                </c:pt>
                <c:pt idx="62" formatCode="0.00">
                  <c:v>0</c:v>
                </c:pt>
              </c:numCache>
            </c:numRef>
          </c:val>
          <c:smooth val="0"/>
          <c:extLst>
            <c:ext xmlns:c16="http://schemas.microsoft.com/office/drawing/2014/chart" uri="{C3380CC4-5D6E-409C-BE32-E72D297353CC}">
              <c16:uniqueId val="{00000001-26F8-4EE8-BE1E-24B1652E5C2D}"/>
            </c:ext>
          </c:extLst>
        </c:ser>
        <c:ser>
          <c:idx val="2"/>
          <c:order val="2"/>
          <c:tx>
            <c:v>Revenue less Power Cost</c:v>
          </c:tx>
          <c:spPr>
            <a:ln w="3175">
              <a:solidFill>
                <a:srgbClr val="0000FF"/>
              </a:solidFill>
              <a:prstDash val="solid"/>
            </a:ln>
          </c:spPr>
          <c:marker>
            <c:symbol val="triangle"/>
            <c:size val="5"/>
            <c:spPr>
              <a:solidFill>
                <a:srgbClr val="0000FF"/>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Data'!$CI$7:$CI$69</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formatCode="#,##0_);\(#,##0\)">
                  <c:v>0</c:v>
                </c:pt>
                <c:pt idx="54" formatCode="#,##0_);\(#,##0\)">
                  <c:v>0</c:v>
                </c:pt>
                <c:pt idx="55" formatCode="#,##0_);\(#,##0\)">
                  <c:v>0</c:v>
                </c:pt>
                <c:pt idx="56" formatCode="#,##0_);\(#,##0\)">
                  <c:v>0</c:v>
                </c:pt>
                <c:pt idx="57" formatCode="#,##0_);\(#,##0\)">
                  <c:v>0</c:v>
                </c:pt>
                <c:pt idx="58" formatCode="#,##0_);\(#,##0\)">
                  <c:v>0</c:v>
                </c:pt>
                <c:pt idx="59" formatCode="#,##0_);\(#,##0\)">
                  <c:v>0</c:v>
                </c:pt>
                <c:pt idx="60" formatCode="#,##0_);\(#,##0\)">
                  <c:v>0</c:v>
                </c:pt>
                <c:pt idx="61" formatCode="#,##0_);\(#,##0\)">
                  <c:v>0</c:v>
                </c:pt>
                <c:pt idx="62" formatCode="#,##0_);\(#,##0\)">
                  <c:v>0</c:v>
                </c:pt>
              </c:numCache>
            </c:numRef>
          </c:val>
          <c:smooth val="0"/>
          <c:extLst>
            <c:ext xmlns:c16="http://schemas.microsoft.com/office/drawing/2014/chart" uri="{C3380CC4-5D6E-409C-BE32-E72D297353CC}">
              <c16:uniqueId val="{00000002-26F8-4EE8-BE1E-24B1652E5C2D}"/>
            </c:ext>
          </c:extLst>
        </c:ser>
        <c:dLbls>
          <c:showLegendKey val="0"/>
          <c:showVal val="0"/>
          <c:showCatName val="0"/>
          <c:showSerName val="0"/>
          <c:showPercent val="0"/>
          <c:showBubbleSize val="0"/>
        </c:dLbls>
        <c:marker val="1"/>
        <c:smooth val="0"/>
        <c:axId val="767061464"/>
        <c:axId val="767061856"/>
      </c:lineChart>
      <c:catAx>
        <c:axId val="767061464"/>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832408435072141"/>
              <c:y val="0.90701468189233136"/>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061856"/>
        <c:crosses val="autoZero"/>
        <c:auto val="0"/>
        <c:lblAlgn val="ctr"/>
        <c:lblOffset val="100"/>
        <c:tickLblSkip val="2"/>
        <c:tickMarkSkip val="1"/>
        <c:noMultiLvlLbl val="0"/>
      </c:catAx>
      <c:valAx>
        <c:axId val="76706185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Dollars</a:t>
                </a:r>
              </a:p>
            </c:rich>
          </c:tx>
          <c:layout>
            <c:manualLayout>
              <c:xMode val="edge"/>
              <c:yMode val="edge"/>
              <c:x val="1.5538290788013319E-2"/>
              <c:y val="0.4241435562805872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061464"/>
        <c:crosses val="autoZero"/>
        <c:crossBetween val="between"/>
      </c:valAx>
      <c:spPr>
        <a:solidFill>
          <a:srgbClr val="C0C0C0"/>
        </a:solidFill>
        <a:ln w="12700">
          <a:solidFill>
            <a:srgbClr val="808080"/>
          </a:solidFill>
          <a:prstDash val="solid"/>
        </a:ln>
      </c:spPr>
    </c:plotArea>
    <c:legend>
      <c:legendPos val="b"/>
      <c:layout>
        <c:manualLayout>
          <c:xMode val="edge"/>
          <c:yMode val="edge"/>
          <c:x val="0.17314095449500574"/>
          <c:y val="0.9559543230016313"/>
          <c:w val="0.77802441731409766"/>
          <c:h val="3.9151712887438801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(Total Revenue less Power) divided by kWh Sold
(represents portion of rates used for internal costs + margins)</a:t>
            </a:r>
          </a:p>
        </c:rich>
      </c:tx>
      <c:layout>
        <c:manualLayout>
          <c:xMode val="edge"/>
          <c:yMode val="edge"/>
          <c:x val="0.2386237513873474"/>
          <c:y val="1.9575856443719449E-2"/>
        </c:manualLayout>
      </c:layout>
      <c:overlay val="0"/>
      <c:spPr>
        <a:noFill/>
        <a:ln w="25400">
          <a:noFill/>
        </a:ln>
      </c:spPr>
    </c:title>
    <c:autoTitleDeleted val="0"/>
    <c:plotArea>
      <c:layout>
        <c:manualLayout>
          <c:layoutTarget val="inner"/>
          <c:xMode val="edge"/>
          <c:yMode val="edge"/>
          <c:x val="9.3229744728080113E-2"/>
          <c:y val="0.1207177814029365"/>
          <c:w val="0.8978912319644855"/>
          <c:h val="0.72267536704730861"/>
        </c:manualLayout>
      </c:layout>
      <c:lineChart>
        <c:grouping val="standard"/>
        <c:varyColors val="0"/>
        <c:ser>
          <c:idx val="0"/>
          <c:order val="0"/>
          <c:tx>
            <c:v>(Revenue - Power) / kWh Sold</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Data'!$DO$7:$DO$69</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formatCode="0.00_)">
                  <c:v>0</c:v>
                </c:pt>
                <c:pt idx="54" formatCode="0.00_)">
                  <c:v>0</c:v>
                </c:pt>
                <c:pt idx="55" formatCode="0.00_)">
                  <c:v>0</c:v>
                </c:pt>
                <c:pt idx="56" formatCode="0.00_)">
                  <c:v>0</c:v>
                </c:pt>
                <c:pt idx="57" formatCode="0.00_)">
                  <c:v>0</c:v>
                </c:pt>
                <c:pt idx="58" formatCode="0.00_)">
                  <c:v>0</c:v>
                </c:pt>
                <c:pt idx="59" formatCode="0.00_)">
                  <c:v>0</c:v>
                </c:pt>
                <c:pt idx="60" formatCode="0.00_)">
                  <c:v>0</c:v>
                </c:pt>
                <c:pt idx="61" formatCode="0.00_)">
                  <c:v>0</c:v>
                </c:pt>
                <c:pt idx="62" formatCode="0.00_)">
                  <c:v>0</c:v>
                </c:pt>
              </c:numCache>
            </c:numRef>
          </c:val>
          <c:smooth val="0"/>
          <c:extLst>
            <c:ext xmlns:c16="http://schemas.microsoft.com/office/drawing/2014/chart" uri="{C3380CC4-5D6E-409C-BE32-E72D297353CC}">
              <c16:uniqueId val="{00000000-A0EF-4BB3-98AF-C125D92A2372}"/>
            </c:ext>
          </c:extLst>
        </c:ser>
        <c:dLbls>
          <c:showLegendKey val="0"/>
          <c:showVal val="0"/>
          <c:showCatName val="0"/>
          <c:showSerName val="0"/>
          <c:showPercent val="0"/>
          <c:showBubbleSize val="0"/>
        </c:dLbls>
        <c:marker val="1"/>
        <c:smooth val="0"/>
        <c:axId val="767062640"/>
        <c:axId val="767063032"/>
      </c:lineChart>
      <c:catAx>
        <c:axId val="767062640"/>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1942286348501654"/>
              <c:y val="0.89396411092985317"/>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063032"/>
        <c:crosses val="autoZero"/>
        <c:auto val="0"/>
        <c:lblAlgn val="ctr"/>
        <c:lblOffset val="100"/>
        <c:tickLblSkip val="2"/>
        <c:tickMarkSkip val="1"/>
        <c:noMultiLvlLbl val="0"/>
      </c:catAx>
      <c:valAx>
        <c:axId val="76706303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Mills per kWh Sold</a:t>
                </a:r>
              </a:p>
            </c:rich>
          </c:tx>
          <c:layout>
            <c:manualLayout>
              <c:xMode val="edge"/>
              <c:yMode val="edge"/>
              <c:x val="1.5538290788013319E-2"/>
              <c:y val="0.36215334420880912"/>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062640"/>
        <c:crosses val="autoZero"/>
        <c:crossBetween val="between"/>
      </c:valAx>
      <c:spPr>
        <a:solidFill>
          <a:srgbClr val="C0C0C0"/>
        </a:solidFill>
        <a:ln w="12700">
          <a:solidFill>
            <a:srgbClr val="808080"/>
          </a:solidFill>
          <a:prstDash val="solid"/>
        </a:ln>
      </c:spPr>
    </c:plotArea>
    <c:legend>
      <c:legendPos val="b"/>
      <c:layout>
        <c:manualLayout>
          <c:xMode val="edge"/>
          <c:yMode val="edge"/>
          <c:x val="0.41287458379578357"/>
          <c:y val="0.95921696574224835"/>
          <c:w val="0.25638179800221989"/>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Equity Ratio
With Rate Increase over Forecast Period</a:t>
            </a:r>
          </a:p>
        </c:rich>
      </c:tx>
      <c:layout>
        <c:manualLayout>
          <c:xMode val="edge"/>
          <c:yMode val="edge"/>
          <c:x val="0.32741398446170938"/>
          <c:y val="1.9575856443719449E-2"/>
        </c:manualLayout>
      </c:layout>
      <c:overlay val="0"/>
      <c:spPr>
        <a:noFill/>
        <a:ln w="25400">
          <a:noFill/>
        </a:ln>
      </c:spPr>
    </c:title>
    <c:autoTitleDeleted val="0"/>
    <c:plotArea>
      <c:layout>
        <c:manualLayout>
          <c:layoutTarget val="inner"/>
          <c:xMode val="edge"/>
          <c:yMode val="edge"/>
          <c:x val="9.3229744728080113E-2"/>
          <c:y val="0.12398042414355628"/>
          <c:w val="0.89567147613762588"/>
          <c:h val="0.7340946166394815"/>
        </c:manualLayout>
      </c:layout>
      <c:lineChart>
        <c:grouping val="standard"/>
        <c:varyColors val="0"/>
        <c:ser>
          <c:idx val="0"/>
          <c:order val="0"/>
          <c:tx>
            <c:v>Equity Ratio </c:v>
          </c:tx>
          <c:spPr>
            <a:ln w="3175">
              <a:solidFill>
                <a:srgbClr val="FF0000"/>
              </a:solidFill>
              <a:prstDash val="solid"/>
            </a:ln>
          </c:spPr>
          <c:marker>
            <c:symbol val="square"/>
            <c:size val="5"/>
            <c:spPr>
              <a:solidFill>
                <a:srgbClr val="FF0000"/>
              </a:solidFill>
              <a:ln w="9525">
                <a:noFill/>
              </a:ln>
            </c:spPr>
          </c:marker>
          <c:cat>
            <c:numRef>
              <c:f>'a &amp; b'!$D$12:$N$12</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'a &amp; b'!$D$14:$N$14</c:f>
              <c:numCache>
                <c:formatCode>0.00_)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9B4E-4FFD-9356-81F372886537}"/>
            </c:ext>
          </c:extLst>
        </c:ser>
        <c:dLbls>
          <c:showLegendKey val="0"/>
          <c:showVal val="0"/>
          <c:showCatName val="0"/>
          <c:showSerName val="0"/>
          <c:showPercent val="0"/>
          <c:showBubbleSize val="0"/>
        </c:dLbls>
        <c:marker val="1"/>
        <c:smooth val="0"/>
        <c:axId val="400026336"/>
        <c:axId val="357145128"/>
      </c:lineChart>
      <c:catAx>
        <c:axId val="400026336"/>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Years</a:t>
                </a:r>
              </a:p>
            </c:rich>
          </c:tx>
          <c:layout>
            <c:manualLayout>
              <c:xMode val="edge"/>
              <c:yMode val="edge"/>
              <c:x val="0.51387347391786908"/>
              <c:y val="0.90864600326264278"/>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57145128"/>
        <c:crosses val="autoZero"/>
        <c:auto val="0"/>
        <c:lblAlgn val="ctr"/>
        <c:lblOffset val="100"/>
        <c:tickLblSkip val="2"/>
        <c:tickMarkSkip val="1"/>
        <c:noMultiLvlLbl val="0"/>
      </c:catAx>
      <c:valAx>
        <c:axId val="35714512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Equity Ratio (Percentage)</a:t>
                </a:r>
              </a:p>
            </c:rich>
          </c:tx>
          <c:layout>
            <c:manualLayout>
              <c:xMode val="edge"/>
              <c:yMode val="edge"/>
              <c:x val="1.5538290788013319E-2"/>
              <c:y val="0.32789559543230073"/>
            </c:manualLayout>
          </c:layout>
          <c:overlay val="0"/>
          <c:spPr>
            <a:noFill/>
            <a:ln w="25400">
              <a:noFill/>
            </a:ln>
          </c:spPr>
        </c:title>
        <c:numFmt formatCode="0.00_)"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00026336"/>
        <c:crosses val="autoZero"/>
        <c:crossBetween val="between"/>
      </c:valAx>
      <c:spPr>
        <a:solidFill>
          <a:srgbClr val="C0C0C0"/>
        </a:solidFill>
        <a:ln w="12700">
          <a:solidFill>
            <a:srgbClr val="808080"/>
          </a:solidFill>
          <a:prstDash val="solid"/>
        </a:ln>
      </c:spPr>
    </c:plotArea>
    <c:legend>
      <c:legendPos val="r"/>
      <c:layout>
        <c:manualLayout>
          <c:xMode val="edge"/>
          <c:yMode val="edge"/>
          <c:x val="0.47502774694783634"/>
          <c:y val="0.96084828711256165"/>
          <c:w val="0.13429522752497236"/>
          <c:h val="3.9151712887438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Average Revenue Per Kwh
With Rate Increases</a:t>
            </a:r>
          </a:p>
        </c:rich>
      </c:tx>
      <c:layout>
        <c:manualLayout>
          <c:xMode val="edge"/>
          <c:yMode val="edge"/>
          <c:x val="0.38290788013318583"/>
          <c:y val="1.9575856443719449E-2"/>
        </c:manualLayout>
      </c:layout>
      <c:overlay val="0"/>
      <c:spPr>
        <a:noFill/>
        <a:ln w="25400">
          <a:noFill/>
        </a:ln>
      </c:spPr>
    </c:title>
    <c:autoTitleDeleted val="0"/>
    <c:plotArea>
      <c:layout>
        <c:manualLayout>
          <c:layoutTarget val="inner"/>
          <c:xMode val="edge"/>
          <c:yMode val="edge"/>
          <c:x val="9.3229744728080113E-2"/>
          <c:y val="0.1141924959216967"/>
          <c:w val="0.89567147613762588"/>
          <c:h val="0.73246329526916798"/>
        </c:manualLayout>
      </c:layout>
      <c:lineChart>
        <c:grouping val="standard"/>
        <c:varyColors val="0"/>
        <c:ser>
          <c:idx val="0"/>
          <c:order val="0"/>
          <c:tx>
            <c:v>Avg. Rev. per KWh</c:v>
          </c:tx>
          <c:spPr>
            <a:ln w="3175">
              <a:solidFill>
                <a:srgbClr val="FF0000"/>
              </a:solidFill>
              <a:prstDash val="solid"/>
            </a:ln>
          </c:spPr>
          <c:marker>
            <c:symbol val="square"/>
            <c:size val="5"/>
            <c:spPr>
              <a:solidFill>
                <a:srgbClr val="FF0000"/>
              </a:solidFill>
              <a:ln w="9525">
                <a:noFill/>
              </a:ln>
            </c:spPr>
          </c:marker>
          <c:cat>
            <c:numRef>
              <c:f>'a &amp; b'!$D$12:$N$12</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'a &amp; b'!$D$19:$N$19</c:f>
              <c:numCache>
                <c:formatCode>0.00_)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3E14-42C4-B2FE-763682A9D1F8}"/>
            </c:ext>
          </c:extLst>
        </c:ser>
        <c:dLbls>
          <c:showLegendKey val="0"/>
          <c:showVal val="0"/>
          <c:showCatName val="0"/>
          <c:showSerName val="0"/>
          <c:showPercent val="0"/>
          <c:showBubbleSize val="0"/>
        </c:dLbls>
        <c:marker val="1"/>
        <c:smooth val="0"/>
        <c:axId val="767063816"/>
        <c:axId val="767064208"/>
      </c:lineChart>
      <c:catAx>
        <c:axId val="767063816"/>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1831298557158656"/>
              <c:y val="0.89722675367047411"/>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064208"/>
        <c:crosses val="autoZero"/>
        <c:auto val="0"/>
        <c:lblAlgn val="ctr"/>
        <c:lblOffset val="100"/>
        <c:tickLblSkip val="2"/>
        <c:tickMarkSkip val="1"/>
        <c:noMultiLvlLbl val="0"/>
      </c:catAx>
      <c:valAx>
        <c:axId val="76706420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Cents per kwh</a:t>
                </a:r>
              </a:p>
            </c:rich>
          </c:tx>
          <c:layout>
            <c:manualLayout>
              <c:xMode val="edge"/>
              <c:yMode val="edge"/>
              <c:x val="1.5538290788013319E-2"/>
              <c:y val="0.38499184339314907"/>
            </c:manualLayout>
          </c:layout>
          <c:overlay val="0"/>
          <c:spPr>
            <a:noFill/>
            <a:ln w="25400">
              <a:noFill/>
            </a:ln>
          </c:spPr>
        </c:title>
        <c:numFmt formatCode="0.00_)"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063816"/>
        <c:crosses val="autoZero"/>
        <c:crossBetween val="between"/>
      </c:valAx>
      <c:spPr>
        <a:solidFill>
          <a:srgbClr val="C0C0C0"/>
        </a:solidFill>
        <a:ln w="12700">
          <a:solidFill>
            <a:srgbClr val="808080"/>
          </a:solidFill>
          <a:prstDash val="solid"/>
        </a:ln>
      </c:spPr>
    </c:plotArea>
    <c:legend>
      <c:legendPos val="b"/>
      <c:layout>
        <c:manualLayout>
          <c:xMode val="edge"/>
          <c:yMode val="edge"/>
          <c:x val="0.45283018867924596"/>
          <c:y val="0.95921696574224835"/>
          <c:w val="0.17758046614872341"/>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Construction, General Funds Applied, and New Loan Funds Required</a:t>
            </a:r>
          </a:p>
        </c:rich>
      </c:tx>
      <c:layout>
        <c:manualLayout>
          <c:xMode val="edge"/>
          <c:yMode val="edge"/>
          <c:x val="0.20421753607103257"/>
          <c:y val="1.9575856443719449E-2"/>
        </c:manualLayout>
      </c:layout>
      <c:overlay val="0"/>
      <c:spPr>
        <a:noFill/>
        <a:ln w="25400">
          <a:noFill/>
        </a:ln>
      </c:spPr>
    </c:title>
    <c:autoTitleDeleted val="0"/>
    <c:plotArea>
      <c:layout>
        <c:manualLayout>
          <c:layoutTarget val="inner"/>
          <c:xMode val="edge"/>
          <c:yMode val="edge"/>
          <c:x val="7.3251942286348501E-2"/>
          <c:y val="0.1158238172920064"/>
          <c:w val="0.91564927857935785"/>
          <c:h val="0.71615008156606852"/>
        </c:manualLayout>
      </c:layout>
      <c:barChart>
        <c:barDir val="col"/>
        <c:grouping val="clustered"/>
        <c:varyColors val="0"/>
        <c:ser>
          <c:idx val="0"/>
          <c:order val="0"/>
          <c:tx>
            <c:v>Const. Funds Req.</c:v>
          </c:tx>
          <c:spPr>
            <a:solidFill>
              <a:srgbClr val="FF0000"/>
            </a:solidFill>
            <a:ln w="3175">
              <a:solidFill>
                <a:srgbClr val="000000"/>
              </a:solidFill>
              <a:prstDash val="solid"/>
            </a:ln>
          </c:spPr>
          <c:invertIfNegative val="0"/>
          <c:cat>
            <c:numRef>
              <c:f>'g - Plant'!$H$5:$Q$5</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'g - Plant'!$H$9:$Q$9</c:f>
              <c:numCache>
                <c:formatCode>#,##0_);[Red]\(#,##0\)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A805-4BD6-AA14-A70D09C15AE0}"/>
            </c:ext>
          </c:extLst>
        </c:ser>
        <c:ser>
          <c:idx val="1"/>
          <c:order val="1"/>
          <c:tx>
            <c:v>Gen. Funds Used</c:v>
          </c:tx>
          <c:spPr>
            <a:solidFill>
              <a:srgbClr val="00FF00"/>
            </a:solidFill>
            <a:ln w="3175">
              <a:solidFill>
                <a:srgbClr val="000000"/>
              </a:solidFill>
              <a:prstDash val="solid"/>
            </a:ln>
          </c:spPr>
          <c:invertIfNegative val="0"/>
          <c:cat>
            <c:numRef>
              <c:f>'g - Plant'!$H$5:$Q$5</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'g - Plant'!$H$61:$Q$61</c:f>
              <c:numCache>
                <c:formatCode>#,##0_);[Red]\(#,##0\)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805-4BD6-AA14-A70D09C15AE0}"/>
            </c:ext>
          </c:extLst>
        </c:ser>
        <c:ser>
          <c:idx val="2"/>
          <c:order val="2"/>
          <c:tx>
            <c:v>New RUS Loans</c:v>
          </c:tx>
          <c:spPr>
            <a:solidFill>
              <a:srgbClr val="0000FF"/>
            </a:solidFill>
            <a:ln w="3175">
              <a:solidFill>
                <a:srgbClr val="000000"/>
              </a:solidFill>
              <a:prstDash val="solid"/>
            </a:ln>
          </c:spPr>
          <c:invertIfNegative val="0"/>
          <c:cat>
            <c:numRef>
              <c:f>'g - Plant'!$H$5:$Q$5</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'g - Plant'!$H$62:$Q$62</c:f>
              <c:numCache>
                <c:formatCode>#,##0_);[Red]\(#,##0\)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A805-4BD6-AA14-A70D09C15AE0}"/>
            </c:ext>
          </c:extLst>
        </c:ser>
        <c:ser>
          <c:idx val="3"/>
          <c:order val="3"/>
          <c:tx>
            <c:v>New Guaranteed Loans</c:v>
          </c:tx>
          <c:spPr>
            <a:solidFill>
              <a:srgbClr val="FFFF00"/>
            </a:solidFill>
            <a:ln w="3175">
              <a:solidFill>
                <a:srgbClr val="000000"/>
              </a:solidFill>
              <a:prstDash val="solid"/>
            </a:ln>
          </c:spPr>
          <c:invertIfNegative val="0"/>
          <c:cat>
            <c:numRef>
              <c:f>'g - Plant'!$H$5:$Q$5</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'g - Plant'!$H$63:$Q$63</c:f>
              <c:numCache>
                <c:formatCode>#,##0_);[Red]\(#,##0\)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A805-4BD6-AA14-A70D09C15AE0}"/>
            </c:ext>
          </c:extLst>
        </c:ser>
        <c:ser>
          <c:idx val="4"/>
          <c:order val="4"/>
          <c:tx>
            <c:v>New Other Loans</c:v>
          </c:tx>
          <c:spPr>
            <a:solidFill>
              <a:srgbClr val="FF00FF"/>
            </a:solidFill>
            <a:ln w="3175">
              <a:solidFill>
                <a:srgbClr val="000000"/>
              </a:solidFill>
              <a:prstDash val="solid"/>
            </a:ln>
          </c:spPr>
          <c:invertIfNegative val="0"/>
          <c:cat>
            <c:numRef>
              <c:f>'g - Plant'!$H$5:$Q$5</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'g - Plant'!$H$64:$Q$64</c:f>
              <c:numCache>
                <c:formatCode>#,##0_);[Red]\(#,##0\)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A805-4BD6-AA14-A70D09C15AE0}"/>
            </c:ext>
          </c:extLst>
        </c:ser>
        <c:dLbls>
          <c:showLegendKey val="0"/>
          <c:showVal val="0"/>
          <c:showCatName val="0"/>
          <c:showSerName val="0"/>
          <c:showPercent val="0"/>
          <c:showBubbleSize val="0"/>
        </c:dLbls>
        <c:gapWidth val="150"/>
        <c:axId val="767064992"/>
        <c:axId val="767065384"/>
      </c:barChart>
      <c:catAx>
        <c:axId val="767064992"/>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832408435072141"/>
              <c:y val="0.88254486133768351"/>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065384"/>
        <c:crosses val="autoZero"/>
        <c:auto val="0"/>
        <c:lblAlgn val="ctr"/>
        <c:lblOffset val="100"/>
        <c:tickLblSkip val="2"/>
        <c:tickMarkSkip val="1"/>
        <c:noMultiLvlLbl val="0"/>
      </c:catAx>
      <c:valAx>
        <c:axId val="76706538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Dollars</a:t>
                </a:r>
              </a:p>
            </c:rich>
          </c:tx>
          <c:layout>
            <c:manualLayout>
              <c:xMode val="edge"/>
              <c:yMode val="edge"/>
              <c:x val="1.5538290788013319E-2"/>
              <c:y val="0.4241435562805872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064992"/>
        <c:crosses val="autoZero"/>
        <c:crossBetween val="between"/>
      </c:valAx>
      <c:spPr>
        <a:solidFill>
          <a:srgbClr val="C0C0C0"/>
        </a:solidFill>
        <a:ln w="12700">
          <a:solidFill>
            <a:srgbClr val="808080"/>
          </a:solidFill>
          <a:prstDash val="solid"/>
        </a:ln>
      </c:spPr>
    </c:plotArea>
    <c:legend>
      <c:legendPos val="b"/>
      <c:layout>
        <c:manualLayout>
          <c:xMode val="edge"/>
          <c:yMode val="edge"/>
          <c:x val="2.2197558268590447E-3"/>
          <c:y val="0.95432300163132133"/>
          <c:w val="0.99778024417314093"/>
          <c:h val="3.9151712887438801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Approved and Advanced RUS Loans, Other Loans
</a:t>
            </a:r>
          </a:p>
        </c:rich>
      </c:tx>
      <c:layout>
        <c:manualLayout>
          <c:xMode val="edge"/>
          <c:yMode val="edge"/>
          <c:x val="0.28412874583795883"/>
          <c:y val="1.9575856443719449E-2"/>
        </c:manualLayout>
      </c:layout>
      <c:overlay val="0"/>
      <c:spPr>
        <a:noFill/>
        <a:ln w="25400">
          <a:noFill/>
        </a:ln>
      </c:spPr>
    </c:title>
    <c:autoTitleDeleted val="0"/>
    <c:plotArea>
      <c:layout>
        <c:manualLayout>
          <c:layoutTarget val="inner"/>
          <c:xMode val="edge"/>
          <c:yMode val="edge"/>
          <c:x val="6.8812430632630622E-2"/>
          <c:y val="0.10114192495921713"/>
          <c:w val="0.92008879023307533"/>
          <c:h val="0.74877650897226655"/>
        </c:manualLayout>
      </c:layout>
      <c:lineChart>
        <c:grouping val="standard"/>
        <c:varyColors val="0"/>
        <c:ser>
          <c:idx val="0"/>
          <c:order val="0"/>
          <c:tx>
            <c:v>RUS Loan Funds Approved</c:v>
          </c:tx>
          <c:spPr>
            <a:ln w="3175">
              <a:solidFill>
                <a:srgbClr val="FF0000"/>
              </a:solidFill>
              <a:prstDash val="solid"/>
            </a:ln>
          </c:spPr>
          <c:marker>
            <c:symbol val="square"/>
            <c:size val="5"/>
            <c:spPr>
              <a:solidFill>
                <a:srgbClr val="FF0000"/>
              </a:solidFill>
              <a:ln w="9525">
                <a:noFill/>
              </a:ln>
            </c:spPr>
          </c:marker>
          <c:cat>
            <c:strRef>
              <c:f>'Historic Data'!$C$7:$C$41</c:f>
              <c:strCache>
                <c:ptCount val="35"/>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strCache>
            </c:strRef>
          </c:cat>
          <c:val>
            <c:numRef>
              <c:f>'Historic Data'!$D$7:$D$41</c:f>
              <c:numCache>
                <c:formatCode>#,##0</c:formatCode>
                <c:ptCount val="35"/>
              </c:numCache>
            </c:numRef>
          </c:val>
          <c:smooth val="0"/>
          <c:extLst>
            <c:ext xmlns:c16="http://schemas.microsoft.com/office/drawing/2014/chart" uri="{C3380CC4-5D6E-409C-BE32-E72D297353CC}">
              <c16:uniqueId val="{00000000-58EF-4CBE-8296-E7D86490A879}"/>
            </c:ext>
          </c:extLst>
        </c:ser>
        <c:ser>
          <c:idx val="1"/>
          <c:order val="1"/>
          <c:tx>
            <c:v>RUS Loan Funds Advanced</c:v>
          </c:tx>
          <c:spPr>
            <a:ln w="3175">
              <a:solidFill>
                <a:srgbClr val="000000"/>
              </a:solidFill>
              <a:prstDash val="solid"/>
            </a:ln>
          </c:spPr>
          <c:marker>
            <c:symbol val="diamond"/>
            <c:size val="5"/>
            <c:spPr>
              <a:solidFill>
                <a:srgbClr val="000000"/>
              </a:solidFill>
              <a:ln>
                <a:solidFill>
                  <a:srgbClr val="000000"/>
                </a:solidFill>
                <a:prstDash val="solid"/>
              </a:ln>
            </c:spPr>
          </c:marker>
          <c:cat>
            <c:strRef>
              <c:f>'Historic Data'!$C$7:$C$41</c:f>
              <c:strCache>
                <c:ptCount val="35"/>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strCache>
            </c:strRef>
          </c:cat>
          <c:val>
            <c:numRef>
              <c:f>'Historic Data'!$I$7:$I$41</c:f>
              <c:numCache>
                <c:formatCode>#,##0</c:formatCode>
                <c:ptCount val="35"/>
              </c:numCache>
            </c:numRef>
          </c:val>
          <c:smooth val="0"/>
          <c:extLst>
            <c:ext xmlns:c16="http://schemas.microsoft.com/office/drawing/2014/chart" uri="{C3380CC4-5D6E-409C-BE32-E72D297353CC}">
              <c16:uniqueId val="{00000001-58EF-4CBE-8296-E7D86490A879}"/>
            </c:ext>
          </c:extLst>
        </c:ser>
        <c:ser>
          <c:idx val="2"/>
          <c:order val="2"/>
          <c:tx>
            <c:v>Other Loans Approved</c:v>
          </c:tx>
          <c:spPr>
            <a:ln w="3175">
              <a:solidFill>
                <a:srgbClr val="0000FF"/>
              </a:solidFill>
              <a:prstDash val="solid"/>
            </a:ln>
          </c:spPr>
          <c:marker>
            <c:symbol val="triangle"/>
            <c:size val="5"/>
            <c:spPr>
              <a:solidFill>
                <a:srgbClr val="0000FF"/>
              </a:solidFill>
              <a:ln w="9525">
                <a:noFill/>
              </a:ln>
            </c:spPr>
          </c:marker>
          <c:cat>
            <c:strRef>
              <c:f>'Historic Data'!$C$7:$C$41</c:f>
              <c:strCache>
                <c:ptCount val="35"/>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strCache>
            </c:strRef>
          </c:cat>
          <c:val>
            <c:numRef>
              <c:f>'Historic Data'!$E$7:$E$41</c:f>
              <c:numCache>
                <c:formatCode>#,##0</c:formatCode>
                <c:ptCount val="35"/>
              </c:numCache>
            </c:numRef>
          </c:val>
          <c:smooth val="0"/>
          <c:extLst>
            <c:ext xmlns:c16="http://schemas.microsoft.com/office/drawing/2014/chart" uri="{C3380CC4-5D6E-409C-BE32-E72D297353CC}">
              <c16:uniqueId val="{00000002-58EF-4CBE-8296-E7D86490A879}"/>
            </c:ext>
          </c:extLst>
        </c:ser>
        <c:dLbls>
          <c:showLegendKey val="0"/>
          <c:showVal val="0"/>
          <c:showCatName val="0"/>
          <c:showSerName val="0"/>
          <c:showPercent val="0"/>
          <c:showBubbleSize val="0"/>
        </c:dLbls>
        <c:marker val="1"/>
        <c:smooth val="0"/>
        <c:axId val="767066168"/>
        <c:axId val="767066560"/>
      </c:lineChart>
      <c:catAx>
        <c:axId val="767066168"/>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610432852386233"/>
              <c:y val="0.9004893964110929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066560"/>
        <c:crosses val="autoZero"/>
        <c:auto val="0"/>
        <c:lblAlgn val="ctr"/>
        <c:lblOffset val="100"/>
        <c:tickLblSkip val="2"/>
        <c:tickMarkSkip val="1"/>
        <c:noMultiLvlLbl val="0"/>
      </c:catAx>
      <c:valAx>
        <c:axId val="76706656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Loan Funds (Dollars)</a:t>
                </a:r>
              </a:p>
            </c:rich>
          </c:tx>
          <c:layout>
            <c:manualLayout>
              <c:xMode val="edge"/>
              <c:yMode val="edge"/>
              <c:x val="1.5538290788013319E-2"/>
              <c:y val="0.3393148450244713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7066168"/>
        <c:crosses val="autoZero"/>
        <c:crossBetween val="between"/>
      </c:valAx>
      <c:spPr>
        <a:solidFill>
          <a:srgbClr val="C0C0C0"/>
        </a:solidFill>
        <a:ln w="12700">
          <a:solidFill>
            <a:srgbClr val="808080"/>
          </a:solidFill>
          <a:prstDash val="solid"/>
        </a:ln>
      </c:spPr>
    </c:plotArea>
    <c:legend>
      <c:legendPos val="b"/>
      <c:layout>
        <c:manualLayout>
          <c:xMode val="edge"/>
          <c:yMode val="edge"/>
          <c:x val="0.10432852386237514"/>
          <c:y val="0.9559543230016313"/>
          <c:w val="0.89567147613762588"/>
          <c:h val="3.9151712887438801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Return on Equity
with Rate Increases over Forecast Period</a:t>
            </a:r>
          </a:p>
        </c:rich>
      </c:tx>
      <c:layout>
        <c:manualLayout>
          <c:xMode val="edge"/>
          <c:yMode val="edge"/>
          <c:x val="0.3229744728079923"/>
          <c:y val="1.9575856443719449E-2"/>
        </c:manualLayout>
      </c:layout>
      <c:overlay val="0"/>
      <c:spPr>
        <a:noFill/>
        <a:ln w="25400">
          <a:noFill/>
        </a:ln>
      </c:spPr>
    </c:title>
    <c:autoTitleDeleted val="0"/>
    <c:plotArea>
      <c:layout>
        <c:manualLayout>
          <c:layoutTarget val="inner"/>
          <c:xMode val="edge"/>
          <c:yMode val="edge"/>
          <c:x val="8.1021087680355153E-2"/>
          <c:y val="0.12234910277324645"/>
          <c:w val="0.90788013318534966"/>
          <c:h val="0.72430668841761758"/>
        </c:manualLayout>
      </c:layout>
      <c:lineChart>
        <c:grouping val="standard"/>
        <c:varyColors val="0"/>
        <c:ser>
          <c:idx val="0"/>
          <c:order val="0"/>
          <c:tx>
            <c:v>RoE</c:v>
          </c:tx>
          <c:spPr>
            <a:ln w="3175">
              <a:solidFill>
                <a:srgbClr val="FF0000"/>
              </a:solidFill>
              <a:prstDash val="solid"/>
            </a:ln>
          </c:spPr>
          <c:marker>
            <c:symbol val="square"/>
            <c:size val="5"/>
            <c:spPr>
              <a:solidFill>
                <a:srgbClr val="FF0000"/>
              </a:solidFill>
              <a:ln w="9525">
                <a:noFill/>
              </a:ln>
            </c:spPr>
          </c:marker>
          <c:cat>
            <c:numRef>
              <c:f>'a &amp; b'!$D$12:$N$12</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'Historic Data'!$DR$54:$DR$69</c:f>
              <c:numCache>
                <c:formatCode>0.00</c:formatCode>
                <c:ptCount val="16"/>
                <c:pt idx="0">
                  <c:v>0</c:v>
                </c:pt>
                <c:pt idx="1">
                  <c:v>0</c:v>
                </c:pt>
                <c:pt idx="2">
                  <c:v>0</c:v>
                </c:pt>
                <c:pt idx="3">
                  <c:v>0</c:v>
                </c:pt>
                <c:pt idx="4">
                  <c:v>0</c:v>
                </c:pt>
                <c:pt idx="5">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numCache>
            </c:numRef>
          </c:val>
          <c:smooth val="0"/>
          <c:extLst>
            <c:ext xmlns:c16="http://schemas.microsoft.com/office/drawing/2014/chart" uri="{C3380CC4-5D6E-409C-BE32-E72D297353CC}">
              <c16:uniqueId val="{00000000-BA1F-4516-9136-8A4549C15F11}"/>
            </c:ext>
          </c:extLst>
        </c:ser>
        <c:ser>
          <c:idx val="1"/>
          <c:order val="1"/>
          <c:tx>
            <c:v>Op RoE</c:v>
          </c:tx>
          <c:spPr>
            <a:ln w="12700">
              <a:solidFill>
                <a:srgbClr val="FF00FF"/>
              </a:solidFill>
              <a:prstDash val="solid"/>
            </a:ln>
          </c:spPr>
          <c:marker>
            <c:symbol val="square"/>
            <c:size val="5"/>
            <c:spPr>
              <a:solidFill>
                <a:srgbClr val="FF00FF"/>
              </a:solidFill>
              <a:ln>
                <a:solidFill>
                  <a:srgbClr val="FF00FF"/>
                </a:solidFill>
                <a:prstDash val="solid"/>
              </a:ln>
            </c:spPr>
          </c:marker>
          <c:val>
            <c:numRef>
              <c:f>'Historic Data'!$DS$54:$DS$69</c:f>
              <c:numCache>
                <c:formatCode>0.00</c:formatCode>
                <c:ptCount val="16"/>
                <c:pt idx="0">
                  <c:v>0</c:v>
                </c:pt>
                <c:pt idx="1">
                  <c:v>0</c:v>
                </c:pt>
                <c:pt idx="2">
                  <c:v>0</c:v>
                </c:pt>
                <c:pt idx="3">
                  <c:v>0</c:v>
                </c:pt>
                <c:pt idx="4">
                  <c:v>0</c:v>
                </c:pt>
                <c:pt idx="5">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numCache>
            </c:numRef>
          </c:val>
          <c:smooth val="0"/>
          <c:extLst>
            <c:ext xmlns:c16="http://schemas.microsoft.com/office/drawing/2014/chart" uri="{C3380CC4-5D6E-409C-BE32-E72D297353CC}">
              <c16:uniqueId val="{00000001-BA1F-4516-9136-8A4549C15F11}"/>
            </c:ext>
          </c:extLst>
        </c:ser>
        <c:dLbls>
          <c:showLegendKey val="0"/>
          <c:showVal val="0"/>
          <c:showCatName val="0"/>
          <c:showSerName val="0"/>
          <c:showPercent val="0"/>
          <c:showBubbleSize val="0"/>
        </c:dLbls>
        <c:marker val="1"/>
        <c:smooth val="0"/>
        <c:axId val="768064096"/>
        <c:axId val="768064488"/>
      </c:lineChart>
      <c:catAx>
        <c:axId val="768064096"/>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1276359600443955"/>
              <c:y val="0.89722675367047411"/>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064488"/>
        <c:crosses val="autoZero"/>
        <c:auto val="0"/>
        <c:lblAlgn val="ctr"/>
        <c:lblOffset val="100"/>
        <c:tickLblSkip val="2"/>
        <c:tickMarkSkip val="1"/>
        <c:noMultiLvlLbl val="0"/>
      </c:catAx>
      <c:valAx>
        <c:axId val="76806448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R o E</a:t>
                </a:r>
              </a:p>
            </c:rich>
          </c:tx>
          <c:layout>
            <c:manualLayout>
              <c:xMode val="edge"/>
              <c:yMode val="edge"/>
              <c:x val="1.5538290788013319E-2"/>
              <c:y val="0.44698205546492681"/>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064096"/>
        <c:crosses val="autoZero"/>
        <c:crossBetween val="between"/>
      </c:valAx>
      <c:spPr>
        <a:solidFill>
          <a:srgbClr val="C0C0C0"/>
        </a:solidFill>
        <a:ln w="12700">
          <a:solidFill>
            <a:srgbClr val="808080"/>
          </a:solidFill>
          <a:prstDash val="solid"/>
        </a:ln>
      </c:spPr>
    </c:plotArea>
    <c:legend>
      <c:legendPos val="b"/>
      <c:layout>
        <c:manualLayout>
          <c:xMode val="edge"/>
          <c:yMode val="edge"/>
          <c:x val="0.45061043285238622"/>
          <c:y val="0.95921696574224835"/>
          <c:w val="0.16537180910099888"/>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Return on Equity
1971-End of Forecast (with rate increases)</a:t>
            </a:r>
          </a:p>
        </c:rich>
      </c:tx>
      <c:layout>
        <c:manualLayout>
          <c:xMode val="edge"/>
          <c:yMode val="edge"/>
          <c:x val="0.31964483906770325"/>
          <c:y val="1.9575856443719449E-2"/>
        </c:manualLayout>
      </c:layout>
      <c:overlay val="0"/>
      <c:spPr>
        <a:noFill/>
        <a:ln w="25400">
          <a:noFill/>
        </a:ln>
      </c:spPr>
    </c:title>
    <c:autoTitleDeleted val="0"/>
    <c:plotArea>
      <c:layout>
        <c:manualLayout>
          <c:layoutTarget val="inner"/>
          <c:xMode val="edge"/>
          <c:yMode val="edge"/>
          <c:x val="8.1021087680355153E-2"/>
          <c:y val="0.1207177814029365"/>
          <c:w val="0.90788013318534966"/>
          <c:h val="0.72756933115823819"/>
        </c:manualLayout>
      </c:layout>
      <c:lineChart>
        <c:grouping val="standard"/>
        <c:varyColors val="0"/>
        <c:ser>
          <c:idx val="0"/>
          <c:order val="0"/>
          <c:tx>
            <c:v>RoE</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Data'!$DR$7:$DR$69</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formatCode="General">
                  <c:v>0</c:v>
                </c:pt>
                <c:pt idx="54" formatCode="General">
                  <c:v>0</c:v>
                </c:pt>
                <c:pt idx="55" formatCode="General">
                  <c:v>0</c:v>
                </c:pt>
                <c:pt idx="56" formatCode="General">
                  <c:v>0</c:v>
                </c:pt>
                <c:pt idx="57" formatCode="General">
                  <c:v>0</c:v>
                </c:pt>
                <c:pt idx="58" formatCode="General">
                  <c:v>0</c:v>
                </c:pt>
                <c:pt idx="59" formatCode="General">
                  <c:v>0</c:v>
                </c:pt>
                <c:pt idx="60" formatCode="General">
                  <c:v>0</c:v>
                </c:pt>
                <c:pt idx="61" formatCode="General">
                  <c:v>0</c:v>
                </c:pt>
                <c:pt idx="62" formatCode="General">
                  <c:v>0</c:v>
                </c:pt>
              </c:numCache>
            </c:numRef>
          </c:val>
          <c:smooth val="0"/>
          <c:extLst>
            <c:ext xmlns:c16="http://schemas.microsoft.com/office/drawing/2014/chart" uri="{C3380CC4-5D6E-409C-BE32-E72D297353CC}">
              <c16:uniqueId val="{00000000-D5A7-4300-94B5-AABA0666D285}"/>
            </c:ext>
          </c:extLst>
        </c:ser>
        <c:ser>
          <c:idx val="1"/>
          <c:order val="1"/>
          <c:tx>
            <c:v>Op RoE</c:v>
          </c:tx>
          <c:spPr>
            <a:ln w="12700">
              <a:solidFill>
                <a:srgbClr val="FF00FF"/>
              </a:solidFill>
              <a:prstDash val="solid"/>
            </a:ln>
          </c:spPr>
          <c:marker>
            <c:symbol val="square"/>
            <c:size val="5"/>
            <c:spPr>
              <a:solidFill>
                <a:srgbClr val="FF00FF"/>
              </a:solidFill>
              <a:ln>
                <a:solidFill>
                  <a:srgbClr val="FF00FF"/>
                </a:solidFill>
                <a:prstDash val="solid"/>
              </a:ln>
            </c:spPr>
          </c:marker>
          <c:val>
            <c:numRef>
              <c:f>'Historic Data'!$DS$7:$DS$69</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formatCode="General">
                  <c:v>0</c:v>
                </c:pt>
                <c:pt idx="54" formatCode="General">
                  <c:v>0</c:v>
                </c:pt>
                <c:pt idx="55" formatCode="General">
                  <c:v>0</c:v>
                </c:pt>
                <c:pt idx="56" formatCode="General">
                  <c:v>0</c:v>
                </c:pt>
                <c:pt idx="57" formatCode="General">
                  <c:v>0</c:v>
                </c:pt>
                <c:pt idx="58" formatCode="General">
                  <c:v>0</c:v>
                </c:pt>
                <c:pt idx="59" formatCode="General">
                  <c:v>0</c:v>
                </c:pt>
                <c:pt idx="60" formatCode="General">
                  <c:v>0</c:v>
                </c:pt>
                <c:pt idx="61" formatCode="General">
                  <c:v>0</c:v>
                </c:pt>
                <c:pt idx="62" formatCode="General">
                  <c:v>0</c:v>
                </c:pt>
              </c:numCache>
            </c:numRef>
          </c:val>
          <c:smooth val="0"/>
          <c:extLst>
            <c:ext xmlns:c16="http://schemas.microsoft.com/office/drawing/2014/chart" uri="{C3380CC4-5D6E-409C-BE32-E72D297353CC}">
              <c16:uniqueId val="{00000001-D5A7-4300-94B5-AABA0666D285}"/>
            </c:ext>
          </c:extLst>
        </c:ser>
        <c:dLbls>
          <c:showLegendKey val="0"/>
          <c:showVal val="0"/>
          <c:showCatName val="0"/>
          <c:showSerName val="0"/>
          <c:showPercent val="0"/>
          <c:showBubbleSize val="0"/>
        </c:dLbls>
        <c:marker val="1"/>
        <c:smooth val="0"/>
        <c:axId val="768065272"/>
        <c:axId val="768065664"/>
      </c:lineChart>
      <c:catAx>
        <c:axId val="768065272"/>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1276359600443955"/>
              <c:y val="0.8988580750407836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065664"/>
        <c:crosses val="autoZero"/>
        <c:auto val="0"/>
        <c:lblAlgn val="ctr"/>
        <c:lblOffset val="100"/>
        <c:tickLblSkip val="2"/>
        <c:tickMarkSkip val="1"/>
        <c:noMultiLvlLbl val="0"/>
      </c:catAx>
      <c:valAx>
        <c:axId val="76806566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R o E</a:t>
                </a:r>
              </a:p>
            </c:rich>
          </c:tx>
          <c:layout>
            <c:manualLayout>
              <c:xMode val="edge"/>
              <c:yMode val="edge"/>
              <c:x val="1.5538290788013319E-2"/>
              <c:y val="0.44698205546492681"/>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065272"/>
        <c:crosses val="autoZero"/>
        <c:crossBetween val="between"/>
      </c:valAx>
      <c:spPr>
        <a:solidFill>
          <a:srgbClr val="C0C0C0"/>
        </a:solidFill>
        <a:ln w="12700">
          <a:solidFill>
            <a:srgbClr val="808080"/>
          </a:solidFill>
          <a:prstDash val="solid"/>
        </a:ln>
      </c:spPr>
    </c:plotArea>
    <c:legend>
      <c:legendPos val="b"/>
      <c:layout>
        <c:manualLayout>
          <c:xMode val="edge"/>
          <c:yMode val="edge"/>
          <c:x val="0.45504994450610364"/>
          <c:y val="0.95921696574224835"/>
          <c:w val="0.16537180910099947"/>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Plant Turnover Ratio
with Rate Increases over Forecast Period</a:t>
            </a:r>
          </a:p>
        </c:rich>
      </c:tx>
      <c:layout>
        <c:manualLayout>
          <c:xMode val="edge"/>
          <c:yMode val="edge"/>
          <c:x val="0.3229744728079923"/>
          <c:y val="1.9575856443719449E-2"/>
        </c:manualLayout>
      </c:layout>
      <c:overlay val="0"/>
      <c:spPr>
        <a:noFill/>
        <a:ln w="25400">
          <a:noFill/>
        </a:ln>
      </c:spPr>
    </c:title>
    <c:autoTitleDeleted val="0"/>
    <c:plotArea>
      <c:layout>
        <c:manualLayout>
          <c:layoutTarget val="inner"/>
          <c:xMode val="edge"/>
          <c:yMode val="edge"/>
          <c:x val="8.1021087680355153E-2"/>
          <c:y val="0.12234910277324645"/>
          <c:w val="0.90788013318534966"/>
          <c:h val="0.72430668841761758"/>
        </c:manualLayout>
      </c:layout>
      <c:lineChart>
        <c:grouping val="standard"/>
        <c:varyColors val="0"/>
        <c:ser>
          <c:idx val="0"/>
          <c:order val="0"/>
          <c:tx>
            <c:v>Plant Turnover Ratio</c:v>
          </c:tx>
          <c:spPr>
            <a:ln w="3175">
              <a:solidFill>
                <a:srgbClr val="FF0000"/>
              </a:solidFill>
              <a:prstDash val="solid"/>
            </a:ln>
          </c:spPr>
          <c:marker>
            <c:symbol val="square"/>
            <c:size val="5"/>
            <c:spPr>
              <a:solidFill>
                <a:srgbClr val="FF0000"/>
              </a:solidFill>
              <a:ln w="9525">
                <a:noFill/>
              </a:ln>
            </c:spPr>
          </c:marker>
          <c:cat>
            <c:numRef>
              <c:f>'a &amp; b'!$D$12:$N$12</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'Historic Data'!$DT$54:$DT$69</c:f>
              <c:numCache>
                <c:formatCode>0.00</c:formatCode>
                <c:ptCount val="16"/>
                <c:pt idx="0">
                  <c:v>0</c:v>
                </c:pt>
                <c:pt idx="1">
                  <c:v>0</c:v>
                </c:pt>
                <c:pt idx="2">
                  <c:v>0</c:v>
                </c:pt>
                <c:pt idx="3">
                  <c:v>0</c:v>
                </c:pt>
                <c:pt idx="4">
                  <c:v>0</c:v>
                </c:pt>
                <c:pt idx="5">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numCache>
            </c:numRef>
          </c:val>
          <c:smooth val="0"/>
          <c:extLst>
            <c:ext xmlns:c16="http://schemas.microsoft.com/office/drawing/2014/chart" uri="{C3380CC4-5D6E-409C-BE32-E72D297353CC}">
              <c16:uniqueId val="{00000000-37A0-4067-9041-5C1E79472740}"/>
            </c:ext>
          </c:extLst>
        </c:ser>
        <c:ser>
          <c:idx val="1"/>
          <c:order val="1"/>
          <c:tx>
            <c:v>Plant Turnover Less Power Cost</c:v>
          </c:tx>
          <c:spPr>
            <a:ln w="12700">
              <a:solidFill>
                <a:srgbClr val="FF00FF"/>
              </a:solidFill>
              <a:prstDash val="solid"/>
            </a:ln>
          </c:spPr>
          <c:marker>
            <c:symbol val="square"/>
            <c:size val="5"/>
            <c:spPr>
              <a:solidFill>
                <a:srgbClr val="FF00FF"/>
              </a:solidFill>
              <a:ln>
                <a:solidFill>
                  <a:srgbClr val="FF00FF"/>
                </a:solidFill>
                <a:prstDash val="solid"/>
              </a:ln>
            </c:spPr>
          </c:marker>
          <c:val>
            <c:numRef>
              <c:f>'Historic Data'!$DU$54:$DU$69</c:f>
              <c:numCache>
                <c:formatCode>0.00</c:formatCode>
                <c:ptCount val="16"/>
                <c:pt idx="0">
                  <c:v>0</c:v>
                </c:pt>
                <c:pt idx="1">
                  <c:v>0</c:v>
                </c:pt>
                <c:pt idx="2">
                  <c:v>0</c:v>
                </c:pt>
                <c:pt idx="3">
                  <c:v>0</c:v>
                </c:pt>
                <c:pt idx="4">
                  <c:v>0</c:v>
                </c:pt>
                <c:pt idx="5">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numCache>
            </c:numRef>
          </c:val>
          <c:smooth val="0"/>
          <c:extLst>
            <c:ext xmlns:c16="http://schemas.microsoft.com/office/drawing/2014/chart" uri="{C3380CC4-5D6E-409C-BE32-E72D297353CC}">
              <c16:uniqueId val="{00000001-37A0-4067-9041-5C1E79472740}"/>
            </c:ext>
          </c:extLst>
        </c:ser>
        <c:dLbls>
          <c:showLegendKey val="0"/>
          <c:showVal val="0"/>
          <c:showCatName val="0"/>
          <c:showSerName val="0"/>
          <c:showPercent val="0"/>
          <c:showBubbleSize val="0"/>
        </c:dLbls>
        <c:marker val="1"/>
        <c:smooth val="0"/>
        <c:axId val="768066448"/>
        <c:axId val="768066840"/>
      </c:lineChart>
      <c:catAx>
        <c:axId val="768066448"/>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1276359600443955"/>
              <c:y val="0.89722675367047411"/>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066840"/>
        <c:crosses val="autoZero"/>
        <c:auto val="0"/>
        <c:lblAlgn val="ctr"/>
        <c:lblOffset val="100"/>
        <c:tickLblSkip val="2"/>
        <c:tickMarkSkip val="1"/>
        <c:noMultiLvlLbl val="0"/>
      </c:catAx>
      <c:valAx>
        <c:axId val="76806684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Plt Turn Ratio</a:t>
                </a:r>
              </a:p>
            </c:rich>
          </c:tx>
          <c:layout>
            <c:manualLayout>
              <c:xMode val="edge"/>
              <c:yMode val="edge"/>
              <c:x val="1.5538290788013319E-2"/>
              <c:y val="0.39477977161500905"/>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066448"/>
        <c:crosses val="autoZero"/>
        <c:crossBetween val="between"/>
      </c:valAx>
      <c:spPr>
        <a:solidFill>
          <a:srgbClr val="C0C0C0"/>
        </a:solidFill>
        <a:ln w="12700">
          <a:solidFill>
            <a:srgbClr val="808080"/>
          </a:solidFill>
          <a:prstDash val="solid"/>
        </a:ln>
      </c:spPr>
    </c:plotArea>
    <c:legend>
      <c:legendPos val="b"/>
      <c:layout>
        <c:manualLayout>
          <c:xMode val="edge"/>
          <c:yMode val="edge"/>
          <c:x val="0.25971143174250833"/>
          <c:y val="0.95921696574224835"/>
          <c:w val="0.53829078801331853"/>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Plant Turnover Ratio
1971-End of Forecast (with rate increases)</a:t>
            </a:r>
          </a:p>
        </c:rich>
      </c:tx>
      <c:layout>
        <c:manualLayout>
          <c:xMode val="edge"/>
          <c:yMode val="edge"/>
          <c:x val="0.31964483906770325"/>
          <c:y val="1.9575856443719449E-2"/>
        </c:manualLayout>
      </c:layout>
      <c:overlay val="0"/>
      <c:spPr>
        <a:noFill/>
        <a:ln w="25400">
          <a:noFill/>
        </a:ln>
      </c:spPr>
    </c:title>
    <c:autoTitleDeleted val="0"/>
    <c:plotArea>
      <c:layout>
        <c:manualLayout>
          <c:layoutTarget val="inner"/>
          <c:xMode val="edge"/>
          <c:yMode val="edge"/>
          <c:x val="8.1021087680355153E-2"/>
          <c:y val="0.1207177814029365"/>
          <c:w val="0.90788013318534966"/>
          <c:h val="0.72756933115823819"/>
        </c:manualLayout>
      </c:layout>
      <c:lineChart>
        <c:grouping val="standard"/>
        <c:varyColors val="0"/>
        <c:ser>
          <c:idx val="0"/>
          <c:order val="0"/>
          <c:tx>
            <c:v>Plant Turnover Ratio</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Data'!$DT$7:$DT$69</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formatCode="General">
                  <c:v>0</c:v>
                </c:pt>
                <c:pt idx="54" formatCode="General">
                  <c:v>0</c:v>
                </c:pt>
                <c:pt idx="55" formatCode="General">
                  <c:v>0</c:v>
                </c:pt>
                <c:pt idx="56" formatCode="General">
                  <c:v>0</c:v>
                </c:pt>
                <c:pt idx="57" formatCode="General">
                  <c:v>0</c:v>
                </c:pt>
                <c:pt idx="58" formatCode="General">
                  <c:v>0</c:v>
                </c:pt>
                <c:pt idx="59" formatCode="General">
                  <c:v>0</c:v>
                </c:pt>
                <c:pt idx="60" formatCode="General">
                  <c:v>0</c:v>
                </c:pt>
                <c:pt idx="61" formatCode="General">
                  <c:v>0</c:v>
                </c:pt>
                <c:pt idx="62" formatCode="General">
                  <c:v>0</c:v>
                </c:pt>
              </c:numCache>
            </c:numRef>
          </c:val>
          <c:smooth val="0"/>
          <c:extLst>
            <c:ext xmlns:c16="http://schemas.microsoft.com/office/drawing/2014/chart" uri="{C3380CC4-5D6E-409C-BE32-E72D297353CC}">
              <c16:uniqueId val="{00000000-A9B6-4CA0-95C7-856BDD0B7A49}"/>
            </c:ext>
          </c:extLst>
        </c:ser>
        <c:ser>
          <c:idx val="1"/>
          <c:order val="1"/>
          <c:tx>
            <c:v>Plant Turnover Less Power Cost</c:v>
          </c:tx>
          <c:spPr>
            <a:ln w="12700">
              <a:solidFill>
                <a:srgbClr val="FF00FF"/>
              </a:solidFill>
              <a:prstDash val="solid"/>
            </a:ln>
          </c:spPr>
          <c:marker>
            <c:symbol val="square"/>
            <c:size val="5"/>
            <c:spPr>
              <a:solidFill>
                <a:srgbClr val="FF00FF"/>
              </a:solidFill>
              <a:ln>
                <a:solidFill>
                  <a:srgbClr val="FF00FF"/>
                </a:solidFill>
                <a:prstDash val="solid"/>
              </a:ln>
            </c:spPr>
          </c:marker>
          <c:val>
            <c:numRef>
              <c:f>'Historic Data'!$DU$7:$DU$69</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formatCode="General">
                  <c:v>0</c:v>
                </c:pt>
                <c:pt idx="54" formatCode="General">
                  <c:v>0</c:v>
                </c:pt>
                <c:pt idx="55" formatCode="General">
                  <c:v>0</c:v>
                </c:pt>
                <c:pt idx="56" formatCode="General">
                  <c:v>0</c:v>
                </c:pt>
                <c:pt idx="57" formatCode="General">
                  <c:v>0</c:v>
                </c:pt>
                <c:pt idx="58" formatCode="General">
                  <c:v>0</c:v>
                </c:pt>
                <c:pt idx="59" formatCode="General">
                  <c:v>0</c:v>
                </c:pt>
                <c:pt idx="60" formatCode="General">
                  <c:v>0</c:v>
                </c:pt>
                <c:pt idx="61" formatCode="General">
                  <c:v>0</c:v>
                </c:pt>
                <c:pt idx="62" formatCode="General">
                  <c:v>0</c:v>
                </c:pt>
              </c:numCache>
            </c:numRef>
          </c:val>
          <c:smooth val="0"/>
          <c:extLst>
            <c:ext xmlns:c16="http://schemas.microsoft.com/office/drawing/2014/chart" uri="{C3380CC4-5D6E-409C-BE32-E72D297353CC}">
              <c16:uniqueId val="{00000001-A9B6-4CA0-95C7-856BDD0B7A49}"/>
            </c:ext>
          </c:extLst>
        </c:ser>
        <c:dLbls>
          <c:showLegendKey val="0"/>
          <c:showVal val="0"/>
          <c:showCatName val="0"/>
          <c:showSerName val="0"/>
          <c:showPercent val="0"/>
          <c:showBubbleSize val="0"/>
        </c:dLbls>
        <c:marker val="1"/>
        <c:smooth val="0"/>
        <c:axId val="768067624"/>
        <c:axId val="768068016"/>
      </c:lineChart>
      <c:catAx>
        <c:axId val="768067624"/>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1276359600443955"/>
              <c:y val="0.8988580750407836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068016"/>
        <c:crosses val="autoZero"/>
        <c:auto val="0"/>
        <c:lblAlgn val="ctr"/>
        <c:lblOffset val="100"/>
        <c:tickLblSkip val="2"/>
        <c:tickMarkSkip val="1"/>
        <c:noMultiLvlLbl val="0"/>
      </c:catAx>
      <c:valAx>
        <c:axId val="76806801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Plt Turn Ratio</a:t>
                </a:r>
              </a:p>
            </c:rich>
          </c:tx>
          <c:layout>
            <c:manualLayout>
              <c:xMode val="edge"/>
              <c:yMode val="edge"/>
              <c:x val="1.5538290788013319E-2"/>
              <c:y val="0.39477977161500905"/>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067624"/>
        <c:crosses val="autoZero"/>
        <c:crossBetween val="between"/>
      </c:valAx>
      <c:spPr>
        <a:solidFill>
          <a:srgbClr val="C0C0C0"/>
        </a:solidFill>
        <a:ln w="12700">
          <a:solidFill>
            <a:srgbClr val="808080"/>
          </a:solidFill>
          <a:prstDash val="solid"/>
        </a:ln>
      </c:spPr>
    </c:plotArea>
    <c:legend>
      <c:legendPos val="b"/>
      <c:layout>
        <c:manualLayout>
          <c:xMode val="edge"/>
          <c:yMode val="edge"/>
          <c:x val="0.26304106548279677"/>
          <c:y val="0.95921696574224835"/>
          <c:w val="0.58490566037735858"/>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Plant Revenue Ratio
with Rate Increases over Forecast Period</a:t>
            </a:r>
          </a:p>
        </c:rich>
      </c:tx>
      <c:layout>
        <c:manualLayout>
          <c:xMode val="edge"/>
          <c:yMode val="edge"/>
          <c:x val="0.3229744728079923"/>
          <c:y val="1.9575856443719449E-2"/>
        </c:manualLayout>
      </c:layout>
      <c:overlay val="0"/>
      <c:spPr>
        <a:noFill/>
        <a:ln w="25400">
          <a:noFill/>
        </a:ln>
      </c:spPr>
    </c:title>
    <c:autoTitleDeleted val="0"/>
    <c:plotArea>
      <c:layout>
        <c:manualLayout>
          <c:layoutTarget val="inner"/>
          <c:xMode val="edge"/>
          <c:yMode val="edge"/>
          <c:x val="8.1021087680355153E-2"/>
          <c:y val="0.12234910277324645"/>
          <c:w val="0.90788013318534966"/>
          <c:h val="0.72430668841761758"/>
        </c:manualLayout>
      </c:layout>
      <c:lineChart>
        <c:grouping val="standard"/>
        <c:varyColors val="0"/>
        <c:ser>
          <c:idx val="0"/>
          <c:order val="0"/>
          <c:tx>
            <c:v>PRR</c:v>
          </c:tx>
          <c:spPr>
            <a:ln w="3175">
              <a:solidFill>
                <a:srgbClr val="FF0000"/>
              </a:solidFill>
              <a:prstDash val="solid"/>
            </a:ln>
          </c:spPr>
          <c:marker>
            <c:symbol val="square"/>
            <c:size val="5"/>
            <c:spPr>
              <a:solidFill>
                <a:srgbClr val="FF0000"/>
              </a:solidFill>
              <a:ln w="9525">
                <a:noFill/>
              </a:ln>
            </c:spPr>
          </c:marker>
          <c:cat>
            <c:numRef>
              <c:f>'a &amp; b'!$D$12:$N$12</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'Historic Data'!$DV$54:$DV$69</c:f>
              <c:numCache>
                <c:formatCode>0.00</c:formatCode>
                <c:ptCount val="16"/>
                <c:pt idx="0">
                  <c:v>0</c:v>
                </c:pt>
                <c:pt idx="1">
                  <c:v>0</c:v>
                </c:pt>
                <c:pt idx="2">
                  <c:v>0</c:v>
                </c:pt>
                <c:pt idx="3">
                  <c:v>0</c:v>
                </c:pt>
                <c:pt idx="4">
                  <c:v>0</c:v>
                </c:pt>
                <c:pt idx="5">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numCache>
            </c:numRef>
          </c:val>
          <c:smooth val="0"/>
          <c:extLst>
            <c:ext xmlns:c16="http://schemas.microsoft.com/office/drawing/2014/chart" uri="{C3380CC4-5D6E-409C-BE32-E72D297353CC}">
              <c16:uniqueId val="{00000000-76FA-4AF3-A9A8-7C05F685D656}"/>
            </c:ext>
          </c:extLst>
        </c:ser>
        <c:dLbls>
          <c:showLegendKey val="0"/>
          <c:showVal val="0"/>
          <c:showCatName val="0"/>
          <c:showSerName val="0"/>
          <c:showPercent val="0"/>
          <c:showBubbleSize val="0"/>
        </c:dLbls>
        <c:marker val="1"/>
        <c:smooth val="0"/>
        <c:axId val="768068800"/>
        <c:axId val="768069192"/>
      </c:lineChart>
      <c:catAx>
        <c:axId val="768068800"/>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1276359600443955"/>
              <c:y val="0.89722675367047411"/>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069192"/>
        <c:crosses val="autoZero"/>
        <c:auto val="0"/>
        <c:lblAlgn val="ctr"/>
        <c:lblOffset val="100"/>
        <c:tickLblSkip val="2"/>
        <c:tickMarkSkip val="1"/>
        <c:noMultiLvlLbl val="0"/>
      </c:catAx>
      <c:valAx>
        <c:axId val="76806919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PRR </a:t>
                </a:r>
              </a:p>
            </c:rich>
          </c:tx>
          <c:layout>
            <c:manualLayout>
              <c:xMode val="edge"/>
              <c:yMode val="edge"/>
              <c:x val="1.5538290788013319E-2"/>
              <c:y val="0.45187601957585738"/>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068800"/>
        <c:crosses val="autoZero"/>
        <c:crossBetween val="between"/>
      </c:valAx>
      <c:spPr>
        <a:solidFill>
          <a:srgbClr val="C0C0C0"/>
        </a:solidFill>
        <a:ln w="12700">
          <a:solidFill>
            <a:srgbClr val="808080"/>
          </a:solidFill>
          <a:prstDash val="solid"/>
        </a:ln>
      </c:spPr>
    </c:plotArea>
    <c:legend>
      <c:legendPos val="b"/>
      <c:layout>
        <c:manualLayout>
          <c:xMode val="edge"/>
          <c:yMode val="edge"/>
          <c:x val="0.45948945615982295"/>
          <c:y val="0.96084828711256165"/>
          <c:w val="0.12541620421753596"/>
          <c:h val="3.9151712887438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Plant Revenue Ratio
1971-End of Forecast Period (with rate increases)</a:t>
            </a:r>
          </a:p>
        </c:rich>
      </c:tx>
      <c:layout>
        <c:manualLayout>
          <c:xMode val="edge"/>
          <c:yMode val="edge"/>
          <c:x val="0.28967813540510545"/>
          <c:y val="1.9575856443719449E-2"/>
        </c:manualLayout>
      </c:layout>
      <c:overlay val="0"/>
      <c:spPr>
        <a:noFill/>
        <a:ln w="25400">
          <a:noFill/>
        </a:ln>
      </c:spPr>
    </c:title>
    <c:autoTitleDeleted val="0"/>
    <c:plotArea>
      <c:layout>
        <c:manualLayout>
          <c:layoutTarget val="inner"/>
          <c:xMode val="edge"/>
          <c:yMode val="edge"/>
          <c:x val="8.1021087680355153E-2"/>
          <c:y val="0.1207177814029365"/>
          <c:w val="0.90788013318534966"/>
          <c:h val="0.72756933115823819"/>
        </c:manualLayout>
      </c:layout>
      <c:lineChart>
        <c:grouping val="standard"/>
        <c:varyColors val="0"/>
        <c:ser>
          <c:idx val="0"/>
          <c:order val="0"/>
          <c:tx>
            <c:v>PRR</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Data'!$DV$7:$DV$69</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formatCode="General">
                  <c:v>0</c:v>
                </c:pt>
                <c:pt idx="54" formatCode="General">
                  <c:v>0</c:v>
                </c:pt>
                <c:pt idx="55" formatCode="General">
                  <c:v>0</c:v>
                </c:pt>
                <c:pt idx="56" formatCode="General">
                  <c:v>0</c:v>
                </c:pt>
                <c:pt idx="57" formatCode="General">
                  <c:v>0</c:v>
                </c:pt>
                <c:pt idx="58" formatCode="General">
                  <c:v>0</c:v>
                </c:pt>
                <c:pt idx="59" formatCode="General">
                  <c:v>0</c:v>
                </c:pt>
                <c:pt idx="60" formatCode="General">
                  <c:v>0</c:v>
                </c:pt>
                <c:pt idx="61" formatCode="General">
                  <c:v>0</c:v>
                </c:pt>
                <c:pt idx="62" formatCode="General">
                  <c:v>0</c:v>
                </c:pt>
              </c:numCache>
            </c:numRef>
          </c:val>
          <c:smooth val="0"/>
          <c:extLst>
            <c:ext xmlns:c16="http://schemas.microsoft.com/office/drawing/2014/chart" uri="{C3380CC4-5D6E-409C-BE32-E72D297353CC}">
              <c16:uniqueId val="{00000000-E0F8-470F-AD04-84E963BDD45C}"/>
            </c:ext>
          </c:extLst>
        </c:ser>
        <c:dLbls>
          <c:showLegendKey val="0"/>
          <c:showVal val="0"/>
          <c:showCatName val="0"/>
          <c:showSerName val="0"/>
          <c:showPercent val="0"/>
          <c:showBubbleSize val="0"/>
        </c:dLbls>
        <c:marker val="1"/>
        <c:smooth val="0"/>
        <c:axId val="768069976"/>
        <c:axId val="768070368"/>
      </c:lineChart>
      <c:catAx>
        <c:axId val="768069976"/>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1276359600443955"/>
              <c:y val="0.8988580750407836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070368"/>
        <c:crosses val="autoZero"/>
        <c:auto val="0"/>
        <c:lblAlgn val="ctr"/>
        <c:lblOffset val="100"/>
        <c:tickLblSkip val="2"/>
        <c:tickMarkSkip val="1"/>
        <c:noMultiLvlLbl val="0"/>
      </c:catAx>
      <c:valAx>
        <c:axId val="76807036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PRR </a:t>
                </a:r>
              </a:p>
            </c:rich>
          </c:tx>
          <c:layout>
            <c:manualLayout>
              <c:xMode val="edge"/>
              <c:yMode val="edge"/>
              <c:x val="1.8867924528301886E-2"/>
              <c:y val="0.44698205546492681"/>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069976"/>
        <c:crosses val="autoZero"/>
        <c:crossBetween val="between"/>
      </c:valAx>
      <c:spPr>
        <a:solidFill>
          <a:srgbClr val="C0C0C0"/>
        </a:solidFill>
        <a:ln w="12700">
          <a:solidFill>
            <a:srgbClr val="808080"/>
          </a:solidFill>
          <a:prstDash val="solid"/>
        </a:ln>
      </c:spPr>
    </c:plotArea>
    <c:legend>
      <c:legendPos val="b"/>
      <c:layout>
        <c:manualLayout>
          <c:xMode val="edge"/>
          <c:yMode val="edge"/>
          <c:x val="0.48279689234184314"/>
          <c:y val="0.95921696574224835"/>
          <c:w val="0.12319644839067703"/>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EBITA (Earnings before Interest, Taxes and Amortization
with Rate Increases over Forecast Period</a:t>
            </a:r>
          </a:p>
        </c:rich>
      </c:tx>
      <c:layout>
        <c:manualLayout>
          <c:xMode val="edge"/>
          <c:yMode val="edge"/>
          <c:x val="0.25860155382907885"/>
          <c:y val="1.9575856443719449E-2"/>
        </c:manualLayout>
      </c:layout>
      <c:overlay val="0"/>
      <c:spPr>
        <a:noFill/>
        <a:ln w="25400">
          <a:noFill/>
        </a:ln>
      </c:spPr>
    </c:title>
    <c:autoTitleDeleted val="0"/>
    <c:plotArea>
      <c:layout>
        <c:manualLayout>
          <c:layoutTarget val="inner"/>
          <c:xMode val="edge"/>
          <c:yMode val="edge"/>
          <c:x val="6.8812430632630622E-2"/>
          <c:y val="0.12234910277324645"/>
          <c:w val="0.92008879023307533"/>
          <c:h val="0.72430668841761758"/>
        </c:manualLayout>
      </c:layout>
      <c:lineChart>
        <c:grouping val="standard"/>
        <c:varyColors val="0"/>
        <c:ser>
          <c:idx val="0"/>
          <c:order val="0"/>
          <c:tx>
            <c:v>EBITA</c:v>
          </c:tx>
          <c:spPr>
            <a:ln w="3175">
              <a:solidFill>
                <a:srgbClr val="FF0000"/>
              </a:solidFill>
              <a:prstDash val="solid"/>
            </a:ln>
          </c:spPr>
          <c:marker>
            <c:symbol val="square"/>
            <c:size val="5"/>
            <c:spPr>
              <a:solidFill>
                <a:srgbClr val="FF0000"/>
              </a:solidFill>
              <a:ln w="9525">
                <a:noFill/>
              </a:ln>
            </c:spPr>
          </c:marker>
          <c:cat>
            <c:numRef>
              <c:f>'a &amp; b'!$D$12:$N$12</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'Historic Data'!$DP$54:$DP$69</c:f>
              <c:numCache>
                <c:formatCode>0.00</c:formatCode>
                <c:ptCount val="16"/>
                <c:pt idx="0">
                  <c:v>0</c:v>
                </c:pt>
                <c:pt idx="1">
                  <c:v>0</c:v>
                </c:pt>
                <c:pt idx="2">
                  <c:v>0</c:v>
                </c:pt>
                <c:pt idx="3">
                  <c:v>0</c:v>
                </c:pt>
                <c:pt idx="4">
                  <c:v>0</c:v>
                </c:pt>
                <c:pt idx="5">
                  <c:v>0</c:v>
                </c:pt>
                <c:pt idx="6" formatCode="0">
                  <c:v>0</c:v>
                </c:pt>
                <c:pt idx="7" formatCode="0">
                  <c:v>0</c:v>
                </c:pt>
                <c:pt idx="8" formatCode="0">
                  <c:v>0</c:v>
                </c:pt>
                <c:pt idx="9" formatCode="0">
                  <c:v>0</c:v>
                </c:pt>
                <c:pt idx="10" formatCode="0">
                  <c:v>0</c:v>
                </c:pt>
                <c:pt idx="11" formatCode="0">
                  <c:v>0</c:v>
                </c:pt>
                <c:pt idx="12" formatCode="0">
                  <c:v>0</c:v>
                </c:pt>
                <c:pt idx="13" formatCode="0">
                  <c:v>0</c:v>
                </c:pt>
                <c:pt idx="14" formatCode="0">
                  <c:v>0</c:v>
                </c:pt>
                <c:pt idx="15" formatCode="0">
                  <c:v>0</c:v>
                </c:pt>
              </c:numCache>
            </c:numRef>
          </c:val>
          <c:smooth val="0"/>
          <c:extLst>
            <c:ext xmlns:c16="http://schemas.microsoft.com/office/drawing/2014/chart" uri="{C3380CC4-5D6E-409C-BE32-E72D297353CC}">
              <c16:uniqueId val="{00000000-84CA-49BB-BC4A-D4749BEED4FE}"/>
            </c:ext>
          </c:extLst>
        </c:ser>
        <c:ser>
          <c:idx val="1"/>
          <c:order val="1"/>
          <c:tx>
            <c:v>Op EBITA</c:v>
          </c:tx>
          <c:spPr>
            <a:ln w="12700">
              <a:solidFill>
                <a:srgbClr val="FF00FF"/>
              </a:solidFill>
              <a:prstDash val="solid"/>
            </a:ln>
          </c:spPr>
          <c:marker>
            <c:symbol val="square"/>
            <c:size val="5"/>
            <c:spPr>
              <a:solidFill>
                <a:srgbClr val="FF00FF"/>
              </a:solidFill>
              <a:ln>
                <a:solidFill>
                  <a:srgbClr val="FF00FF"/>
                </a:solidFill>
                <a:prstDash val="solid"/>
              </a:ln>
            </c:spPr>
          </c:marker>
          <c:val>
            <c:numRef>
              <c:f>'Historic Data'!$DQ$54:$DQ$69</c:f>
              <c:numCache>
                <c:formatCode>0.00</c:formatCode>
                <c:ptCount val="16"/>
                <c:pt idx="0">
                  <c:v>0</c:v>
                </c:pt>
                <c:pt idx="1">
                  <c:v>0</c:v>
                </c:pt>
                <c:pt idx="2">
                  <c:v>0</c:v>
                </c:pt>
                <c:pt idx="3">
                  <c:v>0</c:v>
                </c:pt>
                <c:pt idx="4">
                  <c:v>0</c:v>
                </c:pt>
                <c:pt idx="5">
                  <c:v>0</c:v>
                </c:pt>
                <c:pt idx="6" formatCode="0">
                  <c:v>0</c:v>
                </c:pt>
                <c:pt idx="7" formatCode="0">
                  <c:v>0</c:v>
                </c:pt>
                <c:pt idx="8" formatCode="0">
                  <c:v>0</c:v>
                </c:pt>
                <c:pt idx="9" formatCode="0">
                  <c:v>0</c:v>
                </c:pt>
                <c:pt idx="10" formatCode="0">
                  <c:v>0</c:v>
                </c:pt>
                <c:pt idx="11" formatCode="0">
                  <c:v>0</c:v>
                </c:pt>
                <c:pt idx="12" formatCode="0">
                  <c:v>0</c:v>
                </c:pt>
                <c:pt idx="13" formatCode="0">
                  <c:v>0</c:v>
                </c:pt>
                <c:pt idx="14" formatCode="0">
                  <c:v>0</c:v>
                </c:pt>
                <c:pt idx="15" formatCode="0">
                  <c:v>0</c:v>
                </c:pt>
              </c:numCache>
            </c:numRef>
          </c:val>
          <c:smooth val="0"/>
          <c:extLst>
            <c:ext xmlns:c16="http://schemas.microsoft.com/office/drawing/2014/chart" uri="{C3380CC4-5D6E-409C-BE32-E72D297353CC}">
              <c16:uniqueId val="{00000001-84CA-49BB-BC4A-D4749BEED4FE}"/>
            </c:ext>
          </c:extLst>
        </c:ser>
        <c:dLbls>
          <c:showLegendKey val="0"/>
          <c:showVal val="0"/>
          <c:showCatName val="0"/>
          <c:showSerName val="0"/>
          <c:showPercent val="0"/>
          <c:showBubbleSize val="0"/>
        </c:dLbls>
        <c:marker val="1"/>
        <c:smooth val="0"/>
        <c:axId val="768071152"/>
        <c:axId val="762567008"/>
      </c:lineChart>
      <c:catAx>
        <c:axId val="768071152"/>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610432852386233"/>
              <c:y val="0.89722675367047411"/>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2567008"/>
        <c:crosses val="autoZero"/>
        <c:auto val="0"/>
        <c:lblAlgn val="ctr"/>
        <c:lblOffset val="100"/>
        <c:tickLblSkip val="2"/>
        <c:tickMarkSkip val="1"/>
        <c:noMultiLvlLbl val="0"/>
      </c:catAx>
      <c:valAx>
        <c:axId val="76256700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EBITA</a:t>
                </a:r>
              </a:p>
            </c:rich>
          </c:tx>
          <c:layout>
            <c:manualLayout>
              <c:xMode val="edge"/>
              <c:yMode val="edge"/>
              <c:x val="1.5538290788013319E-2"/>
              <c:y val="0.4404567699836876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8071152"/>
        <c:crosses val="autoZero"/>
        <c:crossBetween val="between"/>
      </c:valAx>
      <c:spPr>
        <a:solidFill>
          <a:srgbClr val="C0C0C0"/>
        </a:solidFill>
        <a:ln w="12700">
          <a:solidFill>
            <a:srgbClr val="808080"/>
          </a:solidFill>
          <a:prstDash val="solid"/>
        </a:ln>
      </c:spPr>
    </c:plotArea>
    <c:legend>
      <c:legendPos val="b"/>
      <c:layout>
        <c:manualLayout>
          <c:xMode val="edge"/>
          <c:yMode val="edge"/>
          <c:x val="0.4306326304106548"/>
          <c:y val="0.95921696574224835"/>
          <c:w val="0.19422863485016692"/>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Equity Ratio
With Rate Increases over Forecast Period</a:t>
            </a:r>
          </a:p>
        </c:rich>
      </c:tx>
      <c:layout>
        <c:manualLayout>
          <c:xMode val="edge"/>
          <c:yMode val="edge"/>
          <c:x val="0.32186459489456309"/>
          <c:y val="1.9575856443719449E-2"/>
        </c:manualLayout>
      </c:layout>
      <c:overlay val="0"/>
      <c:spPr>
        <a:noFill/>
        <a:ln w="25400">
          <a:noFill/>
        </a:ln>
      </c:spPr>
    </c:title>
    <c:autoTitleDeleted val="0"/>
    <c:plotArea>
      <c:layout>
        <c:manualLayout>
          <c:layoutTarget val="inner"/>
          <c:xMode val="edge"/>
          <c:yMode val="edge"/>
          <c:x val="8.8790233074361818E-2"/>
          <c:y val="0.11092985318107668"/>
          <c:w val="0.90011098779134113"/>
          <c:h val="0.73572593800979014"/>
        </c:manualLayout>
      </c:layout>
      <c:lineChart>
        <c:grouping val="standard"/>
        <c:varyColors val="0"/>
        <c:ser>
          <c:idx val="0"/>
          <c:order val="0"/>
          <c:tx>
            <c:v>Equity Ratio </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Data'!$CH$7:$CH$69</c:f>
              <c:numCache>
                <c:formatCode>0.00</c:formatCode>
                <c:ptCount val="63"/>
                <c:pt idx="48" formatCode="General">
                  <c:v>0</c:v>
                </c:pt>
                <c:pt idx="49" formatCode="General">
                  <c:v>0</c:v>
                </c:pt>
                <c:pt idx="50" formatCode="General">
                  <c:v>0</c:v>
                </c:pt>
                <c:pt idx="51" formatCode="General">
                  <c:v>0</c:v>
                </c:pt>
                <c:pt idx="52" formatCode="General">
                  <c:v>0</c:v>
                </c:pt>
                <c:pt idx="53" formatCode="0.00_)">
                  <c:v>0</c:v>
                </c:pt>
                <c:pt idx="54" formatCode="0.00_)">
                  <c:v>0</c:v>
                </c:pt>
                <c:pt idx="55" formatCode="0.00_)">
                  <c:v>0</c:v>
                </c:pt>
                <c:pt idx="56" formatCode="0.00_)">
                  <c:v>0</c:v>
                </c:pt>
                <c:pt idx="57" formatCode="0.00_)">
                  <c:v>0</c:v>
                </c:pt>
                <c:pt idx="58" formatCode="0.00_)">
                  <c:v>0</c:v>
                </c:pt>
                <c:pt idx="59" formatCode="0.00_)">
                  <c:v>0</c:v>
                </c:pt>
                <c:pt idx="60" formatCode="0.00_)">
                  <c:v>0</c:v>
                </c:pt>
                <c:pt idx="61" formatCode="0.00_)">
                  <c:v>0</c:v>
                </c:pt>
                <c:pt idx="62" formatCode="0.00_)">
                  <c:v>0</c:v>
                </c:pt>
              </c:numCache>
            </c:numRef>
          </c:val>
          <c:smooth val="0"/>
          <c:extLst>
            <c:ext xmlns:c16="http://schemas.microsoft.com/office/drawing/2014/chart" uri="{C3380CC4-5D6E-409C-BE32-E72D297353CC}">
              <c16:uniqueId val="{00000000-E619-4EAC-832A-7D05A2FDC015}"/>
            </c:ext>
          </c:extLst>
        </c:ser>
        <c:dLbls>
          <c:showLegendKey val="0"/>
          <c:showVal val="0"/>
          <c:showCatName val="0"/>
          <c:showSerName val="0"/>
          <c:showPercent val="0"/>
          <c:showBubbleSize val="0"/>
        </c:dLbls>
        <c:marker val="1"/>
        <c:smooth val="0"/>
        <c:axId val="357145912"/>
        <c:axId val="357146304"/>
      </c:lineChart>
      <c:catAx>
        <c:axId val="357145912"/>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1609322974472749"/>
              <c:y val="0.89722675367047411"/>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57146304"/>
        <c:crosses val="autoZero"/>
        <c:auto val="0"/>
        <c:lblAlgn val="ctr"/>
        <c:lblOffset val="100"/>
        <c:tickLblSkip val="2"/>
        <c:tickMarkSkip val="1"/>
        <c:noMultiLvlLbl val="0"/>
      </c:catAx>
      <c:valAx>
        <c:axId val="35714630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Equity Ratio (Percentage)</a:t>
                </a:r>
              </a:p>
            </c:rich>
          </c:tx>
          <c:layout>
            <c:manualLayout>
              <c:xMode val="edge"/>
              <c:yMode val="edge"/>
              <c:x val="1.5538290788013319E-2"/>
              <c:y val="0.31484502446982082"/>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57145912"/>
        <c:crosses val="autoZero"/>
        <c:crossBetween val="between"/>
      </c:valAx>
      <c:spPr>
        <a:solidFill>
          <a:srgbClr val="C0C0C0"/>
        </a:solidFill>
        <a:ln w="12700">
          <a:solidFill>
            <a:srgbClr val="808080"/>
          </a:solidFill>
          <a:prstDash val="solid"/>
        </a:ln>
      </c:spPr>
    </c:plotArea>
    <c:legend>
      <c:legendPos val="b"/>
      <c:layout>
        <c:manualLayout>
          <c:xMode val="edge"/>
          <c:yMode val="edge"/>
          <c:x val="0.47280799112097754"/>
          <c:y val="0.95921696574224835"/>
          <c:w val="0.13429522752497244"/>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EBITA (Earnings before Interest, Taxes and Amortization
1971-End of Forecast (with rate increases)</a:t>
            </a:r>
          </a:p>
        </c:rich>
      </c:tx>
      <c:layout>
        <c:manualLayout>
          <c:xMode val="edge"/>
          <c:yMode val="edge"/>
          <c:x val="0.25860155382907885"/>
          <c:y val="1.9575856443719449E-2"/>
        </c:manualLayout>
      </c:layout>
      <c:overlay val="0"/>
      <c:spPr>
        <a:noFill/>
        <a:ln w="25400">
          <a:noFill/>
        </a:ln>
      </c:spPr>
    </c:title>
    <c:autoTitleDeleted val="0"/>
    <c:plotArea>
      <c:layout>
        <c:manualLayout>
          <c:layoutTarget val="inner"/>
          <c:xMode val="edge"/>
          <c:yMode val="edge"/>
          <c:x val="6.8812430632630622E-2"/>
          <c:y val="0.1207177814029365"/>
          <c:w val="0.92008879023307533"/>
          <c:h val="0.72756933115823819"/>
        </c:manualLayout>
      </c:layout>
      <c:lineChart>
        <c:grouping val="standard"/>
        <c:varyColors val="0"/>
        <c:ser>
          <c:idx val="0"/>
          <c:order val="0"/>
          <c:tx>
            <c:v>EBITA</c:v>
          </c:tx>
          <c:spPr>
            <a:ln w="3175">
              <a:solidFill>
                <a:srgbClr val="FF0000"/>
              </a:solidFill>
              <a:prstDash val="solid"/>
            </a:ln>
          </c:spPr>
          <c:marker>
            <c:symbol val="square"/>
            <c:size val="5"/>
            <c:spPr>
              <a:solidFill>
                <a:srgbClr val="FF0000"/>
              </a:solidFill>
              <a:ln w="9525">
                <a:noFill/>
              </a:ln>
            </c:spPr>
          </c:marker>
          <c:cat>
            <c:strRef>
              <c:f>'Historic Data'!$C$7:$C$69</c:f>
              <c:strCache>
                <c:ptCount val="63"/>
                <c:pt idx="0">
                  <c:v>1971</c:v>
                </c:pt>
                <c:pt idx="1">
                  <c:v>72</c:v>
                </c:pt>
                <c:pt idx="2">
                  <c:v>73</c:v>
                </c:pt>
                <c:pt idx="3">
                  <c:v>74</c:v>
                </c:pt>
                <c:pt idx="4">
                  <c:v>75</c:v>
                </c:pt>
                <c:pt idx="5">
                  <c:v>76</c:v>
                </c:pt>
                <c:pt idx="6">
                  <c:v>77</c:v>
                </c:pt>
                <c:pt idx="7">
                  <c:v>78</c:v>
                </c:pt>
                <c:pt idx="8">
                  <c:v>79</c:v>
                </c:pt>
                <c:pt idx="9">
                  <c:v>80</c:v>
                </c:pt>
                <c:pt idx="10">
                  <c:v>81</c:v>
                </c:pt>
                <c:pt idx="11">
                  <c:v>82</c:v>
                </c:pt>
                <c:pt idx="12">
                  <c:v>83</c:v>
                </c:pt>
                <c:pt idx="13">
                  <c:v>84</c:v>
                </c:pt>
                <c:pt idx="14">
                  <c:v>85</c:v>
                </c:pt>
                <c:pt idx="15">
                  <c:v>86</c:v>
                </c:pt>
                <c:pt idx="16">
                  <c:v>87</c:v>
                </c:pt>
                <c:pt idx="17">
                  <c:v>88</c:v>
                </c:pt>
                <c:pt idx="18">
                  <c:v>89</c:v>
                </c:pt>
                <c:pt idx="19">
                  <c:v>90</c:v>
                </c:pt>
                <c:pt idx="20">
                  <c:v>91</c:v>
                </c:pt>
                <c:pt idx="21">
                  <c:v>92</c:v>
                </c:pt>
                <c:pt idx="22">
                  <c:v>93</c:v>
                </c:pt>
                <c:pt idx="23">
                  <c:v>94</c:v>
                </c:pt>
                <c:pt idx="24">
                  <c:v>95</c:v>
                </c:pt>
                <c:pt idx="25">
                  <c:v>96</c:v>
                </c:pt>
                <c:pt idx="26">
                  <c:v>97</c:v>
                </c:pt>
                <c:pt idx="27">
                  <c:v>98</c:v>
                </c:pt>
                <c:pt idx="28">
                  <c:v>99</c:v>
                </c:pt>
                <c:pt idx="29">
                  <c:v>00</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pt idx="53">
                  <c:v>24</c:v>
                </c:pt>
                <c:pt idx="54">
                  <c:v>25</c:v>
                </c:pt>
                <c:pt idx="55">
                  <c:v>26</c:v>
                </c:pt>
                <c:pt idx="56">
                  <c:v>27</c:v>
                </c:pt>
                <c:pt idx="57">
                  <c:v>28</c:v>
                </c:pt>
                <c:pt idx="58">
                  <c:v>29</c:v>
                </c:pt>
                <c:pt idx="59">
                  <c:v>30</c:v>
                </c:pt>
                <c:pt idx="60">
                  <c:v>31</c:v>
                </c:pt>
                <c:pt idx="61">
                  <c:v>32</c:v>
                </c:pt>
                <c:pt idx="62">
                  <c:v>33</c:v>
                </c:pt>
              </c:strCache>
            </c:strRef>
          </c:cat>
          <c:val>
            <c:numRef>
              <c:f>'Historic Data'!$DP$7:$DP$69</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formatCode="0">
                  <c:v>0</c:v>
                </c:pt>
                <c:pt idx="54" formatCode="0">
                  <c:v>0</c:v>
                </c:pt>
                <c:pt idx="55" formatCode="0">
                  <c:v>0</c:v>
                </c:pt>
                <c:pt idx="56" formatCode="0">
                  <c:v>0</c:v>
                </c:pt>
                <c:pt idx="57" formatCode="0">
                  <c:v>0</c:v>
                </c:pt>
                <c:pt idx="58" formatCode="0">
                  <c:v>0</c:v>
                </c:pt>
                <c:pt idx="59" formatCode="0">
                  <c:v>0</c:v>
                </c:pt>
                <c:pt idx="60" formatCode="0">
                  <c:v>0</c:v>
                </c:pt>
                <c:pt idx="61" formatCode="0">
                  <c:v>0</c:v>
                </c:pt>
                <c:pt idx="62" formatCode="0">
                  <c:v>0</c:v>
                </c:pt>
              </c:numCache>
            </c:numRef>
          </c:val>
          <c:smooth val="0"/>
          <c:extLst>
            <c:ext xmlns:c16="http://schemas.microsoft.com/office/drawing/2014/chart" uri="{C3380CC4-5D6E-409C-BE32-E72D297353CC}">
              <c16:uniqueId val="{00000000-68B4-4F17-A0C4-330EEE93517F}"/>
            </c:ext>
          </c:extLst>
        </c:ser>
        <c:ser>
          <c:idx val="1"/>
          <c:order val="1"/>
          <c:tx>
            <c:v>Op EBITA</c:v>
          </c:tx>
          <c:spPr>
            <a:ln w="12700">
              <a:solidFill>
                <a:srgbClr val="FF00FF"/>
              </a:solidFill>
              <a:prstDash val="solid"/>
            </a:ln>
          </c:spPr>
          <c:marker>
            <c:symbol val="square"/>
            <c:size val="5"/>
            <c:spPr>
              <a:solidFill>
                <a:srgbClr val="FF00FF"/>
              </a:solidFill>
              <a:ln>
                <a:solidFill>
                  <a:srgbClr val="FF00FF"/>
                </a:solidFill>
                <a:prstDash val="solid"/>
              </a:ln>
            </c:spPr>
          </c:marker>
          <c:val>
            <c:numRef>
              <c:f>'Historic Data'!$DQ$7:$DQ$69</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formatCode="0">
                  <c:v>0</c:v>
                </c:pt>
                <c:pt idx="54" formatCode="0">
                  <c:v>0</c:v>
                </c:pt>
                <c:pt idx="55" formatCode="0">
                  <c:v>0</c:v>
                </c:pt>
                <c:pt idx="56" formatCode="0">
                  <c:v>0</c:v>
                </c:pt>
                <c:pt idx="57" formatCode="0">
                  <c:v>0</c:v>
                </c:pt>
                <c:pt idx="58" formatCode="0">
                  <c:v>0</c:v>
                </c:pt>
                <c:pt idx="59" formatCode="0">
                  <c:v>0</c:v>
                </c:pt>
                <c:pt idx="60" formatCode="0">
                  <c:v>0</c:v>
                </c:pt>
                <c:pt idx="61" formatCode="0">
                  <c:v>0</c:v>
                </c:pt>
                <c:pt idx="62" formatCode="0">
                  <c:v>0</c:v>
                </c:pt>
              </c:numCache>
            </c:numRef>
          </c:val>
          <c:smooth val="0"/>
          <c:extLst>
            <c:ext xmlns:c16="http://schemas.microsoft.com/office/drawing/2014/chart" uri="{C3380CC4-5D6E-409C-BE32-E72D297353CC}">
              <c16:uniqueId val="{00000001-68B4-4F17-A0C4-330EEE93517F}"/>
            </c:ext>
          </c:extLst>
        </c:ser>
        <c:dLbls>
          <c:showLegendKey val="0"/>
          <c:showVal val="0"/>
          <c:showCatName val="0"/>
          <c:showSerName val="0"/>
          <c:showPercent val="0"/>
          <c:showBubbleSize val="0"/>
        </c:dLbls>
        <c:marker val="1"/>
        <c:smooth val="0"/>
        <c:axId val="762567792"/>
        <c:axId val="762568184"/>
      </c:lineChart>
      <c:catAx>
        <c:axId val="762567792"/>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0610432852386233"/>
              <c:y val="0.89885807504078363"/>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2568184"/>
        <c:crosses val="autoZero"/>
        <c:auto val="0"/>
        <c:lblAlgn val="ctr"/>
        <c:lblOffset val="100"/>
        <c:tickLblSkip val="2"/>
        <c:tickMarkSkip val="1"/>
        <c:noMultiLvlLbl val="0"/>
      </c:catAx>
      <c:valAx>
        <c:axId val="76256818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EBITA</a:t>
                </a:r>
              </a:p>
            </c:rich>
          </c:tx>
          <c:layout>
            <c:manualLayout>
              <c:xMode val="edge"/>
              <c:yMode val="edge"/>
              <c:x val="1.5538290788013319E-2"/>
              <c:y val="0.4404567699836876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762567792"/>
        <c:crosses val="autoZero"/>
        <c:crossBetween val="between"/>
      </c:valAx>
      <c:spPr>
        <a:solidFill>
          <a:srgbClr val="C0C0C0"/>
        </a:solidFill>
        <a:ln w="12700">
          <a:solidFill>
            <a:srgbClr val="808080"/>
          </a:solidFill>
          <a:prstDash val="solid"/>
        </a:ln>
      </c:spPr>
    </c:plotArea>
    <c:legend>
      <c:legendPos val="b"/>
      <c:layout>
        <c:manualLayout>
          <c:xMode val="edge"/>
          <c:yMode val="edge"/>
          <c:x val="0.43396226415094452"/>
          <c:y val="0.95921696574224835"/>
          <c:w val="0.19422863485016673"/>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Total Utility Plant per KWh Sold
</a:t>
            </a:r>
          </a:p>
        </c:rich>
      </c:tx>
      <c:layout>
        <c:manualLayout>
          <c:xMode val="edge"/>
          <c:yMode val="edge"/>
          <c:x val="0.36514983351831293"/>
          <c:y val="1.9575856443719449E-2"/>
        </c:manualLayout>
      </c:layout>
      <c:overlay val="0"/>
      <c:spPr>
        <a:noFill/>
        <a:ln w="25400">
          <a:noFill/>
        </a:ln>
      </c:spPr>
    </c:title>
    <c:autoTitleDeleted val="0"/>
    <c:plotArea>
      <c:layout>
        <c:manualLayout>
          <c:layoutTarget val="inner"/>
          <c:xMode val="edge"/>
          <c:yMode val="edge"/>
          <c:x val="9.3229744728080113E-2"/>
          <c:y val="0.10114192495921713"/>
          <c:w val="0.89567147613762588"/>
          <c:h val="0.7520391517128876"/>
        </c:manualLayout>
      </c:layout>
      <c:lineChart>
        <c:grouping val="standard"/>
        <c:varyColors val="0"/>
        <c:ser>
          <c:idx val="0"/>
          <c:order val="0"/>
          <c:tx>
            <c:v>Total Utility Plant per kWh Sold</c:v>
          </c:tx>
          <c:spPr>
            <a:ln w="3175">
              <a:solidFill>
                <a:srgbClr val="FF0000"/>
              </a:solidFill>
              <a:prstDash val="solid"/>
            </a:ln>
          </c:spPr>
          <c:marker>
            <c:symbol val="square"/>
            <c:size val="5"/>
            <c:spPr>
              <a:solidFill>
                <a:srgbClr val="FF0000"/>
              </a:solidFill>
              <a:ln w="9525">
                <a:noFill/>
              </a:ln>
            </c:spPr>
          </c:marker>
          <c:cat>
            <c:numRef>
              <c:f>'a &amp; b'!$D$12:$N$12</c:f>
              <c:numCache>
                <c:formatCode>General</c:formatCode>
                <c:ptCount val="11"/>
                <c:pt idx="0">
                  <c:v>2023</c:v>
                </c:pt>
                <c:pt idx="1">
                  <c:v>2024</c:v>
                </c:pt>
                <c:pt idx="2">
                  <c:v>2025</c:v>
                </c:pt>
                <c:pt idx="3">
                  <c:v>2026</c:v>
                </c:pt>
                <c:pt idx="4">
                  <c:v>2027</c:v>
                </c:pt>
                <c:pt idx="5">
                  <c:v>2028</c:v>
                </c:pt>
                <c:pt idx="6">
                  <c:v>2029</c:v>
                </c:pt>
                <c:pt idx="7">
                  <c:v>2030</c:v>
                </c:pt>
                <c:pt idx="8">
                  <c:v>2031</c:v>
                </c:pt>
                <c:pt idx="9">
                  <c:v>2032</c:v>
                </c:pt>
                <c:pt idx="10">
                  <c:v>2033</c:v>
                </c:pt>
              </c:numCache>
            </c:numRef>
          </c:cat>
          <c:val>
            <c:numRef>
              <c:f>'a &amp; b'!$D$22:$N$22</c:f>
              <c:numCache>
                <c:formatCode>0.00_)</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0-1283-420B-9496-F05BB472B17C}"/>
            </c:ext>
          </c:extLst>
        </c:ser>
        <c:dLbls>
          <c:showLegendKey val="0"/>
          <c:showVal val="0"/>
          <c:showCatName val="0"/>
          <c:showSerName val="0"/>
          <c:showPercent val="0"/>
          <c:showBubbleSize val="0"/>
        </c:dLbls>
        <c:marker val="1"/>
        <c:smooth val="0"/>
        <c:axId val="476271464"/>
        <c:axId val="476271856"/>
      </c:lineChart>
      <c:catAx>
        <c:axId val="476271464"/>
        <c:scaling>
          <c:orientation val="minMax"/>
        </c:scaling>
        <c:delete val="0"/>
        <c:axPos val="b"/>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Year</a:t>
                </a:r>
              </a:p>
            </c:rich>
          </c:tx>
          <c:layout>
            <c:manualLayout>
              <c:xMode val="edge"/>
              <c:yMode val="edge"/>
              <c:x val="0.51831298557158656"/>
              <c:y val="0.90375203915171287"/>
            </c:manualLayout>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76271856"/>
        <c:crosses val="autoZero"/>
        <c:auto val="0"/>
        <c:lblAlgn val="ctr"/>
        <c:lblOffset val="100"/>
        <c:tickLblSkip val="2"/>
        <c:tickMarkSkip val="1"/>
        <c:noMultiLvlLbl val="0"/>
      </c:catAx>
      <c:valAx>
        <c:axId val="47627185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Total Utilily Plant / kWh Sold  (Cents)</a:t>
                </a:r>
              </a:p>
            </c:rich>
          </c:tx>
          <c:layout>
            <c:manualLayout>
              <c:xMode val="edge"/>
              <c:yMode val="edge"/>
              <c:x val="1.5538290788013319E-2"/>
              <c:y val="0.24796084828711296"/>
            </c:manualLayout>
          </c:layout>
          <c:overlay val="0"/>
          <c:spPr>
            <a:noFill/>
            <a:ln w="25400">
              <a:noFill/>
            </a:ln>
          </c:spPr>
        </c:title>
        <c:numFmt formatCode="0.00_)"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476271464"/>
        <c:crosses val="autoZero"/>
        <c:crossBetween val="between"/>
      </c:valAx>
      <c:spPr>
        <a:solidFill>
          <a:srgbClr val="C0C0C0"/>
        </a:solidFill>
        <a:ln w="12700">
          <a:solidFill>
            <a:srgbClr val="808080"/>
          </a:solidFill>
          <a:prstDash val="solid"/>
        </a:ln>
      </c:spPr>
    </c:plotArea>
    <c:legend>
      <c:legendPos val="b"/>
      <c:layout>
        <c:manualLayout>
          <c:xMode val="edge"/>
          <c:yMode val="edge"/>
          <c:x val="0.40732519422863533"/>
          <c:y val="0.95921696574224835"/>
          <c:w val="0.26637069922308665"/>
          <c:h val="3.9151712887439516E-2"/>
        </c:manualLayout>
      </c:layout>
      <c:overlay val="0"/>
      <c:spPr>
        <a:solidFill>
          <a:srgbClr val="FFFFFF"/>
        </a:solidFill>
        <a:ln w="3175">
          <a:solidFill>
            <a:srgbClr val="000000"/>
          </a:solidFill>
          <a:prstDash val="solid"/>
        </a:ln>
      </c:spPr>
      <c:txPr>
        <a:bodyPr/>
        <a:lstStyle/>
        <a:p>
          <a:pPr>
            <a:defRPr sz="845" b="1" i="0" u="none" strike="noStrike" baseline="0">
              <a:solidFill>
                <a:srgbClr val="000000"/>
              </a:solidFill>
              <a:latin typeface="Arial"/>
              <a:ea typeface="Arial"/>
              <a:cs typeface="Arial"/>
            </a:defRPr>
          </a:pPr>
          <a:endParaRPr lang="en-US"/>
        </a:p>
      </c:txPr>
    </c:legend>
    <c:plotVisOnly val="0"/>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18.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20.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21.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22.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23.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24.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25.xml.rels><?xml version="1.0" encoding="UTF-8" standalone="yes"?>
<Relationships xmlns="http://schemas.openxmlformats.org/package/2006/relationships"><Relationship Id="rId1" Type="http://schemas.openxmlformats.org/officeDocument/2006/relationships/drawing" Target="../drawings/drawing27.xml"/></Relationships>
</file>

<file path=xl/chartsheets/_rels/sheet26.xml.rels><?xml version="1.0" encoding="UTF-8" standalone="yes"?>
<Relationships xmlns="http://schemas.openxmlformats.org/package/2006/relationships"><Relationship Id="rId1" Type="http://schemas.openxmlformats.org/officeDocument/2006/relationships/drawing" Target="../drawings/drawing28.xml"/></Relationships>
</file>

<file path=xl/chartsheets/_rels/sheet27.xml.rels><?xml version="1.0" encoding="UTF-8" standalone="yes"?>
<Relationships xmlns="http://schemas.openxmlformats.org/package/2006/relationships"><Relationship Id="rId1" Type="http://schemas.openxmlformats.org/officeDocument/2006/relationships/drawing" Target="../drawings/drawing29.xml"/></Relationships>
</file>

<file path=xl/chartsheets/_rels/sheet28.xml.rels><?xml version="1.0" encoding="UTF-8" standalone="yes"?>
<Relationships xmlns="http://schemas.openxmlformats.org/package/2006/relationships"><Relationship Id="rId1" Type="http://schemas.openxmlformats.org/officeDocument/2006/relationships/drawing" Target="../drawings/drawing30.xml"/></Relationships>
</file>

<file path=xl/chartsheets/_rels/sheet29.xml.rels><?xml version="1.0" encoding="UTF-8" standalone="yes"?>
<Relationships xmlns="http://schemas.openxmlformats.org/package/2006/relationships"><Relationship Id="rId1" Type="http://schemas.openxmlformats.org/officeDocument/2006/relationships/drawing" Target="../drawings/drawing31.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30.xml.rels><?xml version="1.0" encoding="UTF-8" standalone="yes"?>
<Relationships xmlns="http://schemas.openxmlformats.org/package/2006/relationships"><Relationship Id="rId1" Type="http://schemas.openxmlformats.org/officeDocument/2006/relationships/drawing" Target="../drawings/drawing32.xml"/></Relationships>
</file>

<file path=xl/chartsheets/_rels/sheet31.xml.rels><?xml version="1.0" encoding="UTF-8" standalone="yes"?>
<Relationships xmlns="http://schemas.openxmlformats.org/package/2006/relationships"><Relationship Id="rId1" Type="http://schemas.openxmlformats.org/officeDocument/2006/relationships/drawing" Target="../drawings/drawing33.xml"/></Relationships>
</file>

<file path=xl/chartsheets/_rels/sheet32.xml.rels><?xml version="1.0" encoding="UTF-8" standalone="yes"?>
<Relationships xmlns="http://schemas.openxmlformats.org/package/2006/relationships"><Relationship Id="rId1" Type="http://schemas.openxmlformats.org/officeDocument/2006/relationships/drawing" Target="../drawings/drawing34.xml"/></Relationships>
</file>

<file path=xl/chartsheets/_rels/sheet33.xml.rels><?xml version="1.0" encoding="UTF-8" standalone="yes"?>
<Relationships xmlns="http://schemas.openxmlformats.org/package/2006/relationships"><Relationship Id="rId1" Type="http://schemas.openxmlformats.org/officeDocument/2006/relationships/drawing" Target="../drawings/drawing35.xml"/></Relationships>
</file>

<file path=xl/chartsheets/_rels/sheet34.xml.rels><?xml version="1.0" encoding="UTF-8" standalone="yes"?>
<Relationships xmlns="http://schemas.openxmlformats.org/package/2006/relationships"><Relationship Id="rId1" Type="http://schemas.openxmlformats.org/officeDocument/2006/relationships/drawing" Target="../drawings/drawing36.xml"/></Relationships>
</file>

<file path=xl/chartsheets/_rels/sheet35.xml.rels><?xml version="1.0" encoding="UTF-8" standalone="yes"?>
<Relationships xmlns="http://schemas.openxmlformats.org/package/2006/relationships"><Relationship Id="rId1" Type="http://schemas.openxmlformats.org/officeDocument/2006/relationships/drawing" Target="../drawings/drawing37.xml"/></Relationships>
</file>

<file path=xl/chartsheets/_rels/sheet36.xml.rels><?xml version="1.0" encoding="UTF-8" standalone="yes"?>
<Relationships xmlns="http://schemas.openxmlformats.org/package/2006/relationships"><Relationship Id="rId1" Type="http://schemas.openxmlformats.org/officeDocument/2006/relationships/drawing" Target="../drawings/drawing38.xml"/></Relationships>
</file>

<file path=xl/chartsheets/_rels/sheet37.xml.rels><?xml version="1.0" encoding="UTF-8" standalone="yes"?>
<Relationships xmlns="http://schemas.openxmlformats.org/package/2006/relationships"><Relationship Id="rId1" Type="http://schemas.openxmlformats.org/officeDocument/2006/relationships/drawing" Target="../drawings/drawing39.xml"/></Relationships>
</file>

<file path=xl/chartsheets/_rels/sheet38.xml.rels><?xml version="1.0" encoding="UTF-8" standalone="yes"?>
<Relationships xmlns="http://schemas.openxmlformats.org/package/2006/relationships"><Relationship Id="rId1" Type="http://schemas.openxmlformats.org/officeDocument/2006/relationships/drawing" Target="../drawings/drawing40.xml"/></Relationships>
</file>

<file path=xl/chartsheets/_rels/sheet39.xml.rels><?xml version="1.0" encoding="UTF-8" standalone="yes"?>
<Relationships xmlns="http://schemas.openxmlformats.org/package/2006/relationships"><Relationship Id="rId1" Type="http://schemas.openxmlformats.org/officeDocument/2006/relationships/drawing" Target="../drawings/drawing41.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40.xml.rels><?xml version="1.0" encoding="UTF-8" standalone="yes"?>
<Relationships xmlns="http://schemas.openxmlformats.org/package/2006/relationships"><Relationship Id="rId1" Type="http://schemas.openxmlformats.org/officeDocument/2006/relationships/drawing" Target="../drawings/drawing42.xml"/></Relationships>
</file>

<file path=xl/chartsheets/_rels/sheet41.xml.rels><?xml version="1.0" encoding="UTF-8" standalone="yes"?>
<Relationships xmlns="http://schemas.openxmlformats.org/package/2006/relationships"><Relationship Id="rId1" Type="http://schemas.openxmlformats.org/officeDocument/2006/relationships/drawing" Target="../drawings/drawing43.xml"/></Relationships>
</file>

<file path=xl/chartsheets/_rels/sheet42.xml.rels><?xml version="1.0" encoding="UTF-8" standalone="yes"?>
<Relationships xmlns="http://schemas.openxmlformats.org/package/2006/relationships"><Relationship Id="rId1" Type="http://schemas.openxmlformats.org/officeDocument/2006/relationships/drawing" Target="../drawings/drawing44.xml"/></Relationships>
</file>

<file path=xl/chartsheets/_rels/sheet43.xml.rels><?xml version="1.0" encoding="UTF-8" standalone="yes"?>
<Relationships xmlns="http://schemas.openxmlformats.org/package/2006/relationships"><Relationship Id="rId1" Type="http://schemas.openxmlformats.org/officeDocument/2006/relationships/drawing" Target="../drawings/drawing45.xml"/></Relationships>
</file>

<file path=xl/chartsheets/_rels/sheet44.xml.rels><?xml version="1.0" encoding="UTF-8" standalone="yes"?>
<Relationships xmlns="http://schemas.openxmlformats.org/package/2006/relationships"><Relationship Id="rId1" Type="http://schemas.openxmlformats.org/officeDocument/2006/relationships/drawing" Target="../drawings/drawing46.xml"/></Relationships>
</file>

<file path=xl/chartsheets/_rels/sheet45.xml.rels><?xml version="1.0" encoding="UTF-8" standalone="yes"?>
<Relationships xmlns="http://schemas.openxmlformats.org/package/2006/relationships"><Relationship Id="rId1" Type="http://schemas.openxmlformats.org/officeDocument/2006/relationships/drawing" Target="../drawings/drawing47.xml"/></Relationships>
</file>

<file path=xl/chartsheets/_rels/sheet46.xml.rels><?xml version="1.0" encoding="UTF-8" standalone="yes"?>
<Relationships xmlns="http://schemas.openxmlformats.org/package/2006/relationships"><Relationship Id="rId1" Type="http://schemas.openxmlformats.org/officeDocument/2006/relationships/drawing" Target="../drawings/drawing48.xml"/></Relationships>
</file>

<file path=xl/chartsheets/_rels/sheet47.xml.rels><?xml version="1.0" encoding="UTF-8" standalone="yes"?>
<Relationships xmlns="http://schemas.openxmlformats.org/package/2006/relationships"><Relationship Id="rId1" Type="http://schemas.openxmlformats.org/officeDocument/2006/relationships/drawing" Target="../drawings/drawing49.xml"/></Relationships>
</file>

<file path=xl/chartsheets/_rels/sheet48.xml.rels><?xml version="1.0" encoding="UTF-8" standalone="yes"?>
<Relationships xmlns="http://schemas.openxmlformats.org/package/2006/relationships"><Relationship Id="rId1" Type="http://schemas.openxmlformats.org/officeDocument/2006/relationships/drawing" Target="../drawings/drawing50.xml"/></Relationships>
</file>

<file path=xl/chartsheets/_rels/sheet49.xml.rels><?xml version="1.0" encoding="UTF-8" standalone="yes"?>
<Relationships xmlns="http://schemas.openxmlformats.org/package/2006/relationships"><Relationship Id="rId1" Type="http://schemas.openxmlformats.org/officeDocument/2006/relationships/drawing" Target="../drawings/drawing51.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50.xml.rels><?xml version="1.0" encoding="UTF-8" standalone="yes"?>
<Relationships xmlns="http://schemas.openxmlformats.org/package/2006/relationships"><Relationship Id="rId1" Type="http://schemas.openxmlformats.org/officeDocument/2006/relationships/drawing" Target="../drawings/drawing52.xml"/></Relationships>
</file>

<file path=xl/chartsheets/_rels/sheet51.xml.rels><?xml version="1.0" encoding="UTF-8" standalone="yes"?>
<Relationships xmlns="http://schemas.openxmlformats.org/package/2006/relationships"><Relationship Id="rId1" Type="http://schemas.openxmlformats.org/officeDocument/2006/relationships/drawing" Target="../drawings/drawing53.xml"/></Relationships>
</file>

<file path=xl/chartsheets/_rels/sheet52.xml.rels><?xml version="1.0" encoding="UTF-8" standalone="yes"?>
<Relationships xmlns="http://schemas.openxmlformats.org/package/2006/relationships"><Relationship Id="rId1" Type="http://schemas.openxmlformats.org/officeDocument/2006/relationships/drawing" Target="../drawings/drawing54.xml"/></Relationships>
</file>

<file path=xl/chartsheets/_rels/sheet53.xml.rels><?xml version="1.0" encoding="UTF-8" standalone="yes"?>
<Relationships xmlns="http://schemas.openxmlformats.org/package/2006/relationships"><Relationship Id="rId1" Type="http://schemas.openxmlformats.org/officeDocument/2006/relationships/drawing" Target="../drawings/drawing55.xml"/></Relationships>
</file>

<file path=xl/chartsheets/_rels/sheet54.xml.rels><?xml version="1.0" encoding="UTF-8" standalone="yes"?>
<Relationships xmlns="http://schemas.openxmlformats.org/package/2006/relationships"><Relationship Id="rId1" Type="http://schemas.openxmlformats.org/officeDocument/2006/relationships/drawing" Target="../drawings/drawing56.xml"/></Relationships>
</file>

<file path=xl/chartsheets/_rels/sheet55.xml.rels><?xml version="1.0" encoding="UTF-8" standalone="yes"?>
<Relationships xmlns="http://schemas.openxmlformats.org/package/2006/relationships"><Relationship Id="rId1" Type="http://schemas.openxmlformats.org/officeDocument/2006/relationships/drawing" Target="../drawings/drawing57.xml"/></Relationships>
</file>

<file path=xl/chartsheets/_rels/sheet56.xml.rels><?xml version="1.0" encoding="UTF-8" standalone="yes"?>
<Relationships xmlns="http://schemas.openxmlformats.org/package/2006/relationships"><Relationship Id="rId1" Type="http://schemas.openxmlformats.org/officeDocument/2006/relationships/drawing" Target="../drawings/drawing58.xml"/></Relationships>
</file>

<file path=xl/chartsheets/_rels/sheet57.xml.rels><?xml version="1.0" encoding="UTF-8" standalone="yes"?>
<Relationships xmlns="http://schemas.openxmlformats.org/package/2006/relationships"><Relationship Id="rId1" Type="http://schemas.openxmlformats.org/officeDocument/2006/relationships/drawing" Target="../drawings/drawing59.xml"/></Relationships>
</file>

<file path=xl/chartsheets/_rels/sheet58.xml.rels><?xml version="1.0" encoding="UTF-8" standalone="yes"?>
<Relationships xmlns="http://schemas.openxmlformats.org/package/2006/relationships"><Relationship Id="rId1" Type="http://schemas.openxmlformats.org/officeDocument/2006/relationships/drawing" Target="../drawings/drawing60.xml"/></Relationships>
</file>

<file path=xl/chartsheets/_rels/sheet59.xml.rels><?xml version="1.0" encoding="UTF-8" standalone="yes"?>
<Relationships xmlns="http://schemas.openxmlformats.org/package/2006/relationships"><Relationship Id="rId1" Type="http://schemas.openxmlformats.org/officeDocument/2006/relationships/drawing" Target="../drawings/drawing61.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60.xml.rels><?xml version="1.0" encoding="UTF-8" standalone="yes"?>
<Relationships xmlns="http://schemas.openxmlformats.org/package/2006/relationships"><Relationship Id="rId1" Type="http://schemas.openxmlformats.org/officeDocument/2006/relationships/drawing" Target="../drawings/drawing62.xml"/></Relationships>
</file>

<file path=xl/chartsheets/_rels/sheet61.xml.rels><?xml version="1.0" encoding="UTF-8" standalone="yes"?>
<Relationships xmlns="http://schemas.openxmlformats.org/package/2006/relationships"><Relationship Id="rId1" Type="http://schemas.openxmlformats.org/officeDocument/2006/relationships/drawing" Target="../drawings/drawing63.xml"/></Relationships>
</file>

<file path=xl/chartsheets/_rels/sheet62.xml.rels><?xml version="1.0" encoding="UTF-8" standalone="yes"?>
<Relationships xmlns="http://schemas.openxmlformats.org/package/2006/relationships"><Relationship Id="rId1" Type="http://schemas.openxmlformats.org/officeDocument/2006/relationships/drawing" Target="../drawings/drawing64.xml"/></Relationships>
</file>

<file path=xl/chartsheets/_rels/sheet63.xml.rels><?xml version="1.0" encoding="UTF-8" standalone="yes"?>
<Relationships xmlns="http://schemas.openxmlformats.org/package/2006/relationships"><Relationship Id="rId1" Type="http://schemas.openxmlformats.org/officeDocument/2006/relationships/drawing" Target="../drawings/drawing65.xml"/></Relationships>
</file>

<file path=xl/chartsheets/_rels/sheet64.xml.rels><?xml version="1.0" encoding="UTF-8" standalone="yes"?>
<Relationships xmlns="http://schemas.openxmlformats.org/package/2006/relationships"><Relationship Id="rId1" Type="http://schemas.openxmlformats.org/officeDocument/2006/relationships/drawing" Target="../drawings/drawing66.xml"/></Relationships>
</file>

<file path=xl/chartsheets/_rels/sheet65.xml.rels><?xml version="1.0" encoding="UTF-8" standalone="yes"?>
<Relationships xmlns="http://schemas.openxmlformats.org/package/2006/relationships"><Relationship Id="rId1" Type="http://schemas.openxmlformats.org/officeDocument/2006/relationships/drawing" Target="../drawings/drawing67.xml"/></Relationships>
</file>

<file path=xl/chartsheets/_rels/sheet66.xml.rels><?xml version="1.0" encoding="UTF-8" standalone="yes"?>
<Relationships xmlns="http://schemas.openxmlformats.org/package/2006/relationships"><Relationship Id="rId1" Type="http://schemas.openxmlformats.org/officeDocument/2006/relationships/drawing" Target="../drawings/drawing68.xml"/></Relationships>
</file>

<file path=xl/chartsheets/_rels/sheet67.xml.rels><?xml version="1.0" encoding="UTF-8" standalone="yes"?>
<Relationships xmlns="http://schemas.openxmlformats.org/package/2006/relationships"><Relationship Id="rId1" Type="http://schemas.openxmlformats.org/officeDocument/2006/relationships/drawing" Target="../drawings/drawing69.xml"/></Relationships>
</file>

<file path=xl/chartsheets/_rels/sheet68.xml.rels><?xml version="1.0" encoding="UTF-8" standalone="yes"?>
<Relationships xmlns="http://schemas.openxmlformats.org/package/2006/relationships"><Relationship Id="rId1" Type="http://schemas.openxmlformats.org/officeDocument/2006/relationships/drawing" Target="../drawings/drawing70.xml"/></Relationships>
</file>

<file path=xl/chartsheets/_rels/sheet69.xml.rels><?xml version="1.0" encoding="UTF-8" standalone="yes"?>
<Relationships xmlns="http://schemas.openxmlformats.org/package/2006/relationships"><Relationship Id="rId1" Type="http://schemas.openxmlformats.org/officeDocument/2006/relationships/drawing" Target="../drawings/drawing71.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70.xml.rels><?xml version="1.0" encoding="UTF-8" standalone="yes"?>
<Relationships xmlns="http://schemas.openxmlformats.org/package/2006/relationships"><Relationship Id="rId1" Type="http://schemas.openxmlformats.org/officeDocument/2006/relationships/drawing" Target="../drawings/drawing72.xml"/></Relationships>
</file>

<file path=xl/chartsheets/_rels/sheet71.xml.rels><?xml version="1.0" encoding="UTF-8" standalone="yes"?>
<Relationships xmlns="http://schemas.openxmlformats.org/package/2006/relationships"><Relationship Id="rId1" Type="http://schemas.openxmlformats.org/officeDocument/2006/relationships/drawing" Target="../drawings/drawing73.xml"/></Relationships>
</file>

<file path=xl/chartsheets/_rels/sheet72.xml.rels><?xml version="1.0" encoding="UTF-8" standalone="yes"?>
<Relationships xmlns="http://schemas.openxmlformats.org/package/2006/relationships"><Relationship Id="rId1" Type="http://schemas.openxmlformats.org/officeDocument/2006/relationships/drawing" Target="../drawings/drawing74.xml"/></Relationships>
</file>

<file path=xl/chartsheets/_rels/sheet73.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25.bin"/></Relationships>
</file>

<file path=xl/chartsheets/_rels/sheet74.xml.rels><?xml version="1.0" encoding="UTF-8" standalone="yes"?>
<Relationships xmlns="http://schemas.openxmlformats.org/package/2006/relationships"><Relationship Id="rId1" Type="http://schemas.openxmlformats.org/officeDocument/2006/relationships/drawing" Target="../drawings/drawing77.xml"/></Relationships>
</file>

<file path=xl/chartsheets/_rels/sheet75.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26.bin"/></Relationships>
</file>

<file path=xl/chartsheets/_rels/sheet76.xml.rels><?xml version="1.0" encoding="UTF-8" standalone="yes"?>
<Relationships xmlns="http://schemas.openxmlformats.org/package/2006/relationships"><Relationship Id="rId1" Type="http://schemas.openxmlformats.org/officeDocument/2006/relationships/drawing" Target="../drawings/drawing79.xml"/></Relationships>
</file>

<file path=xl/chartsheets/_rels/sheet77.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27.bin"/></Relationships>
</file>

<file path=xl/chartsheets/_rels/sheet78.xml.rels><?xml version="1.0" encoding="UTF-8" standalone="yes"?>
<Relationships xmlns="http://schemas.openxmlformats.org/package/2006/relationships"><Relationship Id="rId1" Type="http://schemas.openxmlformats.org/officeDocument/2006/relationships/drawing" Target="../drawings/drawing81.xml"/></Relationships>
</file>

<file path=xl/chartsheets/_rels/sheet79.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28.bin"/></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80.xml.rels><?xml version="1.0" encoding="UTF-8" standalone="yes"?>
<Relationships xmlns="http://schemas.openxmlformats.org/package/2006/relationships"><Relationship Id="rId1" Type="http://schemas.openxmlformats.org/officeDocument/2006/relationships/drawing" Target="../drawings/drawing83.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900-000000000000}">
  <sheetPr codeName="Chart1"/>
  <sheetViews>
    <sheetView zoomScale="120" workbookViewId="0"/>
  </sheetViews>
  <pageMargins left="0.75" right="0.75" top="1" bottom="1" header="0.5" footer="0.5"/>
  <pageSetup orientation="landscape" horizontalDpi="300" verticalDpi="300" r:id="rId1"/>
  <headerFooter alignWithMargins="0"/>
  <drawing r:id="rId2"/>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200-000000000000}">
  <sheetPr codeName="Chart10"/>
  <sheetViews>
    <sheetView zoomScale="110" workbookViewId="0"/>
  </sheetViews>
  <pageMargins left="0.75" right="0.75" top="1" bottom="1" header="0.5" footer="0.5"/>
  <headerFooter alignWithMargins="0"/>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300-000000000000}">
  <sheetPr codeName="Chart11"/>
  <sheetViews>
    <sheetView zoomScale="110" workbookViewId="0"/>
  </sheetViews>
  <pageMargins left="0.75" right="0.75" top="1" bottom="1" header="0.5" footer="0.5"/>
  <headerFooter alignWithMargins="0"/>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400-000000000000}">
  <sheetPr codeName="Chart12"/>
  <sheetViews>
    <sheetView zoomScale="110" workbookViewId="0"/>
  </sheetViews>
  <pageMargins left="0.75" right="0.75" top="1" bottom="1" header="0.5" footer="0.5"/>
  <headerFooter alignWithMargins="0"/>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500-000000000000}">
  <sheetPr codeName="Chart13"/>
  <sheetViews>
    <sheetView zoomScale="110" workbookViewId="0"/>
  </sheetViews>
  <pageMargins left="0.75" right="0.75" top="1" bottom="1" header="0.5" footer="0.5"/>
  <headerFooter alignWithMargins="0"/>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600-000000000000}">
  <sheetPr codeName="Chart14"/>
  <sheetViews>
    <sheetView zoomScale="110" workbookViewId="0"/>
  </sheetViews>
  <pageMargins left="0.75" right="0.75" top="1" bottom="1" header="0.5" footer="0.5"/>
  <headerFooter alignWithMargins="0"/>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700-000000000000}">
  <sheetPr codeName="Chart15"/>
  <sheetViews>
    <sheetView zoomScale="110" workbookViewId="0"/>
  </sheetViews>
  <pageMargins left="0.75" right="0.75" top="1" bottom="1" header="0.5" footer="0.5"/>
  <headerFooter alignWithMargins="0"/>
  <drawing r:id="rId1"/>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800-000000000000}">
  <sheetPr codeName="Chart16"/>
  <sheetViews>
    <sheetView zoomScale="110" workbookViewId="0"/>
  </sheetViews>
  <pageMargins left="0.75" right="0.75" top="1" bottom="1" header="0.5" footer="0.5"/>
  <headerFooter alignWithMargins="0"/>
  <drawing r:id="rId1"/>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codeName="Chart17"/>
  <sheetViews>
    <sheetView zoomScale="110" workbookViewId="0"/>
  </sheetViews>
  <pageMargins left="0.75" right="0.75" top="1" bottom="1" header="0.5" footer="0.5"/>
  <headerFooter alignWithMargins="0"/>
  <drawing r:id="rId1"/>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A00-000000000000}">
  <sheetPr codeName="Chart18"/>
  <sheetViews>
    <sheetView zoomScale="110" workbookViewId="0"/>
  </sheetViews>
  <pageMargins left="0.75" right="0.75" top="1" bottom="1" header="0.5" footer="0.5"/>
  <headerFooter alignWithMargins="0"/>
  <drawing r:id="rId1"/>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B00-000000000000}">
  <sheetPr codeName="Chart19"/>
  <sheetViews>
    <sheetView zoomScale="110" workbookViewId="0"/>
  </sheetViews>
  <pageMargins left="0.75" right="0.75" top="1" bottom="1" header="0.5" footer="0.5"/>
  <headerFooter alignWithMargins="0"/>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codeName="Chart2"/>
  <sheetViews>
    <sheetView zoomScale="110" workbookViewId="0"/>
  </sheetViews>
  <pageMargins left="0.75" right="0.75" top="1" bottom="1" header="0.5" footer="0.5"/>
  <headerFooter alignWithMargins="0"/>
  <drawing r:id="rId1"/>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C00-000000000000}">
  <sheetPr codeName="Chart20"/>
  <sheetViews>
    <sheetView zoomScale="110" workbookViewId="0"/>
  </sheetViews>
  <pageMargins left="0.75" right="0.75" top="1" bottom="1" header="0.5" footer="0.5"/>
  <headerFooter alignWithMargins="0"/>
  <drawing r:id="rId1"/>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D00-000000000000}">
  <sheetPr codeName="Chart21"/>
  <sheetViews>
    <sheetView zoomScale="110" workbookViewId="0"/>
  </sheetViews>
  <pageMargins left="0.75" right="0.75" top="1" bottom="1" header="0.5" footer="0.5"/>
  <headerFooter alignWithMargins="0"/>
  <drawing r:id="rId1"/>
</chartsheet>
</file>

<file path=xl/chartsheets/sheet2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E00-000000000000}">
  <sheetPr codeName="Chart22"/>
  <sheetViews>
    <sheetView zoomScale="110" workbookViewId="0"/>
  </sheetViews>
  <pageMargins left="0.75" right="0.75" top="1" bottom="1" header="0.5" footer="0.5"/>
  <headerFooter alignWithMargins="0"/>
  <drawing r:id="rId1"/>
</chartsheet>
</file>

<file path=xl/chartsheets/sheet2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F00-000000000000}">
  <sheetPr codeName="Chart23"/>
  <sheetViews>
    <sheetView zoomScale="110" workbookViewId="0"/>
  </sheetViews>
  <pageMargins left="0.75" right="0.75" top="1" bottom="1" header="0.5" footer="0.5"/>
  <headerFooter alignWithMargins="0"/>
  <drawing r:id="rId1"/>
</chartsheet>
</file>

<file path=xl/chartsheets/sheet2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000-000000000000}">
  <sheetPr codeName="Chart24"/>
  <sheetViews>
    <sheetView zoomScale="110" workbookViewId="0"/>
  </sheetViews>
  <pageMargins left="0.75" right="0.75" top="1" bottom="1" header="0.5" footer="0.5"/>
  <headerFooter alignWithMargins="0"/>
  <drawing r:id="rId1"/>
</chartsheet>
</file>

<file path=xl/chartsheets/sheet2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100-000000000000}">
  <sheetPr codeName="Chart25"/>
  <sheetViews>
    <sheetView zoomScale="110" workbookViewId="0"/>
  </sheetViews>
  <pageMargins left="0.75" right="0.75" top="1" bottom="1" header="0.5" footer="0.5"/>
  <headerFooter alignWithMargins="0"/>
  <drawing r:id="rId1"/>
</chartsheet>
</file>

<file path=xl/chartsheets/sheet2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200-000000000000}">
  <sheetPr codeName="Chart26"/>
  <sheetViews>
    <sheetView zoomScale="110" workbookViewId="0"/>
  </sheetViews>
  <pageMargins left="0.75" right="0.75" top="1" bottom="1" header="0.5" footer="0.5"/>
  <headerFooter alignWithMargins="0"/>
  <drawing r:id="rId1"/>
</chartsheet>
</file>

<file path=xl/chartsheets/sheet2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300-000000000000}">
  <sheetPr codeName="Chart27"/>
  <sheetViews>
    <sheetView zoomScale="110" workbookViewId="0"/>
  </sheetViews>
  <pageMargins left="0.75" right="0.75" top="1" bottom="1" header="0.5" footer="0.5"/>
  <headerFooter alignWithMargins="0"/>
  <drawing r:id="rId1"/>
</chartsheet>
</file>

<file path=xl/chartsheets/sheet2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400-000000000000}">
  <sheetPr codeName="Chart28"/>
  <sheetViews>
    <sheetView zoomScale="110" workbookViewId="0"/>
  </sheetViews>
  <pageMargins left="0.75" right="0.75" top="1" bottom="1" header="0.5" footer="0.5"/>
  <headerFooter alignWithMargins="0"/>
  <drawing r:id="rId1"/>
</chartsheet>
</file>

<file path=xl/chartsheets/sheet2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500-000000000000}">
  <sheetPr codeName="Chart29"/>
  <sheetViews>
    <sheetView zoomScale="110" workbookViewId="0"/>
  </sheetViews>
  <pageMargins left="0.75" right="0.75" top="1" bottom="1" header="0.5" footer="0.5"/>
  <headerFooter alignWithMargins="0"/>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B00-000000000000}">
  <sheetPr codeName="Chart3"/>
  <sheetViews>
    <sheetView zoomScale="110" workbookViewId="0"/>
  </sheetViews>
  <pageMargins left="0.75" right="0.75" top="1" bottom="1" header="0.5" footer="0.5"/>
  <headerFooter alignWithMargins="0"/>
  <drawing r:id="rId1"/>
</chartsheet>
</file>

<file path=xl/chartsheets/sheet3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600-000000000000}">
  <sheetPr codeName="Chart30"/>
  <sheetViews>
    <sheetView zoomScale="110" workbookViewId="0"/>
  </sheetViews>
  <pageMargins left="0.75" right="0.75" top="1" bottom="1" header="0.5" footer="0.5"/>
  <headerFooter alignWithMargins="0"/>
  <drawing r:id="rId1"/>
</chartsheet>
</file>

<file path=xl/chartsheets/sheet3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700-000000000000}">
  <sheetPr codeName="Chart31"/>
  <sheetViews>
    <sheetView zoomScale="110" workbookViewId="0"/>
  </sheetViews>
  <pageMargins left="0.75" right="0.75" top="1" bottom="1" header="0.5" footer="0.5"/>
  <headerFooter alignWithMargins="0"/>
  <drawing r:id="rId1"/>
</chartsheet>
</file>

<file path=xl/chartsheets/sheet3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800-000000000000}">
  <sheetPr codeName="Chart32"/>
  <sheetViews>
    <sheetView zoomScale="110" workbookViewId="0"/>
  </sheetViews>
  <pageMargins left="0.75" right="0.75" top="1" bottom="1" header="0.5" footer="0.5"/>
  <headerFooter alignWithMargins="0"/>
  <drawing r:id="rId1"/>
</chartsheet>
</file>

<file path=xl/chartsheets/sheet3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900-000000000000}">
  <sheetPr codeName="Chart33"/>
  <sheetViews>
    <sheetView zoomScale="110" workbookViewId="0"/>
  </sheetViews>
  <pageMargins left="0.75" right="0.75" top="1" bottom="1" header="0.5" footer="0.5"/>
  <headerFooter alignWithMargins="0"/>
  <drawing r:id="rId1"/>
</chartsheet>
</file>

<file path=xl/chartsheets/sheet3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A00-000000000000}">
  <sheetPr codeName="Chart34"/>
  <sheetViews>
    <sheetView zoomScale="110" workbookViewId="0"/>
  </sheetViews>
  <pageMargins left="0.75" right="0.75" top="1" bottom="1" header="0.5" footer="0.5"/>
  <headerFooter alignWithMargins="0"/>
  <drawing r:id="rId1"/>
</chartsheet>
</file>

<file path=xl/chartsheets/sheet3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B00-000000000000}">
  <sheetPr codeName="Chart35"/>
  <sheetViews>
    <sheetView zoomScale="110" workbookViewId="0"/>
  </sheetViews>
  <pageMargins left="0.75" right="0.75" top="1" bottom="1" header="0.5" footer="0.5"/>
  <headerFooter alignWithMargins="0"/>
  <drawing r:id="rId1"/>
</chartsheet>
</file>

<file path=xl/chartsheets/sheet3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C00-000000000000}">
  <sheetPr codeName="Chart36"/>
  <sheetViews>
    <sheetView zoomScale="110" workbookViewId="0"/>
  </sheetViews>
  <pageMargins left="0.75" right="0.75" top="1" bottom="1" header="0.5" footer="0.5"/>
  <headerFooter alignWithMargins="0"/>
  <drawing r:id="rId1"/>
</chartsheet>
</file>

<file path=xl/chartsheets/sheet3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D00-000000000000}">
  <sheetPr codeName="Chart37"/>
  <sheetViews>
    <sheetView zoomScale="110" workbookViewId="0"/>
  </sheetViews>
  <pageMargins left="0.75" right="0.75" top="1" bottom="1" header="0.5" footer="0.5"/>
  <headerFooter alignWithMargins="0"/>
  <drawing r:id="rId1"/>
</chartsheet>
</file>

<file path=xl/chartsheets/sheet3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E00-000000000000}">
  <sheetPr codeName="Chart38"/>
  <sheetViews>
    <sheetView zoomScale="110" workbookViewId="0"/>
  </sheetViews>
  <pageMargins left="0.75" right="0.75" top="1" bottom="1" header="0.5" footer="0.5"/>
  <headerFooter alignWithMargins="0"/>
  <drawing r:id="rId1"/>
</chartsheet>
</file>

<file path=xl/chartsheets/sheet3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F00-000000000000}">
  <sheetPr codeName="Chart39"/>
  <sheetViews>
    <sheetView zoomScale="110" workbookViewId="0"/>
  </sheetViews>
  <pageMargins left="0.75" right="0.75" top="1" bottom="1" header="0.5" footer="0.5"/>
  <headerFooter alignWithMargins="0"/>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codeName="Chart4"/>
  <sheetViews>
    <sheetView zoomScale="110" workbookViewId="0"/>
  </sheetViews>
  <pageMargins left="0.75" right="0.75" top="1" bottom="1" header="0.5" footer="0.5"/>
  <headerFooter alignWithMargins="0"/>
  <drawing r:id="rId1"/>
</chartsheet>
</file>

<file path=xl/chartsheets/sheet4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4000-000000000000}">
  <sheetPr codeName="Chart40"/>
  <sheetViews>
    <sheetView zoomScale="110" workbookViewId="0"/>
  </sheetViews>
  <pageMargins left="0.75" right="0.75" top="1" bottom="1" header="0.5" footer="0.5"/>
  <headerFooter alignWithMargins="0"/>
  <drawing r:id="rId1"/>
</chartsheet>
</file>

<file path=xl/chartsheets/sheet4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4100-000000000000}">
  <sheetPr codeName="Chart41"/>
  <sheetViews>
    <sheetView zoomScale="110" workbookViewId="0"/>
  </sheetViews>
  <pageMargins left="0.75" right="0.75" top="1" bottom="1" header="0.5" footer="0.5"/>
  <headerFooter alignWithMargins="0"/>
  <drawing r:id="rId1"/>
</chartsheet>
</file>

<file path=xl/chartsheets/sheet4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4200-000000000000}">
  <sheetPr codeName="Chart42"/>
  <sheetViews>
    <sheetView zoomScale="110" workbookViewId="0"/>
  </sheetViews>
  <pageMargins left="0.75" right="0.75" top="1" bottom="1" header="0.5" footer="0.5"/>
  <headerFooter alignWithMargins="0"/>
  <drawing r:id="rId1"/>
</chartsheet>
</file>

<file path=xl/chartsheets/sheet4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4300-000000000000}">
  <sheetPr codeName="Chart43"/>
  <sheetViews>
    <sheetView zoomScale="110" workbookViewId="0"/>
  </sheetViews>
  <pageMargins left="0.75" right="0.75" top="1" bottom="1" header="0.5" footer="0.5"/>
  <headerFooter alignWithMargins="0"/>
  <drawing r:id="rId1"/>
</chartsheet>
</file>

<file path=xl/chartsheets/sheet4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4400-000000000000}">
  <sheetPr codeName="Chart44"/>
  <sheetViews>
    <sheetView zoomScale="110" workbookViewId="0"/>
  </sheetViews>
  <pageMargins left="0.75" right="0.75" top="1" bottom="1" header="0.5" footer="0.5"/>
  <headerFooter alignWithMargins="0"/>
  <drawing r:id="rId1"/>
</chartsheet>
</file>

<file path=xl/chartsheets/sheet4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4500-000000000000}">
  <sheetPr codeName="Chart45"/>
  <sheetViews>
    <sheetView zoomScale="110" workbookViewId="0"/>
  </sheetViews>
  <pageMargins left="0.75" right="0.75" top="1" bottom="1" header="0.5" footer="0.5"/>
  <headerFooter alignWithMargins="0"/>
  <drawing r:id="rId1"/>
</chartsheet>
</file>

<file path=xl/chartsheets/sheet4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4600-000000000000}">
  <sheetPr codeName="Chart46"/>
  <sheetViews>
    <sheetView zoomScale="110" workbookViewId="0"/>
  </sheetViews>
  <pageMargins left="0.75" right="0.75" top="1" bottom="1" header="0.5" footer="0.5"/>
  <headerFooter alignWithMargins="0"/>
  <drawing r:id="rId1"/>
</chartsheet>
</file>

<file path=xl/chartsheets/sheet4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4700-000000000000}">
  <sheetPr codeName="Chart47"/>
  <sheetViews>
    <sheetView zoomScale="110" workbookViewId="0"/>
  </sheetViews>
  <pageMargins left="0.75" right="0.75" top="1" bottom="1" header="0.5" footer="0.5"/>
  <headerFooter alignWithMargins="0"/>
  <drawing r:id="rId1"/>
</chartsheet>
</file>

<file path=xl/chartsheets/sheet4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4800-000000000000}">
  <sheetPr codeName="Chart48"/>
  <sheetViews>
    <sheetView zoomScale="110" workbookViewId="0"/>
  </sheetViews>
  <pageMargins left="0.75" right="0.75" top="1" bottom="1" header="0.5" footer="0.5"/>
  <headerFooter alignWithMargins="0"/>
  <drawing r:id="rId1"/>
</chartsheet>
</file>

<file path=xl/chartsheets/sheet4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4900-000000000000}">
  <sheetPr codeName="Chart49"/>
  <sheetViews>
    <sheetView zoomScale="110" workbookViewId="0"/>
  </sheetViews>
  <pageMargins left="0.75" right="0.75" top="1" bottom="1" header="0.5" footer="0.5"/>
  <headerFooter alignWithMargins="0"/>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D00-000000000000}">
  <sheetPr codeName="Chart5"/>
  <sheetViews>
    <sheetView zoomScale="110" workbookViewId="0"/>
  </sheetViews>
  <pageMargins left="0.75" right="0.75" top="1" bottom="1" header="0.5" footer="0.5"/>
  <headerFooter alignWithMargins="0"/>
  <drawing r:id="rId1"/>
</chartsheet>
</file>

<file path=xl/chartsheets/sheet5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4A00-000000000000}">
  <sheetPr codeName="Chart50"/>
  <sheetViews>
    <sheetView zoomScale="110" workbookViewId="0"/>
  </sheetViews>
  <pageMargins left="0.75" right="0.75" top="1" bottom="1" header="0.5" footer="0.5"/>
  <headerFooter alignWithMargins="0"/>
  <drawing r:id="rId1"/>
</chartsheet>
</file>

<file path=xl/chartsheets/sheet5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4B00-000000000000}">
  <sheetPr codeName="Chart51"/>
  <sheetViews>
    <sheetView zoomScale="110" workbookViewId="0"/>
  </sheetViews>
  <pageMargins left="0.75" right="0.75" top="1" bottom="1" header="0.5" footer="0.5"/>
  <headerFooter alignWithMargins="0"/>
  <drawing r:id="rId1"/>
</chartsheet>
</file>

<file path=xl/chartsheets/sheet5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4C00-000000000000}">
  <sheetPr codeName="Chart52"/>
  <sheetViews>
    <sheetView zoomScale="110" workbookViewId="0"/>
  </sheetViews>
  <pageMargins left="0.75" right="0.75" top="1" bottom="1" header="0.5" footer="0.5"/>
  <headerFooter alignWithMargins="0"/>
  <drawing r:id="rId1"/>
</chartsheet>
</file>

<file path=xl/chartsheets/sheet5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4D00-000000000000}">
  <sheetPr codeName="Chart53"/>
  <sheetViews>
    <sheetView zoomScale="110" workbookViewId="0"/>
  </sheetViews>
  <pageMargins left="0.75" right="0.75" top="1" bottom="1" header="0.5" footer="0.5"/>
  <headerFooter alignWithMargins="0"/>
  <drawing r:id="rId1"/>
</chartsheet>
</file>

<file path=xl/chartsheets/sheet5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4E00-000000000000}">
  <sheetPr codeName="Chart54"/>
  <sheetViews>
    <sheetView zoomScale="110" workbookViewId="0"/>
  </sheetViews>
  <pageMargins left="0.75" right="0.75" top="1" bottom="1" header="0.5" footer="0.5"/>
  <headerFooter alignWithMargins="0"/>
  <drawing r:id="rId1"/>
</chartsheet>
</file>

<file path=xl/chartsheets/sheet5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4F00-000000000000}">
  <sheetPr codeName="Chart55"/>
  <sheetViews>
    <sheetView zoomScale="110" workbookViewId="0"/>
  </sheetViews>
  <pageMargins left="0.75" right="0.75" top="1" bottom="1" header="0.5" footer="0.5"/>
  <headerFooter alignWithMargins="0"/>
  <drawing r:id="rId1"/>
</chartsheet>
</file>

<file path=xl/chartsheets/sheet5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5000-000000000000}">
  <sheetPr codeName="Chart56"/>
  <sheetViews>
    <sheetView zoomScale="110" workbookViewId="0"/>
  </sheetViews>
  <pageMargins left="0.75" right="0.75" top="1" bottom="1" header="0.5" footer="0.5"/>
  <headerFooter alignWithMargins="0"/>
  <drawing r:id="rId1"/>
</chartsheet>
</file>

<file path=xl/chartsheets/sheet5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5100-000000000000}">
  <sheetPr codeName="Chart57"/>
  <sheetViews>
    <sheetView zoomScale="110" workbookViewId="0"/>
  </sheetViews>
  <pageMargins left="0.75" right="0.75" top="1" bottom="1" header="0.5" footer="0.5"/>
  <headerFooter alignWithMargins="0"/>
  <drawing r:id="rId1"/>
</chartsheet>
</file>

<file path=xl/chartsheets/sheet5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5200-000000000000}">
  <sheetPr codeName="Chart58"/>
  <sheetViews>
    <sheetView zoomScale="110" workbookViewId="0"/>
  </sheetViews>
  <pageMargins left="0.75" right="0.75" top="1" bottom="1" header="0.5" footer="0.5"/>
  <headerFooter alignWithMargins="0"/>
  <drawing r:id="rId1"/>
</chartsheet>
</file>

<file path=xl/chartsheets/sheet5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5300-000000000000}">
  <sheetPr codeName="Chart59"/>
  <sheetViews>
    <sheetView zoomScale="110" workbookViewId="0"/>
  </sheetViews>
  <pageMargins left="0.75" right="0.75" top="1" bottom="1" header="0.5" footer="0.5"/>
  <headerFooter alignWithMargins="0"/>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codeName="Chart6"/>
  <sheetViews>
    <sheetView zoomScale="110" workbookViewId="0"/>
  </sheetViews>
  <pageMargins left="0.75" right="0.75" top="1" bottom="1" header="0.5" footer="0.5"/>
  <headerFooter alignWithMargins="0"/>
  <drawing r:id="rId1"/>
</chartsheet>
</file>

<file path=xl/chartsheets/sheet6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5400-000000000000}">
  <sheetPr codeName="Chart60"/>
  <sheetViews>
    <sheetView zoomScale="110" workbookViewId="0"/>
  </sheetViews>
  <pageMargins left="0.75" right="0.75" top="1" bottom="1" header="0.5" footer="0.5"/>
  <headerFooter alignWithMargins="0"/>
  <drawing r:id="rId1"/>
</chartsheet>
</file>

<file path=xl/chartsheets/sheet6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5500-000000000000}">
  <sheetPr codeName="Chart61"/>
  <sheetViews>
    <sheetView zoomScale="110" workbookViewId="0"/>
  </sheetViews>
  <pageMargins left="0.75" right="0.75" top="1" bottom="1" header="0.5" footer="0.5"/>
  <headerFooter alignWithMargins="0"/>
  <drawing r:id="rId1"/>
</chartsheet>
</file>

<file path=xl/chartsheets/sheet6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5600-000000000000}">
  <sheetPr codeName="Chart62"/>
  <sheetViews>
    <sheetView zoomScale="110" workbookViewId="0"/>
  </sheetViews>
  <pageMargins left="0.75" right="0.75" top="1" bottom="1" header="0.5" footer="0.5"/>
  <headerFooter alignWithMargins="0"/>
  <drawing r:id="rId1"/>
</chartsheet>
</file>

<file path=xl/chartsheets/sheet6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5700-000000000000}">
  <sheetPr codeName="Chart63"/>
  <sheetViews>
    <sheetView zoomScale="110" workbookViewId="0"/>
  </sheetViews>
  <pageMargins left="0.75" right="0.75" top="1" bottom="1" header="0.5" footer="0.5"/>
  <headerFooter alignWithMargins="0"/>
  <drawing r:id="rId1"/>
</chartsheet>
</file>

<file path=xl/chartsheets/sheet6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5800-000000000000}">
  <sheetPr codeName="Chart64"/>
  <sheetViews>
    <sheetView zoomScale="110" workbookViewId="0"/>
  </sheetViews>
  <pageMargins left="0.75" right="0.75" top="1" bottom="1" header="0.5" footer="0.5"/>
  <headerFooter alignWithMargins="0"/>
  <drawing r:id="rId1"/>
</chartsheet>
</file>

<file path=xl/chartsheets/sheet6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5900-000000000000}">
  <sheetPr codeName="Chart65"/>
  <sheetViews>
    <sheetView zoomScale="110" workbookViewId="0"/>
  </sheetViews>
  <pageMargins left="0.75" right="0.75" top="1" bottom="1" header="0.5" footer="0.5"/>
  <headerFooter alignWithMargins="0"/>
  <drawing r:id="rId1"/>
</chartsheet>
</file>

<file path=xl/chartsheets/sheet6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5A00-000000000000}">
  <sheetPr codeName="Chart66"/>
  <sheetViews>
    <sheetView zoomScale="110" workbookViewId="0"/>
  </sheetViews>
  <pageMargins left="0.75" right="0.75" top="1" bottom="1" header="0.5" footer="0.5"/>
  <headerFooter alignWithMargins="0"/>
  <drawing r:id="rId1"/>
</chartsheet>
</file>

<file path=xl/chartsheets/sheet6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5B00-000000000000}">
  <sheetPr codeName="Chart67"/>
  <sheetViews>
    <sheetView zoomScale="110" workbookViewId="0"/>
  </sheetViews>
  <pageMargins left="0.75" right="0.75" top="1" bottom="1" header="0.5" footer="0.5"/>
  <headerFooter alignWithMargins="0"/>
  <drawing r:id="rId1"/>
</chartsheet>
</file>

<file path=xl/chartsheets/sheet6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5C00-000000000000}">
  <sheetPr codeName="Chart68"/>
  <sheetViews>
    <sheetView zoomScale="110" workbookViewId="0"/>
  </sheetViews>
  <pageMargins left="0.75" right="0.75" top="1" bottom="1" header="0.5" footer="0.5"/>
  <headerFooter alignWithMargins="0"/>
  <drawing r:id="rId1"/>
</chartsheet>
</file>

<file path=xl/chartsheets/sheet6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5D00-000000000000}">
  <sheetPr codeName="Chart69"/>
  <sheetViews>
    <sheetView zoomScale="110" workbookViewId="0"/>
  </sheetViews>
  <pageMargins left="0.75" right="0.75" top="1" bottom="1" header="0.5" footer="0.5"/>
  <headerFooter alignWithMargins="0"/>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F00-000000000000}">
  <sheetPr codeName="Chart7"/>
  <sheetViews>
    <sheetView zoomScale="110" workbookViewId="0"/>
  </sheetViews>
  <pageMargins left="0.75" right="0.75" top="1" bottom="1" header="0.5" footer="0.5"/>
  <headerFooter alignWithMargins="0"/>
  <drawing r:id="rId1"/>
</chartsheet>
</file>

<file path=xl/chartsheets/sheet7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5E00-000000000000}">
  <sheetPr codeName="Chart70"/>
  <sheetViews>
    <sheetView zoomScale="110" workbookViewId="0"/>
  </sheetViews>
  <pageMargins left="0.75" right="0.75" top="1" bottom="1" header="0.5" footer="0.5"/>
  <headerFooter alignWithMargins="0"/>
  <drawing r:id="rId1"/>
</chartsheet>
</file>

<file path=xl/chartsheets/sheet7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5F00-000000000000}">
  <sheetPr codeName="Chart71"/>
  <sheetViews>
    <sheetView zoomScale="110" workbookViewId="0"/>
  </sheetViews>
  <pageMargins left="0.75" right="0.75" top="1" bottom="1" header="0.5" footer="0.5"/>
  <headerFooter alignWithMargins="0"/>
  <drawing r:id="rId1"/>
</chartsheet>
</file>

<file path=xl/chartsheets/sheet7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6000-000000000000}">
  <sheetPr codeName="Chart72"/>
  <sheetViews>
    <sheetView zoomScale="110" workbookViewId="0"/>
  </sheetViews>
  <pageMargins left="0.75" right="0.75" top="1" bottom="1" header="0.5" footer="0.5"/>
  <headerFooter alignWithMargins="0"/>
  <drawing r:id="rId1"/>
</chartsheet>
</file>

<file path=xl/chartsheets/sheet7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6100-000000000000}">
  <sheetPr codeName="Chart73"/>
  <sheetViews>
    <sheetView zoomScale="110" workbookViewId="0"/>
  </sheetViews>
  <pageMargins left="0.75" right="0.75" top="1" bottom="1" header="0.5" footer="0.5"/>
  <pageSetup orientation="landscape" horizontalDpi="4294967293" verticalDpi="300" r:id="rId1"/>
  <headerFooter alignWithMargins="0"/>
  <drawing r:id="rId2"/>
</chartsheet>
</file>

<file path=xl/chartsheets/sheet7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6200-000000000000}">
  <sheetPr codeName="Chart74"/>
  <sheetViews>
    <sheetView zoomScale="110" workbookViewId="0"/>
  </sheetViews>
  <pageMargins left="0.75" right="0.75" top="1" bottom="1" header="0.5" footer="0.5"/>
  <headerFooter alignWithMargins="0"/>
  <drawing r:id="rId1"/>
</chartsheet>
</file>

<file path=xl/chartsheets/sheet7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6300-000000000000}">
  <sheetPr codeName="Chart75"/>
  <sheetViews>
    <sheetView zoomScale="110" workbookViewId="0"/>
  </sheetViews>
  <pageMargins left="0.75" right="0.75" top="1" bottom="1" header="0.5" footer="0.5"/>
  <pageSetup orientation="landscape" horizontalDpi="4294967293" verticalDpi="300" r:id="rId1"/>
  <headerFooter alignWithMargins="0"/>
  <drawing r:id="rId2"/>
</chartsheet>
</file>

<file path=xl/chartsheets/sheet7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6400-000000000000}">
  <sheetPr codeName="Chart76"/>
  <sheetViews>
    <sheetView workbookViewId="0"/>
  </sheetViews>
  <pageMargins left="0.75" right="0.75" top="1" bottom="1" header="0.5" footer="0.5"/>
  <headerFooter alignWithMargins="0"/>
  <drawing r:id="rId1"/>
</chartsheet>
</file>

<file path=xl/chartsheets/sheet7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6500-000000000000}">
  <sheetPr codeName="Chart77"/>
  <sheetViews>
    <sheetView zoomScale="110" workbookViewId="0"/>
  </sheetViews>
  <pageMargins left="0.75" right="0.75" top="1" bottom="1" header="0.5" footer="0.5"/>
  <pageSetup orientation="landscape" horizontalDpi="4294967293" verticalDpi="300" r:id="rId1"/>
  <headerFooter alignWithMargins="0"/>
  <drawing r:id="rId2"/>
</chartsheet>
</file>

<file path=xl/chartsheets/sheet7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6600-000000000000}">
  <sheetPr codeName="Chart78"/>
  <sheetViews>
    <sheetView zoomScale="110" workbookViewId="0"/>
  </sheetViews>
  <pageMargins left="0.75" right="0.75" top="1" bottom="1" header="0.5" footer="0.5"/>
  <headerFooter alignWithMargins="0"/>
  <drawing r:id="rId1"/>
</chartsheet>
</file>

<file path=xl/chartsheets/sheet7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6700-000000000000}">
  <sheetPr codeName="Chart79"/>
  <sheetViews>
    <sheetView zoomScale="110" workbookViewId="0"/>
  </sheetViews>
  <pageMargins left="0.75" right="0.75" top="1" bottom="1" header="0.5" footer="0.5"/>
  <pageSetup orientation="landscape" horizontalDpi="4294967293" verticalDpi="300" r:id="rId1"/>
  <headerFooter alignWithMargins="0"/>
  <drawing r:id="rId2"/>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codeName="Chart8"/>
  <sheetViews>
    <sheetView zoomScale="110" workbookViewId="0"/>
  </sheetViews>
  <pageMargins left="0.75" right="0.75" top="1" bottom="1" header="0.5" footer="0.5"/>
  <headerFooter alignWithMargins="0"/>
  <drawing r:id="rId1"/>
</chartsheet>
</file>

<file path=xl/chartsheets/sheet8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6800-000000000000}">
  <sheetPr codeName="Chart80"/>
  <sheetViews>
    <sheetView zoomScale="110" workbookViewId="0"/>
  </sheetViews>
  <pageMargins left="0.75" right="0.75" top="1" bottom="1" header="0.5" footer="0.5"/>
  <headerFooter alignWithMargins="0"/>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100-000000000000}">
  <sheetPr codeName="Chart9"/>
  <sheetViews>
    <sheetView zoomScale="110" workbookViewId="0"/>
  </sheetViews>
  <pageMargins left="0.75" right="0.75" top="1" bottom="1" header="0.5" footer="0.5"/>
  <headerFooter alignWithMargins="0"/>
  <drawing r:id="rId1"/>
</chartsheet>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104775</xdr:rowOff>
    </xdr:from>
    <xdr:to>
      <xdr:col>2</xdr:col>
      <xdr:colOff>434340</xdr:colOff>
      <xdr:row>3</xdr:row>
      <xdr:rowOff>38100</xdr:rowOff>
    </xdr:to>
    <xdr:pic>
      <xdr:nvPicPr>
        <xdr:cNvPr id="8229" name="Picture 22" descr="U S D A and Rural Development Logos">
          <a:extLst>
            <a:ext uri="{FF2B5EF4-FFF2-40B4-BE49-F238E27FC236}">
              <a16:creationId xmlns:a16="http://schemas.microsoft.com/office/drawing/2014/main" id="{00000000-0008-0000-0000-000025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025" y="104775"/>
          <a:ext cx="1457325" cy="6667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6</xdr:col>
          <xdr:colOff>57150</xdr:colOff>
          <xdr:row>4</xdr:row>
          <xdr:rowOff>88900</xdr:rowOff>
        </xdr:from>
        <xdr:to>
          <xdr:col>8</xdr:col>
          <xdr:colOff>381000</xdr:colOff>
          <xdr:row>10</xdr:row>
          <xdr:rowOff>76200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45720" tIns="41148" rIns="45720" bIns="41148" anchor="ctr" upright="1"/>
            <a:lstStyle/>
            <a:p>
              <a:pPr algn="ctr" rtl="0">
                <a:defRPr sz="1000"/>
              </a:pPr>
              <a:r>
                <a:rPr lang="en-US" sz="1400" b="1" i="0" u="none" strike="noStrike" baseline="0">
                  <a:solidFill>
                    <a:srgbClr val="000000"/>
                  </a:solidFill>
                  <a:latin typeface="Arial"/>
                  <a:cs typeface="Arial"/>
                </a:rPr>
                <a:t>INPUT </a:t>
              </a:r>
            </a:p>
            <a:p>
              <a:pPr algn="ctr" rtl="0">
                <a:defRPr sz="1000"/>
              </a:pPr>
              <a:r>
                <a:rPr lang="en-US" sz="1400" b="1" i="0" u="none" strike="noStrike" baseline="0">
                  <a:solidFill>
                    <a:srgbClr val="000000"/>
                  </a:solidFill>
                  <a:latin typeface="Arial"/>
                  <a:cs typeface="Arial"/>
                </a:rPr>
                <a:t>Consumer </a:t>
              </a:r>
            </a:p>
            <a:p>
              <a:pPr algn="ctr" rtl="0">
                <a:defRPr sz="1000"/>
              </a:pPr>
              <a:r>
                <a:rPr lang="en-US" sz="1400" b="1" i="0" u="none" strike="noStrike" baseline="0">
                  <a:solidFill>
                    <a:srgbClr val="000000"/>
                  </a:solidFill>
                  <a:latin typeface="Arial"/>
                  <a:cs typeface="Arial"/>
                </a:rPr>
                <a:t>&amp; KWH Data</a:t>
              </a:r>
            </a:p>
            <a:p>
              <a:pPr algn="ctr" rtl="0">
                <a:defRPr sz="1000"/>
              </a:pPr>
              <a:r>
                <a:rPr lang="en-US" sz="1400" b="1" i="0" u="none" strike="noStrike" baseline="0">
                  <a:solidFill>
                    <a:srgbClr val="000000"/>
                  </a:solidFill>
                  <a:latin typeface="Arial"/>
                  <a:cs typeface="Arial"/>
                </a:rPr>
                <a:t>(Form 325e)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12700</xdr:colOff>
          <xdr:row>4</xdr:row>
          <xdr:rowOff>57150</xdr:rowOff>
        </xdr:from>
        <xdr:to>
          <xdr:col>14</xdr:col>
          <xdr:colOff>323850</xdr:colOff>
          <xdr:row>10</xdr:row>
          <xdr:rowOff>76200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45720" tIns="41148" rIns="45720" bIns="41148" anchor="ctr" upright="1"/>
            <a:lstStyle/>
            <a:p>
              <a:pPr algn="ctr" rtl="0">
                <a:defRPr sz="1000"/>
              </a:pPr>
              <a:r>
                <a:rPr lang="en-US" sz="1400" b="1" i="0" u="none" strike="noStrike" baseline="0">
                  <a:solidFill>
                    <a:srgbClr val="000000"/>
                  </a:solidFill>
                  <a:latin typeface="Arial"/>
                  <a:cs typeface="Arial"/>
                </a:rPr>
                <a:t>INPUT </a:t>
              </a:r>
            </a:p>
            <a:p>
              <a:pPr algn="ctr" rtl="0">
                <a:defRPr sz="1000"/>
              </a:pPr>
              <a:r>
                <a:rPr lang="en-US" sz="1400" b="1" i="0" u="none" strike="noStrike" baseline="0">
                  <a:solidFill>
                    <a:srgbClr val="000000"/>
                  </a:solidFill>
                  <a:latin typeface="Arial"/>
                  <a:cs typeface="Arial"/>
                </a:rPr>
                <a:t>Plant Addition Data</a:t>
              </a:r>
            </a:p>
            <a:p>
              <a:pPr algn="ctr" rtl="0">
                <a:defRPr sz="1000"/>
              </a:pPr>
              <a:r>
                <a:rPr lang="en-US" sz="1400" b="1" i="0" u="none" strike="noStrike" baseline="0">
                  <a:solidFill>
                    <a:srgbClr val="000000"/>
                  </a:solidFill>
                  <a:latin typeface="Arial"/>
                  <a:cs typeface="Arial"/>
                </a:rPr>
                <a:t>(Form 325g)</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95250</xdr:colOff>
          <xdr:row>13</xdr:row>
          <xdr:rowOff>50800</xdr:rowOff>
        </xdr:from>
        <xdr:to>
          <xdr:col>5</xdr:col>
          <xdr:colOff>419100</xdr:colOff>
          <xdr:row>22</xdr:row>
          <xdr:rowOff>57150</xdr:rowOff>
        </xdr:to>
        <xdr:sp macro="" textlink="">
          <xdr:nvSpPr>
            <xdr:cNvPr id="8195" name="Button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45720" tIns="41148" rIns="45720" bIns="41148" anchor="ctr" upright="1"/>
            <a:lstStyle/>
            <a:p>
              <a:pPr algn="ctr" rtl="0">
                <a:defRPr sz="1000"/>
              </a:pPr>
              <a:r>
                <a:rPr lang="en-US" sz="1400" b="1" i="0" u="none" strike="noStrike" baseline="0">
                  <a:solidFill>
                    <a:srgbClr val="000000"/>
                  </a:solidFill>
                  <a:latin typeface="Arial"/>
                  <a:cs typeface="Arial"/>
                </a:rPr>
                <a:t>INPUT </a:t>
              </a:r>
            </a:p>
            <a:p>
              <a:pPr algn="ctr" rtl="0">
                <a:defRPr sz="1000"/>
              </a:pPr>
              <a:r>
                <a:rPr lang="en-US" sz="1400" b="1" i="0" u="none" strike="noStrike" baseline="0">
                  <a:solidFill>
                    <a:srgbClr val="000000"/>
                  </a:solidFill>
                  <a:latin typeface="Arial"/>
                  <a:cs typeface="Arial"/>
                </a:rPr>
                <a:t>Existing "Monthly" </a:t>
              </a:r>
            </a:p>
            <a:p>
              <a:pPr algn="ctr" rtl="0">
                <a:defRPr sz="1000"/>
              </a:pPr>
              <a:r>
                <a:rPr lang="en-US" sz="1400" b="1" i="0" u="none" strike="noStrike" baseline="0">
                  <a:solidFill>
                    <a:srgbClr val="000000"/>
                  </a:solidFill>
                  <a:latin typeface="Arial"/>
                  <a:cs typeface="Arial"/>
                </a:rPr>
                <a:t>RUS Debt</a:t>
              </a:r>
            </a:p>
            <a:p>
              <a:pPr algn="ctr" rtl="0">
                <a:defRPr sz="1000"/>
              </a:pPr>
              <a:r>
                <a:rPr lang="en-US" sz="1400" b="1" i="0" u="none" strike="noStrike" baseline="0">
                  <a:solidFill>
                    <a:srgbClr val="000000"/>
                  </a:solidFill>
                  <a:latin typeface="Arial"/>
                  <a:cs typeface="Arial"/>
                </a:rPr>
                <a:t>(Form 325h2)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31750</xdr:colOff>
          <xdr:row>4</xdr:row>
          <xdr:rowOff>69850</xdr:rowOff>
        </xdr:from>
        <xdr:to>
          <xdr:col>11</xdr:col>
          <xdr:colOff>355600</xdr:colOff>
          <xdr:row>10</xdr:row>
          <xdr:rowOff>95250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45720" tIns="41148" rIns="45720" bIns="41148" anchor="ctr" upright="1"/>
            <a:lstStyle/>
            <a:p>
              <a:pPr algn="ctr" rtl="0">
                <a:defRPr sz="1000"/>
              </a:pPr>
              <a:r>
                <a:rPr lang="en-US" sz="1400" b="1" i="0" u="none" strike="noStrike" baseline="0">
                  <a:solidFill>
                    <a:srgbClr val="000000"/>
                  </a:solidFill>
                  <a:latin typeface="Arial"/>
                  <a:cs typeface="Arial"/>
                </a:rPr>
                <a:t>INPUT </a:t>
              </a:r>
            </a:p>
            <a:p>
              <a:pPr algn="ctr" rtl="0">
                <a:defRPr sz="1000"/>
              </a:pPr>
              <a:r>
                <a:rPr lang="en-US" sz="1400" b="1" i="0" u="none" strike="noStrike" baseline="0">
                  <a:solidFill>
                    <a:srgbClr val="000000"/>
                  </a:solidFill>
                  <a:latin typeface="Arial"/>
                  <a:cs typeface="Arial"/>
                </a:rPr>
                <a:t>Revenue</a:t>
              </a:r>
            </a:p>
            <a:p>
              <a:pPr algn="ctr" rtl="0">
                <a:defRPr sz="1000"/>
              </a:pPr>
              <a:r>
                <a:rPr lang="en-US" sz="1400" b="1" i="0" u="none" strike="noStrike" baseline="0">
                  <a:solidFill>
                    <a:srgbClr val="000000"/>
                  </a:solidFill>
                  <a:latin typeface="Arial"/>
                  <a:cs typeface="Arial"/>
                </a:rPr>
                <a:t> Data</a:t>
              </a:r>
            </a:p>
            <a:p>
              <a:pPr algn="ctr" rtl="0">
                <a:defRPr sz="1000"/>
              </a:pPr>
              <a:r>
                <a:rPr lang="en-US" sz="1400" b="1" i="0" u="none" strike="noStrike" baseline="0">
                  <a:solidFill>
                    <a:srgbClr val="000000"/>
                  </a:solidFill>
                  <a:latin typeface="Arial"/>
                  <a:cs typeface="Arial"/>
                </a:rPr>
                <a:t>(Form 325f)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133350</xdr:colOff>
          <xdr:row>13</xdr:row>
          <xdr:rowOff>50800</xdr:rowOff>
        </xdr:from>
        <xdr:to>
          <xdr:col>2</xdr:col>
          <xdr:colOff>457200</xdr:colOff>
          <xdr:row>22</xdr:row>
          <xdr:rowOff>88900</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45720" tIns="41148" rIns="45720" bIns="41148" anchor="ctr" upright="1"/>
            <a:lstStyle/>
            <a:p>
              <a:pPr algn="ctr" rtl="0">
                <a:defRPr sz="1000"/>
              </a:pPr>
              <a:r>
                <a:rPr lang="en-US" sz="1400" b="1" i="0" u="none" strike="noStrike" baseline="0">
                  <a:solidFill>
                    <a:srgbClr val="000000"/>
                  </a:solidFill>
                  <a:latin typeface="Arial"/>
                  <a:cs typeface="Arial"/>
                </a:rPr>
                <a:t>INPUT </a:t>
              </a:r>
            </a:p>
            <a:p>
              <a:pPr algn="ctr" rtl="0">
                <a:defRPr sz="1000"/>
              </a:pPr>
              <a:r>
                <a:rPr lang="en-US" sz="1400" b="1" i="0" u="none" strike="noStrike" baseline="0">
                  <a:solidFill>
                    <a:srgbClr val="000000"/>
                  </a:solidFill>
                  <a:latin typeface="Arial"/>
                  <a:cs typeface="Arial"/>
                </a:rPr>
                <a:t>Existing "Quarterly" </a:t>
              </a:r>
            </a:p>
            <a:p>
              <a:pPr algn="ctr" rtl="0">
                <a:defRPr sz="1000"/>
              </a:pPr>
              <a:r>
                <a:rPr lang="en-US" sz="1400" b="1" i="0" u="none" strike="noStrike" baseline="0">
                  <a:solidFill>
                    <a:srgbClr val="000000"/>
                  </a:solidFill>
                  <a:latin typeface="Arial"/>
                  <a:cs typeface="Arial"/>
                </a:rPr>
                <a:t>2% &amp; 5% </a:t>
              </a:r>
            </a:p>
            <a:p>
              <a:pPr algn="ctr" rtl="0">
                <a:defRPr sz="1000"/>
              </a:pPr>
              <a:r>
                <a:rPr lang="en-US" sz="1400" b="1" i="0" u="none" strike="noStrike" baseline="0">
                  <a:solidFill>
                    <a:srgbClr val="000000"/>
                  </a:solidFill>
                  <a:latin typeface="Arial"/>
                  <a:cs typeface="Arial"/>
                </a:rPr>
                <a:t>RUS Debt</a:t>
              </a:r>
            </a:p>
            <a:p>
              <a:pPr algn="ctr" rtl="0">
                <a:defRPr sz="1000"/>
              </a:pPr>
              <a:r>
                <a:rPr lang="en-US" sz="1400" b="1" i="0" u="none" strike="noStrike" baseline="0">
                  <a:solidFill>
                    <a:srgbClr val="000000"/>
                  </a:solidFill>
                  <a:latin typeface="Arial"/>
                  <a:cs typeface="Arial"/>
                </a:rPr>
                <a:t>(Form 325h1)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95250</xdr:colOff>
          <xdr:row>13</xdr:row>
          <xdr:rowOff>31750</xdr:rowOff>
        </xdr:from>
        <xdr:to>
          <xdr:col>8</xdr:col>
          <xdr:colOff>393700</xdr:colOff>
          <xdr:row>22</xdr:row>
          <xdr:rowOff>50800</xdr:rowOff>
        </xdr:to>
        <xdr:sp macro="" textlink="">
          <xdr:nvSpPr>
            <xdr:cNvPr id="8198" name="Button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45720" tIns="41148" rIns="45720" bIns="41148" anchor="ctr" upright="1"/>
            <a:lstStyle/>
            <a:p>
              <a:pPr algn="ctr" rtl="0">
                <a:defRPr sz="1000"/>
              </a:pPr>
              <a:r>
                <a:rPr lang="en-US" sz="1400" b="1" i="0" u="none" strike="noStrike" baseline="0">
                  <a:solidFill>
                    <a:srgbClr val="000000"/>
                  </a:solidFill>
                  <a:latin typeface="Arial"/>
                  <a:cs typeface="Arial"/>
                </a:rPr>
                <a:t>INPUT</a:t>
              </a:r>
            </a:p>
            <a:p>
              <a:pPr algn="ctr" rtl="0">
                <a:defRPr sz="1000"/>
              </a:pPr>
              <a:r>
                <a:rPr lang="en-US" sz="1400" b="1" i="0" u="none" strike="noStrike" baseline="0">
                  <a:solidFill>
                    <a:srgbClr val="000000"/>
                  </a:solidFill>
                  <a:latin typeface="Arial"/>
                  <a:cs typeface="Arial"/>
                </a:rPr>
                <a:t> Existing Guaranteed</a:t>
              </a:r>
            </a:p>
            <a:p>
              <a:pPr algn="ctr" rtl="0">
                <a:defRPr sz="1000"/>
              </a:pPr>
              <a:r>
                <a:rPr lang="en-US" sz="1400" b="1" i="0" u="none" strike="noStrike" baseline="0">
                  <a:solidFill>
                    <a:srgbClr val="000000"/>
                  </a:solidFill>
                  <a:latin typeface="Arial"/>
                  <a:cs typeface="Arial"/>
                </a:rPr>
                <a:t> Debt</a:t>
              </a:r>
            </a:p>
            <a:p>
              <a:pPr algn="ctr" rtl="0">
                <a:defRPr sz="1000"/>
              </a:pPr>
              <a:r>
                <a:rPr lang="en-US" sz="1400" b="1" i="0" u="none" strike="noStrike" baseline="0">
                  <a:solidFill>
                    <a:srgbClr val="000000"/>
                  </a:solidFill>
                  <a:latin typeface="Arial"/>
                  <a:cs typeface="Arial"/>
                </a:rPr>
                <a:t>(Form 325h3)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13</xdr:row>
          <xdr:rowOff>38100</xdr:rowOff>
        </xdr:from>
        <xdr:to>
          <xdr:col>11</xdr:col>
          <xdr:colOff>361950</xdr:colOff>
          <xdr:row>22</xdr:row>
          <xdr:rowOff>31750</xdr:rowOff>
        </xdr:to>
        <xdr:sp macro="" textlink="">
          <xdr:nvSpPr>
            <xdr:cNvPr id="8199" name="Button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45720" tIns="41148" rIns="45720" bIns="41148" anchor="ctr" upright="1"/>
            <a:lstStyle/>
            <a:p>
              <a:pPr algn="ctr" rtl="0">
                <a:defRPr sz="1000"/>
              </a:pPr>
              <a:r>
                <a:rPr lang="en-US" sz="1400" b="1" i="0" u="none" strike="noStrike" baseline="0">
                  <a:solidFill>
                    <a:srgbClr val="000000"/>
                  </a:solidFill>
                  <a:latin typeface="Arial"/>
                  <a:cs typeface="Arial"/>
                </a:rPr>
                <a:t>INPUT</a:t>
              </a:r>
            </a:p>
            <a:p>
              <a:pPr algn="ctr" rtl="0">
                <a:defRPr sz="1000"/>
              </a:pPr>
              <a:r>
                <a:rPr lang="en-US" sz="1400" b="1" i="0" u="none" strike="noStrike" baseline="0">
                  <a:solidFill>
                    <a:srgbClr val="000000"/>
                  </a:solidFill>
                  <a:latin typeface="Arial"/>
                  <a:cs typeface="Arial"/>
                </a:rPr>
                <a:t> Existing </a:t>
              </a:r>
            </a:p>
            <a:p>
              <a:pPr algn="ctr" rtl="0">
                <a:defRPr sz="1000"/>
              </a:pPr>
              <a:r>
                <a:rPr lang="en-US" sz="1400" b="1" i="0" u="none" strike="noStrike" baseline="0">
                  <a:solidFill>
                    <a:srgbClr val="000000"/>
                  </a:solidFill>
                  <a:latin typeface="Arial"/>
                  <a:cs typeface="Arial"/>
                </a:rPr>
                <a:t>"Other"</a:t>
              </a:r>
            </a:p>
            <a:p>
              <a:pPr algn="ctr" rtl="0">
                <a:defRPr sz="1000"/>
              </a:pPr>
              <a:r>
                <a:rPr lang="en-US" sz="1400" b="1" i="0" u="none" strike="noStrike" baseline="0">
                  <a:solidFill>
                    <a:srgbClr val="000000"/>
                  </a:solidFill>
                  <a:latin typeface="Arial"/>
                  <a:cs typeface="Arial"/>
                </a:rPr>
                <a:t> Debt</a:t>
              </a:r>
            </a:p>
            <a:p>
              <a:pPr algn="ctr" rtl="0">
                <a:defRPr sz="1000"/>
              </a:pPr>
              <a:r>
                <a:rPr lang="en-US" sz="1400" b="1" i="0" u="none" strike="noStrike" baseline="0">
                  <a:solidFill>
                    <a:srgbClr val="000000"/>
                  </a:solidFill>
                  <a:latin typeface="Arial"/>
                  <a:cs typeface="Arial"/>
                </a:rPr>
                <a:t>(Form 325i1)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146050</xdr:colOff>
          <xdr:row>4</xdr:row>
          <xdr:rowOff>19050</xdr:rowOff>
        </xdr:from>
        <xdr:to>
          <xdr:col>2</xdr:col>
          <xdr:colOff>438150</xdr:colOff>
          <xdr:row>12</xdr:row>
          <xdr:rowOff>12700</xdr:rowOff>
        </xdr:to>
        <xdr:sp macro="" textlink="">
          <xdr:nvSpPr>
            <xdr:cNvPr id="8200" name="Button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45720" tIns="41148" rIns="45720" bIns="41148" anchor="ctr" upright="1"/>
            <a:lstStyle/>
            <a:p>
              <a:pPr algn="ctr" rtl="0">
                <a:defRPr sz="1000"/>
              </a:pPr>
              <a:r>
                <a:rPr lang="en-US" sz="1400" b="1" i="0" u="none" strike="noStrike" baseline="0">
                  <a:solidFill>
                    <a:srgbClr val="000000"/>
                  </a:solidFill>
                  <a:latin typeface="Arial"/>
                  <a:cs typeface="Arial"/>
                </a:rPr>
                <a:t>INPUT </a:t>
              </a:r>
            </a:p>
            <a:p>
              <a:pPr algn="ctr" rtl="0">
                <a:defRPr sz="1000"/>
              </a:pPr>
              <a:r>
                <a:rPr lang="en-US" sz="1400" b="1" i="0" u="none" strike="noStrike" baseline="0">
                  <a:solidFill>
                    <a:srgbClr val="000000"/>
                  </a:solidFill>
                  <a:latin typeface="Arial"/>
                  <a:cs typeface="Arial"/>
                </a:rPr>
                <a:t>Primary Assumptions Used</a:t>
              </a:r>
            </a:p>
            <a:p>
              <a:pPr algn="ctr" rtl="0">
                <a:defRPr sz="1000"/>
              </a:pPr>
              <a:r>
                <a:rPr lang="en-US" sz="1400" b="1" i="0" u="none" strike="noStrike" baseline="0">
                  <a:solidFill>
                    <a:srgbClr val="000000"/>
                  </a:solidFill>
                  <a:latin typeface="Arial"/>
                  <a:cs typeface="Arial"/>
                </a:rPr>
                <a:t>(Input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23</xdr:row>
          <xdr:rowOff>127000</xdr:rowOff>
        </xdr:from>
        <xdr:to>
          <xdr:col>5</xdr:col>
          <xdr:colOff>438150</xdr:colOff>
          <xdr:row>30</xdr:row>
          <xdr:rowOff>127000</xdr:rowOff>
        </xdr:to>
        <xdr:sp macro="" textlink="">
          <xdr:nvSpPr>
            <xdr:cNvPr id="8201" name="Button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45720" tIns="41148" rIns="45720" bIns="41148" anchor="ctr" upright="1"/>
            <a:lstStyle/>
            <a:p>
              <a:pPr algn="ctr" rtl="0">
                <a:defRPr sz="1000"/>
              </a:pPr>
              <a:r>
                <a:rPr lang="en-US" sz="1400" b="1" i="0" u="none" strike="noStrike" baseline="0">
                  <a:solidFill>
                    <a:srgbClr val="000000"/>
                  </a:solidFill>
                  <a:latin typeface="Arial"/>
                  <a:cs typeface="Arial"/>
                </a:rPr>
                <a:t>PRINT</a:t>
              </a:r>
            </a:p>
            <a:p>
              <a:pPr algn="ctr" rtl="0">
                <a:defRPr sz="1000"/>
              </a:pPr>
              <a:r>
                <a:rPr lang="en-US" sz="1400" b="1" i="0" u="sng" strike="noStrike" baseline="0">
                  <a:solidFill>
                    <a:srgbClr val="000000"/>
                  </a:solidFill>
                  <a:latin typeface="Arial"/>
                  <a:cs typeface="Arial"/>
                </a:rPr>
                <a:t>All</a:t>
              </a:r>
              <a:r>
                <a:rPr lang="en-US" sz="1400" b="1" i="0" u="none" strike="noStrike" baseline="0">
                  <a:solidFill>
                    <a:srgbClr val="000000"/>
                  </a:solidFill>
                  <a:latin typeface="Arial"/>
                  <a:cs typeface="Arial"/>
                </a:rPr>
                <a:t> Forecast Pages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76200</xdr:colOff>
          <xdr:row>23</xdr:row>
          <xdr:rowOff>127000</xdr:rowOff>
        </xdr:from>
        <xdr:to>
          <xdr:col>8</xdr:col>
          <xdr:colOff>393700</xdr:colOff>
          <xdr:row>30</xdr:row>
          <xdr:rowOff>107950</xdr:rowOff>
        </xdr:to>
        <xdr:sp macro="" textlink="">
          <xdr:nvSpPr>
            <xdr:cNvPr id="8202" name="Button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45720" tIns="41148" rIns="45720" bIns="41148" anchor="ctr" upright="1"/>
            <a:lstStyle/>
            <a:p>
              <a:pPr algn="ctr" rtl="0">
                <a:defRPr sz="1000"/>
              </a:pPr>
              <a:r>
                <a:rPr lang="en-US" sz="1400" b="1" i="0" u="none" strike="noStrike" baseline="0">
                  <a:solidFill>
                    <a:srgbClr val="000000"/>
                  </a:solidFill>
                  <a:latin typeface="Arial"/>
                  <a:cs typeface="Arial"/>
                </a:rPr>
                <a:t>PRINT</a:t>
              </a:r>
            </a:p>
            <a:p>
              <a:pPr algn="ctr" rtl="0">
                <a:defRPr sz="1000"/>
              </a:pPr>
              <a:r>
                <a:rPr lang="en-US" sz="1400" b="1" i="0" u="sng" strike="noStrike" baseline="0">
                  <a:solidFill>
                    <a:srgbClr val="000000"/>
                  </a:solidFill>
                  <a:latin typeface="Arial"/>
                  <a:cs typeface="Arial"/>
                </a:rPr>
                <a:t>Only</a:t>
              </a:r>
              <a:endParaRPr lang="en-US" sz="1400" b="1" i="0" u="none" strike="noStrike" baseline="0">
                <a:solidFill>
                  <a:srgbClr val="000000"/>
                </a:solidFill>
                <a:latin typeface="Arial"/>
                <a:cs typeface="Arial"/>
              </a:endParaRPr>
            </a:p>
            <a:p>
              <a:pPr algn="ctr" rtl="0">
                <a:defRPr sz="1000"/>
              </a:pPr>
              <a:r>
                <a:rPr lang="en-US" sz="1400" b="1" i="0" u="none" strike="noStrike" baseline="0">
                  <a:solidFill>
                    <a:srgbClr val="000000"/>
                  </a:solidFill>
                  <a:latin typeface="Arial"/>
                  <a:cs typeface="Arial"/>
                </a:rPr>
                <a:t>Summary Pages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23</xdr:row>
          <xdr:rowOff>127000</xdr:rowOff>
        </xdr:from>
        <xdr:to>
          <xdr:col>11</xdr:col>
          <xdr:colOff>355600</xdr:colOff>
          <xdr:row>30</xdr:row>
          <xdr:rowOff>107950</xdr:rowOff>
        </xdr:to>
        <xdr:sp macro="" textlink="">
          <xdr:nvSpPr>
            <xdr:cNvPr id="8203" name="Button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45720" tIns="41148" rIns="45720" bIns="41148" anchor="ctr" upright="1"/>
            <a:lstStyle/>
            <a:p>
              <a:pPr algn="ctr" rtl="0">
                <a:defRPr sz="1000"/>
              </a:pPr>
              <a:r>
                <a:rPr lang="en-US" sz="1400" b="1" i="0" u="none" strike="noStrike" baseline="0">
                  <a:solidFill>
                    <a:srgbClr val="000000"/>
                  </a:solidFill>
                  <a:latin typeface="Arial"/>
                  <a:cs typeface="Arial"/>
                </a:rPr>
                <a:t>PRINT</a:t>
              </a:r>
            </a:p>
            <a:p>
              <a:pPr algn="ctr" rtl="0">
                <a:defRPr sz="1000"/>
              </a:pPr>
              <a:r>
                <a:rPr lang="en-US" sz="1400" b="1" i="0" u="none" strike="noStrike" baseline="0">
                  <a:solidFill>
                    <a:srgbClr val="000000"/>
                  </a:solidFill>
                  <a:latin typeface="Arial"/>
                  <a:cs typeface="Arial"/>
                </a:rPr>
                <a:t>Abbreviated</a:t>
              </a:r>
            </a:p>
            <a:p>
              <a:pPr algn="ctr" rtl="0">
                <a:defRPr sz="1000"/>
              </a:pPr>
              <a:r>
                <a:rPr lang="en-US" sz="1400" b="1" i="0" u="none" strike="noStrike" baseline="0">
                  <a:solidFill>
                    <a:srgbClr val="000000"/>
                  </a:solidFill>
                  <a:latin typeface="Arial"/>
                  <a:cs typeface="Arial"/>
                </a:rPr>
                <a:t>Version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127000</xdr:colOff>
          <xdr:row>4</xdr:row>
          <xdr:rowOff>69850</xdr:rowOff>
        </xdr:from>
        <xdr:to>
          <xdr:col>5</xdr:col>
          <xdr:colOff>361950</xdr:colOff>
          <xdr:row>10</xdr:row>
          <xdr:rowOff>95250</xdr:rowOff>
        </xdr:to>
        <xdr:sp macro="" textlink="">
          <xdr:nvSpPr>
            <xdr:cNvPr id="8207" name="Button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45720" tIns="41148" rIns="45720" bIns="41148" anchor="ctr" upright="1"/>
            <a:lstStyle/>
            <a:p>
              <a:pPr algn="ctr" rtl="0">
                <a:defRPr sz="1000"/>
              </a:pPr>
              <a:r>
                <a:rPr lang="en-US" sz="1400" b="1" i="0" u="none" strike="noStrike" baseline="0">
                  <a:solidFill>
                    <a:srgbClr val="000000"/>
                  </a:solidFill>
                  <a:latin typeface="Arial"/>
                  <a:cs typeface="Arial"/>
                </a:rPr>
                <a:t>INPUT</a:t>
              </a:r>
            </a:p>
            <a:p>
              <a:pPr algn="ctr" rtl="0">
                <a:defRPr sz="1000"/>
              </a:pPr>
              <a:r>
                <a:rPr lang="en-US" sz="1400" b="1" i="0" u="none" strike="noStrike" baseline="0">
                  <a:solidFill>
                    <a:srgbClr val="000000"/>
                  </a:solidFill>
                  <a:latin typeface="Arial"/>
                  <a:cs typeface="Arial"/>
                </a:rPr>
                <a:t>Historical</a:t>
              </a:r>
            </a:p>
            <a:p>
              <a:pPr algn="ctr" rtl="0">
                <a:defRPr sz="1000"/>
              </a:pPr>
              <a:r>
                <a:rPr lang="en-US" sz="1400" b="1" i="0" u="none" strike="noStrike" baseline="0">
                  <a:solidFill>
                    <a:srgbClr val="000000"/>
                  </a:solidFill>
                  <a:latin typeface="Arial"/>
                  <a:cs typeface="Arial"/>
                </a:rPr>
                <a:t>ASR</a:t>
              </a:r>
            </a:p>
            <a:p>
              <a:pPr algn="ctr" rtl="0">
                <a:defRPr sz="1000"/>
              </a:pPr>
              <a:r>
                <a:rPr lang="en-US" sz="1400" b="1" i="0" u="none" strike="noStrike" baseline="0">
                  <a:solidFill>
                    <a:srgbClr val="000000"/>
                  </a:solidFill>
                  <a:latin typeface="Arial"/>
                  <a:cs typeface="Arial"/>
                </a:rPr>
                <a:t>Data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171450</xdr:colOff>
          <xdr:row>23</xdr:row>
          <xdr:rowOff>107950</xdr:rowOff>
        </xdr:from>
        <xdr:to>
          <xdr:col>2</xdr:col>
          <xdr:colOff>419100</xdr:colOff>
          <xdr:row>31</xdr:row>
          <xdr:rowOff>19050</xdr:rowOff>
        </xdr:to>
        <xdr:sp macro="" textlink="">
          <xdr:nvSpPr>
            <xdr:cNvPr id="8209" name="Button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45720" tIns="41148" rIns="45720" bIns="41148" anchor="ctr" upright="1"/>
            <a:lstStyle/>
            <a:p>
              <a:pPr algn="ctr" rtl="0">
                <a:defRPr sz="1000"/>
              </a:pPr>
              <a:r>
                <a:rPr lang="en-US" sz="1400" b="1" i="0" u="none" strike="noStrike" baseline="0">
                  <a:solidFill>
                    <a:srgbClr val="000000"/>
                  </a:solidFill>
                  <a:latin typeface="Arial"/>
                  <a:cs typeface="Arial"/>
                </a:rPr>
                <a:t>ACCESS</a:t>
              </a:r>
            </a:p>
            <a:p>
              <a:pPr algn="ctr" rtl="0">
                <a:defRPr sz="1000"/>
              </a:pPr>
              <a:r>
                <a:rPr lang="en-US" sz="1400" b="1" i="0" u="none" strike="noStrike" baseline="0">
                  <a:solidFill>
                    <a:srgbClr val="000000"/>
                  </a:solidFill>
                  <a:latin typeface="Arial"/>
                  <a:cs typeface="Arial"/>
                </a:rPr>
                <a:t>Graphs</a:t>
              </a:r>
            </a:p>
            <a:p>
              <a:pPr algn="ctr" rtl="0">
                <a:defRPr sz="1000"/>
              </a:pPr>
              <a:r>
                <a:rPr lang="en-US" sz="1400" b="1" i="0" u="none" strike="noStrike" baseline="0">
                  <a:solidFill>
                    <a:srgbClr val="000000"/>
                  </a:solidFill>
                  <a:latin typeface="Arial"/>
                  <a:cs typeface="Arial"/>
                </a:rPr>
                <a:t>(Use CONTROL</a:t>
              </a:r>
            </a:p>
            <a:p>
              <a:pPr algn="ctr" rtl="0">
                <a:defRPr sz="1000"/>
              </a:pPr>
              <a:r>
                <a:rPr lang="en-US" sz="1400" b="1" i="0" u="none" strike="noStrike" baseline="0">
                  <a:solidFill>
                    <a:srgbClr val="000000"/>
                  </a:solidFill>
                  <a:latin typeface="Arial"/>
                  <a:cs typeface="Arial"/>
                </a:rPr>
                <a:t>key w/ Pg UP</a:t>
              </a:r>
            </a:p>
            <a:p>
              <a:pPr algn="ctr" rtl="0">
                <a:defRPr sz="1000"/>
              </a:pPr>
              <a:r>
                <a:rPr lang="en-US" sz="1400" b="1" i="0" u="none" strike="noStrike" baseline="0">
                  <a:solidFill>
                    <a:srgbClr val="000000"/>
                  </a:solidFill>
                  <a:latin typeface="Arial"/>
                  <a:cs typeface="Arial"/>
                </a:rPr>
                <a:t>or Pg 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133350</xdr:colOff>
          <xdr:row>23</xdr:row>
          <xdr:rowOff>19050</xdr:rowOff>
        </xdr:from>
        <xdr:to>
          <xdr:col>14</xdr:col>
          <xdr:colOff>374650</xdr:colOff>
          <xdr:row>30</xdr:row>
          <xdr:rowOff>69850</xdr:rowOff>
        </xdr:to>
        <xdr:sp macro="" textlink="">
          <xdr:nvSpPr>
            <xdr:cNvPr id="8210" name="Button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45720" tIns="41148" rIns="45720" bIns="41148" anchor="ctr" upright="1"/>
            <a:lstStyle/>
            <a:p>
              <a:pPr algn="ctr" rtl="0">
                <a:defRPr sz="1000"/>
              </a:pPr>
              <a:r>
                <a:rPr lang="en-US" sz="1400" b="1" i="0" u="none" strike="noStrike" baseline="0">
                  <a:solidFill>
                    <a:srgbClr val="000080"/>
                  </a:solidFill>
                  <a:latin typeface="Arial"/>
                  <a:cs typeface="Arial"/>
                </a:rPr>
                <a:t>UPDATE</a:t>
              </a:r>
            </a:p>
            <a:p>
              <a:pPr algn="ctr" rtl="0">
                <a:defRPr sz="1000"/>
              </a:pPr>
              <a:r>
                <a:rPr lang="en-US" sz="1400" b="1" i="0" u="none" strike="noStrike" baseline="0">
                  <a:solidFill>
                    <a:srgbClr val="000080"/>
                  </a:solidFill>
                  <a:latin typeface="Arial"/>
                  <a:cs typeface="Arial"/>
                </a:rPr>
                <a:t>for NEW</a:t>
              </a:r>
            </a:p>
            <a:p>
              <a:pPr algn="ctr" rtl="0">
                <a:defRPr sz="1000"/>
              </a:pPr>
              <a:r>
                <a:rPr lang="en-US" sz="1400" b="1" i="0" u="none" strike="noStrike" baseline="0">
                  <a:solidFill>
                    <a:srgbClr val="000080"/>
                  </a:solidFill>
                  <a:latin typeface="Arial"/>
                  <a:cs typeface="Arial"/>
                </a:rPr>
                <a:t>Historic Year</a:t>
              </a:r>
            </a:p>
            <a:p>
              <a:pPr algn="ctr" rtl="0">
                <a:defRPr sz="1000"/>
              </a:pPr>
              <a:r>
                <a:rPr lang="en-US" sz="1400" b="1" i="0" u="sng" strike="noStrike" baseline="0">
                  <a:solidFill>
                    <a:srgbClr val="000080"/>
                  </a:solidFill>
                  <a:latin typeface="Arial"/>
                  <a:cs typeface="Arial"/>
                </a:rPr>
                <a:t>CAUTION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31750</xdr:colOff>
          <xdr:row>13</xdr:row>
          <xdr:rowOff>50800</xdr:rowOff>
        </xdr:from>
        <xdr:to>
          <xdr:col>14</xdr:col>
          <xdr:colOff>381000</xdr:colOff>
          <xdr:row>20</xdr:row>
          <xdr:rowOff>95250</xdr:rowOff>
        </xdr:to>
        <xdr:sp macro="" textlink="">
          <xdr:nvSpPr>
            <xdr:cNvPr id="8211" name="Button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45720" tIns="41148" rIns="45720" bIns="41148" anchor="ctr" upright="1"/>
            <a:lstStyle/>
            <a:p>
              <a:pPr algn="ctr" rtl="0">
                <a:defRPr sz="1000"/>
              </a:pPr>
              <a:r>
                <a:rPr lang="en-US" sz="1400" b="1" i="0" u="none" strike="noStrike" baseline="0">
                  <a:solidFill>
                    <a:srgbClr val="000000"/>
                  </a:solidFill>
                  <a:latin typeface="Arial"/>
                  <a:cs typeface="Arial"/>
                </a:rPr>
                <a:t>GENERAL FUNDS</a:t>
              </a:r>
            </a:p>
            <a:p>
              <a:pPr algn="ctr" rtl="0">
                <a:defRPr sz="1000"/>
              </a:pPr>
              <a:r>
                <a:rPr lang="en-US" sz="1400" b="1" i="0" u="none" strike="noStrike" baseline="0">
                  <a:solidFill>
                    <a:srgbClr val="000000"/>
                  </a:solidFill>
                  <a:latin typeface="Arial"/>
                  <a:cs typeface="Arial"/>
                </a:rPr>
                <a:t>CALCULATION</a:t>
              </a:r>
            </a:p>
            <a:p>
              <a:pPr algn="ctr" rtl="0">
                <a:defRPr sz="1000"/>
              </a:pPr>
              <a:r>
                <a:rPr lang="en-US" sz="1400" b="1" i="0" u="none" strike="noStrike" baseline="0">
                  <a:solidFill>
                    <a:srgbClr val="000000"/>
                  </a:solidFill>
                  <a:latin typeface="Arial"/>
                  <a:cs typeface="Arial"/>
                </a:rPr>
                <a:t>(when completing a forecast)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2</xdr:row>
          <xdr:rowOff>88900</xdr:rowOff>
        </xdr:from>
        <xdr:to>
          <xdr:col>9</xdr:col>
          <xdr:colOff>133350</xdr:colOff>
          <xdr:row>3</xdr:row>
          <xdr:rowOff>107950</xdr:rowOff>
        </xdr:to>
        <xdr:sp macro="" textlink="">
          <xdr:nvSpPr>
            <xdr:cNvPr id="8212" name="Button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45720" tIns="41148" rIns="45720" bIns="41148" anchor="ctr" upright="1"/>
            <a:lstStyle/>
            <a:p>
              <a:pPr algn="ctr" rtl="0">
                <a:defRPr sz="1000"/>
              </a:pPr>
              <a:r>
                <a:rPr lang="en-US" sz="1400" b="1" i="0" u="none" strike="noStrike" baseline="0">
                  <a:solidFill>
                    <a:srgbClr val="000000"/>
                  </a:solidFill>
                  <a:latin typeface="Arial"/>
                  <a:cs typeface="Arial"/>
                </a:rPr>
                <a:t>Resize Screen Resolution</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2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2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2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2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2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2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565150</xdr:colOff>
          <xdr:row>24</xdr:row>
          <xdr:rowOff>95250</xdr:rowOff>
        </xdr:from>
        <xdr:to>
          <xdr:col>6</xdr:col>
          <xdr:colOff>171450</xdr:colOff>
          <xdr:row>39</xdr:row>
          <xdr:rowOff>19050</xdr:rowOff>
        </xdr:to>
        <xdr:sp macro="" textlink="">
          <xdr:nvSpPr>
            <xdr:cNvPr id="21535" name="Button 31" hidden="1">
              <a:extLst>
                <a:ext uri="{63B3BB69-23CF-44E3-9099-C40C66FF867C}">
                  <a14:compatExt spid="_x0000_s21535"/>
                </a:ext>
                <a:ext uri="{FF2B5EF4-FFF2-40B4-BE49-F238E27FC236}">
                  <a16:creationId xmlns:a16="http://schemas.microsoft.com/office/drawing/2014/main" id="{00000000-0008-0000-0500-00001F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45720" tIns="36576" rIns="45720" bIns="36576" anchor="ctr" upright="1"/>
            <a:lstStyle/>
            <a:p>
              <a:pPr algn="ctr" rtl="0">
                <a:defRPr sz="1000"/>
              </a:pPr>
              <a:r>
                <a:rPr lang="en-US" sz="1400" b="0" i="0" u="none" strike="noStrike" baseline="0">
                  <a:solidFill>
                    <a:srgbClr val="0000FF"/>
                  </a:solidFill>
                  <a:latin typeface="Arial"/>
                  <a:cs typeface="Arial"/>
                </a:rPr>
                <a:t>Are You Sure A New Year </a:t>
              </a:r>
            </a:p>
            <a:p>
              <a:pPr algn="ctr" rtl="0">
                <a:defRPr sz="1000"/>
              </a:pPr>
              <a:r>
                <a:rPr lang="en-US" sz="1400" b="0" i="0" u="none" strike="noStrike" baseline="0">
                  <a:solidFill>
                    <a:srgbClr val="0000FF"/>
                  </a:solidFill>
                  <a:latin typeface="Arial"/>
                  <a:cs typeface="Arial"/>
                </a:rPr>
                <a:t>is Needed?</a:t>
              </a:r>
            </a:p>
            <a:p>
              <a:pPr algn="ctr" rtl="0">
                <a:defRPr sz="1000"/>
              </a:pPr>
              <a:endParaRPr lang="en-US" sz="1400" b="0" i="0" u="none" strike="noStrike" baseline="0">
                <a:solidFill>
                  <a:srgbClr val="0000FF"/>
                </a:solidFill>
                <a:latin typeface="Arial"/>
                <a:cs typeface="Arial"/>
              </a:endParaRPr>
            </a:p>
            <a:p>
              <a:pPr algn="ctr" rtl="0">
                <a:defRPr sz="1000"/>
              </a:pPr>
              <a:r>
                <a:rPr lang="en-US" sz="1400" b="0" i="0" u="none" strike="noStrike" baseline="0">
                  <a:solidFill>
                    <a:srgbClr val="0000FF"/>
                  </a:solidFill>
                  <a:latin typeface="Arial"/>
                  <a:cs typeface="Arial"/>
                </a:rPr>
                <a:t>If "Yes", click this box,</a:t>
              </a:r>
            </a:p>
            <a:p>
              <a:pPr algn="ctr" rtl="0">
                <a:defRPr sz="1000"/>
              </a:pPr>
              <a:endParaRPr lang="en-US" sz="1400" b="0" i="0" u="none" strike="noStrike" baseline="0">
                <a:solidFill>
                  <a:srgbClr val="0000FF"/>
                </a:solidFill>
                <a:latin typeface="Arial"/>
                <a:cs typeface="Arial"/>
              </a:endParaRPr>
            </a:p>
            <a:p>
              <a:pPr algn="ctr" rtl="0">
                <a:defRPr sz="1000"/>
              </a:pPr>
              <a:r>
                <a:rPr lang="en-US" sz="1400" b="0" i="0" u="none" strike="noStrike" baseline="0">
                  <a:solidFill>
                    <a:srgbClr val="0000FF"/>
                  </a:solidFill>
                  <a:latin typeface="Arial"/>
                  <a:cs typeface="Arial"/>
                </a:rPr>
                <a:t>Otherwise, please press </a:t>
              </a:r>
            </a:p>
            <a:p>
              <a:pPr algn="ctr" rtl="0">
                <a:defRPr sz="1000"/>
              </a:pPr>
              <a:r>
                <a:rPr lang="en-US" sz="1400" b="0" i="0" u="none" strike="noStrike" baseline="0">
                  <a:solidFill>
                    <a:srgbClr val="0000FF"/>
                  </a:solidFill>
                  <a:latin typeface="Arial"/>
                  <a:cs typeface="Arial"/>
                </a:rPr>
                <a:t>the "Escape" key. </a:t>
              </a:r>
            </a:p>
          </xdr:txBody>
        </xdr:sp>
        <xdr:clientData fPrintsWithSheet="0"/>
      </xdr:twoCellAnchor>
    </mc:Choice>
    <mc:Fallback/>
  </mc:AlternateContent>
</xdr:wsDr>
</file>

<file path=xl/drawings/drawing20.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2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2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2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2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2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3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3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3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3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580438" cy="5834063"/>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3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3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2.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3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3.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3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4.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3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5.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3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6.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3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7.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3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8.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3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9.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3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0.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3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1.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3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2.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4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3.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4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4.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4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5.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4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6.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4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7.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4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8.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4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9.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4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0.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4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1.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4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2.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4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3.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4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4.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4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5.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4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6.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4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7.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4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8.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5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9.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5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0.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5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1.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5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2.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5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3.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5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4.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5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5.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5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6.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5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7.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5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8.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5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9.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5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0.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5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1.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5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2.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5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3.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5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4.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6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5.xml><?xml version="1.0" encoding="utf-8"?>
<c:userShapes xmlns:c="http://schemas.openxmlformats.org/drawingml/2006/chart">
  <cdr:relSizeAnchor xmlns:cdr="http://schemas.openxmlformats.org/drawingml/2006/chartDrawing">
    <cdr:from>
      <cdr:x>0.47547</cdr:x>
      <cdr:y>0.53518</cdr:y>
    </cdr:from>
    <cdr:to>
      <cdr:x>0.47978</cdr:x>
      <cdr:y>0.58982</cdr:y>
    </cdr:to>
    <cdr:sp macro="" textlink="">
      <cdr:nvSpPr>
        <cdr:cNvPr id="1025" name="Text Box 1"/>
        <cdr:cNvSpPr txBox="1">
          <a:spLocks xmlns:a="http://schemas.openxmlformats.org/drawingml/2006/main" noChangeArrowheads="1"/>
        </cdr:cNvSpPr>
      </cdr:nvSpPr>
      <cdr:spPr bwMode="auto">
        <a:xfrm xmlns:a="http://schemas.openxmlformats.org/drawingml/2006/main">
          <a:off x="4080491" y="3124808"/>
          <a:ext cx="36997" cy="31906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endParaRPr lang="en-US" sz="925" b="0" i="0" u="none" strike="noStrike" baseline="0">
            <a:solidFill>
              <a:srgbClr val="000000"/>
            </a:solidFill>
            <a:latin typeface="Arial"/>
            <a:cs typeface="Arial"/>
          </a:endParaRPr>
        </a:p>
        <a:p xmlns:a="http://schemas.openxmlformats.org/drawingml/2006/main">
          <a:pPr algn="ctr" rtl="0">
            <a:defRPr sz="1000"/>
          </a:pPr>
          <a:endParaRPr lang="en-US" sz="925" b="0" i="0" u="none" strike="noStrike" baseline="0">
            <a:solidFill>
              <a:srgbClr val="000000"/>
            </a:solidFill>
            <a:latin typeface="Arial"/>
            <a:cs typeface="Arial"/>
          </a:endParaRPr>
        </a:p>
      </cdr:txBody>
    </cdr:sp>
  </cdr:relSizeAnchor>
</c:userShapes>
</file>

<file path=xl/drawings/drawing76.xml><?xml version="1.0" encoding="utf-8"?>
<xdr:wsDr xmlns:xdr="http://schemas.openxmlformats.org/drawingml/2006/spreadsheetDrawing" xmlns:a="http://schemas.openxmlformats.org/drawingml/2006/main">
  <xdr:absoluteAnchor>
    <xdr:pos x="0" y="0"/>
    <xdr:ext cx="8572500" cy="5827568"/>
    <xdr:graphicFrame macro="">
      <xdr:nvGraphicFramePr>
        <xdr:cNvPr id="2" name="Chart 1">
          <a:extLst>
            <a:ext uri="{FF2B5EF4-FFF2-40B4-BE49-F238E27FC236}">
              <a16:creationId xmlns:a16="http://schemas.microsoft.com/office/drawing/2014/main" id="{00000000-0008-0000-6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7.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6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8.xml><?xml version="1.0" encoding="utf-8"?>
<xdr:wsDr xmlns:xdr="http://schemas.openxmlformats.org/drawingml/2006/spreadsheetDrawing" xmlns:a="http://schemas.openxmlformats.org/drawingml/2006/main">
  <xdr:absoluteAnchor>
    <xdr:pos x="0" y="0"/>
    <xdr:ext cx="8572500" cy="5827568"/>
    <xdr:graphicFrame macro="">
      <xdr:nvGraphicFramePr>
        <xdr:cNvPr id="2" name="Chart 1">
          <a:extLst>
            <a:ext uri="{FF2B5EF4-FFF2-40B4-BE49-F238E27FC236}">
              <a16:creationId xmlns:a16="http://schemas.microsoft.com/office/drawing/2014/main" id="{00000000-0008-0000-6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9.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00000000-0008-0000-6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0.xml><?xml version="1.0" encoding="utf-8"?>
<xdr:wsDr xmlns:xdr="http://schemas.openxmlformats.org/drawingml/2006/spreadsheetDrawing" xmlns:a="http://schemas.openxmlformats.org/drawingml/2006/main">
  <xdr:absoluteAnchor>
    <xdr:pos x="0" y="0"/>
    <xdr:ext cx="8572500" cy="5827568"/>
    <xdr:graphicFrame macro="">
      <xdr:nvGraphicFramePr>
        <xdr:cNvPr id="2" name="Chart 1">
          <a:extLst>
            <a:ext uri="{FF2B5EF4-FFF2-40B4-BE49-F238E27FC236}">
              <a16:creationId xmlns:a16="http://schemas.microsoft.com/office/drawing/2014/main" id="{00000000-0008-0000-6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1.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6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2.xml><?xml version="1.0" encoding="utf-8"?>
<xdr:wsDr xmlns:xdr="http://schemas.openxmlformats.org/drawingml/2006/spreadsheetDrawing" xmlns:a="http://schemas.openxmlformats.org/drawingml/2006/main">
  <xdr:absoluteAnchor>
    <xdr:pos x="0" y="0"/>
    <xdr:ext cx="8572500" cy="5827568"/>
    <xdr:graphicFrame macro="">
      <xdr:nvGraphicFramePr>
        <xdr:cNvPr id="2" name="Chart 1">
          <a:extLst>
            <a:ext uri="{FF2B5EF4-FFF2-40B4-BE49-F238E27FC236}">
              <a16:creationId xmlns:a16="http://schemas.microsoft.com/office/drawing/2014/main" id="{00000000-0008-0000-6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3.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6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59091" cy="6286500"/>
    <xdr:graphicFrame macro="">
      <xdr:nvGraphicFramePr>
        <xdr:cNvPr id="2" name="Chart 1">
          <a:extLst>
            <a:ext uri="{FF2B5EF4-FFF2-40B4-BE49-F238E27FC236}">
              <a16:creationId xmlns:a16="http://schemas.microsoft.com/office/drawing/2014/main" id="{00000000-0008-0000-1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ctrlProp" Target="../ctrlProps/ctrlProp1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10442-514B-46CA-9321-D79468CCE117}">
  <dimension ref="A2:A7"/>
  <sheetViews>
    <sheetView tabSelected="1" workbookViewId="0">
      <selection activeCell="A2" sqref="A2"/>
    </sheetView>
  </sheetViews>
  <sheetFormatPr defaultRowHeight="12.5"/>
  <cols>
    <col min="1" max="1" width="104.6328125" customWidth="1"/>
  </cols>
  <sheetData>
    <row r="2" spans="1:1" ht="15.5">
      <c r="A2" s="277" t="s">
        <v>976</v>
      </c>
    </row>
    <row r="4" spans="1:1" ht="15.5">
      <c r="A4" s="274" t="s">
        <v>977</v>
      </c>
    </row>
    <row r="6" spans="1:1" ht="145.5" customHeight="1">
      <c r="A6" s="275" t="s">
        <v>979</v>
      </c>
    </row>
    <row r="7" spans="1:1" ht="124.5" customHeight="1">
      <c r="A7" s="276" t="s">
        <v>978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O306"/>
  <sheetViews>
    <sheetView showGridLines="0" zoomScale="84" zoomScaleNormal="84" workbookViewId="0">
      <pane xSplit="3" ySplit="6" topLeftCell="D7" activePane="bottomRight" state="frozen"/>
      <selection pane="topRight" activeCell="D1" sqref="D1"/>
      <selection pane="bottomLeft" activeCell="A7" sqref="A7"/>
      <selection pane="bottomRight" activeCell="B7" sqref="B7"/>
    </sheetView>
  </sheetViews>
  <sheetFormatPr defaultColWidth="0" defaultRowHeight="12.5"/>
  <cols>
    <col min="1" max="1" width="20.54296875" customWidth="1"/>
    <col min="2" max="2" width="16.7265625" customWidth="1"/>
    <col min="3" max="3" width="21.7265625" customWidth="1"/>
    <col min="4" max="11" width="14.54296875" customWidth="1"/>
    <col min="12" max="12" width="14.26953125" customWidth="1"/>
    <col min="13" max="14" width="14.54296875" customWidth="1"/>
    <col min="15" max="15" width="14.54296875" hidden="1" customWidth="1"/>
  </cols>
  <sheetData>
    <row r="1" spans="1:14" ht="13.4" customHeight="1"/>
    <row r="2" spans="1:14" ht="13.4" customHeight="1"/>
    <row r="3" spans="1:14" ht="12.75" customHeight="1">
      <c r="A3" s="24"/>
      <c r="B3" s="25"/>
      <c r="C3" s="25"/>
      <c r="F3" s="1" t="s">
        <v>42</v>
      </c>
      <c r="H3" s="24" t="s">
        <v>781</v>
      </c>
      <c r="M3" s="1"/>
    </row>
    <row r="4" spans="1:14" ht="13.4" customHeight="1">
      <c r="A4" s="24"/>
      <c r="D4" s="25"/>
      <c r="E4" s="1"/>
    </row>
    <row r="5" spans="1:14" ht="13.4" customHeight="1">
      <c r="A5" s="1"/>
      <c r="D5" s="2">
        <f>Input!G8</f>
        <v>2024</v>
      </c>
      <c r="E5" s="2">
        <f>D5+1</f>
        <v>2025</v>
      </c>
      <c r="F5" s="2">
        <f t="shared" ref="F5:M5" si="0">E5+1</f>
        <v>2026</v>
      </c>
      <c r="G5" s="2">
        <f t="shared" si="0"/>
        <v>2027</v>
      </c>
      <c r="H5" s="2">
        <f t="shared" si="0"/>
        <v>2028</v>
      </c>
      <c r="I5" s="2">
        <f t="shared" si="0"/>
        <v>2029</v>
      </c>
      <c r="J5" s="2">
        <f t="shared" si="0"/>
        <v>2030</v>
      </c>
      <c r="K5" s="2">
        <f t="shared" si="0"/>
        <v>2031</v>
      </c>
      <c r="L5" s="2">
        <f t="shared" si="0"/>
        <v>2032</v>
      </c>
      <c r="M5" s="2">
        <f t="shared" si="0"/>
        <v>2033</v>
      </c>
    </row>
    <row r="6" spans="1:14" ht="13.4" customHeight="1">
      <c r="A6" s="24"/>
      <c r="B6" s="1"/>
      <c r="C6" s="1"/>
      <c r="D6" s="2" t="s">
        <v>46</v>
      </c>
      <c r="E6" s="2" t="s">
        <v>46</v>
      </c>
      <c r="F6" s="2" t="s">
        <v>46</v>
      </c>
      <c r="G6" s="2" t="s">
        <v>46</v>
      </c>
      <c r="H6" s="2" t="s">
        <v>46</v>
      </c>
      <c r="I6" s="2" t="s">
        <v>46</v>
      </c>
      <c r="J6" s="2" t="s">
        <v>46</v>
      </c>
      <c r="K6" s="2" t="s">
        <v>46</v>
      </c>
      <c r="L6" s="2" t="s">
        <v>46</v>
      </c>
      <c r="M6" s="2" t="s">
        <v>46</v>
      </c>
    </row>
    <row r="7" spans="1:14" ht="13.4" customHeight="1">
      <c r="A7" s="30" t="s">
        <v>641</v>
      </c>
      <c r="B7" s="99"/>
      <c r="C7" t="s">
        <v>800</v>
      </c>
      <c r="D7" s="161" t="s">
        <v>801</v>
      </c>
      <c r="E7" s="1"/>
    </row>
    <row r="8" spans="1:14" ht="13.4" customHeight="1">
      <c r="A8" s="26" t="s">
        <v>677</v>
      </c>
      <c r="B8" s="133">
        <v>29373</v>
      </c>
      <c r="C8" s="5" t="s">
        <v>639</v>
      </c>
      <c r="D8" s="75">
        <f>IF($D7="V",Input!G$68,IF(AND($B14=D$5,Input!G$63&gt;0),Input!G$63,$B11))</f>
        <v>0.05</v>
      </c>
      <c r="E8" s="75">
        <f>IF($D7="V",Input!H$68,IF(AND($B14=E$5,Input!H$63&gt;0),Input!H$63,D8))</f>
        <v>0.05</v>
      </c>
      <c r="F8" s="75">
        <f>IF($D7="V",Input!I$68,IF(AND($B14=F$5,Input!I$63&gt;0),Input!I$63,E8))</f>
        <v>0.05</v>
      </c>
      <c r="G8" s="75">
        <f>IF($D7="V",Input!J$68,IF(AND($B14=G$5,Input!J$63&gt;0),Input!J$63,F8))</f>
        <v>0.05</v>
      </c>
      <c r="H8" s="75">
        <f>IF($D7="V",Input!K$68,IF(AND($B14=H$5,Input!K$63&gt;0),Input!K$63,G8))</f>
        <v>0.05</v>
      </c>
      <c r="I8" s="75">
        <f>IF($D7="V",Input!L$68,IF(AND($B14=I$5,Input!L$63&gt;0),Input!L$63,H8))</f>
        <v>0.05</v>
      </c>
      <c r="J8" s="75">
        <f>IF($D7="V",Input!M$68,IF(AND($B14=J$5,Input!M$63&gt;0),Input!M$63,I8))</f>
        <v>0.05</v>
      </c>
      <c r="K8" s="75">
        <f>IF($D7="V",Input!N$68,IF(AND($B14=K$5,Input!N$63&gt;0),Input!N$63,J8))</f>
        <v>0.05</v>
      </c>
      <c r="L8" s="75">
        <f>IF($D7="V",Input!O$68,IF(AND($B14=L$5,Input!O$63&gt;0),Input!O$63,K8))</f>
        <v>0.05</v>
      </c>
      <c r="M8" s="75">
        <f>IF($D7="V",Input!P$68,IF(AND($B14=M$5,Input!P$63&gt;0),Input!P$63,L8))</f>
        <v>0.05</v>
      </c>
      <c r="N8" s="5"/>
    </row>
    <row r="9" spans="1:14" ht="13.4" customHeight="1">
      <c r="A9" s="5" t="s">
        <v>361</v>
      </c>
      <c r="B9" s="135">
        <v>0</v>
      </c>
      <c r="C9" s="27" t="s">
        <v>173</v>
      </c>
      <c r="D9" s="136">
        <v>0</v>
      </c>
      <c r="E9" s="28">
        <f t="shared" ref="E9:M9" si="1">D14</f>
        <v>0</v>
      </c>
      <c r="F9" s="28">
        <f t="shared" si="1"/>
        <v>0</v>
      </c>
      <c r="G9" s="28">
        <f t="shared" si="1"/>
        <v>0</v>
      </c>
      <c r="H9" s="28">
        <f t="shared" si="1"/>
        <v>0</v>
      </c>
      <c r="I9" s="28">
        <f t="shared" si="1"/>
        <v>0</v>
      </c>
      <c r="J9" s="28">
        <f t="shared" si="1"/>
        <v>0</v>
      </c>
      <c r="K9" s="28">
        <f t="shared" si="1"/>
        <v>0</v>
      </c>
      <c r="L9" s="28">
        <f t="shared" si="1"/>
        <v>0</v>
      </c>
      <c r="M9" s="28">
        <f t="shared" si="1"/>
        <v>0</v>
      </c>
      <c r="N9" s="28"/>
    </row>
    <row r="10" spans="1:14" ht="13.4" customHeight="1">
      <c r="A10" s="26" t="s">
        <v>170</v>
      </c>
      <c r="B10" s="131">
        <v>35</v>
      </c>
      <c r="C10" s="29" t="s">
        <v>169</v>
      </c>
      <c r="D10" s="28">
        <f>D12-D11</f>
        <v>0</v>
      </c>
      <c r="E10" s="28">
        <f>E12-E11</f>
        <v>0</v>
      </c>
      <c r="F10" s="28">
        <f t="shared" ref="F10:M10" si="2">F12-F11</f>
        <v>0</v>
      </c>
      <c r="G10" s="28">
        <f t="shared" si="2"/>
        <v>0</v>
      </c>
      <c r="H10" s="28">
        <f t="shared" si="2"/>
        <v>0</v>
      </c>
      <c r="I10" s="28">
        <f t="shared" si="2"/>
        <v>0</v>
      </c>
      <c r="J10" s="28">
        <f t="shared" si="2"/>
        <v>0</v>
      </c>
      <c r="K10" s="28">
        <f t="shared" si="2"/>
        <v>0</v>
      </c>
      <c r="L10" s="28">
        <f t="shared" si="2"/>
        <v>0</v>
      </c>
      <c r="M10" s="28">
        <f t="shared" si="2"/>
        <v>0</v>
      </c>
      <c r="N10" s="28"/>
    </row>
    <row r="11" spans="1:14" ht="13.4" customHeight="1">
      <c r="A11" s="5" t="s">
        <v>172</v>
      </c>
      <c r="B11" s="134">
        <v>0.05</v>
      </c>
      <c r="C11" s="5" t="s">
        <v>174</v>
      </c>
      <c r="D11" s="28">
        <f>IF(AND($B13="Y",YEAR($B8)+$B10&gt;D$5),D16,IF((YEAR($B8)+$B10)&gt;D$5,FV(D8/$B12,$B12,D15),D9))</f>
        <v>0</v>
      </c>
      <c r="E11" s="28">
        <f>IF(AND($B13="Y",YEAR($B8)+$B10&gt;E$5),E16,IF((YEAR($B8)+$B10)&gt;E$5,FV(E8/$B12,$B12,E15),E9))</f>
        <v>0</v>
      </c>
      <c r="F11" s="28">
        <f t="shared" ref="F11:M11" si="3">IF(AND($B13="Y",YEAR($B8)+$B10&gt;F$5),F16,IF((YEAR($B8)+$B10)&gt;F$5,FV(F8/$B12,$B12,F15),F9))</f>
        <v>0</v>
      </c>
      <c r="G11" s="28">
        <f t="shared" si="3"/>
        <v>0</v>
      </c>
      <c r="H11" s="28">
        <f t="shared" si="3"/>
        <v>0</v>
      </c>
      <c r="I11" s="28">
        <f t="shared" si="3"/>
        <v>0</v>
      </c>
      <c r="J11" s="28">
        <f t="shared" si="3"/>
        <v>0</v>
      </c>
      <c r="K11" s="28">
        <f t="shared" si="3"/>
        <v>0</v>
      </c>
      <c r="L11" s="28">
        <f t="shared" si="3"/>
        <v>0</v>
      </c>
      <c r="M11" s="28">
        <f t="shared" si="3"/>
        <v>0</v>
      </c>
      <c r="N11" s="28"/>
    </row>
    <row r="12" spans="1:14" ht="13.4" customHeight="1">
      <c r="A12" s="5" t="s">
        <v>171</v>
      </c>
      <c r="B12" s="131">
        <v>12</v>
      </c>
      <c r="C12" s="78" t="s">
        <v>640</v>
      </c>
      <c r="D12" s="28">
        <f>IF(AND($B13="Y",YEAR($B8)+$B10&gt;D$5),D16+D8*(D9-D16*0.5),IF((YEAR($B8)+$B10)&gt;D$5,(D9*D8/$B12-D15)*$B12,(D9*(1+D8*MONTH($B8)/12))))</f>
        <v>0</v>
      </c>
      <c r="E12" s="28">
        <f>IF(AND($B13="Y",YEAR($B8)+$B10&gt;E$5),E16+E8*(E9-E16*0.5),IF((YEAR($B8)+$B10)&gt;E$5,(E9*E8/$B12-E15)*$B12,(E9*(1+E8*MONTH($B8)/12))))</f>
        <v>0</v>
      </c>
      <c r="F12" s="28">
        <f t="shared" ref="F12:M12" si="4">IF(AND($B13="Y",YEAR($B8)+$B10&gt;F$5),F16+F8*(F9-F16*0.5),IF((YEAR($B8)+$B10)&gt;F$5,(F9*F8/$B12-F15)*$B12,(F9*(1+F8*MONTH($B8)/12))))</f>
        <v>0</v>
      </c>
      <c r="G12" s="28">
        <f t="shared" si="4"/>
        <v>0</v>
      </c>
      <c r="H12" s="28">
        <f t="shared" si="4"/>
        <v>0</v>
      </c>
      <c r="I12" s="28">
        <f t="shared" si="4"/>
        <v>0</v>
      </c>
      <c r="J12" s="28">
        <f t="shared" si="4"/>
        <v>0</v>
      </c>
      <c r="K12" s="28">
        <f t="shared" si="4"/>
        <v>0</v>
      </c>
      <c r="L12" s="28">
        <f t="shared" si="4"/>
        <v>0</v>
      </c>
      <c r="M12" s="28">
        <f t="shared" si="4"/>
        <v>0</v>
      </c>
      <c r="N12" s="28"/>
    </row>
    <row r="13" spans="1:14" ht="13.4" customHeight="1">
      <c r="A13" s="5" t="s">
        <v>767</v>
      </c>
      <c r="B13" s="131" t="s">
        <v>719</v>
      </c>
      <c r="C13" s="132" t="s">
        <v>768</v>
      </c>
      <c r="D13" s="140">
        <v>0</v>
      </c>
      <c r="E13" s="140">
        <v>0</v>
      </c>
      <c r="F13" s="140">
        <v>0</v>
      </c>
      <c r="G13" s="140">
        <v>0</v>
      </c>
      <c r="H13" s="140">
        <v>0</v>
      </c>
      <c r="I13" s="140">
        <v>0</v>
      </c>
      <c r="J13" s="140">
        <v>0</v>
      </c>
      <c r="K13" s="140">
        <v>0</v>
      </c>
      <c r="L13" s="140">
        <v>0</v>
      </c>
      <c r="M13" s="140">
        <v>0</v>
      </c>
      <c r="N13" s="28"/>
    </row>
    <row r="14" spans="1:14" ht="13.4" customHeight="1">
      <c r="A14" s="5" t="s">
        <v>182</v>
      </c>
      <c r="B14" s="131"/>
      <c r="C14" s="30" t="s">
        <v>175</v>
      </c>
      <c r="D14" s="28">
        <f t="shared" ref="D14:M14" si="5">D9+D10-D12-D13</f>
        <v>0</v>
      </c>
      <c r="E14" s="28">
        <f t="shared" si="5"/>
        <v>0</v>
      </c>
      <c r="F14" s="28">
        <f t="shared" si="5"/>
        <v>0</v>
      </c>
      <c r="G14" s="28">
        <f t="shared" si="5"/>
        <v>0</v>
      </c>
      <c r="H14" s="28">
        <f t="shared" si="5"/>
        <v>0</v>
      </c>
      <c r="I14" s="28">
        <f t="shared" si="5"/>
        <v>0</v>
      </c>
      <c r="J14" s="28">
        <f t="shared" si="5"/>
        <v>0</v>
      </c>
      <c r="K14" s="28">
        <f t="shared" si="5"/>
        <v>0</v>
      </c>
      <c r="L14" s="28">
        <f t="shared" si="5"/>
        <v>0</v>
      </c>
      <c r="M14" s="28">
        <f t="shared" si="5"/>
        <v>0</v>
      </c>
      <c r="N14" s="28"/>
    </row>
    <row r="15" spans="1:14" s="21" customFormat="1" ht="13.4" hidden="1" customHeight="1">
      <c r="A15" s="5"/>
      <c r="B15" s="138"/>
      <c r="C15" s="5" t="s">
        <v>769</v>
      </c>
      <c r="D15" s="28" t="e">
        <f>PPMT(D8/$B12,1,ROUND(($B10-(D$5-YEAR($B8))+MONTH($B8)/12)*$B12,0),D9)</f>
        <v>#NUM!</v>
      </c>
      <c r="E15" s="28" t="e">
        <f>PPMT(E8/$B12,1,ROUND(($B10-(E$5-YEAR($B8))+MONTH($B8)/12)*$B12,0),E9)</f>
        <v>#NUM!</v>
      </c>
      <c r="F15" s="28" t="e">
        <f t="shared" ref="F15:M15" si="6">PPMT(F8/$B12,1,ROUND(($B10-(F$5-YEAR($B8))+MONTH($B8)/12)*$B12,0),F9)</f>
        <v>#NUM!</v>
      </c>
      <c r="G15" s="28" t="e">
        <f t="shared" si="6"/>
        <v>#NUM!</v>
      </c>
      <c r="H15" s="28" t="e">
        <f t="shared" si="6"/>
        <v>#NUM!</v>
      </c>
      <c r="I15" s="28" t="e">
        <f t="shared" si="6"/>
        <v>#NUM!</v>
      </c>
      <c r="J15" s="28" t="e">
        <f t="shared" si="6"/>
        <v>#NUM!</v>
      </c>
      <c r="K15" s="28" t="e">
        <f t="shared" si="6"/>
        <v>#NUM!</v>
      </c>
      <c r="L15" s="28" t="e">
        <f t="shared" si="6"/>
        <v>#NUM!</v>
      </c>
      <c r="M15" s="28" t="e">
        <f t="shared" si="6"/>
        <v>#NUM!</v>
      </c>
      <c r="N15" s="139"/>
    </row>
    <row r="16" spans="1:14" s="21" customFormat="1" ht="13.4" hidden="1" customHeight="1">
      <c r="A16" s="5"/>
      <c r="B16" s="5"/>
      <c r="C16" s="5" t="s">
        <v>770</v>
      </c>
      <c r="D16" s="28">
        <f>IF(YEAR($B8)+$B10&gt;D$5,D9/(YEAR($B8)+$B10-D$5+MONTH($B8)/12),D9)</f>
        <v>0</v>
      </c>
      <c r="E16" s="28">
        <f t="shared" ref="E16:M16" si="7">IF(YEAR($B8)+$B10&gt;E$5,E9/(YEAR($B8)+$B10-E$5+MONTH($B8)/12),E9)</f>
        <v>0</v>
      </c>
      <c r="F16" s="28">
        <f t="shared" si="7"/>
        <v>0</v>
      </c>
      <c r="G16" s="28">
        <f t="shared" si="7"/>
        <v>0</v>
      </c>
      <c r="H16" s="28">
        <f t="shared" si="7"/>
        <v>0</v>
      </c>
      <c r="I16" s="28">
        <f t="shared" si="7"/>
        <v>0</v>
      </c>
      <c r="J16" s="28">
        <f t="shared" si="7"/>
        <v>0</v>
      </c>
      <c r="K16" s="28">
        <f t="shared" si="7"/>
        <v>0</v>
      </c>
      <c r="L16" s="28">
        <f t="shared" si="7"/>
        <v>0</v>
      </c>
      <c r="M16" s="28">
        <f t="shared" si="7"/>
        <v>0</v>
      </c>
      <c r="N16" s="139"/>
    </row>
    <row r="17" spans="1:15" s="21" customFormat="1" ht="13.4" customHeight="1">
      <c r="A17" s="5"/>
      <c r="B17" s="5"/>
      <c r="C17" s="5"/>
      <c r="D17" s="28"/>
      <c r="E17" s="28"/>
      <c r="F17" s="28"/>
      <c r="G17" s="28"/>
      <c r="H17" s="28"/>
      <c r="I17" s="28"/>
      <c r="J17" s="28"/>
      <c r="K17" s="28"/>
      <c r="L17" s="28"/>
      <c r="M17" s="28"/>
      <c r="N17" s="139"/>
    </row>
    <row r="18" spans="1:15" s="21" customFormat="1" ht="13.4" customHeight="1">
      <c r="A18" s="5"/>
      <c r="B18" s="5"/>
      <c r="C18" s="5"/>
      <c r="D18" s="28"/>
      <c r="E18" s="28"/>
      <c r="F18" s="28"/>
      <c r="G18" s="28"/>
      <c r="H18" s="28"/>
      <c r="I18" s="28"/>
      <c r="J18" s="28"/>
      <c r="K18" s="28"/>
      <c r="L18" s="28"/>
      <c r="M18" s="28"/>
      <c r="N18" s="28"/>
      <c r="O18"/>
    </row>
    <row r="19" spans="1:15" ht="13.4" customHeight="1">
      <c r="A19" s="30" t="s">
        <v>642</v>
      </c>
      <c r="B19" s="99"/>
      <c r="C19" t="s">
        <v>800</v>
      </c>
      <c r="D19" s="161" t="s">
        <v>801</v>
      </c>
      <c r="E19" s="1"/>
      <c r="N19" s="28"/>
    </row>
    <row r="20" spans="1:15" ht="13.4" customHeight="1">
      <c r="A20" s="26" t="s">
        <v>677</v>
      </c>
      <c r="B20" s="133">
        <v>29373</v>
      </c>
      <c r="C20" s="5" t="s">
        <v>639</v>
      </c>
      <c r="D20" s="75">
        <f>IF($D19="V",Input!G$68,IF(AND($B26=D$5,Input!G$63&gt;0),Input!G$63,$B23))</f>
        <v>0.05</v>
      </c>
      <c r="E20" s="75">
        <f>IF($D19="V",Input!H$68,IF(AND($B26=E$5,Input!H$63&gt;0),Input!H$63,D20))</f>
        <v>0.05</v>
      </c>
      <c r="F20" s="75">
        <f>IF($D19="V",Input!I$68,IF(AND($B26=F$5,Input!I$63&gt;0),Input!I$63,E20))</f>
        <v>0.05</v>
      </c>
      <c r="G20" s="75">
        <f>IF($D19="V",Input!J$68,IF(AND($B26=G$5,Input!J$63&gt;0),Input!J$63,F20))</f>
        <v>0.05</v>
      </c>
      <c r="H20" s="75">
        <f>IF($D19="V",Input!K$68,IF(AND($B26=H$5,Input!K$63&gt;0),Input!K$63,G20))</f>
        <v>0.05</v>
      </c>
      <c r="I20" s="75">
        <f>IF($D19="V",Input!L$68,IF(AND($B26=I$5,Input!L$63&gt;0),Input!L$63,H20))</f>
        <v>0.05</v>
      </c>
      <c r="J20" s="75">
        <f>IF($D19="V",Input!M$68,IF(AND($B26=J$5,Input!M$63&gt;0),Input!M$63,I20))</f>
        <v>0.05</v>
      </c>
      <c r="K20" s="75">
        <f>IF($D19="V",Input!N$68,IF(AND($B26=K$5,Input!N$63&gt;0),Input!N$63,J20))</f>
        <v>0.05</v>
      </c>
      <c r="L20" s="75">
        <f>IF($D19="V",Input!O$68,IF(AND($B26=L$5,Input!O$63&gt;0),Input!O$63,K20))</f>
        <v>0.05</v>
      </c>
      <c r="M20" s="75">
        <f>IF($D19="V",Input!P$68,IF(AND($B26=M$5,Input!P$63&gt;0),Input!P$63,L20))</f>
        <v>0.05</v>
      </c>
      <c r="N20" s="5"/>
    </row>
    <row r="21" spans="1:15" ht="13.4" customHeight="1">
      <c r="A21" s="5" t="s">
        <v>361</v>
      </c>
      <c r="B21" s="135">
        <v>0</v>
      </c>
      <c r="C21" s="27" t="s">
        <v>173</v>
      </c>
      <c r="D21" s="140">
        <v>0</v>
      </c>
      <c r="E21" s="28">
        <f t="shared" ref="E21:M21" si="8">D26</f>
        <v>0</v>
      </c>
      <c r="F21" s="28">
        <f t="shared" si="8"/>
        <v>0</v>
      </c>
      <c r="G21" s="28">
        <f t="shared" si="8"/>
        <v>0</v>
      </c>
      <c r="H21" s="28">
        <f t="shared" si="8"/>
        <v>0</v>
      </c>
      <c r="I21" s="28">
        <f t="shared" si="8"/>
        <v>0</v>
      </c>
      <c r="J21" s="28">
        <f t="shared" si="8"/>
        <v>0</v>
      </c>
      <c r="K21" s="28">
        <f t="shared" si="8"/>
        <v>0</v>
      </c>
      <c r="L21" s="28">
        <f t="shared" si="8"/>
        <v>0</v>
      </c>
      <c r="M21" s="28">
        <f t="shared" si="8"/>
        <v>0</v>
      </c>
      <c r="N21" s="28"/>
    </row>
    <row r="22" spans="1:15" ht="13.4" customHeight="1">
      <c r="A22" s="26" t="s">
        <v>170</v>
      </c>
      <c r="B22" s="131">
        <v>35</v>
      </c>
      <c r="C22" s="29" t="s">
        <v>169</v>
      </c>
      <c r="D22" s="28">
        <f>D24-D23</f>
        <v>0</v>
      </c>
      <c r="E22" s="28">
        <f>E24-E23</f>
        <v>0</v>
      </c>
      <c r="F22" s="28">
        <f>F24-F23</f>
        <v>0</v>
      </c>
      <c r="G22" s="28">
        <f>G24-G23</f>
        <v>0</v>
      </c>
      <c r="H22" s="28">
        <f t="shared" ref="H22:M22" si="9">H24-H23</f>
        <v>0</v>
      </c>
      <c r="I22" s="28">
        <f t="shared" si="9"/>
        <v>0</v>
      </c>
      <c r="J22" s="28">
        <f t="shared" si="9"/>
        <v>0</v>
      </c>
      <c r="K22" s="28">
        <f t="shared" si="9"/>
        <v>0</v>
      </c>
      <c r="L22" s="28">
        <f t="shared" si="9"/>
        <v>0</v>
      </c>
      <c r="M22" s="28">
        <f t="shared" si="9"/>
        <v>0</v>
      </c>
      <c r="N22" s="28"/>
    </row>
    <row r="23" spans="1:15" ht="13.4" customHeight="1">
      <c r="A23" s="5" t="s">
        <v>172</v>
      </c>
      <c r="B23" s="134">
        <f>B11</f>
        <v>0.05</v>
      </c>
      <c r="C23" s="5" t="s">
        <v>174</v>
      </c>
      <c r="D23" s="28">
        <f>IF(AND($B25="Y",YEAR($B20)+$B22&gt;D$5),D28,IF((YEAR($B20)+$B22)&gt;D$5,FV(D20/$B24,$B24,D27),D21))</f>
        <v>0</v>
      </c>
      <c r="E23" s="28">
        <f>IF(AND($B25="Y",YEAR($B20)+$B22&gt;E$5),E28,IF((YEAR($B20)+$B22)&gt;E$5,FV(E20/$B24,$B24,E27),E21))</f>
        <v>0</v>
      </c>
      <c r="F23" s="28">
        <f>IF(AND($B25="Y",YEAR($B20)+$B22&gt;F$5),F28,IF((YEAR($B20)+$B22)&gt;F$5,FV(F20/$B24,$B24,F27),F21))</f>
        <v>0</v>
      </c>
      <c r="G23" s="28">
        <f>IF(AND($B25="Y",YEAR($B20)+$B22&gt;G$5),G28,IF((YEAR($B20)+$B22)&gt;G$5,FV(G20/$B24,$B24,G27),G21))</f>
        <v>0</v>
      </c>
      <c r="H23" s="28">
        <f t="shared" ref="H23:M23" si="10">IF(AND($B25="Y",YEAR($B20)+$B22&gt;H$5),H28,IF((YEAR($B20)+$B22)&gt;H$5,FV(H20/$B24,$B24,H27),H21))</f>
        <v>0</v>
      </c>
      <c r="I23" s="28">
        <f t="shared" si="10"/>
        <v>0</v>
      </c>
      <c r="J23" s="28">
        <f t="shared" si="10"/>
        <v>0</v>
      </c>
      <c r="K23" s="28">
        <f t="shared" si="10"/>
        <v>0</v>
      </c>
      <c r="L23" s="28">
        <f t="shared" si="10"/>
        <v>0</v>
      </c>
      <c r="M23" s="28">
        <f t="shared" si="10"/>
        <v>0</v>
      </c>
      <c r="N23" s="28"/>
    </row>
    <row r="24" spans="1:15" ht="13.4" customHeight="1">
      <c r="A24" s="5" t="s">
        <v>171</v>
      </c>
      <c r="B24" s="131">
        <v>12</v>
      </c>
      <c r="C24" s="78" t="s">
        <v>640</v>
      </c>
      <c r="D24" s="28">
        <f>IF(AND($B25="Y",YEAR($B20)+$B22&gt;D$5),D28+D20*(D21-D28*0.5),IF((YEAR($B20)+$B22)&gt;D$5,(D21*D20/$B24-D27)*$B24,(D21*(1+D20*MONTH($B20)/12))))</f>
        <v>0</v>
      </c>
      <c r="E24" s="28">
        <f>IF(AND($B25="Y",YEAR($B20)+$B22&gt;E$5),E28+E20*(E21-E28*0.5),IF((YEAR($B20)+$B22)&gt;E$5,(E21*E20/$B24-E27)*$B24,(E21*(1+E20*MONTH($B20)/12))))</f>
        <v>0</v>
      </c>
      <c r="F24" s="28">
        <f>IF(AND($B25="Y",YEAR($B20)+$B22&gt;F$5),F28+F20*(F21-F28*0.5),IF((YEAR($B20)+$B22)&gt;F$5,(F21*F20/$B24-F27)*$B24,(F21*(1+F20*MONTH($B20)/12))))</f>
        <v>0</v>
      </c>
      <c r="G24" s="28">
        <f>IF(AND($B25="Y",YEAR($B20)+$B22&gt;G$5),G28+G20*(G21-G28*0.5),IF((YEAR($B20)+$B22)&gt;G$5,(G21*G20/$B24-G27)*$B24,(G21*(1+G20*MONTH($B20)/12))))</f>
        <v>0</v>
      </c>
      <c r="H24" s="28">
        <f t="shared" ref="H24:M24" si="11">IF(AND($B25="Y",YEAR($B20)+$B22&gt;H$5),H28+H20*(H21-H28*0.5),IF((YEAR($B20)+$B22)&gt;H$5,(H21*H20/$B24-H27)*$B24,(H21*(1+H20*MONTH($B20)/12))))</f>
        <v>0</v>
      </c>
      <c r="I24" s="28">
        <f t="shared" si="11"/>
        <v>0</v>
      </c>
      <c r="J24" s="28">
        <f t="shared" si="11"/>
        <v>0</v>
      </c>
      <c r="K24" s="28">
        <f t="shared" si="11"/>
        <v>0</v>
      </c>
      <c r="L24" s="28">
        <f t="shared" si="11"/>
        <v>0</v>
      </c>
      <c r="M24" s="28">
        <f t="shared" si="11"/>
        <v>0</v>
      </c>
      <c r="N24" s="28"/>
    </row>
    <row r="25" spans="1:15" ht="13.4" customHeight="1">
      <c r="A25" s="5" t="s">
        <v>767</v>
      </c>
      <c r="B25" s="131" t="s">
        <v>719</v>
      </c>
      <c r="C25" s="132" t="s">
        <v>768</v>
      </c>
      <c r="D25" s="140">
        <v>0</v>
      </c>
      <c r="E25" s="140">
        <v>0</v>
      </c>
      <c r="F25" s="140">
        <v>0</v>
      </c>
      <c r="G25" s="140">
        <v>0</v>
      </c>
      <c r="H25" s="140">
        <v>0</v>
      </c>
      <c r="I25" s="140">
        <v>0</v>
      </c>
      <c r="J25" s="140">
        <v>0</v>
      </c>
      <c r="K25" s="140">
        <v>0</v>
      </c>
      <c r="L25" s="140">
        <v>0</v>
      </c>
      <c r="M25" s="140">
        <v>0</v>
      </c>
      <c r="N25" s="28"/>
    </row>
    <row r="26" spans="1:15" ht="13.4" customHeight="1">
      <c r="A26" s="5" t="s">
        <v>182</v>
      </c>
      <c r="B26" s="131"/>
      <c r="C26" s="30" t="s">
        <v>175</v>
      </c>
      <c r="D26" s="28">
        <f t="shared" ref="D26:M26" si="12">D21+D22-D24-D25</f>
        <v>0</v>
      </c>
      <c r="E26" s="28">
        <f t="shared" si="12"/>
        <v>0</v>
      </c>
      <c r="F26" s="28">
        <f t="shared" si="12"/>
        <v>0</v>
      </c>
      <c r="G26" s="28">
        <f t="shared" si="12"/>
        <v>0</v>
      </c>
      <c r="H26" s="28">
        <f t="shared" si="12"/>
        <v>0</v>
      </c>
      <c r="I26" s="28">
        <f t="shared" si="12"/>
        <v>0</v>
      </c>
      <c r="J26" s="28">
        <f t="shared" si="12"/>
        <v>0</v>
      </c>
      <c r="K26" s="28">
        <f t="shared" si="12"/>
        <v>0</v>
      </c>
      <c r="L26" s="28">
        <f t="shared" si="12"/>
        <v>0</v>
      </c>
      <c r="M26" s="28">
        <f t="shared" si="12"/>
        <v>0</v>
      </c>
      <c r="N26" s="28"/>
    </row>
    <row r="27" spans="1:15" ht="13.4" hidden="1" customHeight="1">
      <c r="A27" s="5"/>
      <c r="B27" s="138"/>
      <c r="C27" s="5" t="s">
        <v>769</v>
      </c>
      <c r="D27" s="28" t="e">
        <f>PPMT(D20/$B24,1,ROUND(($B22-(D$5-YEAR($B20))+MONTH($B20)/12)*$B24,0),D21)</f>
        <v>#NUM!</v>
      </c>
      <c r="E27" s="28" t="e">
        <f>PPMT(E20/$B24,1,ROUND(($B22-(E$5-YEAR($B20))+MONTH($B20)/12)*$B24,0),E21)</f>
        <v>#NUM!</v>
      </c>
      <c r="F27" s="28" t="e">
        <f>PPMT(F20/$B24,1,ROUND(($B22-(F$5-YEAR($B20))+MONTH($B20)/12)*$B24,0),F21)</f>
        <v>#NUM!</v>
      </c>
      <c r="G27" s="28" t="e">
        <f>PPMT(G20/$B24,1,ROUND(($B22-(G$5-YEAR($B20))+MONTH($B20)/12)*$B24,0),G21)</f>
        <v>#NUM!</v>
      </c>
      <c r="H27" s="28" t="e">
        <f t="shared" ref="H27:M27" si="13">PPMT(H20/$B24,1,ROUND(($B22-(H$5-YEAR($B20))+MONTH($B20)/12)*$B24,0),H21)</f>
        <v>#NUM!</v>
      </c>
      <c r="I27" s="28" t="e">
        <f t="shared" si="13"/>
        <v>#NUM!</v>
      </c>
      <c r="J27" s="28" t="e">
        <f t="shared" si="13"/>
        <v>#NUM!</v>
      </c>
      <c r="K27" s="28" t="e">
        <f t="shared" si="13"/>
        <v>#NUM!</v>
      </c>
      <c r="L27" s="28" t="e">
        <f t="shared" si="13"/>
        <v>#NUM!</v>
      </c>
      <c r="M27" s="28" t="e">
        <f t="shared" si="13"/>
        <v>#NUM!</v>
      </c>
      <c r="N27" s="139"/>
    </row>
    <row r="28" spans="1:15" ht="13.4" hidden="1" customHeight="1">
      <c r="A28" s="5"/>
      <c r="B28" s="5"/>
      <c r="C28" s="5" t="s">
        <v>770</v>
      </c>
      <c r="D28" s="28">
        <f>IF(YEAR($B20)+$B22&gt;D$5,D21/(YEAR($B20)+$B22-D$5+MONTH($B20)/12),D21)</f>
        <v>0</v>
      </c>
      <c r="E28" s="28">
        <f>IF(YEAR($B20)+$B22&gt;E$5,E21/(YEAR($B20)+$B22-E$5+MONTH($B20)/12),E21)</f>
        <v>0</v>
      </c>
      <c r="F28" s="28">
        <f>IF(YEAR($B20)+$B22&gt;F$5,F21/(YEAR($B20)+$B22-F$5+MONTH($B20)/12),F21)</f>
        <v>0</v>
      </c>
      <c r="G28" s="28">
        <f t="shared" ref="G28:M28" si="14">IF(YEAR($B20)+$B22&gt;G$5,G21/(YEAR($B20)+$B22-G$5+MONTH($B20)/12),G21)</f>
        <v>0</v>
      </c>
      <c r="H28" s="28">
        <f t="shared" si="14"/>
        <v>0</v>
      </c>
      <c r="I28" s="28">
        <f t="shared" si="14"/>
        <v>0</v>
      </c>
      <c r="J28" s="28">
        <f t="shared" si="14"/>
        <v>0</v>
      </c>
      <c r="K28" s="28">
        <f t="shared" si="14"/>
        <v>0</v>
      </c>
      <c r="L28" s="28">
        <f t="shared" si="14"/>
        <v>0</v>
      </c>
      <c r="M28" s="28">
        <f t="shared" si="14"/>
        <v>0</v>
      </c>
      <c r="N28" s="139"/>
    </row>
    <row r="29" spans="1:15" ht="13.4" customHeight="1">
      <c r="A29" s="5"/>
      <c r="B29" s="5"/>
      <c r="C29" s="5"/>
      <c r="D29" s="28"/>
      <c r="E29" s="28"/>
      <c r="F29" s="28"/>
      <c r="G29" s="28"/>
      <c r="H29" s="28"/>
      <c r="I29" s="28"/>
      <c r="J29" s="28"/>
      <c r="K29" s="28"/>
      <c r="L29" s="28"/>
      <c r="M29" s="28"/>
      <c r="N29" s="139"/>
    </row>
    <row r="30" spans="1:15" ht="13.4" customHeight="1">
      <c r="A30" s="5"/>
      <c r="B30" s="5"/>
      <c r="C30" s="5"/>
      <c r="D30" s="28"/>
      <c r="E30" s="28"/>
      <c r="F30" s="28"/>
      <c r="G30" s="28"/>
      <c r="H30" s="28"/>
      <c r="I30" s="28"/>
      <c r="J30" s="28"/>
      <c r="K30" s="28"/>
      <c r="L30" s="28"/>
      <c r="M30" s="28"/>
      <c r="N30" s="28"/>
    </row>
    <row r="31" spans="1:15" ht="13.4" customHeight="1">
      <c r="A31" s="30" t="s">
        <v>643</v>
      </c>
      <c r="B31" s="99"/>
      <c r="C31" t="s">
        <v>800</v>
      </c>
      <c r="D31" s="161" t="s">
        <v>801</v>
      </c>
      <c r="E31" s="1"/>
      <c r="N31" s="28"/>
    </row>
    <row r="32" spans="1:15" ht="13.4" customHeight="1">
      <c r="A32" s="26" t="s">
        <v>677</v>
      </c>
      <c r="B32" s="133">
        <v>29373</v>
      </c>
      <c r="C32" s="5" t="s">
        <v>639</v>
      </c>
      <c r="D32" s="75">
        <f>IF($D31="V",Input!G$68,IF(AND($B38=D$5,Input!G$63&gt;0),Input!G$63,$B35))</f>
        <v>0.05</v>
      </c>
      <c r="E32" s="75">
        <f>IF($D31="V",Input!H$68,IF(AND($B38=E$5,Input!H$63&gt;0),Input!H$63,D32))</f>
        <v>0.05</v>
      </c>
      <c r="F32" s="75">
        <f>IF($D31="V",Input!I$68,IF(AND($B38=F$5,Input!I$63&gt;0),Input!I$63,E32))</f>
        <v>0.05</v>
      </c>
      <c r="G32" s="75">
        <f>IF($D31="V",Input!J$68,IF(AND($B38=G$5,Input!J$63&gt;0),Input!J$63,F32))</f>
        <v>0.05</v>
      </c>
      <c r="H32" s="75">
        <f>IF($D31="V",Input!K$68,IF(AND($B38=H$5,Input!K$63&gt;0),Input!K$63,G32))</f>
        <v>0.05</v>
      </c>
      <c r="I32" s="75">
        <f>IF($D31="V",Input!L$68,IF(AND($B38=I$5,Input!L$63&gt;0),Input!L$63,H32))</f>
        <v>0.05</v>
      </c>
      <c r="J32" s="75">
        <f>IF($D31="V",Input!M$68,IF(AND($B38=J$5,Input!M$63&gt;0),Input!M$63,I32))</f>
        <v>0.05</v>
      </c>
      <c r="K32" s="75">
        <f>IF($D31="V",Input!N$68,IF(AND($B38=K$5,Input!N$63&gt;0),Input!N$63,J32))</f>
        <v>0.05</v>
      </c>
      <c r="L32" s="75">
        <f>IF($D31="V",Input!O$68,IF(AND($B38=L$5,Input!O$63&gt;0),Input!O$63,K32))</f>
        <v>0.05</v>
      </c>
      <c r="M32" s="75">
        <f>IF($D31="V",Input!P$68,IF(AND($B38=M$5,Input!P$63&gt;0),Input!P$63,L32))</f>
        <v>0.05</v>
      </c>
      <c r="N32" s="5"/>
    </row>
    <row r="33" spans="1:14" ht="13.4" customHeight="1">
      <c r="A33" s="5" t="s">
        <v>361</v>
      </c>
      <c r="B33" s="135">
        <v>0</v>
      </c>
      <c r="C33" s="27" t="s">
        <v>173</v>
      </c>
      <c r="D33" s="140">
        <v>0</v>
      </c>
      <c r="E33" s="28">
        <f t="shared" ref="E33:M33" si="15">D38</f>
        <v>0</v>
      </c>
      <c r="F33" s="28">
        <f t="shared" si="15"/>
        <v>0</v>
      </c>
      <c r="G33" s="28">
        <f t="shared" si="15"/>
        <v>0</v>
      </c>
      <c r="H33" s="28">
        <f t="shared" si="15"/>
        <v>0</v>
      </c>
      <c r="I33" s="28">
        <f t="shared" si="15"/>
        <v>0</v>
      </c>
      <c r="J33" s="28">
        <f t="shared" si="15"/>
        <v>0</v>
      </c>
      <c r="K33" s="28">
        <f t="shared" si="15"/>
        <v>0</v>
      </c>
      <c r="L33" s="28">
        <f t="shared" si="15"/>
        <v>0</v>
      </c>
      <c r="M33" s="28">
        <f t="shared" si="15"/>
        <v>0</v>
      </c>
      <c r="N33" s="28"/>
    </row>
    <row r="34" spans="1:14" ht="13.4" customHeight="1">
      <c r="A34" s="26" t="s">
        <v>170</v>
      </c>
      <c r="B34" s="131">
        <v>35</v>
      </c>
      <c r="C34" s="29" t="s">
        <v>169</v>
      </c>
      <c r="D34" s="28">
        <f>D36-D35</f>
        <v>0</v>
      </c>
      <c r="E34" s="28">
        <f>E36-E35</f>
        <v>0</v>
      </c>
      <c r="F34" s="28">
        <f t="shared" ref="F34:M34" si="16">F36-F35</f>
        <v>0</v>
      </c>
      <c r="G34" s="28">
        <f t="shared" si="16"/>
        <v>0</v>
      </c>
      <c r="H34" s="28">
        <f t="shared" si="16"/>
        <v>0</v>
      </c>
      <c r="I34" s="28">
        <f t="shared" si="16"/>
        <v>0</v>
      </c>
      <c r="J34" s="28">
        <f t="shared" si="16"/>
        <v>0</v>
      </c>
      <c r="K34" s="28">
        <f t="shared" si="16"/>
        <v>0</v>
      </c>
      <c r="L34" s="28">
        <f t="shared" si="16"/>
        <v>0</v>
      </c>
      <c r="M34" s="28">
        <f t="shared" si="16"/>
        <v>0</v>
      </c>
      <c r="N34" s="28"/>
    </row>
    <row r="35" spans="1:14" ht="13.4" customHeight="1">
      <c r="A35" s="5" t="s">
        <v>172</v>
      </c>
      <c r="B35" s="134">
        <f>B23</f>
        <v>0.05</v>
      </c>
      <c r="C35" s="5" t="s">
        <v>174</v>
      </c>
      <c r="D35" s="28">
        <f>IF(AND($B37="Y",YEAR($B32)+$B34&gt;D$5),D40,IF((YEAR($B32)+$B34)&gt;D$5,FV(D32/$B36,$B36,D39),D33))</f>
        <v>0</v>
      </c>
      <c r="E35" s="28">
        <f>IF(AND($B37="Y",YEAR($B32)+$B34&gt;E$5),E40,IF((YEAR($B32)+$B34)&gt;E$5,FV(E32/$B36,$B36,E39),E33))</f>
        <v>0</v>
      </c>
      <c r="F35" s="28">
        <f t="shared" ref="F35:M35" si="17">IF(AND($B37="Y",YEAR($B32)+$B34&gt;F$5),F40,IF((YEAR($B32)+$B34)&gt;F$5,FV(F32/$B36,$B36,F39),F33))</f>
        <v>0</v>
      </c>
      <c r="G35" s="28">
        <f t="shared" si="17"/>
        <v>0</v>
      </c>
      <c r="H35" s="28">
        <f t="shared" si="17"/>
        <v>0</v>
      </c>
      <c r="I35" s="28">
        <f t="shared" si="17"/>
        <v>0</v>
      </c>
      <c r="J35" s="28">
        <f t="shared" si="17"/>
        <v>0</v>
      </c>
      <c r="K35" s="28">
        <f t="shared" si="17"/>
        <v>0</v>
      </c>
      <c r="L35" s="28">
        <f t="shared" si="17"/>
        <v>0</v>
      </c>
      <c r="M35" s="28">
        <f t="shared" si="17"/>
        <v>0</v>
      </c>
      <c r="N35" s="28"/>
    </row>
    <row r="36" spans="1:14" ht="13.4" customHeight="1">
      <c r="A36" s="5" t="s">
        <v>171</v>
      </c>
      <c r="B36" s="131">
        <v>12</v>
      </c>
      <c r="C36" s="78" t="s">
        <v>640</v>
      </c>
      <c r="D36" s="28">
        <f>IF(AND($B37="Y",YEAR($B32)+$B34&gt;D$5),D40+D32*(D33-D40*0.5),IF((YEAR($B32)+$B34)&gt;D$5,(D33*D32/$B36-D39)*$B36,(D33*(1+D32*MONTH($B32)/12))))</f>
        <v>0</v>
      </c>
      <c r="E36" s="28">
        <f>IF(AND($B37="Y",YEAR($B32)+$B34&gt;E$5),E40+E32*(E33-E40*0.5),IF((YEAR($B32)+$B34)&gt;E$5,(E33*E32/$B36-E39)*$B36,(E33*(1+E32*MONTH($B32)/12))))</f>
        <v>0</v>
      </c>
      <c r="F36" s="28">
        <f t="shared" ref="F36:M36" si="18">IF(AND($B37="Y",YEAR($B32)+$B34&gt;F$5),F40+F32*(F33-F40*0.5),IF((YEAR($B32)+$B34)&gt;F$5,(F33*F32/$B36-F39)*$B36,(F33*(1+F32*MONTH($B32)/12))))</f>
        <v>0</v>
      </c>
      <c r="G36" s="28">
        <f t="shared" si="18"/>
        <v>0</v>
      </c>
      <c r="H36" s="28">
        <f t="shared" si="18"/>
        <v>0</v>
      </c>
      <c r="I36" s="28">
        <f t="shared" si="18"/>
        <v>0</v>
      </c>
      <c r="J36" s="28">
        <f t="shared" si="18"/>
        <v>0</v>
      </c>
      <c r="K36" s="28">
        <f t="shared" si="18"/>
        <v>0</v>
      </c>
      <c r="L36" s="28">
        <f t="shared" si="18"/>
        <v>0</v>
      </c>
      <c r="M36" s="28">
        <f t="shared" si="18"/>
        <v>0</v>
      </c>
      <c r="N36" s="28"/>
    </row>
    <row r="37" spans="1:14" ht="13.4" customHeight="1">
      <c r="A37" s="5" t="s">
        <v>767</v>
      </c>
      <c r="B37" s="131" t="s">
        <v>719</v>
      </c>
      <c r="C37" s="132" t="s">
        <v>768</v>
      </c>
      <c r="D37" s="140">
        <v>0</v>
      </c>
      <c r="E37" s="140">
        <v>0</v>
      </c>
      <c r="F37" s="140">
        <v>0</v>
      </c>
      <c r="G37" s="140">
        <v>0</v>
      </c>
      <c r="H37" s="140">
        <v>0</v>
      </c>
      <c r="I37" s="140">
        <v>0</v>
      </c>
      <c r="J37" s="140">
        <v>0</v>
      </c>
      <c r="K37" s="140">
        <v>0</v>
      </c>
      <c r="L37" s="140">
        <v>0</v>
      </c>
      <c r="M37" s="140">
        <v>0</v>
      </c>
      <c r="N37" s="28"/>
    </row>
    <row r="38" spans="1:14" ht="13.4" customHeight="1">
      <c r="A38" s="5" t="s">
        <v>182</v>
      </c>
      <c r="B38" s="131"/>
      <c r="C38" s="30" t="s">
        <v>175</v>
      </c>
      <c r="D38" s="28">
        <f t="shared" ref="D38:M38" si="19">D33+D34-D36-D37</f>
        <v>0</v>
      </c>
      <c r="E38" s="28">
        <f t="shared" si="19"/>
        <v>0</v>
      </c>
      <c r="F38" s="28">
        <f t="shared" si="19"/>
        <v>0</v>
      </c>
      <c r="G38" s="28">
        <f t="shared" si="19"/>
        <v>0</v>
      </c>
      <c r="H38" s="28">
        <f t="shared" si="19"/>
        <v>0</v>
      </c>
      <c r="I38" s="28">
        <f t="shared" si="19"/>
        <v>0</v>
      </c>
      <c r="J38" s="28">
        <f t="shared" si="19"/>
        <v>0</v>
      </c>
      <c r="K38" s="28">
        <f t="shared" si="19"/>
        <v>0</v>
      </c>
      <c r="L38" s="28">
        <f t="shared" si="19"/>
        <v>0</v>
      </c>
      <c r="M38" s="28">
        <f t="shared" si="19"/>
        <v>0</v>
      </c>
      <c r="N38" s="28"/>
    </row>
    <row r="39" spans="1:14" ht="13.4" hidden="1" customHeight="1">
      <c r="A39" s="5"/>
      <c r="B39" s="138"/>
      <c r="C39" s="5" t="s">
        <v>769</v>
      </c>
      <c r="D39" s="28" t="e">
        <f>PPMT(D32/$B36,1,ROUND(($B34-(D$5-YEAR($B32))+MONTH($B32)/12)*$B36,0),D33)</f>
        <v>#NUM!</v>
      </c>
      <c r="E39" s="28" t="e">
        <f>PPMT(E32/$B36,1,ROUND(($B34-(E$5-YEAR($B32))+MONTH($B32)/12)*$B36,0),E33)</f>
        <v>#NUM!</v>
      </c>
      <c r="F39" s="28" t="e">
        <f t="shared" ref="F39:M39" si="20">PPMT(F32/$B36,1,ROUND(($B34-(F$5-YEAR($B32))+MONTH($B32)/12)*$B36,0),F33)</f>
        <v>#NUM!</v>
      </c>
      <c r="G39" s="28" t="e">
        <f t="shared" si="20"/>
        <v>#NUM!</v>
      </c>
      <c r="H39" s="28" t="e">
        <f t="shared" si="20"/>
        <v>#NUM!</v>
      </c>
      <c r="I39" s="28" t="e">
        <f t="shared" si="20"/>
        <v>#NUM!</v>
      </c>
      <c r="J39" s="28" t="e">
        <f t="shared" si="20"/>
        <v>#NUM!</v>
      </c>
      <c r="K39" s="28" t="e">
        <f t="shared" si="20"/>
        <v>#NUM!</v>
      </c>
      <c r="L39" s="28" t="e">
        <f t="shared" si="20"/>
        <v>#NUM!</v>
      </c>
      <c r="M39" s="28" t="e">
        <f t="shared" si="20"/>
        <v>#NUM!</v>
      </c>
      <c r="N39" s="139"/>
    </row>
    <row r="40" spans="1:14" ht="13.4" hidden="1" customHeight="1">
      <c r="A40" s="5"/>
      <c r="B40" s="5"/>
      <c r="C40" s="5" t="s">
        <v>770</v>
      </c>
      <c r="D40" s="28">
        <f t="shared" ref="D40:M40" si="21">IF(YEAR($B32)+$B34&gt;D$5,D33/(YEAR($B32)+$B34-D$5+MONTH($B32)/12),D33)</f>
        <v>0</v>
      </c>
      <c r="E40" s="28">
        <f t="shared" si="21"/>
        <v>0</v>
      </c>
      <c r="F40" s="28">
        <f t="shared" si="21"/>
        <v>0</v>
      </c>
      <c r="G40" s="28">
        <f t="shared" si="21"/>
        <v>0</v>
      </c>
      <c r="H40" s="28">
        <f t="shared" si="21"/>
        <v>0</v>
      </c>
      <c r="I40" s="28">
        <f t="shared" si="21"/>
        <v>0</v>
      </c>
      <c r="J40" s="28">
        <f t="shared" si="21"/>
        <v>0</v>
      </c>
      <c r="K40" s="28">
        <f t="shared" si="21"/>
        <v>0</v>
      </c>
      <c r="L40" s="28">
        <f t="shared" si="21"/>
        <v>0</v>
      </c>
      <c r="M40" s="28">
        <f t="shared" si="21"/>
        <v>0</v>
      </c>
      <c r="N40" s="139"/>
    </row>
    <row r="41" spans="1:14" ht="13.4" customHeight="1">
      <c r="A41" s="5"/>
      <c r="B41" s="5"/>
      <c r="C41" s="5"/>
      <c r="D41" s="28"/>
      <c r="E41" s="28"/>
      <c r="F41" s="28"/>
      <c r="G41" s="28"/>
      <c r="H41" s="28"/>
      <c r="I41" s="28"/>
      <c r="J41" s="28"/>
      <c r="K41" s="28"/>
      <c r="L41" s="28"/>
      <c r="M41" s="28"/>
      <c r="N41" s="139"/>
    </row>
    <row r="42" spans="1:14" ht="13.4" customHeight="1">
      <c r="A42" s="5"/>
      <c r="B42" s="5"/>
      <c r="C42" s="5"/>
      <c r="D42" s="28"/>
      <c r="E42" s="28"/>
      <c r="F42" s="28"/>
      <c r="G42" s="28"/>
      <c r="H42" s="28"/>
      <c r="I42" s="28"/>
      <c r="J42" s="28"/>
      <c r="K42" s="28"/>
      <c r="L42" s="28"/>
      <c r="M42" s="28"/>
      <c r="N42" s="31"/>
    </row>
    <row r="43" spans="1:14" ht="13.4" customHeight="1">
      <c r="A43" s="30" t="s">
        <v>644</v>
      </c>
      <c r="B43" s="99"/>
      <c r="C43" t="s">
        <v>800</v>
      </c>
      <c r="D43" s="161" t="s">
        <v>801</v>
      </c>
      <c r="E43" s="1"/>
      <c r="N43" s="28"/>
    </row>
    <row r="44" spans="1:14" ht="13.4" customHeight="1">
      <c r="A44" s="26" t="s">
        <v>677</v>
      </c>
      <c r="B44" s="133">
        <v>29373</v>
      </c>
      <c r="C44" s="5" t="s">
        <v>639</v>
      </c>
      <c r="D44" s="75">
        <f>IF($D43="V",Input!G$68,IF(AND($B50=D$5,Input!G$63&gt;0),Input!G$63,$B47))</f>
        <v>0.05</v>
      </c>
      <c r="E44" s="75">
        <f>IF($D43="V",Input!H$68,IF(AND($B50=E$5,Input!H$63&gt;0),Input!H$63,D44))</f>
        <v>0.05</v>
      </c>
      <c r="F44" s="75">
        <f>IF($D43="V",Input!I$68,IF(AND($B50=F$5,Input!I$63&gt;0),Input!I$63,E44))</f>
        <v>0.05</v>
      </c>
      <c r="G44" s="75">
        <f>IF($D43="V",Input!J$68,IF(AND($B50=G$5,Input!J$63&gt;0),Input!J$63,F44))</f>
        <v>0.05</v>
      </c>
      <c r="H44" s="75">
        <f>IF($D43="V",Input!K$68,IF(AND($B50=H$5,Input!K$63&gt;0),Input!K$63,G44))</f>
        <v>0.05</v>
      </c>
      <c r="I44" s="75">
        <f>IF($D43="V",Input!L$68,IF(AND($B50=I$5,Input!L$63&gt;0),Input!L$63,H44))</f>
        <v>0.05</v>
      </c>
      <c r="J44" s="75">
        <f>IF($D43="V",Input!M$68,IF(AND($B50=J$5,Input!M$63&gt;0),Input!M$63,I44))</f>
        <v>0.05</v>
      </c>
      <c r="K44" s="75">
        <f>IF($D43="V",Input!N$68,IF(AND($B50=K$5,Input!N$63&gt;0),Input!N$63,J44))</f>
        <v>0.05</v>
      </c>
      <c r="L44" s="75">
        <f>IF($D43="V",Input!O$68,IF(AND($B50=L$5,Input!O$63&gt;0),Input!O$63,K44))</f>
        <v>0.05</v>
      </c>
      <c r="M44" s="75">
        <f>IF($D43="V",Input!P$68,IF(AND($B50=M$5,Input!P$63&gt;0),Input!P$63,L44))</f>
        <v>0.05</v>
      </c>
      <c r="N44" s="5"/>
    </row>
    <row r="45" spans="1:14" ht="13.4" customHeight="1">
      <c r="A45" s="5" t="s">
        <v>361</v>
      </c>
      <c r="B45" s="135">
        <v>0</v>
      </c>
      <c r="C45" s="27" t="s">
        <v>173</v>
      </c>
      <c r="D45" s="140">
        <v>0</v>
      </c>
      <c r="E45" s="28">
        <f t="shared" ref="E45:M45" si="22">D50</f>
        <v>0</v>
      </c>
      <c r="F45" s="28">
        <f t="shared" si="22"/>
        <v>0</v>
      </c>
      <c r="G45" s="28">
        <f t="shared" si="22"/>
        <v>0</v>
      </c>
      <c r="H45" s="28">
        <f t="shared" si="22"/>
        <v>0</v>
      </c>
      <c r="I45" s="28">
        <f t="shared" si="22"/>
        <v>0</v>
      </c>
      <c r="J45" s="28">
        <f t="shared" si="22"/>
        <v>0</v>
      </c>
      <c r="K45" s="28">
        <f t="shared" si="22"/>
        <v>0</v>
      </c>
      <c r="L45" s="28">
        <f t="shared" si="22"/>
        <v>0</v>
      </c>
      <c r="M45" s="28">
        <f t="shared" si="22"/>
        <v>0</v>
      </c>
      <c r="N45" s="28"/>
    </row>
    <row r="46" spans="1:14" ht="13.4" customHeight="1">
      <c r="A46" s="26" t="s">
        <v>170</v>
      </c>
      <c r="B46" s="131">
        <v>35</v>
      </c>
      <c r="C46" s="29" t="s">
        <v>169</v>
      </c>
      <c r="D46" s="28">
        <f>D48-D47</f>
        <v>0</v>
      </c>
      <c r="E46" s="28">
        <f>E48-E47</f>
        <v>0</v>
      </c>
      <c r="F46" s="28">
        <f t="shared" ref="F46:M46" si="23">F48-F47</f>
        <v>0</v>
      </c>
      <c r="G46" s="28">
        <f t="shared" si="23"/>
        <v>0</v>
      </c>
      <c r="H46" s="28">
        <f t="shared" si="23"/>
        <v>0</v>
      </c>
      <c r="I46" s="28">
        <f t="shared" si="23"/>
        <v>0</v>
      </c>
      <c r="J46" s="28">
        <f t="shared" si="23"/>
        <v>0</v>
      </c>
      <c r="K46" s="28">
        <f t="shared" si="23"/>
        <v>0</v>
      </c>
      <c r="L46" s="28">
        <f t="shared" si="23"/>
        <v>0</v>
      </c>
      <c r="M46" s="28">
        <f t="shared" si="23"/>
        <v>0</v>
      </c>
      <c r="N46" s="28"/>
    </row>
    <row r="47" spans="1:14" ht="13.4" customHeight="1">
      <c r="A47" s="5" t="s">
        <v>172</v>
      </c>
      <c r="B47" s="134">
        <f>B35</f>
        <v>0.05</v>
      </c>
      <c r="C47" s="5" t="s">
        <v>174</v>
      </c>
      <c r="D47" s="28">
        <f>IF(AND($B49="Y",YEAR($B44)+$B46&gt;D$5),D52,IF((YEAR($B44)+$B46)&gt;D$5,FV(D44/$B48,$B48,D51),D45))</f>
        <v>0</v>
      </c>
      <c r="E47" s="28">
        <f>IF(AND($B49="Y",YEAR($B44)+$B46&gt;E$5),E52,IF((YEAR($B44)+$B46)&gt;E$5,FV(E44/$B48,$B48,E51),E45))</f>
        <v>0</v>
      </c>
      <c r="F47" s="28">
        <f t="shared" ref="F47:M47" si="24">IF(AND($B49="Y",YEAR($B44)+$B46&gt;F$5),F52,IF((YEAR($B44)+$B46)&gt;F$5,FV(F44/$B48,$B48,F51),F45))</f>
        <v>0</v>
      </c>
      <c r="G47" s="28">
        <f t="shared" si="24"/>
        <v>0</v>
      </c>
      <c r="H47" s="28">
        <f t="shared" si="24"/>
        <v>0</v>
      </c>
      <c r="I47" s="28">
        <f t="shared" si="24"/>
        <v>0</v>
      </c>
      <c r="J47" s="28">
        <f t="shared" si="24"/>
        <v>0</v>
      </c>
      <c r="K47" s="28">
        <f t="shared" si="24"/>
        <v>0</v>
      </c>
      <c r="L47" s="28">
        <f t="shared" si="24"/>
        <v>0</v>
      </c>
      <c r="M47" s="28">
        <f t="shared" si="24"/>
        <v>0</v>
      </c>
      <c r="N47" s="28"/>
    </row>
    <row r="48" spans="1:14" ht="13.4" customHeight="1">
      <c r="A48" s="5" t="s">
        <v>171</v>
      </c>
      <c r="B48" s="131">
        <v>12</v>
      </c>
      <c r="C48" s="78" t="s">
        <v>640</v>
      </c>
      <c r="D48" s="28">
        <f>IF(AND($B49="Y",YEAR($B44)+$B46&gt;D$5),D52+D44*(D45-D52*0.5),IF((YEAR($B44)+$B46)&gt;D$5,(D45*D44/$B48-D51)*$B48,(D45*(1+D44*MONTH($B44)/12))))</f>
        <v>0</v>
      </c>
      <c r="E48" s="28">
        <f>IF(AND($B49="Y",YEAR($B44)+$B46&gt;E$5),E52+E44*(E45-E52*0.5),IF((YEAR($B44)+$B46)&gt;E$5,(E45*E44/$B48-E51)*$B48,(E45*(1+E44*MONTH($B44)/12))))</f>
        <v>0</v>
      </c>
      <c r="F48" s="28">
        <f t="shared" ref="F48:M48" si="25">IF(AND($B49="Y",YEAR($B44)+$B46&gt;F$5),F52+F44*(F45-F52*0.5),IF((YEAR($B44)+$B46)&gt;F$5,(F45*F44/$B48-F51)*$B48,(F45*(1+F44*MONTH($B44)/12))))</f>
        <v>0</v>
      </c>
      <c r="G48" s="28">
        <f t="shared" si="25"/>
        <v>0</v>
      </c>
      <c r="H48" s="28">
        <f t="shared" si="25"/>
        <v>0</v>
      </c>
      <c r="I48" s="28">
        <f t="shared" si="25"/>
        <v>0</v>
      </c>
      <c r="J48" s="28">
        <f t="shared" si="25"/>
        <v>0</v>
      </c>
      <c r="K48" s="28">
        <f t="shared" si="25"/>
        <v>0</v>
      </c>
      <c r="L48" s="28">
        <f t="shared" si="25"/>
        <v>0</v>
      </c>
      <c r="M48" s="28">
        <f t="shared" si="25"/>
        <v>0</v>
      </c>
      <c r="N48" s="28"/>
    </row>
    <row r="49" spans="1:14" ht="13.4" customHeight="1">
      <c r="A49" s="5" t="s">
        <v>767</v>
      </c>
      <c r="B49" s="131" t="s">
        <v>719</v>
      </c>
      <c r="C49" s="132" t="s">
        <v>768</v>
      </c>
      <c r="D49" s="140">
        <v>0</v>
      </c>
      <c r="E49" s="140">
        <v>0</v>
      </c>
      <c r="F49" s="140">
        <v>0</v>
      </c>
      <c r="G49" s="140">
        <v>0</v>
      </c>
      <c r="H49" s="140">
        <v>0</v>
      </c>
      <c r="I49" s="140">
        <v>0</v>
      </c>
      <c r="J49" s="140">
        <v>0</v>
      </c>
      <c r="K49" s="140">
        <v>0</v>
      </c>
      <c r="L49" s="140">
        <v>0</v>
      </c>
      <c r="M49" s="140">
        <v>0</v>
      </c>
      <c r="N49" s="28"/>
    </row>
    <row r="50" spans="1:14" ht="13.4" customHeight="1">
      <c r="A50" s="5" t="s">
        <v>182</v>
      </c>
      <c r="B50" s="131"/>
      <c r="C50" s="30" t="s">
        <v>175</v>
      </c>
      <c r="D50" s="28">
        <f t="shared" ref="D50:M50" si="26">D45+D46-D48-D49</f>
        <v>0</v>
      </c>
      <c r="E50" s="28">
        <f t="shared" si="26"/>
        <v>0</v>
      </c>
      <c r="F50" s="28">
        <f t="shared" si="26"/>
        <v>0</v>
      </c>
      <c r="G50" s="28">
        <f t="shared" si="26"/>
        <v>0</v>
      </c>
      <c r="H50" s="28">
        <f t="shared" si="26"/>
        <v>0</v>
      </c>
      <c r="I50" s="28">
        <f t="shared" si="26"/>
        <v>0</v>
      </c>
      <c r="J50" s="28">
        <f t="shared" si="26"/>
        <v>0</v>
      </c>
      <c r="K50" s="28">
        <f t="shared" si="26"/>
        <v>0</v>
      </c>
      <c r="L50" s="28">
        <f t="shared" si="26"/>
        <v>0</v>
      </c>
      <c r="M50" s="28">
        <f t="shared" si="26"/>
        <v>0</v>
      </c>
      <c r="N50" s="28"/>
    </row>
    <row r="51" spans="1:14" ht="13" hidden="1" customHeight="1">
      <c r="A51" s="5"/>
      <c r="B51" s="138"/>
      <c r="C51" s="5" t="s">
        <v>769</v>
      </c>
      <c r="D51" s="28" t="e">
        <f>PPMT(D44/$B48,1,ROUND(($B46-(D$5-YEAR($B44))+MONTH($B44)/12)*$B48,0),D45)</f>
        <v>#NUM!</v>
      </c>
      <c r="E51" s="28" t="e">
        <f>PPMT(E44/$B48,1,ROUND(($B46-(E$5-YEAR($B44))+MONTH($B44)/12)*$B48,0),E45)</f>
        <v>#NUM!</v>
      </c>
      <c r="F51" s="28" t="e">
        <f t="shared" ref="F51:M51" si="27">PPMT(F44/$B48,1,ROUND(($B46-(F$5-YEAR($B44))+MONTH($B44)/12)*$B48,0),F45)</f>
        <v>#NUM!</v>
      </c>
      <c r="G51" s="28" t="e">
        <f t="shared" si="27"/>
        <v>#NUM!</v>
      </c>
      <c r="H51" s="28" t="e">
        <f t="shared" si="27"/>
        <v>#NUM!</v>
      </c>
      <c r="I51" s="28" t="e">
        <f t="shared" si="27"/>
        <v>#NUM!</v>
      </c>
      <c r="J51" s="28" t="e">
        <f t="shared" si="27"/>
        <v>#NUM!</v>
      </c>
      <c r="K51" s="28" t="e">
        <f t="shared" si="27"/>
        <v>#NUM!</v>
      </c>
      <c r="L51" s="28" t="e">
        <f t="shared" si="27"/>
        <v>#NUM!</v>
      </c>
      <c r="M51" s="28" t="e">
        <f t="shared" si="27"/>
        <v>#NUM!</v>
      </c>
      <c r="N51" s="139"/>
    </row>
    <row r="52" spans="1:14" ht="13" hidden="1" customHeight="1">
      <c r="A52" s="5"/>
      <c r="B52" s="5"/>
      <c r="C52" s="5" t="s">
        <v>770</v>
      </c>
      <c r="D52" s="28">
        <f t="shared" ref="D52:M52" si="28">IF(YEAR($B44)+$B46&gt;D$5,D45/(YEAR($B44)+$B46-D$5+MONTH($B44)/12),D45)</f>
        <v>0</v>
      </c>
      <c r="E52" s="28">
        <f t="shared" si="28"/>
        <v>0</v>
      </c>
      <c r="F52" s="28">
        <f t="shared" si="28"/>
        <v>0</v>
      </c>
      <c r="G52" s="28">
        <f t="shared" si="28"/>
        <v>0</v>
      </c>
      <c r="H52" s="28">
        <f t="shared" si="28"/>
        <v>0</v>
      </c>
      <c r="I52" s="28">
        <f t="shared" si="28"/>
        <v>0</v>
      </c>
      <c r="J52" s="28">
        <f t="shared" si="28"/>
        <v>0</v>
      </c>
      <c r="K52" s="28">
        <f t="shared" si="28"/>
        <v>0</v>
      </c>
      <c r="L52" s="28">
        <f t="shared" si="28"/>
        <v>0</v>
      </c>
      <c r="M52" s="28">
        <f t="shared" si="28"/>
        <v>0</v>
      </c>
      <c r="N52" s="139"/>
    </row>
    <row r="53" spans="1:14" ht="13.4" customHeight="1">
      <c r="A53" s="5"/>
      <c r="B53" s="5"/>
      <c r="C53" s="5"/>
      <c r="D53" s="28"/>
      <c r="E53" s="28"/>
      <c r="F53" s="28"/>
      <c r="G53" s="28"/>
      <c r="H53" s="28"/>
      <c r="I53" s="28"/>
      <c r="J53" s="28"/>
      <c r="K53" s="28"/>
      <c r="L53" s="28"/>
      <c r="M53" s="28"/>
      <c r="N53" s="139"/>
    </row>
    <row r="54" spans="1:14" ht="13.4" customHeight="1">
      <c r="A54" s="5"/>
      <c r="B54" s="5"/>
      <c r="C54" s="5"/>
      <c r="D54" s="28"/>
      <c r="E54" s="28"/>
      <c r="F54" s="28"/>
      <c r="G54" s="28"/>
      <c r="H54" s="28"/>
      <c r="I54" s="28"/>
      <c r="J54" s="28"/>
      <c r="K54" s="28"/>
      <c r="L54" s="28"/>
      <c r="M54" s="28"/>
      <c r="N54" s="31"/>
    </row>
    <row r="55" spans="1:14" ht="13.4" customHeight="1">
      <c r="A55" s="30" t="s">
        <v>645</v>
      </c>
      <c r="B55" s="99"/>
      <c r="C55" t="s">
        <v>800</v>
      </c>
      <c r="D55" s="161" t="s">
        <v>801</v>
      </c>
      <c r="E55" s="1"/>
      <c r="N55" s="28"/>
    </row>
    <row r="56" spans="1:14" ht="13.4" customHeight="1">
      <c r="A56" s="26" t="s">
        <v>677</v>
      </c>
      <c r="B56" s="133">
        <v>29373</v>
      </c>
      <c r="C56" s="5" t="s">
        <v>639</v>
      </c>
      <c r="D56" s="75">
        <f>IF($D55="V",Input!G$68,IF(AND($B62=D$5,Input!G$63&gt;0),Input!G$63,$B59))</f>
        <v>0.05</v>
      </c>
      <c r="E56" s="75">
        <f>IF($D55="V",Input!H$68,IF(AND($B62=E$5,Input!H$63&gt;0),Input!H$63,D56))</f>
        <v>0.05</v>
      </c>
      <c r="F56" s="75">
        <f>IF($D55="V",Input!I$68,IF(AND($B62=F$5,Input!I$63&gt;0),Input!I$63,E56))</f>
        <v>0.05</v>
      </c>
      <c r="G56" s="75">
        <f>IF($D55="V",Input!J$68,IF(AND($B62=G$5,Input!J$63&gt;0),Input!J$63,F56))</f>
        <v>0.05</v>
      </c>
      <c r="H56" s="75">
        <f>IF($D55="V",Input!K$68,IF(AND($B62=H$5,Input!K$63&gt;0),Input!K$63,G56))</f>
        <v>0.05</v>
      </c>
      <c r="I56" s="75">
        <f>IF($D55="V",Input!L$68,IF(AND($B62=I$5,Input!L$63&gt;0),Input!L$63,H56))</f>
        <v>0.05</v>
      </c>
      <c r="J56" s="75">
        <f>IF($D55="V",Input!M$68,IF(AND($B62=J$5,Input!M$63&gt;0),Input!M$63,I56))</f>
        <v>0.05</v>
      </c>
      <c r="K56" s="75">
        <f>IF($D55="V",Input!N$68,IF(AND($B62=K$5,Input!N$63&gt;0),Input!N$63,J56))</f>
        <v>0.05</v>
      </c>
      <c r="L56" s="75">
        <f>IF($D55="V",Input!O$68,IF(AND($B62=L$5,Input!O$63&gt;0),Input!O$63,K56))</f>
        <v>0.05</v>
      </c>
      <c r="M56" s="75">
        <f>IF($D55="V",Input!P$68,IF(AND($B62=M$5,Input!P$63&gt;0),Input!P$63,L56))</f>
        <v>0.05</v>
      </c>
      <c r="N56" s="5"/>
    </row>
    <row r="57" spans="1:14" ht="13.4" customHeight="1">
      <c r="A57" s="5" t="s">
        <v>361</v>
      </c>
      <c r="B57" s="135">
        <v>0</v>
      </c>
      <c r="C57" s="27" t="s">
        <v>173</v>
      </c>
      <c r="D57" s="140">
        <v>0</v>
      </c>
      <c r="E57" s="28">
        <f t="shared" ref="E57:M57" si="29">D62</f>
        <v>0</v>
      </c>
      <c r="F57" s="28">
        <f t="shared" si="29"/>
        <v>0</v>
      </c>
      <c r="G57" s="28">
        <f t="shared" si="29"/>
        <v>0</v>
      </c>
      <c r="H57" s="28">
        <f t="shared" si="29"/>
        <v>0</v>
      </c>
      <c r="I57" s="28">
        <f t="shared" si="29"/>
        <v>0</v>
      </c>
      <c r="J57" s="28">
        <f t="shared" si="29"/>
        <v>0</v>
      </c>
      <c r="K57" s="28">
        <f t="shared" si="29"/>
        <v>0</v>
      </c>
      <c r="L57" s="28">
        <f t="shared" si="29"/>
        <v>0</v>
      </c>
      <c r="M57" s="28">
        <f t="shared" si="29"/>
        <v>0</v>
      </c>
      <c r="N57" s="28"/>
    </row>
    <row r="58" spans="1:14" ht="13.4" customHeight="1">
      <c r="A58" s="26" t="s">
        <v>170</v>
      </c>
      <c r="B58" s="131">
        <v>35</v>
      </c>
      <c r="C58" s="29" t="s">
        <v>169</v>
      </c>
      <c r="D58" s="28">
        <f>D60-D59</f>
        <v>0</v>
      </c>
      <c r="E58" s="28">
        <f>E60-E59</f>
        <v>0</v>
      </c>
      <c r="F58" s="28">
        <f t="shared" ref="F58:M58" si="30">F60-F59</f>
        <v>0</v>
      </c>
      <c r="G58" s="28">
        <f t="shared" si="30"/>
        <v>0</v>
      </c>
      <c r="H58" s="28">
        <f t="shared" si="30"/>
        <v>0</v>
      </c>
      <c r="I58" s="28">
        <f t="shared" si="30"/>
        <v>0</v>
      </c>
      <c r="J58" s="28">
        <f t="shared" si="30"/>
        <v>0</v>
      </c>
      <c r="K58" s="28">
        <f t="shared" si="30"/>
        <v>0</v>
      </c>
      <c r="L58" s="28">
        <f t="shared" si="30"/>
        <v>0</v>
      </c>
      <c r="M58" s="28">
        <f t="shared" si="30"/>
        <v>0</v>
      </c>
      <c r="N58" s="28"/>
    </row>
    <row r="59" spans="1:14" ht="13.4" customHeight="1">
      <c r="A59" s="5" t="s">
        <v>172</v>
      </c>
      <c r="B59" s="134">
        <f>B47</f>
        <v>0.05</v>
      </c>
      <c r="C59" s="5" t="s">
        <v>174</v>
      </c>
      <c r="D59" s="28">
        <f>IF(AND($B61="Y",YEAR($B56)+$B58&gt;D$5),D64,IF((YEAR($B56)+$B58)&gt;D$5,FV(D56/$B60,$B60,D63),D57))</f>
        <v>0</v>
      </c>
      <c r="E59" s="28">
        <f>IF(AND($B61="Y",YEAR($B56)+$B58&gt;E$5),E64,IF((YEAR($B56)+$B58)&gt;E$5,FV(E56/$B60,$B60,E63),E57))</f>
        <v>0</v>
      </c>
      <c r="F59" s="28">
        <f t="shared" ref="F59:M59" si="31">IF(AND($B61="Y",YEAR($B56)+$B58&gt;F$5),F64,IF((YEAR($B56)+$B58)&gt;F$5,FV(F56/$B60,$B60,F63),F57))</f>
        <v>0</v>
      </c>
      <c r="G59" s="28">
        <f t="shared" si="31"/>
        <v>0</v>
      </c>
      <c r="H59" s="28">
        <f t="shared" si="31"/>
        <v>0</v>
      </c>
      <c r="I59" s="28">
        <f t="shared" si="31"/>
        <v>0</v>
      </c>
      <c r="J59" s="28">
        <f t="shared" si="31"/>
        <v>0</v>
      </c>
      <c r="K59" s="28">
        <f t="shared" si="31"/>
        <v>0</v>
      </c>
      <c r="L59" s="28">
        <f t="shared" si="31"/>
        <v>0</v>
      </c>
      <c r="M59" s="28">
        <f t="shared" si="31"/>
        <v>0</v>
      </c>
      <c r="N59" s="28"/>
    </row>
    <row r="60" spans="1:14" ht="13.4" customHeight="1">
      <c r="A60" s="5" t="s">
        <v>171</v>
      </c>
      <c r="B60" s="131">
        <v>12</v>
      </c>
      <c r="C60" s="78" t="s">
        <v>640</v>
      </c>
      <c r="D60" s="28">
        <f>IF(AND($B61="Y",YEAR($B56)+$B58&gt;D$5),D64+D56*(D57-D64*0.5),IF((YEAR($B56)+$B58)&gt;D$5,(D57*D56/$B60-D63)*$B60,(D57*(1+D56*MONTH($B56)/12))))</f>
        <v>0</v>
      </c>
      <c r="E60" s="28">
        <f>IF(AND($B61="Y",YEAR($B56)+$B58&gt;E$5),E64+E56*(E57-E64*0.5),IF((YEAR($B56)+$B58)&gt;E$5,(E57*E56/$B60-E63)*$B60,(E57*(1+E56*MONTH($B56)/12))))</f>
        <v>0</v>
      </c>
      <c r="F60" s="28">
        <f t="shared" ref="F60:M60" si="32">IF(AND($B61="Y",YEAR($B56)+$B58&gt;F$5),F64+F56*(F57-F64*0.5),IF((YEAR($B56)+$B58)&gt;F$5,(F57*F56/$B60-F63)*$B60,(F57*(1+F56*MONTH($B56)/12))))</f>
        <v>0</v>
      </c>
      <c r="G60" s="28">
        <f t="shared" si="32"/>
        <v>0</v>
      </c>
      <c r="H60" s="28">
        <f t="shared" si="32"/>
        <v>0</v>
      </c>
      <c r="I60" s="28">
        <f t="shared" si="32"/>
        <v>0</v>
      </c>
      <c r="J60" s="28">
        <f t="shared" si="32"/>
        <v>0</v>
      </c>
      <c r="K60" s="28">
        <f t="shared" si="32"/>
        <v>0</v>
      </c>
      <c r="L60" s="28">
        <f t="shared" si="32"/>
        <v>0</v>
      </c>
      <c r="M60" s="28">
        <f t="shared" si="32"/>
        <v>0</v>
      </c>
      <c r="N60" s="28"/>
    </row>
    <row r="61" spans="1:14" ht="13.4" customHeight="1">
      <c r="A61" s="5" t="s">
        <v>767</v>
      </c>
      <c r="B61" s="131" t="s">
        <v>719</v>
      </c>
      <c r="C61" s="132" t="s">
        <v>768</v>
      </c>
      <c r="D61" s="140">
        <v>0</v>
      </c>
      <c r="E61" s="140">
        <v>0</v>
      </c>
      <c r="F61" s="140">
        <v>0</v>
      </c>
      <c r="G61" s="140">
        <v>0</v>
      </c>
      <c r="H61" s="140">
        <v>0</v>
      </c>
      <c r="I61" s="140">
        <v>0</v>
      </c>
      <c r="J61" s="140">
        <v>0</v>
      </c>
      <c r="K61" s="140">
        <v>0</v>
      </c>
      <c r="L61" s="140">
        <v>0</v>
      </c>
      <c r="M61" s="140">
        <v>0</v>
      </c>
      <c r="N61" s="28"/>
    </row>
    <row r="62" spans="1:14" ht="13.4" customHeight="1">
      <c r="A62" s="5" t="s">
        <v>182</v>
      </c>
      <c r="B62" s="131"/>
      <c r="C62" s="30" t="s">
        <v>175</v>
      </c>
      <c r="D62" s="28">
        <f t="shared" ref="D62:M62" si="33">D57+D58-D60-D61</f>
        <v>0</v>
      </c>
      <c r="E62" s="28">
        <f t="shared" si="33"/>
        <v>0</v>
      </c>
      <c r="F62" s="28">
        <f t="shared" si="33"/>
        <v>0</v>
      </c>
      <c r="G62" s="28">
        <f t="shared" si="33"/>
        <v>0</v>
      </c>
      <c r="H62" s="28">
        <f t="shared" si="33"/>
        <v>0</v>
      </c>
      <c r="I62" s="28">
        <f t="shared" si="33"/>
        <v>0</v>
      </c>
      <c r="J62" s="28">
        <f t="shared" si="33"/>
        <v>0</v>
      </c>
      <c r="K62" s="28">
        <f t="shared" si="33"/>
        <v>0</v>
      </c>
      <c r="L62" s="28">
        <f t="shared" si="33"/>
        <v>0</v>
      </c>
      <c r="M62" s="28">
        <f t="shared" si="33"/>
        <v>0</v>
      </c>
      <c r="N62" s="28"/>
    </row>
    <row r="63" spans="1:14" ht="13" hidden="1" customHeight="1">
      <c r="A63" s="5"/>
      <c r="B63" s="138"/>
      <c r="C63" s="5" t="s">
        <v>769</v>
      </c>
      <c r="D63" s="28" t="e">
        <f>PPMT(D56/$B60,1,ROUND(($B58-(D$5-YEAR($B56))+MONTH($B56)/12)*$B60,0),D57)</f>
        <v>#NUM!</v>
      </c>
      <c r="E63" s="28" t="e">
        <f>PPMT(E56/$B60,1,ROUND(($B58-(E$5-YEAR($B56))+MONTH($B56)/12)*$B60,0),E57)</f>
        <v>#NUM!</v>
      </c>
      <c r="F63" s="28" t="e">
        <f t="shared" ref="F63:M63" si="34">PPMT(F56/$B60,1,ROUND(($B58-(F$5-YEAR($B56))+MONTH($B56)/12)*$B60,0),F57)</f>
        <v>#NUM!</v>
      </c>
      <c r="G63" s="28" t="e">
        <f t="shared" si="34"/>
        <v>#NUM!</v>
      </c>
      <c r="H63" s="28" t="e">
        <f t="shared" si="34"/>
        <v>#NUM!</v>
      </c>
      <c r="I63" s="28" t="e">
        <f t="shared" si="34"/>
        <v>#NUM!</v>
      </c>
      <c r="J63" s="28" t="e">
        <f t="shared" si="34"/>
        <v>#NUM!</v>
      </c>
      <c r="K63" s="28" t="e">
        <f t="shared" si="34"/>
        <v>#NUM!</v>
      </c>
      <c r="L63" s="28" t="e">
        <f t="shared" si="34"/>
        <v>#NUM!</v>
      </c>
      <c r="M63" s="28" t="e">
        <f t="shared" si="34"/>
        <v>#NUM!</v>
      </c>
      <c r="N63" s="139"/>
    </row>
    <row r="64" spans="1:14" ht="13" hidden="1" customHeight="1">
      <c r="A64" s="5"/>
      <c r="B64" s="5"/>
      <c r="C64" s="5" t="s">
        <v>770</v>
      </c>
      <c r="D64" s="28">
        <f t="shared" ref="D64:M64" si="35">IF(YEAR($B56)+$B58&gt;D$5,D57/(YEAR($B56)+$B58-D$5+MONTH($B56)/12),D57)</f>
        <v>0</v>
      </c>
      <c r="E64" s="28">
        <f t="shared" si="35"/>
        <v>0</v>
      </c>
      <c r="F64" s="28">
        <f t="shared" si="35"/>
        <v>0</v>
      </c>
      <c r="G64" s="28">
        <f t="shared" si="35"/>
        <v>0</v>
      </c>
      <c r="H64" s="28">
        <f t="shared" si="35"/>
        <v>0</v>
      </c>
      <c r="I64" s="28">
        <f t="shared" si="35"/>
        <v>0</v>
      </c>
      <c r="J64" s="28">
        <f t="shared" si="35"/>
        <v>0</v>
      </c>
      <c r="K64" s="28">
        <f t="shared" si="35"/>
        <v>0</v>
      </c>
      <c r="L64" s="28">
        <f t="shared" si="35"/>
        <v>0</v>
      </c>
      <c r="M64" s="28">
        <f t="shared" si="35"/>
        <v>0</v>
      </c>
      <c r="N64" s="139"/>
    </row>
    <row r="65" spans="1:14" ht="13.4" customHeight="1">
      <c r="A65" s="5"/>
      <c r="B65" s="5"/>
      <c r="C65" s="5"/>
      <c r="D65" s="28"/>
      <c r="E65" s="28"/>
      <c r="F65" s="28"/>
      <c r="G65" s="28"/>
      <c r="H65" s="28"/>
      <c r="I65" s="28"/>
      <c r="J65" s="28"/>
      <c r="K65" s="28"/>
      <c r="L65" s="28"/>
      <c r="M65" s="28"/>
      <c r="N65" s="139"/>
    </row>
    <row r="66" spans="1:14" ht="13.4" customHeight="1">
      <c r="A66" s="5"/>
      <c r="B66" s="5"/>
      <c r="C66" s="5"/>
      <c r="D66" s="28"/>
      <c r="E66" s="28"/>
      <c r="F66" s="28"/>
      <c r="G66" s="28"/>
      <c r="H66" s="28"/>
      <c r="I66" s="28"/>
      <c r="J66" s="28"/>
      <c r="K66" s="28"/>
      <c r="L66" s="28"/>
      <c r="M66" s="28"/>
      <c r="N66" s="31"/>
    </row>
    <row r="67" spans="1:14" ht="13.4" customHeight="1">
      <c r="A67" s="30" t="s">
        <v>646</v>
      </c>
      <c r="B67" s="99"/>
      <c r="C67" t="s">
        <v>800</v>
      </c>
      <c r="D67" s="161" t="s">
        <v>801</v>
      </c>
      <c r="E67" s="1"/>
      <c r="N67" s="28"/>
    </row>
    <row r="68" spans="1:14" ht="13.4" customHeight="1">
      <c r="A68" s="26" t="s">
        <v>677</v>
      </c>
      <c r="B68" s="133">
        <v>29373</v>
      </c>
      <c r="C68" s="5" t="s">
        <v>639</v>
      </c>
      <c r="D68" s="75">
        <f>IF($D67="V",Input!G$68,IF(AND($B74=D$5,Input!G$63&gt;0),Input!G$63,$B71))</f>
        <v>0.05</v>
      </c>
      <c r="E68" s="75">
        <f>IF($D67="V",Input!H$68,IF(AND($B74=E$5,Input!H$63&gt;0),Input!H$63,D68))</f>
        <v>0.05</v>
      </c>
      <c r="F68" s="75">
        <f>IF($D67="V",Input!I$68,IF(AND($B74=F$5,Input!I$63&gt;0),Input!I$63,E68))</f>
        <v>0.05</v>
      </c>
      <c r="G68" s="75">
        <f>IF($D67="V",Input!J$68,IF(AND($B74=G$5,Input!J$63&gt;0),Input!J$63,F68))</f>
        <v>0.05</v>
      </c>
      <c r="H68" s="75">
        <f>IF($D67="V",Input!K$68,IF(AND($B74=H$5,Input!K$63&gt;0),Input!K$63,G68))</f>
        <v>0.05</v>
      </c>
      <c r="I68" s="75">
        <f>IF($D67="V",Input!L$68,IF(AND($B74=I$5,Input!L$63&gt;0),Input!L$63,H68))</f>
        <v>0.05</v>
      </c>
      <c r="J68" s="75">
        <f>IF($D67="V",Input!M$68,IF(AND($B74=J$5,Input!M$63&gt;0),Input!M$63,I68))</f>
        <v>0.05</v>
      </c>
      <c r="K68" s="75">
        <f>IF($D67="V",Input!N$68,IF(AND($B74=K$5,Input!N$63&gt;0),Input!N$63,J68))</f>
        <v>0.05</v>
      </c>
      <c r="L68" s="75">
        <f>IF($D67="V",Input!O$68,IF(AND($B74=L$5,Input!O$63&gt;0),Input!O$63,K68))</f>
        <v>0.05</v>
      </c>
      <c r="M68" s="75">
        <f>IF($D67="V",Input!P$68,IF(AND($B74=M$5,Input!P$63&gt;0),Input!P$63,L68))</f>
        <v>0.05</v>
      </c>
      <c r="N68" s="5"/>
    </row>
    <row r="69" spans="1:14" ht="13.4" customHeight="1">
      <c r="A69" s="5" t="s">
        <v>361</v>
      </c>
      <c r="B69" s="135">
        <v>0</v>
      </c>
      <c r="C69" s="27" t="s">
        <v>173</v>
      </c>
      <c r="D69" s="140">
        <v>0</v>
      </c>
      <c r="E69" s="28">
        <f t="shared" ref="E69:M69" si="36">D74</f>
        <v>0</v>
      </c>
      <c r="F69" s="28">
        <f t="shared" si="36"/>
        <v>0</v>
      </c>
      <c r="G69" s="28">
        <f t="shared" si="36"/>
        <v>0</v>
      </c>
      <c r="H69" s="28">
        <f t="shared" si="36"/>
        <v>0</v>
      </c>
      <c r="I69" s="28">
        <f t="shared" si="36"/>
        <v>0</v>
      </c>
      <c r="J69" s="28">
        <f t="shared" si="36"/>
        <v>0</v>
      </c>
      <c r="K69" s="28">
        <f t="shared" si="36"/>
        <v>0</v>
      </c>
      <c r="L69" s="28">
        <f t="shared" si="36"/>
        <v>0</v>
      </c>
      <c r="M69" s="28">
        <f t="shared" si="36"/>
        <v>0</v>
      </c>
      <c r="N69" s="28"/>
    </row>
    <row r="70" spans="1:14" ht="13.4" customHeight="1">
      <c r="A70" s="26" t="s">
        <v>170</v>
      </c>
      <c r="B70" s="131">
        <v>35</v>
      </c>
      <c r="C70" s="29" t="s">
        <v>169</v>
      </c>
      <c r="D70" s="28">
        <f>D72-D71</f>
        <v>0</v>
      </c>
      <c r="E70" s="28">
        <f>E72-E71</f>
        <v>0</v>
      </c>
      <c r="F70" s="28">
        <f t="shared" ref="F70:M70" si="37">F72-F71</f>
        <v>0</v>
      </c>
      <c r="G70" s="28">
        <f t="shared" si="37"/>
        <v>0</v>
      </c>
      <c r="H70" s="28">
        <f t="shared" si="37"/>
        <v>0</v>
      </c>
      <c r="I70" s="28">
        <f t="shared" si="37"/>
        <v>0</v>
      </c>
      <c r="J70" s="28">
        <f t="shared" si="37"/>
        <v>0</v>
      </c>
      <c r="K70" s="28">
        <f t="shared" si="37"/>
        <v>0</v>
      </c>
      <c r="L70" s="28">
        <f t="shared" si="37"/>
        <v>0</v>
      </c>
      <c r="M70" s="28">
        <f t="shared" si="37"/>
        <v>0</v>
      </c>
      <c r="N70" s="28"/>
    </row>
    <row r="71" spans="1:14" ht="13.4" customHeight="1">
      <c r="A71" s="5" t="s">
        <v>172</v>
      </c>
      <c r="B71" s="134">
        <f>B59</f>
        <v>0.05</v>
      </c>
      <c r="C71" s="5" t="s">
        <v>174</v>
      </c>
      <c r="D71" s="28">
        <f>IF(AND($B73="Y",YEAR($B68)+$B70&gt;D$5),D76,IF((YEAR($B68)+$B70)&gt;D$5,FV(D68/$B72,$B72,D75),D69))</f>
        <v>0</v>
      </c>
      <c r="E71" s="28">
        <f>IF(AND($B73="Y",YEAR($B68)+$B70&gt;E$5),E76,IF((YEAR($B68)+$B70)&gt;E$5,FV(E68/$B72,$B72,E75),E69))</f>
        <v>0</v>
      </c>
      <c r="F71" s="28">
        <f t="shared" ref="F71:M71" si="38">IF(AND($B73="Y",YEAR($B68)+$B70&gt;F$5),F76,IF((YEAR($B68)+$B70)&gt;F$5,FV(F68/$B72,$B72,F75),F69))</f>
        <v>0</v>
      </c>
      <c r="G71" s="28">
        <f t="shared" si="38"/>
        <v>0</v>
      </c>
      <c r="H71" s="28">
        <f t="shared" si="38"/>
        <v>0</v>
      </c>
      <c r="I71" s="28">
        <f t="shared" si="38"/>
        <v>0</v>
      </c>
      <c r="J71" s="28">
        <f t="shared" si="38"/>
        <v>0</v>
      </c>
      <c r="K71" s="28">
        <f t="shared" si="38"/>
        <v>0</v>
      </c>
      <c r="L71" s="28">
        <f t="shared" si="38"/>
        <v>0</v>
      </c>
      <c r="M71" s="28">
        <f t="shared" si="38"/>
        <v>0</v>
      </c>
      <c r="N71" s="28"/>
    </row>
    <row r="72" spans="1:14" ht="13.4" customHeight="1">
      <c r="A72" s="5" t="s">
        <v>171</v>
      </c>
      <c r="B72" s="131">
        <v>12</v>
      </c>
      <c r="C72" s="78" t="s">
        <v>640</v>
      </c>
      <c r="D72" s="28">
        <f>IF(AND($B73="Y",YEAR($B68)+$B70&gt;D$5),D76+D68*(D69-D76*0.5),IF((YEAR($B68)+$B70)&gt;D$5,(D69*D68/$B72-D75)*$B72,(D69*(1+D68*MONTH($B68)/12))))</f>
        <v>0</v>
      </c>
      <c r="E72" s="28">
        <f>IF(AND($B73="Y",YEAR($B68)+$B70&gt;E$5),E76+E68*(E69-E76*0.5),IF((YEAR($B68)+$B70)&gt;E$5,(E69*E68/$B72-E75)*$B72,(E69*(1+E68*MONTH($B68)/12))))</f>
        <v>0</v>
      </c>
      <c r="F72" s="28">
        <f t="shared" ref="F72:M72" si="39">IF(AND($B73="Y",YEAR($B68)+$B70&gt;F$5),F76+F68*(F69-F76*0.5),IF((YEAR($B68)+$B70)&gt;F$5,(F69*F68/$B72-F75)*$B72,(F69*(1+F68*MONTH($B68)/12))))</f>
        <v>0</v>
      </c>
      <c r="G72" s="28">
        <f t="shared" si="39"/>
        <v>0</v>
      </c>
      <c r="H72" s="28">
        <f t="shared" si="39"/>
        <v>0</v>
      </c>
      <c r="I72" s="28">
        <f t="shared" si="39"/>
        <v>0</v>
      </c>
      <c r="J72" s="28">
        <f t="shared" si="39"/>
        <v>0</v>
      </c>
      <c r="K72" s="28">
        <f t="shared" si="39"/>
        <v>0</v>
      </c>
      <c r="L72" s="28">
        <f t="shared" si="39"/>
        <v>0</v>
      </c>
      <c r="M72" s="28">
        <f t="shared" si="39"/>
        <v>0</v>
      </c>
      <c r="N72" s="28"/>
    </row>
    <row r="73" spans="1:14" ht="13.4" customHeight="1">
      <c r="A73" s="5" t="s">
        <v>767</v>
      </c>
      <c r="B73" s="131" t="s">
        <v>719</v>
      </c>
      <c r="C73" s="132" t="s">
        <v>768</v>
      </c>
      <c r="D73" s="140">
        <v>0</v>
      </c>
      <c r="E73" s="140">
        <v>0</v>
      </c>
      <c r="F73" s="140">
        <v>0</v>
      </c>
      <c r="G73" s="140">
        <v>0</v>
      </c>
      <c r="H73" s="140">
        <v>0</v>
      </c>
      <c r="I73" s="140">
        <v>0</v>
      </c>
      <c r="J73" s="140">
        <v>0</v>
      </c>
      <c r="K73" s="140">
        <v>0</v>
      </c>
      <c r="L73" s="140">
        <v>0</v>
      </c>
      <c r="M73" s="140">
        <v>0</v>
      </c>
      <c r="N73" s="28"/>
    </row>
    <row r="74" spans="1:14" ht="13.4" customHeight="1">
      <c r="A74" s="5" t="s">
        <v>182</v>
      </c>
      <c r="B74" s="131"/>
      <c r="C74" s="30" t="s">
        <v>175</v>
      </c>
      <c r="D74" s="28">
        <f t="shared" ref="D74:M74" si="40">D69+D70-D72-D73</f>
        <v>0</v>
      </c>
      <c r="E74" s="28">
        <f t="shared" si="40"/>
        <v>0</v>
      </c>
      <c r="F74" s="28">
        <f t="shared" si="40"/>
        <v>0</v>
      </c>
      <c r="G74" s="28">
        <f t="shared" si="40"/>
        <v>0</v>
      </c>
      <c r="H74" s="28">
        <f t="shared" si="40"/>
        <v>0</v>
      </c>
      <c r="I74" s="28">
        <f t="shared" si="40"/>
        <v>0</v>
      </c>
      <c r="J74" s="28">
        <f t="shared" si="40"/>
        <v>0</v>
      </c>
      <c r="K74" s="28">
        <f t="shared" si="40"/>
        <v>0</v>
      </c>
      <c r="L74" s="28">
        <f t="shared" si="40"/>
        <v>0</v>
      </c>
      <c r="M74" s="28">
        <f t="shared" si="40"/>
        <v>0</v>
      </c>
      <c r="N74" s="28"/>
    </row>
    <row r="75" spans="1:14" ht="13" hidden="1" customHeight="1">
      <c r="A75" s="5"/>
      <c r="B75" s="138"/>
      <c r="C75" s="5" t="s">
        <v>769</v>
      </c>
      <c r="D75" s="28" t="e">
        <f>PPMT(D68/$B72,1,ROUND(($B70-(D$5-YEAR($B68))+MONTH($B68)/12)*$B72,0),D69)</f>
        <v>#NUM!</v>
      </c>
      <c r="E75" s="28" t="e">
        <f>PPMT(E68/$B72,1,ROUND(($B70-(E$5-YEAR($B68))+MONTH($B68)/12)*$B72,0),E69)</f>
        <v>#NUM!</v>
      </c>
      <c r="F75" s="28" t="e">
        <f t="shared" ref="F75:M75" si="41">PPMT(F68/$B72,1,ROUND(($B70-(F$5-YEAR($B68))+MONTH($B68)/12)*$B72,0),F69)</f>
        <v>#NUM!</v>
      </c>
      <c r="G75" s="28" t="e">
        <f t="shared" si="41"/>
        <v>#NUM!</v>
      </c>
      <c r="H75" s="28" t="e">
        <f t="shared" si="41"/>
        <v>#NUM!</v>
      </c>
      <c r="I75" s="28" t="e">
        <f t="shared" si="41"/>
        <v>#NUM!</v>
      </c>
      <c r="J75" s="28" t="e">
        <f t="shared" si="41"/>
        <v>#NUM!</v>
      </c>
      <c r="K75" s="28" t="e">
        <f t="shared" si="41"/>
        <v>#NUM!</v>
      </c>
      <c r="L75" s="28" t="e">
        <f t="shared" si="41"/>
        <v>#NUM!</v>
      </c>
      <c r="M75" s="28" t="e">
        <f t="shared" si="41"/>
        <v>#NUM!</v>
      </c>
      <c r="N75" s="139"/>
    </row>
    <row r="76" spans="1:14" ht="13" hidden="1" customHeight="1">
      <c r="A76" s="5"/>
      <c r="B76" s="5"/>
      <c r="C76" s="5" t="s">
        <v>770</v>
      </c>
      <c r="D76" s="28">
        <f t="shared" ref="D76:M76" si="42">IF(YEAR($B68)+$B70&gt;D$5,D69/(YEAR($B68)+$B70-D$5+MONTH($B68)/12),D69)</f>
        <v>0</v>
      </c>
      <c r="E76" s="28">
        <f t="shared" si="42"/>
        <v>0</v>
      </c>
      <c r="F76" s="28">
        <f t="shared" si="42"/>
        <v>0</v>
      </c>
      <c r="G76" s="28">
        <f t="shared" si="42"/>
        <v>0</v>
      </c>
      <c r="H76" s="28">
        <f t="shared" si="42"/>
        <v>0</v>
      </c>
      <c r="I76" s="28">
        <f t="shared" si="42"/>
        <v>0</v>
      </c>
      <c r="J76" s="28">
        <f t="shared" si="42"/>
        <v>0</v>
      </c>
      <c r="K76" s="28">
        <f t="shared" si="42"/>
        <v>0</v>
      </c>
      <c r="L76" s="28">
        <f t="shared" si="42"/>
        <v>0</v>
      </c>
      <c r="M76" s="28">
        <f t="shared" si="42"/>
        <v>0</v>
      </c>
      <c r="N76" s="139"/>
    </row>
    <row r="77" spans="1:14" ht="13.4" customHeight="1">
      <c r="A77" s="5"/>
      <c r="B77" s="5"/>
      <c r="C77" s="5"/>
      <c r="D77" s="28"/>
      <c r="E77" s="28"/>
      <c r="F77" s="28"/>
      <c r="G77" s="28"/>
      <c r="H77" s="28"/>
      <c r="I77" s="28"/>
      <c r="J77" s="28"/>
      <c r="K77" s="28"/>
      <c r="L77" s="28"/>
      <c r="M77" s="28"/>
      <c r="N77" s="139"/>
    </row>
    <row r="78" spans="1:14" ht="13.4" customHeight="1">
      <c r="A78" s="5"/>
      <c r="B78" s="5"/>
      <c r="C78" s="5"/>
      <c r="D78" s="28"/>
      <c r="E78" s="28"/>
      <c r="F78" s="28"/>
      <c r="G78" s="28"/>
      <c r="H78" s="28"/>
      <c r="I78" s="28"/>
      <c r="J78" s="28"/>
      <c r="K78" s="28"/>
      <c r="L78" s="28"/>
      <c r="M78" s="28"/>
      <c r="N78" s="139"/>
    </row>
    <row r="79" spans="1:14" ht="13.4" customHeight="1">
      <c r="A79" s="5"/>
      <c r="B79" s="5"/>
      <c r="C79" s="5"/>
      <c r="D79" s="28"/>
      <c r="E79" s="28"/>
      <c r="F79" s="28"/>
      <c r="G79" s="28"/>
      <c r="H79" s="28"/>
      <c r="I79" s="28"/>
      <c r="J79" s="28"/>
      <c r="K79" s="28"/>
      <c r="L79" s="28"/>
      <c r="M79" s="28"/>
      <c r="N79" s="139"/>
    </row>
    <row r="80" spans="1:14" ht="13.4" customHeight="1">
      <c r="A80" s="5" t="s">
        <v>782</v>
      </c>
      <c r="B80" s="5"/>
      <c r="C80" s="5"/>
      <c r="D80" s="155">
        <f>+D5</f>
        <v>2024</v>
      </c>
      <c r="E80" s="155">
        <f t="shared" ref="E80:M80" si="43">+E5</f>
        <v>2025</v>
      </c>
      <c r="F80" s="155">
        <f t="shared" si="43"/>
        <v>2026</v>
      </c>
      <c r="G80" s="155">
        <f t="shared" si="43"/>
        <v>2027</v>
      </c>
      <c r="H80" s="155">
        <f t="shared" si="43"/>
        <v>2028</v>
      </c>
      <c r="I80" s="155">
        <f t="shared" si="43"/>
        <v>2029</v>
      </c>
      <c r="J80" s="155">
        <f t="shared" si="43"/>
        <v>2030</v>
      </c>
      <c r="K80" s="155">
        <f t="shared" si="43"/>
        <v>2031</v>
      </c>
      <c r="L80" s="155">
        <f t="shared" si="43"/>
        <v>2032</v>
      </c>
      <c r="M80" s="155">
        <f t="shared" si="43"/>
        <v>2033</v>
      </c>
      <c r="N80" s="139"/>
    </row>
    <row r="81" spans="1:14" ht="13.4" customHeight="1">
      <c r="A81" s="5"/>
      <c r="B81" s="5"/>
      <c r="C81" s="5"/>
      <c r="D81" s="158" t="str">
        <f>+D6</f>
        <v xml:space="preserve">  -----------</v>
      </c>
      <c r="E81" s="158" t="str">
        <f t="shared" ref="E81:M81" si="44">+E6</f>
        <v xml:space="preserve">  -----------</v>
      </c>
      <c r="F81" s="158" t="str">
        <f t="shared" si="44"/>
        <v xml:space="preserve">  -----------</v>
      </c>
      <c r="G81" s="158" t="str">
        <f t="shared" si="44"/>
        <v xml:space="preserve">  -----------</v>
      </c>
      <c r="H81" s="158" t="str">
        <f t="shared" si="44"/>
        <v xml:space="preserve">  -----------</v>
      </c>
      <c r="I81" s="158" t="str">
        <f t="shared" si="44"/>
        <v xml:space="preserve">  -----------</v>
      </c>
      <c r="J81" s="158" t="str">
        <f t="shared" si="44"/>
        <v xml:space="preserve">  -----------</v>
      </c>
      <c r="K81" s="158" t="str">
        <f t="shared" si="44"/>
        <v xml:space="preserve">  -----------</v>
      </c>
      <c r="L81" s="158" t="str">
        <f t="shared" si="44"/>
        <v xml:space="preserve">  -----------</v>
      </c>
      <c r="M81" s="158" t="str">
        <f t="shared" si="44"/>
        <v xml:space="preserve">  -----------</v>
      </c>
      <c r="N81" s="139"/>
    </row>
    <row r="82" spans="1:14" ht="13.4" customHeight="1">
      <c r="A82" s="30" t="s">
        <v>647</v>
      </c>
      <c r="B82" s="99"/>
      <c r="C82" t="s">
        <v>800</v>
      </c>
      <c r="D82" s="161" t="s">
        <v>801</v>
      </c>
      <c r="E82" s="1"/>
    </row>
    <row r="83" spans="1:14" ht="13.4" customHeight="1">
      <c r="A83" s="26" t="s">
        <v>677</v>
      </c>
      <c r="B83" s="133">
        <v>29373</v>
      </c>
      <c r="C83" s="5" t="s">
        <v>639</v>
      </c>
      <c r="D83" s="75">
        <f>IF($D82="V",Input!G$68,IF(AND($B89=D$5,Input!G$63&gt;0),Input!G$63,$B86))</f>
        <v>0.05</v>
      </c>
      <c r="E83" s="75">
        <f>IF($D82="V",Input!H$68,IF(AND($B89=E$5,Input!H$63&gt;0),Input!H$63,D83))</f>
        <v>0.05</v>
      </c>
      <c r="F83" s="75">
        <f>IF($D82="V",Input!I$68,IF(AND($B89=F$5,Input!I$63&gt;0),Input!I$63,E83))</f>
        <v>0.05</v>
      </c>
      <c r="G83" s="75">
        <f>IF($D82="V",Input!J$68,IF(AND($B89=G$5,Input!J$63&gt;0),Input!J$63,F83))</f>
        <v>0.05</v>
      </c>
      <c r="H83" s="75">
        <f>IF($D82="V",Input!K$68,IF(AND($B89=H$5,Input!K$63&gt;0),Input!K$63,G83))</f>
        <v>0.05</v>
      </c>
      <c r="I83" s="75">
        <f>IF($D82="V",Input!L$68,IF(AND($B89=I$5,Input!L$63&gt;0),Input!L$63,H83))</f>
        <v>0.05</v>
      </c>
      <c r="J83" s="75">
        <f>IF($D82="V",Input!M$68,IF(AND($B89=J$5,Input!M$63&gt;0),Input!M$63,I83))</f>
        <v>0.05</v>
      </c>
      <c r="K83" s="75">
        <f>IF($D82="V",Input!N$68,IF(AND($B89=K$5,Input!N$63&gt;0),Input!N$63,J83))</f>
        <v>0.05</v>
      </c>
      <c r="L83" s="75">
        <f>IF($D82="V",Input!O$68,IF(AND($B89=L$5,Input!O$63&gt;0),Input!O$63,K83))</f>
        <v>0.05</v>
      </c>
      <c r="M83" s="75">
        <f>IF($D82="V",Input!P$68,IF(AND($B89=M$5,Input!P$63&gt;0),Input!P$63,L83))</f>
        <v>0.05</v>
      </c>
      <c r="N83" s="5"/>
    </row>
    <row r="84" spans="1:14" ht="13.4" customHeight="1">
      <c r="A84" s="5" t="s">
        <v>361</v>
      </c>
      <c r="B84" s="135">
        <v>0</v>
      </c>
      <c r="C84" s="27" t="s">
        <v>173</v>
      </c>
      <c r="D84" s="140">
        <v>0</v>
      </c>
      <c r="E84" s="28">
        <f t="shared" ref="E84:M84" si="45">D89</f>
        <v>0</v>
      </c>
      <c r="F84" s="28">
        <f t="shared" si="45"/>
        <v>0</v>
      </c>
      <c r="G84" s="28">
        <f t="shared" si="45"/>
        <v>0</v>
      </c>
      <c r="H84" s="28">
        <f t="shared" si="45"/>
        <v>0</v>
      </c>
      <c r="I84" s="28">
        <f t="shared" si="45"/>
        <v>0</v>
      </c>
      <c r="J84" s="28">
        <f t="shared" si="45"/>
        <v>0</v>
      </c>
      <c r="K84" s="28">
        <f t="shared" si="45"/>
        <v>0</v>
      </c>
      <c r="L84" s="28">
        <f t="shared" si="45"/>
        <v>0</v>
      </c>
      <c r="M84" s="28">
        <f t="shared" si="45"/>
        <v>0</v>
      </c>
      <c r="N84" s="28"/>
    </row>
    <row r="85" spans="1:14" ht="13.4" customHeight="1">
      <c r="A85" s="26" t="s">
        <v>170</v>
      </c>
      <c r="B85" s="131">
        <v>35</v>
      </c>
      <c r="C85" s="29" t="s">
        <v>169</v>
      </c>
      <c r="D85" s="28">
        <f>D87-D86</f>
        <v>0</v>
      </c>
      <c r="E85" s="28">
        <f>E87-E86</f>
        <v>0</v>
      </c>
      <c r="F85" s="28">
        <f t="shared" ref="F85:M85" si="46">F87-F86</f>
        <v>0</v>
      </c>
      <c r="G85" s="28">
        <f t="shared" si="46"/>
        <v>0</v>
      </c>
      <c r="H85" s="28">
        <f t="shared" si="46"/>
        <v>0</v>
      </c>
      <c r="I85" s="28">
        <f t="shared" si="46"/>
        <v>0</v>
      </c>
      <c r="J85" s="28">
        <f t="shared" si="46"/>
        <v>0</v>
      </c>
      <c r="K85" s="28">
        <f t="shared" si="46"/>
        <v>0</v>
      </c>
      <c r="L85" s="28">
        <f t="shared" si="46"/>
        <v>0</v>
      </c>
      <c r="M85" s="28">
        <f t="shared" si="46"/>
        <v>0</v>
      </c>
      <c r="N85" s="28"/>
    </row>
    <row r="86" spans="1:14" ht="13.4" customHeight="1">
      <c r="A86" s="5" t="s">
        <v>172</v>
      </c>
      <c r="B86" s="134">
        <f>B71</f>
        <v>0.05</v>
      </c>
      <c r="C86" s="5" t="s">
        <v>174</v>
      </c>
      <c r="D86" s="28">
        <f>IF(AND($B88="Y",YEAR($B83)+$B85&gt;D$5),D91,IF((YEAR($B83)+$B85)&gt;D$5,FV(D83/$B87,$B87,D90),D84))</f>
        <v>0</v>
      </c>
      <c r="E86" s="28">
        <f>IF(AND($B88="Y",YEAR($B83)+$B85&gt;E$5),E91,IF((YEAR($B83)+$B85)&gt;E$5,FV(E83/$B87,$B87,E90),E84))</f>
        <v>0</v>
      </c>
      <c r="F86" s="28">
        <f t="shared" ref="F86:M86" si="47">IF(AND($B88="Y",YEAR($B83)+$B85&gt;F$5),F91,IF((YEAR($B83)+$B85)&gt;F$5,FV(F83/$B87,$B87,F90),F84))</f>
        <v>0</v>
      </c>
      <c r="G86" s="28">
        <f t="shared" si="47"/>
        <v>0</v>
      </c>
      <c r="H86" s="28">
        <f t="shared" si="47"/>
        <v>0</v>
      </c>
      <c r="I86" s="28">
        <f t="shared" si="47"/>
        <v>0</v>
      </c>
      <c r="J86" s="28">
        <f t="shared" si="47"/>
        <v>0</v>
      </c>
      <c r="K86" s="28">
        <f t="shared" si="47"/>
        <v>0</v>
      </c>
      <c r="L86" s="28">
        <f t="shared" si="47"/>
        <v>0</v>
      </c>
      <c r="M86" s="28">
        <f t="shared" si="47"/>
        <v>0</v>
      </c>
      <c r="N86" s="28"/>
    </row>
    <row r="87" spans="1:14" ht="13.4" customHeight="1">
      <c r="A87" s="5" t="s">
        <v>171</v>
      </c>
      <c r="B87" s="131">
        <v>12</v>
      </c>
      <c r="C87" s="78" t="s">
        <v>640</v>
      </c>
      <c r="D87" s="28">
        <f>IF(AND($B88="Y",YEAR($B83)+$B85&gt;D$5),D91+D83*(D84-D91*0.5),IF((YEAR($B83)+$B85)&gt;D$5,(D84*D83/$B87-D90)*$B87,(D84*(1+D83*MONTH($B83)/12))))</f>
        <v>0</v>
      </c>
      <c r="E87" s="28">
        <f>IF(AND($B88="Y",YEAR($B83)+$B85&gt;E$5),E91+E83*(E84-E91*0.5),IF((YEAR($B83)+$B85)&gt;E$5,(E84*E83/$B87-E90)*$B87,(E84*(1+E83*MONTH($B83)/12))))</f>
        <v>0</v>
      </c>
      <c r="F87" s="28">
        <f t="shared" ref="F87:M87" si="48">IF(AND($B88="Y",YEAR($B83)+$B85&gt;F$5),F91+F83*(F84-F91*0.5),IF((YEAR($B83)+$B85)&gt;F$5,(F84*F83/$B87-F90)*$B87,(F84*(1+F83*MONTH($B83)/12))))</f>
        <v>0</v>
      </c>
      <c r="G87" s="28">
        <f t="shared" si="48"/>
        <v>0</v>
      </c>
      <c r="H87" s="28">
        <f t="shared" si="48"/>
        <v>0</v>
      </c>
      <c r="I87" s="28">
        <f t="shared" si="48"/>
        <v>0</v>
      </c>
      <c r="J87" s="28">
        <f t="shared" si="48"/>
        <v>0</v>
      </c>
      <c r="K87" s="28">
        <f t="shared" si="48"/>
        <v>0</v>
      </c>
      <c r="L87" s="28">
        <f t="shared" si="48"/>
        <v>0</v>
      </c>
      <c r="M87" s="28">
        <f t="shared" si="48"/>
        <v>0</v>
      </c>
      <c r="N87" s="28"/>
    </row>
    <row r="88" spans="1:14" ht="13.4" customHeight="1">
      <c r="A88" s="5" t="s">
        <v>767</v>
      </c>
      <c r="B88" s="131" t="s">
        <v>719</v>
      </c>
      <c r="C88" s="132" t="s">
        <v>768</v>
      </c>
      <c r="D88" s="140">
        <v>0</v>
      </c>
      <c r="E88" s="140">
        <v>0</v>
      </c>
      <c r="F88" s="140">
        <v>0</v>
      </c>
      <c r="G88" s="140">
        <v>0</v>
      </c>
      <c r="H88" s="140">
        <v>0</v>
      </c>
      <c r="I88" s="140">
        <v>0</v>
      </c>
      <c r="J88" s="140">
        <v>0</v>
      </c>
      <c r="K88" s="140">
        <v>0</v>
      </c>
      <c r="L88" s="140">
        <v>0</v>
      </c>
      <c r="M88" s="140">
        <v>0</v>
      </c>
      <c r="N88" s="28"/>
    </row>
    <row r="89" spans="1:14" ht="13.4" customHeight="1">
      <c r="A89" s="5" t="s">
        <v>182</v>
      </c>
      <c r="B89" s="131"/>
      <c r="C89" s="30" t="s">
        <v>175</v>
      </c>
      <c r="D89" s="28">
        <f t="shared" ref="D89:M89" si="49">D84+D85-D87-D88</f>
        <v>0</v>
      </c>
      <c r="E89" s="28">
        <f t="shared" si="49"/>
        <v>0</v>
      </c>
      <c r="F89" s="28">
        <f t="shared" si="49"/>
        <v>0</v>
      </c>
      <c r="G89" s="28">
        <f t="shared" si="49"/>
        <v>0</v>
      </c>
      <c r="H89" s="28">
        <f t="shared" si="49"/>
        <v>0</v>
      </c>
      <c r="I89" s="28">
        <f t="shared" si="49"/>
        <v>0</v>
      </c>
      <c r="J89" s="28">
        <f t="shared" si="49"/>
        <v>0</v>
      </c>
      <c r="K89" s="28">
        <f t="shared" si="49"/>
        <v>0</v>
      </c>
      <c r="L89" s="28">
        <f t="shared" si="49"/>
        <v>0</v>
      </c>
      <c r="M89" s="28">
        <f t="shared" si="49"/>
        <v>0</v>
      </c>
      <c r="N89" s="28"/>
    </row>
    <row r="90" spans="1:14" ht="13" hidden="1" customHeight="1">
      <c r="A90" s="5"/>
      <c r="B90" s="138"/>
      <c r="C90" s="5" t="s">
        <v>769</v>
      </c>
      <c r="D90" s="28" t="e">
        <f>PPMT(D83/$B87,1,ROUND(($B85-(D$5-YEAR($B83))+MONTH($B83)/12)*$B87,0),D84)</f>
        <v>#NUM!</v>
      </c>
      <c r="E90" s="28" t="e">
        <f>PPMT(E83/$B87,1,ROUND(($B85-(E$5-YEAR($B83))+MONTH($B83)/12)*$B87,0),E84)</f>
        <v>#NUM!</v>
      </c>
      <c r="F90" s="28" t="e">
        <f t="shared" ref="F90:M90" si="50">PPMT(F83/$B87,1,ROUND(($B85-(F$5-YEAR($B83))+MONTH($B83)/12)*$B87,0),F84)</f>
        <v>#NUM!</v>
      </c>
      <c r="G90" s="28" t="e">
        <f t="shared" si="50"/>
        <v>#NUM!</v>
      </c>
      <c r="H90" s="28" t="e">
        <f t="shared" si="50"/>
        <v>#NUM!</v>
      </c>
      <c r="I90" s="28" t="e">
        <f t="shared" si="50"/>
        <v>#NUM!</v>
      </c>
      <c r="J90" s="28" t="e">
        <f t="shared" si="50"/>
        <v>#NUM!</v>
      </c>
      <c r="K90" s="28" t="e">
        <f t="shared" si="50"/>
        <v>#NUM!</v>
      </c>
      <c r="L90" s="28" t="e">
        <f t="shared" si="50"/>
        <v>#NUM!</v>
      </c>
      <c r="M90" s="28" t="e">
        <f t="shared" si="50"/>
        <v>#NUM!</v>
      </c>
      <c r="N90" s="139"/>
    </row>
    <row r="91" spans="1:14" ht="13" hidden="1" customHeight="1">
      <c r="A91" s="5"/>
      <c r="B91" s="5"/>
      <c r="C91" s="5" t="s">
        <v>770</v>
      </c>
      <c r="D91" s="28">
        <f t="shared" ref="D91:M91" si="51">IF(YEAR($B83)+$B85&gt;D$5,D84/(YEAR($B83)+$B85-D$5+MONTH($B83)/12),D84)</f>
        <v>0</v>
      </c>
      <c r="E91" s="28">
        <f t="shared" si="51"/>
        <v>0</v>
      </c>
      <c r="F91" s="28">
        <f t="shared" si="51"/>
        <v>0</v>
      </c>
      <c r="G91" s="28">
        <f t="shared" si="51"/>
        <v>0</v>
      </c>
      <c r="H91" s="28">
        <f t="shared" si="51"/>
        <v>0</v>
      </c>
      <c r="I91" s="28">
        <f t="shared" si="51"/>
        <v>0</v>
      </c>
      <c r="J91" s="28">
        <f t="shared" si="51"/>
        <v>0</v>
      </c>
      <c r="K91" s="28">
        <f t="shared" si="51"/>
        <v>0</v>
      </c>
      <c r="L91" s="28">
        <f t="shared" si="51"/>
        <v>0</v>
      </c>
      <c r="M91" s="28">
        <f t="shared" si="51"/>
        <v>0</v>
      </c>
      <c r="N91" s="139"/>
    </row>
    <row r="92" spans="1:14" ht="13.4" customHeight="1">
      <c r="C92" s="5"/>
      <c r="D92" s="28"/>
      <c r="E92" s="28"/>
      <c r="F92" s="28"/>
      <c r="G92" s="28"/>
      <c r="H92" s="28"/>
      <c r="I92" s="28"/>
      <c r="J92" s="28"/>
      <c r="K92" s="28"/>
      <c r="L92" s="28"/>
      <c r="M92" s="28"/>
      <c r="N92" s="28"/>
    </row>
    <row r="93" spans="1:14" ht="13.4" customHeight="1">
      <c r="A93" s="30" t="s">
        <v>648</v>
      </c>
      <c r="B93" s="99"/>
      <c r="C93" t="s">
        <v>800</v>
      </c>
      <c r="D93" s="161" t="s">
        <v>801</v>
      </c>
      <c r="E93" s="1"/>
      <c r="N93" s="28"/>
    </row>
    <row r="94" spans="1:14" ht="13.4" customHeight="1">
      <c r="A94" s="26" t="s">
        <v>677</v>
      </c>
      <c r="B94" s="133">
        <v>29373</v>
      </c>
      <c r="C94" s="5" t="s">
        <v>639</v>
      </c>
      <c r="D94" s="75">
        <f>IF($D93="V",Input!G$68,IF(AND($B100=D$5,Input!G$63&gt;0),Input!G$63,$B97))</f>
        <v>0.05</v>
      </c>
      <c r="E94" s="75">
        <f>IF($D93="V",Input!H$68,IF(AND($B100=E$5,Input!H$63&gt;0),Input!H$63,D94))</f>
        <v>0.05</v>
      </c>
      <c r="F94" s="75">
        <f>IF($D93="V",Input!I$68,IF(AND($B100=F$5,Input!I$63&gt;0),Input!I$63,E94))</f>
        <v>0.05</v>
      </c>
      <c r="G94" s="75">
        <f>IF($D93="V",Input!J$68,IF(AND($B100=G$5,Input!J$63&gt;0),Input!J$63,F94))</f>
        <v>0.05</v>
      </c>
      <c r="H94" s="75">
        <f>IF($D93="V",Input!K$68,IF(AND($B100=H$5,Input!K$63&gt;0),Input!K$63,G94))</f>
        <v>0.05</v>
      </c>
      <c r="I94" s="75">
        <f>IF($D93="V",Input!L$68,IF(AND($B100=I$5,Input!L$63&gt;0),Input!L$63,H94))</f>
        <v>0.05</v>
      </c>
      <c r="J94" s="75">
        <f>IF($D93="V",Input!M$68,IF(AND($B100=J$5,Input!M$63&gt;0),Input!M$63,I94))</f>
        <v>0.05</v>
      </c>
      <c r="K94" s="75">
        <f>IF($D93="V",Input!N$68,IF(AND($B100=K$5,Input!N$63&gt;0),Input!N$63,J94))</f>
        <v>0.05</v>
      </c>
      <c r="L94" s="75">
        <f>IF($D93="V",Input!O$68,IF(AND($B100=L$5,Input!O$63&gt;0),Input!O$63,K94))</f>
        <v>0.05</v>
      </c>
      <c r="M94" s="75">
        <f>IF($D93="V",Input!P$68,IF(AND($B100=M$5,Input!P$63&gt;0),Input!P$63,L94))</f>
        <v>0.05</v>
      </c>
      <c r="N94" s="5"/>
    </row>
    <row r="95" spans="1:14" ht="13.4" customHeight="1">
      <c r="A95" s="5" t="s">
        <v>361</v>
      </c>
      <c r="B95" s="135">
        <v>0</v>
      </c>
      <c r="C95" s="27" t="s">
        <v>173</v>
      </c>
      <c r="D95" s="140">
        <v>0</v>
      </c>
      <c r="E95" s="28">
        <f t="shared" ref="E95:M95" si="52">D100</f>
        <v>0</v>
      </c>
      <c r="F95" s="28">
        <f t="shared" si="52"/>
        <v>0</v>
      </c>
      <c r="G95" s="28">
        <f t="shared" si="52"/>
        <v>0</v>
      </c>
      <c r="H95" s="28">
        <f t="shared" si="52"/>
        <v>0</v>
      </c>
      <c r="I95" s="28">
        <f t="shared" si="52"/>
        <v>0</v>
      </c>
      <c r="J95" s="28">
        <f t="shared" si="52"/>
        <v>0</v>
      </c>
      <c r="K95" s="28">
        <f t="shared" si="52"/>
        <v>0</v>
      </c>
      <c r="L95" s="28">
        <f t="shared" si="52"/>
        <v>0</v>
      </c>
      <c r="M95" s="28">
        <f t="shared" si="52"/>
        <v>0</v>
      </c>
      <c r="N95" s="28"/>
    </row>
    <row r="96" spans="1:14" ht="13.4" customHeight="1">
      <c r="A96" s="26" t="s">
        <v>170</v>
      </c>
      <c r="B96" s="131">
        <v>35</v>
      </c>
      <c r="C96" s="29" t="s">
        <v>169</v>
      </c>
      <c r="D96" s="28">
        <f>D98-D97</f>
        <v>0</v>
      </c>
      <c r="E96" s="28">
        <f>E98-E97</f>
        <v>0</v>
      </c>
      <c r="F96" s="28">
        <f t="shared" ref="F96:M96" si="53">F98-F97</f>
        <v>0</v>
      </c>
      <c r="G96" s="28">
        <f t="shared" si="53"/>
        <v>0</v>
      </c>
      <c r="H96" s="28">
        <f t="shared" si="53"/>
        <v>0</v>
      </c>
      <c r="I96" s="28">
        <f t="shared" si="53"/>
        <v>0</v>
      </c>
      <c r="J96" s="28">
        <f t="shared" si="53"/>
        <v>0</v>
      </c>
      <c r="K96" s="28">
        <f t="shared" si="53"/>
        <v>0</v>
      </c>
      <c r="L96" s="28">
        <f t="shared" si="53"/>
        <v>0</v>
      </c>
      <c r="M96" s="28">
        <f t="shared" si="53"/>
        <v>0</v>
      </c>
      <c r="N96" s="28"/>
    </row>
    <row r="97" spans="1:14" ht="13.4" customHeight="1">
      <c r="A97" s="5" t="s">
        <v>172</v>
      </c>
      <c r="B97" s="134">
        <f>B86</f>
        <v>0.05</v>
      </c>
      <c r="C97" s="5" t="s">
        <v>174</v>
      </c>
      <c r="D97" s="28">
        <f>IF(AND($B99="Y",YEAR($B94)+$B96&gt;D$5),D102,IF((YEAR($B94)+$B96)&gt;D$5,FV(D94/$B98,$B98,D101),D95))</f>
        <v>0</v>
      </c>
      <c r="E97" s="28">
        <f>IF(AND($B99="Y",YEAR($B94)+$B96&gt;E$5),E102,IF((YEAR($B94)+$B96)&gt;E$5,FV(E94/$B98,$B98,E101),E95))</f>
        <v>0</v>
      </c>
      <c r="F97" s="28">
        <f t="shared" ref="F97:M97" si="54">IF(AND($B99="Y",YEAR($B94)+$B96&gt;F$5),F102,IF((YEAR($B94)+$B96)&gt;F$5,FV(F94/$B98,$B98,F101),F95))</f>
        <v>0</v>
      </c>
      <c r="G97" s="28">
        <f t="shared" si="54"/>
        <v>0</v>
      </c>
      <c r="H97" s="28">
        <f t="shared" si="54"/>
        <v>0</v>
      </c>
      <c r="I97" s="28">
        <f t="shared" si="54"/>
        <v>0</v>
      </c>
      <c r="J97" s="28">
        <f t="shared" si="54"/>
        <v>0</v>
      </c>
      <c r="K97" s="28">
        <f t="shared" si="54"/>
        <v>0</v>
      </c>
      <c r="L97" s="28">
        <f t="shared" si="54"/>
        <v>0</v>
      </c>
      <c r="M97" s="28">
        <f t="shared" si="54"/>
        <v>0</v>
      </c>
      <c r="N97" s="28"/>
    </row>
    <row r="98" spans="1:14" ht="13.4" customHeight="1">
      <c r="A98" s="5" t="s">
        <v>171</v>
      </c>
      <c r="B98" s="131">
        <v>12</v>
      </c>
      <c r="C98" s="78" t="s">
        <v>640</v>
      </c>
      <c r="D98" s="28">
        <f>IF(AND($B99="Y",YEAR($B94)+$B96&gt;D$5),D102+D94*(D95-D102*0.5),IF((YEAR($B94)+$B96)&gt;D$5,(D95*D94/$B98-D101)*$B98,(D95*(1+D94*MONTH($B94)/12))))</f>
        <v>0</v>
      </c>
      <c r="E98" s="28">
        <f>IF(AND($B99="Y",YEAR($B94)+$B96&gt;E$5),E102+E94*(E95-E102*0.5),IF((YEAR($B94)+$B96)&gt;E$5,(E95*E94/$B98-E101)*$B98,(E95*(1+E94*MONTH($B94)/12))))</f>
        <v>0</v>
      </c>
      <c r="F98" s="28">
        <f t="shared" ref="F98:M98" si="55">IF(AND($B99="Y",YEAR($B94)+$B96&gt;F$5),F102+F94*(F95-F102*0.5),IF((YEAR($B94)+$B96)&gt;F$5,(F95*F94/$B98-F101)*$B98,(F95*(1+F94*MONTH($B94)/12))))</f>
        <v>0</v>
      </c>
      <c r="G98" s="28">
        <f t="shared" si="55"/>
        <v>0</v>
      </c>
      <c r="H98" s="28">
        <f t="shared" si="55"/>
        <v>0</v>
      </c>
      <c r="I98" s="28">
        <f t="shared" si="55"/>
        <v>0</v>
      </c>
      <c r="J98" s="28">
        <f t="shared" si="55"/>
        <v>0</v>
      </c>
      <c r="K98" s="28">
        <f t="shared" si="55"/>
        <v>0</v>
      </c>
      <c r="L98" s="28">
        <f t="shared" si="55"/>
        <v>0</v>
      </c>
      <c r="M98" s="28">
        <f t="shared" si="55"/>
        <v>0</v>
      </c>
      <c r="N98" s="28"/>
    </row>
    <row r="99" spans="1:14" ht="13.4" customHeight="1">
      <c r="A99" s="5" t="s">
        <v>767</v>
      </c>
      <c r="B99" s="131" t="s">
        <v>719</v>
      </c>
      <c r="C99" s="132" t="s">
        <v>768</v>
      </c>
      <c r="D99" s="140">
        <v>0</v>
      </c>
      <c r="E99" s="140">
        <v>0</v>
      </c>
      <c r="F99" s="140">
        <v>0</v>
      </c>
      <c r="G99" s="140">
        <v>0</v>
      </c>
      <c r="H99" s="140">
        <v>0</v>
      </c>
      <c r="I99" s="140">
        <v>0</v>
      </c>
      <c r="J99" s="140">
        <v>0</v>
      </c>
      <c r="K99" s="140">
        <v>0</v>
      </c>
      <c r="L99" s="140">
        <v>0</v>
      </c>
      <c r="M99" s="140">
        <v>0</v>
      </c>
      <c r="N99" s="28"/>
    </row>
    <row r="100" spans="1:14" ht="13.4" customHeight="1">
      <c r="A100" s="5" t="s">
        <v>182</v>
      </c>
      <c r="B100" s="131"/>
      <c r="C100" s="30" t="s">
        <v>175</v>
      </c>
      <c r="D100" s="28">
        <f t="shared" ref="D100:M100" si="56">D95+D96-D98-D99</f>
        <v>0</v>
      </c>
      <c r="E100" s="28">
        <f t="shared" si="56"/>
        <v>0</v>
      </c>
      <c r="F100" s="28">
        <f t="shared" si="56"/>
        <v>0</v>
      </c>
      <c r="G100" s="28">
        <f t="shared" si="56"/>
        <v>0</v>
      </c>
      <c r="H100" s="28">
        <f t="shared" si="56"/>
        <v>0</v>
      </c>
      <c r="I100" s="28">
        <f t="shared" si="56"/>
        <v>0</v>
      </c>
      <c r="J100" s="28">
        <f t="shared" si="56"/>
        <v>0</v>
      </c>
      <c r="K100" s="28">
        <f t="shared" si="56"/>
        <v>0</v>
      </c>
      <c r="L100" s="28">
        <f t="shared" si="56"/>
        <v>0</v>
      </c>
      <c r="M100" s="28">
        <f t="shared" si="56"/>
        <v>0</v>
      </c>
      <c r="N100" s="28"/>
    </row>
    <row r="101" spans="1:14" ht="13" hidden="1" customHeight="1">
      <c r="A101" s="5"/>
      <c r="B101" s="138"/>
      <c r="C101" s="5" t="s">
        <v>769</v>
      </c>
      <c r="D101" s="28" t="e">
        <f>PPMT(D94/$B98,1,ROUND(($B96-(D$5-YEAR($B94))+MONTH($B94)/12)*$B98,0),D95)</f>
        <v>#NUM!</v>
      </c>
      <c r="E101" s="28" t="e">
        <f>PPMT(E94/$B98,1,ROUND(($B96-(E$5-YEAR($B94))+MONTH($B94)/12)*$B98,0),E95)</f>
        <v>#NUM!</v>
      </c>
      <c r="F101" s="28" t="e">
        <f t="shared" ref="F101:M101" si="57">PPMT(F94/$B98,1,ROUND(($B96-(F$5-YEAR($B94))+MONTH($B94)/12)*$B98,0),F95)</f>
        <v>#NUM!</v>
      </c>
      <c r="G101" s="28" t="e">
        <f t="shared" si="57"/>
        <v>#NUM!</v>
      </c>
      <c r="H101" s="28" t="e">
        <f t="shared" si="57"/>
        <v>#NUM!</v>
      </c>
      <c r="I101" s="28" t="e">
        <f t="shared" si="57"/>
        <v>#NUM!</v>
      </c>
      <c r="J101" s="28" t="e">
        <f t="shared" si="57"/>
        <v>#NUM!</v>
      </c>
      <c r="K101" s="28" t="e">
        <f t="shared" si="57"/>
        <v>#NUM!</v>
      </c>
      <c r="L101" s="28" t="e">
        <f t="shared" si="57"/>
        <v>#NUM!</v>
      </c>
      <c r="M101" s="28" t="e">
        <f t="shared" si="57"/>
        <v>#NUM!</v>
      </c>
      <c r="N101" s="139"/>
    </row>
    <row r="102" spans="1:14" ht="13" hidden="1" customHeight="1">
      <c r="A102" s="5"/>
      <c r="B102" s="5"/>
      <c r="C102" s="5" t="s">
        <v>770</v>
      </c>
      <c r="D102" s="28">
        <f t="shared" ref="D102:M102" si="58">IF(YEAR($B94)+$B96&gt;D$5,D95/(YEAR($B94)+$B96-D$5+MONTH($B94)/12),D95)</f>
        <v>0</v>
      </c>
      <c r="E102" s="28">
        <f t="shared" si="58"/>
        <v>0</v>
      </c>
      <c r="F102" s="28">
        <f t="shared" si="58"/>
        <v>0</v>
      </c>
      <c r="G102" s="28">
        <f t="shared" si="58"/>
        <v>0</v>
      </c>
      <c r="H102" s="28">
        <f t="shared" si="58"/>
        <v>0</v>
      </c>
      <c r="I102" s="28">
        <f t="shared" si="58"/>
        <v>0</v>
      </c>
      <c r="J102" s="28">
        <f t="shared" si="58"/>
        <v>0</v>
      </c>
      <c r="K102" s="28">
        <f t="shared" si="58"/>
        <v>0</v>
      </c>
      <c r="L102" s="28">
        <f t="shared" si="58"/>
        <v>0</v>
      </c>
      <c r="M102" s="28">
        <f t="shared" si="58"/>
        <v>0</v>
      </c>
      <c r="N102" s="139"/>
    </row>
    <row r="103" spans="1:14" ht="13.4" customHeight="1">
      <c r="C103" s="5"/>
      <c r="D103" s="28"/>
      <c r="E103" s="28"/>
      <c r="F103" s="28"/>
      <c r="G103" s="28"/>
      <c r="H103" s="28"/>
      <c r="I103" s="28"/>
      <c r="J103" s="28"/>
      <c r="K103" s="28"/>
      <c r="L103" s="28"/>
      <c r="M103" s="28"/>
      <c r="N103" s="28"/>
    </row>
    <row r="104" spans="1:14" ht="13.4" customHeight="1">
      <c r="A104" s="30" t="s">
        <v>649</v>
      </c>
      <c r="B104" s="99"/>
      <c r="C104" t="s">
        <v>800</v>
      </c>
      <c r="D104" s="161" t="s">
        <v>801</v>
      </c>
      <c r="E104" s="1"/>
      <c r="N104" s="28"/>
    </row>
    <row r="105" spans="1:14" ht="13.4" customHeight="1">
      <c r="A105" s="26" t="s">
        <v>677</v>
      </c>
      <c r="B105" s="133">
        <v>29373</v>
      </c>
      <c r="C105" s="5" t="s">
        <v>639</v>
      </c>
      <c r="D105" s="75">
        <f>IF($D104="V",Input!G$68,IF(AND($B111=D$5,Input!G$63&gt;0),Input!G$63,$B108))</f>
        <v>0.05</v>
      </c>
      <c r="E105" s="75">
        <f>IF($D104="V",Input!H$68,IF(AND($B111=E$5,Input!H$63&gt;0),Input!H$63,D105))</f>
        <v>0.05</v>
      </c>
      <c r="F105" s="75">
        <f>IF($D104="V",Input!I$68,IF(AND($B111=F$5,Input!I$63&gt;0),Input!I$63,E105))</f>
        <v>0.05</v>
      </c>
      <c r="G105" s="75">
        <f>IF($D104="V",Input!J$68,IF(AND($B111=G$5,Input!J$63&gt;0),Input!J$63,F105))</f>
        <v>0.05</v>
      </c>
      <c r="H105" s="75">
        <f>IF($D104="V",Input!K$68,IF(AND($B111=H$5,Input!K$63&gt;0),Input!K$63,G105))</f>
        <v>0.05</v>
      </c>
      <c r="I105" s="75">
        <f>IF($D104="V",Input!L$68,IF(AND($B111=I$5,Input!L$63&gt;0),Input!L$63,H105))</f>
        <v>0.05</v>
      </c>
      <c r="J105" s="75">
        <f>IF($D104="V",Input!M$68,IF(AND($B111=J$5,Input!M$63&gt;0),Input!M$63,I105))</f>
        <v>0.05</v>
      </c>
      <c r="K105" s="75">
        <f>IF($D104="V",Input!N$68,IF(AND($B111=K$5,Input!N$63&gt;0),Input!N$63,J105))</f>
        <v>0.05</v>
      </c>
      <c r="L105" s="75">
        <f>IF($D104="V",Input!O$68,IF(AND($B111=L$5,Input!O$63&gt;0),Input!O$63,K105))</f>
        <v>0.05</v>
      </c>
      <c r="M105" s="75">
        <f>IF($D104="V",Input!P$68,IF(AND($B111=M$5,Input!P$63&gt;0),Input!P$63,L105))</f>
        <v>0.05</v>
      </c>
      <c r="N105" s="5"/>
    </row>
    <row r="106" spans="1:14" ht="13.4" customHeight="1">
      <c r="A106" s="5" t="s">
        <v>361</v>
      </c>
      <c r="B106" s="135">
        <v>0</v>
      </c>
      <c r="C106" s="27" t="s">
        <v>173</v>
      </c>
      <c r="D106" s="140">
        <v>0</v>
      </c>
      <c r="E106" s="28">
        <f t="shared" ref="E106:M106" si="59">D111</f>
        <v>0</v>
      </c>
      <c r="F106" s="28">
        <f t="shared" si="59"/>
        <v>0</v>
      </c>
      <c r="G106" s="28">
        <f t="shared" si="59"/>
        <v>0</v>
      </c>
      <c r="H106" s="28">
        <f t="shared" si="59"/>
        <v>0</v>
      </c>
      <c r="I106" s="28">
        <f t="shared" si="59"/>
        <v>0</v>
      </c>
      <c r="J106" s="28">
        <f t="shared" si="59"/>
        <v>0</v>
      </c>
      <c r="K106" s="28">
        <f t="shared" si="59"/>
        <v>0</v>
      </c>
      <c r="L106" s="28">
        <f t="shared" si="59"/>
        <v>0</v>
      </c>
      <c r="M106" s="28">
        <f t="shared" si="59"/>
        <v>0</v>
      </c>
      <c r="N106" s="28"/>
    </row>
    <row r="107" spans="1:14" ht="13.4" customHeight="1">
      <c r="A107" s="26" t="s">
        <v>170</v>
      </c>
      <c r="B107" s="131">
        <v>35</v>
      </c>
      <c r="C107" s="29" t="s">
        <v>169</v>
      </c>
      <c r="D107" s="28">
        <f>D109-D108</f>
        <v>0</v>
      </c>
      <c r="E107" s="28">
        <f>E109-E108</f>
        <v>0</v>
      </c>
      <c r="F107" s="28">
        <f t="shared" ref="F107:M107" si="60">F109-F108</f>
        <v>0</v>
      </c>
      <c r="G107" s="28">
        <f t="shared" si="60"/>
        <v>0</v>
      </c>
      <c r="H107" s="28">
        <f t="shared" si="60"/>
        <v>0</v>
      </c>
      <c r="I107" s="28">
        <f t="shared" si="60"/>
        <v>0</v>
      </c>
      <c r="J107" s="28">
        <f t="shared" si="60"/>
        <v>0</v>
      </c>
      <c r="K107" s="28">
        <f t="shared" si="60"/>
        <v>0</v>
      </c>
      <c r="L107" s="28">
        <f t="shared" si="60"/>
        <v>0</v>
      </c>
      <c r="M107" s="28">
        <f t="shared" si="60"/>
        <v>0</v>
      </c>
      <c r="N107" s="28"/>
    </row>
    <row r="108" spans="1:14" ht="13.4" customHeight="1">
      <c r="A108" s="5" t="s">
        <v>172</v>
      </c>
      <c r="B108" s="134">
        <f>B97</f>
        <v>0.05</v>
      </c>
      <c r="C108" s="5" t="s">
        <v>174</v>
      </c>
      <c r="D108" s="28">
        <f>IF(AND($B110="Y",YEAR($B105)+$B107&gt;D$5),D113,IF((YEAR($B105)+$B107)&gt;D$5,FV(D105/$B109,$B109,D112),D106))</f>
        <v>0</v>
      </c>
      <c r="E108" s="28">
        <f>IF(AND($B110="Y",YEAR($B105)+$B107&gt;E$5),E113,IF((YEAR($B105)+$B107)&gt;E$5,FV(E105/$B109,$B109,E112),E106))</f>
        <v>0</v>
      </c>
      <c r="F108" s="28">
        <f t="shared" ref="F108:M108" si="61">IF(AND($B110="Y",YEAR($B105)+$B107&gt;F$5),F113,IF((YEAR($B105)+$B107)&gt;F$5,FV(F105/$B109,$B109,F112),F106))</f>
        <v>0</v>
      </c>
      <c r="G108" s="28">
        <f t="shared" si="61"/>
        <v>0</v>
      </c>
      <c r="H108" s="28">
        <f t="shared" si="61"/>
        <v>0</v>
      </c>
      <c r="I108" s="28">
        <f t="shared" si="61"/>
        <v>0</v>
      </c>
      <c r="J108" s="28">
        <f t="shared" si="61"/>
        <v>0</v>
      </c>
      <c r="K108" s="28">
        <f t="shared" si="61"/>
        <v>0</v>
      </c>
      <c r="L108" s="28">
        <f t="shared" si="61"/>
        <v>0</v>
      </c>
      <c r="M108" s="28">
        <f t="shared" si="61"/>
        <v>0</v>
      </c>
      <c r="N108" s="28"/>
    </row>
    <row r="109" spans="1:14" ht="13.4" customHeight="1">
      <c r="A109" s="5" t="s">
        <v>171</v>
      </c>
      <c r="B109" s="131">
        <v>12</v>
      </c>
      <c r="C109" s="78" t="s">
        <v>640</v>
      </c>
      <c r="D109" s="28">
        <f>IF(AND($B110="Y",YEAR($B105)+$B107&gt;D$5),D113+D105*(D106-D113*0.5),IF((YEAR($B105)+$B107)&gt;D$5,(D106*D105/$B109-D112)*$B109,(D106*(1+D105*MONTH($B105)/12))))</f>
        <v>0</v>
      </c>
      <c r="E109" s="28">
        <f>IF(AND($B110="Y",YEAR($B105)+$B107&gt;E$5),E113+E105*(E106-E113*0.5),IF((YEAR($B105)+$B107)&gt;E$5,(E106*E105/$B109-E112)*$B109,(E106*(1+E105*MONTH($B105)/12))))</f>
        <v>0</v>
      </c>
      <c r="F109" s="28">
        <f t="shared" ref="F109:M109" si="62">IF(AND($B110="Y",YEAR($B105)+$B107&gt;F$5),F113+F105*(F106-F113*0.5),IF((YEAR($B105)+$B107)&gt;F$5,(F106*F105/$B109-F112)*$B109,(F106*(1+F105*MONTH($B105)/12))))</f>
        <v>0</v>
      </c>
      <c r="G109" s="28">
        <f t="shared" si="62"/>
        <v>0</v>
      </c>
      <c r="H109" s="28">
        <f t="shared" si="62"/>
        <v>0</v>
      </c>
      <c r="I109" s="28">
        <f t="shared" si="62"/>
        <v>0</v>
      </c>
      <c r="J109" s="28">
        <f t="shared" si="62"/>
        <v>0</v>
      </c>
      <c r="K109" s="28">
        <f t="shared" si="62"/>
        <v>0</v>
      </c>
      <c r="L109" s="28">
        <f t="shared" si="62"/>
        <v>0</v>
      </c>
      <c r="M109" s="28">
        <f t="shared" si="62"/>
        <v>0</v>
      </c>
      <c r="N109" s="28"/>
    </row>
    <row r="110" spans="1:14" ht="13.4" customHeight="1">
      <c r="A110" s="5" t="s">
        <v>767</v>
      </c>
      <c r="B110" s="131" t="s">
        <v>719</v>
      </c>
      <c r="C110" s="132" t="s">
        <v>768</v>
      </c>
      <c r="D110" s="140">
        <v>0</v>
      </c>
      <c r="E110" s="140">
        <v>0</v>
      </c>
      <c r="F110" s="140">
        <v>0</v>
      </c>
      <c r="G110" s="140">
        <v>0</v>
      </c>
      <c r="H110" s="140">
        <v>0</v>
      </c>
      <c r="I110" s="140">
        <v>0</v>
      </c>
      <c r="J110" s="140">
        <v>0</v>
      </c>
      <c r="K110" s="140">
        <v>0</v>
      </c>
      <c r="L110" s="140">
        <v>0</v>
      </c>
      <c r="M110" s="140">
        <v>0</v>
      </c>
      <c r="N110" s="28"/>
    </row>
    <row r="111" spans="1:14" ht="13.4" customHeight="1">
      <c r="A111" s="5" t="s">
        <v>182</v>
      </c>
      <c r="B111" s="131"/>
      <c r="C111" s="30" t="s">
        <v>175</v>
      </c>
      <c r="D111" s="28">
        <f t="shared" ref="D111:M111" si="63">D106+D107-D109-D110</f>
        <v>0</v>
      </c>
      <c r="E111" s="28">
        <f t="shared" si="63"/>
        <v>0</v>
      </c>
      <c r="F111" s="28">
        <f t="shared" si="63"/>
        <v>0</v>
      </c>
      <c r="G111" s="28">
        <f t="shared" si="63"/>
        <v>0</v>
      </c>
      <c r="H111" s="28">
        <f t="shared" si="63"/>
        <v>0</v>
      </c>
      <c r="I111" s="28">
        <f t="shared" si="63"/>
        <v>0</v>
      </c>
      <c r="J111" s="28">
        <f t="shared" si="63"/>
        <v>0</v>
      </c>
      <c r="K111" s="28">
        <f t="shared" si="63"/>
        <v>0</v>
      </c>
      <c r="L111" s="28">
        <f t="shared" si="63"/>
        <v>0</v>
      </c>
      <c r="M111" s="28">
        <f t="shared" si="63"/>
        <v>0</v>
      </c>
      <c r="N111" s="28"/>
    </row>
    <row r="112" spans="1:14" ht="13" hidden="1" customHeight="1">
      <c r="A112" s="5"/>
      <c r="B112" s="138"/>
      <c r="C112" s="5" t="s">
        <v>769</v>
      </c>
      <c r="D112" s="28" t="e">
        <f>PPMT(D105/$B109,1,ROUND(($B107-(D$5-YEAR($B105))+MONTH($B105)/12)*$B109,0),D106)</f>
        <v>#NUM!</v>
      </c>
      <c r="E112" s="28" t="e">
        <f>PPMT(E105/$B109,1,ROUND(($B107-(E$5-YEAR($B105))+MONTH($B105)/12)*$B109,0),E106)</f>
        <v>#NUM!</v>
      </c>
      <c r="F112" s="28" t="e">
        <f t="shared" ref="F112:M112" si="64">PPMT(F105/$B109,1,ROUND(($B107-(F$5-YEAR($B105))+MONTH($B105)/12)*$B109,0),F106)</f>
        <v>#NUM!</v>
      </c>
      <c r="G112" s="28" t="e">
        <f t="shared" si="64"/>
        <v>#NUM!</v>
      </c>
      <c r="H112" s="28" t="e">
        <f t="shared" si="64"/>
        <v>#NUM!</v>
      </c>
      <c r="I112" s="28" t="e">
        <f t="shared" si="64"/>
        <v>#NUM!</v>
      </c>
      <c r="J112" s="28" t="e">
        <f t="shared" si="64"/>
        <v>#NUM!</v>
      </c>
      <c r="K112" s="28" t="e">
        <f t="shared" si="64"/>
        <v>#NUM!</v>
      </c>
      <c r="L112" s="28" t="e">
        <f t="shared" si="64"/>
        <v>#NUM!</v>
      </c>
      <c r="M112" s="28" t="e">
        <f t="shared" si="64"/>
        <v>#NUM!</v>
      </c>
      <c r="N112" s="139"/>
    </row>
    <row r="113" spans="1:14" ht="13" hidden="1" customHeight="1">
      <c r="A113" s="5"/>
      <c r="B113" s="5"/>
      <c r="C113" s="5" t="s">
        <v>770</v>
      </c>
      <c r="D113" s="28">
        <f t="shared" ref="D113:M113" si="65">IF(YEAR($B105)+$B107&gt;D$5,D106/(YEAR($B105)+$B107-D$5+MONTH($B105)/12),D106)</f>
        <v>0</v>
      </c>
      <c r="E113" s="28">
        <f t="shared" si="65"/>
        <v>0</v>
      </c>
      <c r="F113" s="28">
        <f t="shared" si="65"/>
        <v>0</v>
      </c>
      <c r="G113" s="28">
        <f t="shared" si="65"/>
        <v>0</v>
      </c>
      <c r="H113" s="28">
        <f t="shared" si="65"/>
        <v>0</v>
      </c>
      <c r="I113" s="28">
        <f t="shared" si="65"/>
        <v>0</v>
      </c>
      <c r="J113" s="28">
        <f t="shared" si="65"/>
        <v>0</v>
      </c>
      <c r="K113" s="28">
        <f t="shared" si="65"/>
        <v>0</v>
      </c>
      <c r="L113" s="28">
        <f t="shared" si="65"/>
        <v>0</v>
      </c>
      <c r="M113" s="28">
        <f t="shared" si="65"/>
        <v>0</v>
      </c>
      <c r="N113" s="139"/>
    </row>
    <row r="114" spans="1:14" ht="13.4" customHeight="1">
      <c r="C114" s="5"/>
      <c r="D114" s="28"/>
      <c r="E114" s="28"/>
      <c r="F114" s="28"/>
      <c r="G114" s="28"/>
      <c r="H114" s="28"/>
      <c r="I114" s="28"/>
      <c r="J114" s="28"/>
      <c r="K114" s="28"/>
      <c r="L114" s="28"/>
      <c r="M114" s="28"/>
      <c r="N114" s="31"/>
    </row>
    <row r="115" spans="1:14" ht="13.4" customHeight="1">
      <c r="A115" s="30" t="s">
        <v>650</v>
      </c>
      <c r="B115" s="99"/>
      <c r="C115" t="s">
        <v>800</v>
      </c>
      <c r="D115" s="161" t="s">
        <v>801</v>
      </c>
      <c r="E115" s="1"/>
      <c r="N115" s="28"/>
    </row>
    <row r="116" spans="1:14" ht="13.4" customHeight="1">
      <c r="A116" s="26" t="s">
        <v>677</v>
      </c>
      <c r="B116" s="133">
        <v>29373</v>
      </c>
      <c r="C116" s="5" t="s">
        <v>639</v>
      </c>
      <c r="D116" s="75">
        <f>IF($D115="V",Input!G$68,IF(AND($B122=D$5,Input!G$63&gt;0),Input!G$63,$B119))</f>
        <v>0.05</v>
      </c>
      <c r="E116" s="75">
        <f>IF($D115="V",Input!H$68,IF(AND($B122=E$5,Input!H$63&gt;0),Input!H$63,D116))</f>
        <v>0.05</v>
      </c>
      <c r="F116" s="75">
        <f>IF($D115="V",Input!I$68,IF(AND($B122=F$5,Input!I$63&gt;0),Input!I$63,E116))</f>
        <v>0.05</v>
      </c>
      <c r="G116" s="75">
        <f>IF($D115="V",Input!J$68,IF(AND($B122=G$5,Input!J$63&gt;0),Input!J$63,F116))</f>
        <v>0.05</v>
      </c>
      <c r="H116" s="75">
        <f>IF($D115="V",Input!K$68,IF(AND($B122=H$5,Input!K$63&gt;0),Input!K$63,G116))</f>
        <v>0.05</v>
      </c>
      <c r="I116" s="75">
        <f>IF($D115="V",Input!L$68,IF(AND($B122=I$5,Input!L$63&gt;0),Input!L$63,H116))</f>
        <v>0.05</v>
      </c>
      <c r="J116" s="75">
        <f>IF($D115="V",Input!M$68,IF(AND($B122=J$5,Input!M$63&gt;0),Input!M$63,I116))</f>
        <v>0.05</v>
      </c>
      <c r="K116" s="75">
        <f>IF($D115="V",Input!N$68,IF(AND($B122=K$5,Input!N$63&gt;0),Input!N$63,J116))</f>
        <v>0.05</v>
      </c>
      <c r="L116" s="75">
        <f>IF($D115="V",Input!O$68,IF(AND($B122=L$5,Input!O$63&gt;0),Input!O$63,K116))</f>
        <v>0.05</v>
      </c>
      <c r="M116" s="75">
        <f>IF($D115="V",Input!P$68,IF(AND($B122=M$5,Input!P$63&gt;0),Input!P$63,L116))</f>
        <v>0.05</v>
      </c>
      <c r="N116" s="5"/>
    </row>
    <row r="117" spans="1:14" ht="13.4" customHeight="1">
      <c r="A117" s="5" t="s">
        <v>361</v>
      </c>
      <c r="B117" s="135">
        <v>0</v>
      </c>
      <c r="C117" s="27" t="s">
        <v>173</v>
      </c>
      <c r="D117" s="140">
        <v>0</v>
      </c>
      <c r="E117" s="28">
        <f t="shared" ref="E117:M117" si="66">D122</f>
        <v>0</v>
      </c>
      <c r="F117" s="28">
        <f t="shared" si="66"/>
        <v>0</v>
      </c>
      <c r="G117" s="28">
        <f t="shared" si="66"/>
        <v>0</v>
      </c>
      <c r="H117" s="28">
        <f t="shared" si="66"/>
        <v>0</v>
      </c>
      <c r="I117" s="28">
        <f t="shared" si="66"/>
        <v>0</v>
      </c>
      <c r="J117" s="28">
        <f t="shared" si="66"/>
        <v>0</v>
      </c>
      <c r="K117" s="28">
        <f t="shared" si="66"/>
        <v>0</v>
      </c>
      <c r="L117" s="28">
        <f t="shared" si="66"/>
        <v>0</v>
      </c>
      <c r="M117" s="28">
        <f t="shared" si="66"/>
        <v>0</v>
      </c>
      <c r="N117" s="28"/>
    </row>
    <row r="118" spans="1:14" ht="13.4" customHeight="1">
      <c r="A118" s="26" t="s">
        <v>170</v>
      </c>
      <c r="B118" s="131">
        <v>35</v>
      </c>
      <c r="C118" s="29" t="s">
        <v>169</v>
      </c>
      <c r="D118" s="28">
        <f>D120-D119</f>
        <v>0</v>
      </c>
      <c r="E118" s="28">
        <f>E120-E119</f>
        <v>0</v>
      </c>
      <c r="F118" s="28">
        <f t="shared" ref="F118:M118" si="67">F120-F119</f>
        <v>0</v>
      </c>
      <c r="G118" s="28">
        <f t="shared" si="67"/>
        <v>0</v>
      </c>
      <c r="H118" s="28">
        <f t="shared" si="67"/>
        <v>0</v>
      </c>
      <c r="I118" s="28">
        <f t="shared" si="67"/>
        <v>0</v>
      </c>
      <c r="J118" s="28">
        <f t="shared" si="67"/>
        <v>0</v>
      </c>
      <c r="K118" s="28">
        <f t="shared" si="67"/>
        <v>0</v>
      </c>
      <c r="L118" s="28">
        <f t="shared" si="67"/>
        <v>0</v>
      </c>
      <c r="M118" s="28">
        <f t="shared" si="67"/>
        <v>0</v>
      </c>
      <c r="N118" s="28"/>
    </row>
    <row r="119" spans="1:14" ht="13.4" customHeight="1">
      <c r="A119" s="5" t="s">
        <v>172</v>
      </c>
      <c r="B119" s="134">
        <f>B108</f>
        <v>0.05</v>
      </c>
      <c r="C119" s="5" t="s">
        <v>174</v>
      </c>
      <c r="D119" s="28">
        <f>IF(AND($B121="Y",YEAR($B116)+$B118&gt;D$5),D124,IF((YEAR($B116)+$B118)&gt;D$5,FV(D116/$B120,$B120,D123),D117))</f>
        <v>0</v>
      </c>
      <c r="E119" s="28">
        <f>IF(AND($B121="Y",YEAR($B116)+$B118&gt;E$5),E124,IF((YEAR($B116)+$B118)&gt;E$5,FV(E116/$B120,$B120,E123),E117))</f>
        <v>0</v>
      </c>
      <c r="F119" s="28">
        <f t="shared" ref="F119:M119" si="68">IF(AND($B121="Y",YEAR($B116)+$B118&gt;F$5),F124,IF((YEAR($B116)+$B118)&gt;F$5,FV(F116/$B120,$B120,F123),F117))</f>
        <v>0</v>
      </c>
      <c r="G119" s="28">
        <f t="shared" si="68"/>
        <v>0</v>
      </c>
      <c r="H119" s="28">
        <f t="shared" si="68"/>
        <v>0</v>
      </c>
      <c r="I119" s="28">
        <f t="shared" si="68"/>
        <v>0</v>
      </c>
      <c r="J119" s="28">
        <f t="shared" si="68"/>
        <v>0</v>
      </c>
      <c r="K119" s="28">
        <f t="shared" si="68"/>
        <v>0</v>
      </c>
      <c r="L119" s="28">
        <f t="shared" si="68"/>
        <v>0</v>
      </c>
      <c r="M119" s="28">
        <f t="shared" si="68"/>
        <v>0</v>
      </c>
      <c r="N119" s="28"/>
    </row>
    <row r="120" spans="1:14" ht="13.4" customHeight="1">
      <c r="A120" s="5" t="s">
        <v>171</v>
      </c>
      <c r="B120" s="131">
        <v>12</v>
      </c>
      <c r="C120" s="78" t="s">
        <v>640</v>
      </c>
      <c r="D120" s="28">
        <f>IF(AND($B121="Y",YEAR($B116)+$B118&gt;D$5),D124+D116*(D117-D124*0.5),IF((YEAR($B116)+$B118)&gt;D$5,(D117*D116/$B120-D123)*$B120,(D117*(1+D116*MONTH($B116)/12))))</f>
        <v>0</v>
      </c>
      <c r="E120" s="28">
        <f>IF(AND($B121="Y",YEAR($B116)+$B118&gt;E$5),E124+E116*(E117-E124*0.5),IF((YEAR($B116)+$B118)&gt;E$5,(E117*E116/$B120-E123)*$B120,(E117*(1+E116*MONTH($B116)/12))))</f>
        <v>0</v>
      </c>
      <c r="F120" s="28">
        <f t="shared" ref="F120:M120" si="69">IF(AND($B121="Y",YEAR($B116)+$B118&gt;F$5),F124+F116*(F117-F124*0.5),IF((YEAR($B116)+$B118)&gt;F$5,(F117*F116/$B120-F123)*$B120,(F117*(1+F116*MONTH($B116)/12))))</f>
        <v>0</v>
      </c>
      <c r="G120" s="28">
        <f t="shared" si="69"/>
        <v>0</v>
      </c>
      <c r="H120" s="28">
        <f t="shared" si="69"/>
        <v>0</v>
      </c>
      <c r="I120" s="28">
        <f t="shared" si="69"/>
        <v>0</v>
      </c>
      <c r="J120" s="28">
        <f t="shared" si="69"/>
        <v>0</v>
      </c>
      <c r="K120" s="28">
        <f t="shared" si="69"/>
        <v>0</v>
      </c>
      <c r="L120" s="28">
        <f t="shared" si="69"/>
        <v>0</v>
      </c>
      <c r="M120" s="28">
        <f t="shared" si="69"/>
        <v>0</v>
      </c>
      <c r="N120" s="28"/>
    </row>
    <row r="121" spans="1:14" ht="13.4" customHeight="1">
      <c r="A121" s="5" t="s">
        <v>767</v>
      </c>
      <c r="B121" s="131" t="s">
        <v>719</v>
      </c>
      <c r="C121" s="132" t="s">
        <v>768</v>
      </c>
      <c r="D121" s="140">
        <v>0</v>
      </c>
      <c r="E121" s="140">
        <v>0</v>
      </c>
      <c r="F121" s="140">
        <v>0</v>
      </c>
      <c r="G121" s="140">
        <v>0</v>
      </c>
      <c r="H121" s="140">
        <v>0</v>
      </c>
      <c r="I121" s="140">
        <v>0</v>
      </c>
      <c r="J121" s="140">
        <v>0</v>
      </c>
      <c r="K121" s="140">
        <v>0</v>
      </c>
      <c r="L121" s="140">
        <v>0</v>
      </c>
      <c r="M121" s="140">
        <v>0</v>
      </c>
      <c r="N121" s="28"/>
    </row>
    <row r="122" spans="1:14" ht="13.4" customHeight="1">
      <c r="A122" s="5" t="s">
        <v>182</v>
      </c>
      <c r="B122" s="131"/>
      <c r="C122" s="30" t="s">
        <v>175</v>
      </c>
      <c r="D122" s="28">
        <f t="shared" ref="D122:M122" si="70">D117+D118-D120-D121</f>
        <v>0</v>
      </c>
      <c r="E122" s="28">
        <f t="shared" si="70"/>
        <v>0</v>
      </c>
      <c r="F122" s="28">
        <f t="shared" si="70"/>
        <v>0</v>
      </c>
      <c r="G122" s="28">
        <f t="shared" si="70"/>
        <v>0</v>
      </c>
      <c r="H122" s="28">
        <f t="shared" si="70"/>
        <v>0</v>
      </c>
      <c r="I122" s="28">
        <f t="shared" si="70"/>
        <v>0</v>
      </c>
      <c r="J122" s="28">
        <f t="shared" si="70"/>
        <v>0</v>
      </c>
      <c r="K122" s="28">
        <f t="shared" si="70"/>
        <v>0</v>
      </c>
      <c r="L122" s="28">
        <f t="shared" si="70"/>
        <v>0</v>
      </c>
      <c r="M122" s="28">
        <f t="shared" si="70"/>
        <v>0</v>
      </c>
      <c r="N122" s="28"/>
    </row>
    <row r="123" spans="1:14" ht="13" hidden="1" customHeight="1">
      <c r="A123" s="5"/>
      <c r="B123" s="138"/>
      <c r="C123" s="5" t="s">
        <v>769</v>
      </c>
      <c r="D123" s="28" t="e">
        <f>PPMT(D116/$B120,1,ROUND(($B118-(D$5-YEAR($B116))+MONTH($B116)/12)*$B120,0),D117)</f>
        <v>#NUM!</v>
      </c>
      <c r="E123" s="28" t="e">
        <f>PPMT(E116/$B120,1,ROUND(($B118-(E$5-YEAR($B116))+MONTH($B116)/12)*$B120,0),E117)</f>
        <v>#NUM!</v>
      </c>
      <c r="F123" s="28" t="e">
        <f t="shared" ref="F123:M123" si="71">PPMT(F116/$B120,1,ROUND(($B118-(F$5-YEAR($B116))+MONTH($B116)/12)*$B120,0),F117)</f>
        <v>#NUM!</v>
      </c>
      <c r="G123" s="28" t="e">
        <f t="shared" si="71"/>
        <v>#NUM!</v>
      </c>
      <c r="H123" s="28" t="e">
        <f t="shared" si="71"/>
        <v>#NUM!</v>
      </c>
      <c r="I123" s="28" t="e">
        <f t="shared" si="71"/>
        <v>#NUM!</v>
      </c>
      <c r="J123" s="28" t="e">
        <f t="shared" si="71"/>
        <v>#NUM!</v>
      </c>
      <c r="K123" s="28" t="e">
        <f t="shared" si="71"/>
        <v>#NUM!</v>
      </c>
      <c r="L123" s="28" t="e">
        <f t="shared" si="71"/>
        <v>#NUM!</v>
      </c>
      <c r="M123" s="28" t="e">
        <f t="shared" si="71"/>
        <v>#NUM!</v>
      </c>
      <c r="N123" s="139"/>
    </row>
    <row r="124" spans="1:14" ht="13" hidden="1" customHeight="1">
      <c r="A124" s="5"/>
      <c r="B124" s="5"/>
      <c r="C124" s="5" t="s">
        <v>770</v>
      </c>
      <c r="D124" s="28">
        <f t="shared" ref="D124:M124" si="72">IF(YEAR($B116)+$B118&gt;D$5,D117/(YEAR($B116)+$B118-D$5+MONTH($B116)/12),D117)</f>
        <v>0</v>
      </c>
      <c r="E124" s="28">
        <f t="shared" si="72"/>
        <v>0</v>
      </c>
      <c r="F124" s="28">
        <f t="shared" si="72"/>
        <v>0</v>
      </c>
      <c r="G124" s="28">
        <f t="shared" si="72"/>
        <v>0</v>
      </c>
      <c r="H124" s="28">
        <f t="shared" si="72"/>
        <v>0</v>
      </c>
      <c r="I124" s="28">
        <f t="shared" si="72"/>
        <v>0</v>
      </c>
      <c r="J124" s="28">
        <f t="shared" si="72"/>
        <v>0</v>
      </c>
      <c r="K124" s="28">
        <f t="shared" si="72"/>
        <v>0</v>
      </c>
      <c r="L124" s="28">
        <f t="shared" si="72"/>
        <v>0</v>
      </c>
      <c r="M124" s="28">
        <f t="shared" si="72"/>
        <v>0</v>
      </c>
      <c r="N124" s="139"/>
    </row>
    <row r="125" spans="1:14" ht="13.4" customHeight="1">
      <c r="C125" s="5"/>
      <c r="D125" s="28"/>
      <c r="E125" s="28"/>
      <c r="F125" s="28"/>
      <c r="G125" s="28"/>
      <c r="H125" s="28"/>
      <c r="I125" s="28"/>
      <c r="J125" s="28"/>
      <c r="K125" s="28"/>
      <c r="L125" s="28"/>
      <c r="M125" s="28"/>
      <c r="N125" s="31"/>
    </row>
    <row r="126" spans="1:14" ht="13.4" customHeight="1">
      <c r="A126" s="30" t="s">
        <v>651</v>
      </c>
      <c r="B126" s="99"/>
      <c r="C126" t="s">
        <v>800</v>
      </c>
      <c r="D126" s="161" t="s">
        <v>801</v>
      </c>
      <c r="E126" s="1"/>
      <c r="N126" s="28"/>
    </row>
    <row r="127" spans="1:14" ht="13.4" customHeight="1">
      <c r="A127" s="26" t="s">
        <v>677</v>
      </c>
      <c r="B127" s="133">
        <v>29373</v>
      </c>
      <c r="C127" s="5" t="s">
        <v>639</v>
      </c>
      <c r="D127" s="75">
        <f>IF($D126="V",Input!G$68,IF(AND($B133=D$5,Input!G$63&gt;0),Input!G$63,$B130))</f>
        <v>0.05</v>
      </c>
      <c r="E127" s="75">
        <f>IF($D126="V",Input!H$68,IF(AND($B133=E$5,Input!H$63&gt;0),Input!H$63,D127))</f>
        <v>0.05</v>
      </c>
      <c r="F127" s="75">
        <f>IF($D126="V",Input!I$68,IF(AND($B133=F$5,Input!I$63&gt;0),Input!I$63,E127))</f>
        <v>0.05</v>
      </c>
      <c r="G127" s="75">
        <f>IF($D126="V",Input!J$68,IF(AND($B133=G$5,Input!J$63&gt;0),Input!J$63,F127))</f>
        <v>0.05</v>
      </c>
      <c r="H127" s="75">
        <f>IF($D126="V",Input!K$68,IF(AND($B133=H$5,Input!K$63&gt;0),Input!K$63,G127))</f>
        <v>0.05</v>
      </c>
      <c r="I127" s="75">
        <f>IF($D126="V",Input!L$68,IF(AND($B133=I$5,Input!L$63&gt;0),Input!L$63,H127))</f>
        <v>0.05</v>
      </c>
      <c r="J127" s="75">
        <f>IF($D126="V",Input!M$68,IF(AND($B133=J$5,Input!M$63&gt;0),Input!M$63,I127))</f>
        <v>0.05</v>
      </c>
      <c r="K127" s="75">
        <f>IF($D126="V",Input!N$68,IF(AND($B133=K$5,Input!N$63&gt;0),Input!N$63,J127))</f>
        <v>0.05</v>
      </c>
      <c r="L127" s="75">
        <f>IF($D126="V",Input!O$68,IF(AND($B133=L$5,Input!O$63&gt;0),Input!O$63,K127))</f>
        <v>0.05</v>
      </c>
      <c r="M127" s="75">
        <f>IF($D126="V",Input!P$68,IF(AND($B133=M$5,Input!P$63&gt;0),Input!P$63,L127))</f>
        <v>0.05</v>
      </c>
      <c r="N127" s="5"/>
    </row>
    <row r="128" spans="1:14" ht="13.4" customHeight="1">
      <c r="A128" s="5" t="s">
        <v>361</v>
      </c>
      <c r="B128" s="135">
        <v>0</v>
      </c>
      <c r="C128" s="27" t="s">
        <v>173</v>
      </c>
      <c r="D128" s="140">
        <v>0</v>
      </c>
      <c r="E128" s="28">
        <f t="shared" ref="E128:M128" si="73">D133</f>
        <v>0</v>
      </c>
      <c r="F128" s="28">
        <f t="shared" si="73"/>
        <v>0</v>
      </c>
      <c r="G128" s="28">
        <f t="shared" si="73"/>
        <v>0</v>
      </c>
      <c r="H128" s="28">
        <f t="shared" si="73"/>
        <v>0</v>
      </c>
      <c r="I128" s="28">
        <f t="shared" si="73"/>
        <v>0</v>
      </c>
      <c r="J128" s="28">
        <f t="shared" si="73"/>
        <v>0</v>
      </c>
      <c r="K128" s="28">
        <f t="shared" si="73"/>
        <v>0</v>
      </c>
      <c r="L128" s="28">
        <f t="shared" si="73"/>
        <v>0</v>
      </c>
      <c r="M128" s="28">
        <f t="shared" si="73"/>
        <v>0</v>
      </c>
      <c r="N128" s="28"/>
    </row>
    <row r="129" spans="1:14" ht="13.4" customHeight="1">
      <c r="A129" s="26" t="s">
        <v>170</v>
      </c>
      <c r="B129" s="131">
        <v>35</v>
      </c>
      <c r="C129" s="29" t="s">
        <v>169</v>
      </c>
      <c r="D129" s="28">
        <f>D131-D130</f>
        <v>0</v>
      </c>
      <c r="E129" s="28">
        <f>E131-E130</f>
        <v>0</v>
      </c>
      <c r="F129" s="28">
        <f t="shared" ref="F129:M129" si="74">F131-F130</f>
        <v>0</v>
      </c>
      <c r="G129" s="28">
        <f t="shared" si="74"/>
        <v>0</v>
      </c>
      <c r="H129" s="28">
        <f t="shared" si="74"/>
        <v>0</v>
      </c>
      <c r="I129" s="28">
        <f t="shared" si="74"/>
        <v>0</v>
      </c>
      <c r="J129" s="28">
        <f t="shared" si="74"/>
        <v>0</v>
      </c>
      <c r="K129" s="28">
        <f t="shared" si="74"/>
        <v>0</v>
      </c>
      <c r="L129" s="28">
        <f t="shared" si="74"/>
        <v>0</v>
      </c>
      <c r="M129" s="28">
        <f t="shared" si="74"/>
        <v>0</v>
      </c>
      <c r="N129" s="28"/>
    </row>
    <row r="130" spans="1:14" ht="13.4" customHeight="1">
      <c r="A130" s="5" t="s">
        <v>172</v>
      </c>
      <c r="B130" s="134">
        <f>B119</f>
        <v>0.05</v>
      </c>
      <c r="C130" s="5" t="s">
        <v>174</v>
      </c>
      <c r="D130" s="28">
        <f>IF(AND($B132="Y",YEAR($B127)+$B129&gt;D$5),D135,IF((YEAR($B127)+$B129)&gt;D$5,FV(D127/$B131,$B131,D134),D128))</f>
        <v>0</v>
      </c>
      <c r="E130" s="28">
        <f>IF(AND($B132="Y",YEAR($B127)+$B129&gt;E$5),E135,IF((YEAR($B127)+$B129)&gt;E$5,FV(E127/$B131,$B131,E134),E128))</f>
        <v>0</v>
      </c>
      <c r="F130" s="28">
        <f t="shared" ref="F130:M130" si="75">IF(AND($B132="Y",YEAR($B127)+$B129&gt;F$5),F135,IF((YEAR($B127)+$B129)&gt;F$5,FV(F127/$B131,$B131,F134),F128))</f>
        <v>0</v>
      </c>
      <c r="G130" s="28">
        <f t="shared" si="75"/>
        <v>0</v>
      </c>
      <c r="H130" s="28">
        <f t="shared" si="75"/>
        <v>0</v>
      </c>
      <c r="I130" s="28">
        <f t="shared" si="75"/>
        <v>0</v>
      </c>
      <c r="J130" s="28">
        <f t="shared" si="75"/>
        <v>0</v>
      </c>
      <c r="K130" s="28">
        <f t="shared" si="75"/>
        <v>0</v>
      </c>
      <c r="L130" s="28">
        <f t="shared" si="75"/>
        <v>0</v>
      </c>
      <c r="M130" s="28">
        <f t="shared" si="75"/>
        <v>0</v>
      </c>
      <c r="N130" s="28"/>
    </row>
    <row r="131" spans="1:14" ht="13.4" customHeight="1">
      <c r="A131" s="5" t="s">
        <v>171</v>
      </c>
      <c r="B131" s="131">
        <v>12</v>
      </c>
      <c r="C131" s="78" t="s">
        <v>640</v>
      </c>
      <c r="D131" s="28">
        <f>IF(AND($B132="Y",YEAR($B127)+$B129&gt;D$5),D135+D127*(D128-D135*0.5),IF((YEAR($B127)+$B129)&gt;D$5,(D128*D127/$B131-D134)*$B131,(D128*(1+D127*MONTH($B127)/12))))</f>
        <v>0</v>
      </c>
      <c r="E131" s="28">
        <f>IF(AND($B132="Y",YEAR($B127)+$B129&gt;E$5),E135+E127*(E128-E135*0.5),IF((YEAR($B127)+$B129)&gt;E$5,(E128*E127/$B131-E134)*$B131,(E128*(1+E127*MONTH($B127)/12))))</f>
        <v>0</v>
      </c>
      <c r="F131" s="28">
        <f t="shared" ref="F131:M131" si="76">IF(AND($B132="Y",YEAR($B127)+$B129&gt;F$5),F135+F127*(F128-F135*0.5),IF((YEAR($B127)+$B129)&gt;F$5,(F128*F127/$B131-F134)*$B131,(F128*(1+F127*MONTH($B127)/12))))</f>
        <v>0</v>
      </c>
      <c r="G131" s="28">
        <f t="shared" si="76"/>
        <v>0</v>
      </c>
      <c r="H131" s="28">
        <f t="shared" si="76"/>
        <v>0</v>
      </c>
      <c r="I131" s="28">
        <f t="shared" si="76"/>
        <v>0</v>
      </c>
      <c r="J131" s="28">
        <f t="shared" si="76"/>
        <v>0</v>
      </c>
      <c r="K131" s="28">
        <f t="shared" si="76"/>
        <v>0</v>
      </c>
      <c r="L131" s="28">
        <f t="shared" si="76"/>
        <v>0</v>
      </c>
      <c r="M131" s="28">
        <f t="shared" si="76"/>
        <v>0</v>
      </c>
      <c r="N131" s="28"/>
    </row>
    <row r="132" spans="1:14" ht="13.4" customHeight="1">
      <c r="A132" s="5" t="s">
        <v>767</v>
      </c>
      <c r="B132" s="131" t="s">
        <v>719</v>
      </c>
      <c r="C132" s="132" t="s">
        <v>768</v>
      </c>
      <c r="D132" s="140">
        <v>0</v>
      </c>
      <c r="E132" s="140">
        <v>0</v>
      </c>
      <c r="F132" s="140">
        <v>0</v>
      </c>
      <c r="G132" s="140">
        <v>0</v>
      </c>
      <c r="H132" s="140">
        <v>0</v>
      </c>
      <c r="I132" s="140">
        <v>0</v>
      </c>
      <c r="J132" s="140">
        <v>0</v>
      </c>
      <c r="K132" s="140">
        <v>0</v>
      </c>
      <c r="L132" s="140">
        <v>0</v>
      </c>
      <c r="M132" s="140">
        <v>0</v>
      </c>
      <c r="N132" s="28"/>
    </row>
    <row r="133" spans="1:14" ht="13.4" customHeight="1">
      <c r="A133" s="5" t="s">
        <v>182</v>
      </c>
      <c r="B133" s="131"/>
      <c r="C133" s="30" t="s">
        <v>175</v>
      </c>
      <c r="D133" s="28">
        <f t="shared" ref="D133:M133" si="77">D128+D129-D131-D132</f>
        <v>0</v>
      </c>
      <c r="E133" s="28">
        <f t="shared" si="77"/>
        <v>0</v>
      </c>
      <c r="F133" s="28">
        <f t="shared" si="77"/>
        <v>0</v>
      </c>
      <c r="G133" s="28">
        <f t="shared" si="77"/>
        <v>0</v>
      </c>
      <c r="H133" s="28">
        <f t="shared" si="77"/>
        <v>0</v>
      </c>
      <c r="I133" s="28">
        <f t="shared" si="77"/>
        <v>0</v>
      </c>
      <c r="J133" s="28">
        <f t="shared" si="77"/>
        <v>0</v>
      </c>
      <c r="K133" s="28">
        <f t="shared" si="77"/>
        <v>0</v>
      </c>
      <c r="L133" s="28">
        <f t="shared" si="77"/>
        <v>0</v>
      </c>
      <c r="M133" s="28">
        <f t="shared" si="77"/>
        <v>0</v>
      </c>
      <c r="N133" s="28"/>
    </row>
    <row r="134" spans="1:14" ht="13" hidden="1" customHeight="1">
      <c r="A134" s="5"/>
      <c r="B134" s="138"/>
      <c r="C134" s="5" t="s">
        <v>769</v>
      </c>
      <c r="D134" s="28" t="e">
        <f>PPMT(D127/$B131,1,ROUND(($B129-(D$5-YEAR($B127))+MONTH($B127)/12)*$B131,0),D128)</f>
        <v>#NUM!</v>
      </c>
      <c r="E134" s="28" t="e">
        <f>PPMT(E127/$B131,1,ROUND(($B129-(E$5-YEAR($B127))+MONTH($B127)/12)*$B131,0),E128)</f>
        <v>#NUM!</v>
      </c>
      <c r="F134" s="28" t="e">
        <f t="shared" ref="F134:M134" si="78">PPMT(F127/$B131,1,ROUND(($B129-(F$5-YEAR($B127))+MONTH($B127)/12)*$B131,0),F128)</f>
        <v>#NUM!</v>
      </c>
      <c r="G134" s="28" t="e">
        <f t="shared" si="78"/>
        <v>#NUM!</v>
      </c>
      <c r="H134" s="28" t="e">
        <f t="shared" si="78"/>
        <v>#NUM!</v>
      </c>
      <c r="I134" s="28" t="e">
        <f t="shared" si="78"/>
        <v>#NUM!</v>
      </c>
      <c r="J134" s="28" t="e">
        <f t="shared" si="78"/>
        <v>#NUM!</v>
      </c>
      <c r="K134" s="28" t="e">
        <f t="shared" si="78"/>
        <v>#NUM!</v>
      </c>
      <c r="L134" s="28" t="e">
        <f t="shared" si="78"/>
        <v>#NUM!</v>
      </c>
      <c r="M134" s="28" t="e">
        <f t="shared" si="78"/>
        <v>#NUM!</v>
      </c>
      <c r="N134" s="139"/>
    </row>
    <row r="135" spans="1:14" ht="13" hidden="1" customHeight="1">
      <c r="A135" s="5"/>
      <c r="B135" s="5"/>
      <c r="C135" s="5" t="s">
        <v>770</v>
      </c>
      <c r="D135" s="28">
        <f t="shared" ref="D135:M135" si="79">IF(YEAR($B127)+$B129&gt;D$5,D128/(YEAR($B127)+$B129-D$5+MONTH($B127)/12),D128)</f>
        <v>0</v>
      </c>
      <c r="E135" s="28">
        <f t="shared" si="79"/>
        <v>0</v>
      </c>
      <c r="F135" s="28">
        <f t="shared" si="79"/>
        <v>0</v>
      </c>
      <c r="G135" s="28">
        <f t="shared" si="79"/>
        <v>0</v>
      </c>
      <c r="H135" s="28">
        <f t="shared" si="79"/>
        <v>0</v>
      </c>
      <c r="I135" s="28">
        <f t="shared" si="79"/>
        <v>0</v>
      </c>
      <c r="J135" s="28">
        <f t="shared" si="79"/>
        <v>0</v>
      </c>
      <c r="K135" s="28">
        <f t="shared" si="79"/>
        <v>0</v>
      </c>
      <c r="L135" s="28">
        <f t="shared" si="79"/>
        <v>0</v>
      </c>
      <c r="M135" s="28">
        <f t="shared" si="79"/>
        <v>0</v>
      </c>
      <c r="N135" s="139"/>
    </row>
    <row r="136" spans="1:14" ht="13.4" customHeight="1">
      <c r="A136" s="5"/>
      <c r="B136" s="5"/>
      <c r="C136" s="5"/>
      <c r="D136" s="28"/>
      <c r="E136" s="28"/>
      <c r="F136" s="28"/>
      <c r="G136" s="28"/>
      <c r="H136" s="28"/>
      <c r="I136" s="28"/>
      <c r="J136" s="28"/>
      <c r="K136" s="28"/>
      <c r="L136" s="28"/>
      <c r="M136" s="28"/>
      <c r="N136" s="31"/>
    </row>
    <row r="137" spans="1:14" ht="13.4" customHeight="1">
      <c r="A137" s="30" t="s">
        <v>652</v>
      </c>
      <c r="B137" s="99"/>
      <c r="C137" t="s">
        <v>800</v>
      </c>
      <c r="D137" s="161" t="s">
        <v>801</v>
      </c>
      <c r="E137" s="1"/>
      <c r="N137" s="28"/>
    </row>
    <row r="138" spans="1:14" ht="13.4" customHeight="1">
      <c r="A138" s="26" t="s">
        <v>677</v>
      </c>
      <c r="B138" s="133">
        <v>29373</v>
      </c>
      <c r="C138" s="5" t="s">
        <v>639</v>
      </c>
      <c r="D138" s="75">
        <f>IF($D137="V",Input!G$68,IF(AND($B144=D$5,Input!G$63&gt;0),Input!G$63,$B141))</f>
        <v>0.05</v>
      </c>
      <c r="E138" s="75">
        <f>IF($D137="V",Input!H$68,IF(AND($B144=E$5,Input!H$63&gt;0),Input!H$63,D138))</f>
        <v>0.05</v>
      </c>
      <c r="F138" s="75">
        <f>IF($D137="V",Input!I$68,IF(AND($B144=F$5,Input!I$63&gt;0),Input!I$63,E138))</f>
        <v>0.05</v>
      </c>
      <c r="G138" s="75">
        <f>IF($D137="V",Input!J$68,IF(AND($B144=G$5,Input!J$63&gt;0),Input!J$63,F138))</f>
        <v>0.05</v>
      </c>
      <c r="H138" s="75">
        <f>IF($D137="V",Input!K$68,IF(AND($B144=H$5,Input!K$63&gt;0),Input!K$63,G138))</f>
        <v>0.05</v>
      </c>
      <c r="I138" s="75">
        <f>IF($D137="V",Input!L$68,IF(AND($B144=I$5,Input!L$63&gt;0),Input!L$63,H138))</f>
        <v>0.05</v>
      </c>
      <c r="J138" s="75">
        <f>IF($D137="V",Input!M$68,IF(AND($B144=J$5,Input!M$63&gt;0),Input!M$63,I138))</f>
        <v>0.05</v>
      </c>
      <c r="K138" s="75">
        <f>IF($D137="V",Input!N$68,IF(AND($B144=K$5,Input!N$63&gt;0),Input!N$63,J138))</f>
        <v>0.05</v>
      </c>
      <c r="L138" s="75">
        <f>IF($D137="V",Input!O$68,IF(AND($B144=L$5,Input!O$63&gt;0),Input!O$63,K138))</f>
        <v>0.05</v>
      </c>
      <c r="M138" s="75">
        <f>IF($D137="V",Input!P$68,IF(AND($B144=M$5,Input!P$63&gt;0),Input!P$63,L138))</f>
        <v>0.05</v>
      </c>
      <c r="N138" s="5"/>
    </row>
    <row r="139" spans="1:14" ht="13.4" customHeight="1">
      <c r="A139" s="5" t="s">
        <v>361</v>
      </c>
      <c r="B139" s="135">
        <v>0</v>
      </c>
      <c r="C139" s="27" t="s">
        <v>173</v>
      </c>
      <c r="D139" s="140">
        <v>0</v>
      </c>
      <c r="E139" s="28">
        <f t="shared" ref="E139:M139" si="80">D144</f>
        <v>0</v>
      </c>
      <c r="F139" s="28">
        <f t="shared" si="80"/>
        <v>0</v>
      </c>
      <c r="G139" s="28">
        <f t="shared" si="80"/>
        <v>0</v>
      </c>
      <c r="H139" s="28">
        <f t="shared" si="80"/>
        <v>0</v>
      </c>
      <c r="I139" s="28">
        <f t="shared" si="80"/>
        <v>0</v>
      </c>
      <c r="J139" s="28">
        <f t="shared" si="80"/>
        <v>0</v>
      </c>
      <c r="K139" s="28">
        <f t="shared" si="80"/>
        <v>0</v>
      </c>
      <c r="L139" s="28">
        <f t="shared" si="80"/>
        <v>0</v>
      </c>
      <c r="M139" s="28">
        <f t="shared" si="80"/>
        <v>0</v>
      </c>
      <c r="N139" s="28"/>
    </row>
    <row r="140" spans="1:14" ht="13.4" customHeight="1">
      <c r="A140" s="26" t="s">
        <v>170</v>
      </c>
      <c r="B140" s="131">
        <v>35</v>
      </c>
      <c r="C140" s="29" t="s">
        <v>169</v>
      </c>
      <c r="D140" s="28">
        <f>D142-D141</f>
        <v>0</v>
      </c>
      <c r="E140" s="28">
        <f>E142-E141</f>
        <v>0</v>
      </c>
      <c r="F140" s="28">
        <f t="shared" ref="F140:M140" si="81">F142-F141</f>
        <v>0</v>
      </c>
      <c r="G140" s="28">
        <f t="shared" si="81"/>
        <v>0</v>
      </c>
      <c r="H140" s="28">
        <f t="shared" si="81"/>
        <v>0</v>
      </c>
      <c r="I140" s="28">
        <f t="shared" si="81"/>
        <v>0</v>
      </c>
      <c r="J140" s="28">
        <f t="shared" si="81"/>
        <v>0</v>
      </c>
      <c r="K140" s="28">
        <f t="shared" si="81"/>
        <v>0</v>
      </c>
      <c r="L140" s="28">
        <f t="shared" si="81"/>
        <v>0</v>
      </c>
      <c r="M140" s="28">
        <f t="shared" si="81"/>
        <v>0</v>
      </c>
      <c r="N140" s="28"/>
    </row>
    <row r="141" spans="1:14" ht="13.4" customHeight="1">
      <c r="A141" s="5" t="s">
        <v>172</v>
      </c>
      <c r="B141" s="134">
        <f>B130</f>
        <v>0.05</v>
      </c>
      <c r="C141" s="5" t="s">
        <v>174</v>
      </c>
      <c r="D141" s="28">
        <f>IF(AND($B143="Y",YEAR($B138)+$B140&gt;D$5),D146,IF((YEAR($B138)+$B140)&gt;D$5,FV(D138/$B142,$B142,D145),D139))</f>
        <v>0</v>
      </c>
      <c r="E141" s="28">
        <f>IF(AND($B143="Y",YEAR($B138)+$B140&gt;E$5),E146,IF((YEAR($B138)+$B140)&gt;E$5,FV(E138/$B142,$B142,E145),E139))</f>
        <v>0</v>
      </c>
      <c r="F141" s="28">
        <f t="shared" ref="F141:M141" si="82">IF(AND($B143="Y",YEAR($B138)+$B140&gt;F$5),F146,IF((YEAR($B138)+$B140)&gt;F$5,FV(F138/$B142,$B142,F145),F139))</f>
        <v>0</v>
      </c>
      <c r="G141" s="28">
        <f t="shared" si="82"/>
        <v>0</v>
      </c>
      <c r="H141" s="28">
        <f t="shared" si="82"/>
        <v>0</v>
      </c>
      <c r="I141" s="28">
        <f t="shared" si="82"/>
        <v>0</v>
      </c>
      <c r="J141" s="28">
        <f t="shared" si="82"/>
        <v>0</v>
      </c>
      <c r="K141" s="28">
        <f t="shared" si="82"/>
        <v>0</v>
      </c>
      <c r="L141" s="28">
        <f t="shared" si="82"/>
        <v>0</v>
      </c>
      <c r="M141" s="28">
        <f t="shared" si="82"/>
        <v>0</v>
      </c>
      <c r="N141" s="28"/>
    </row>
    <row r="142" spans="1:14" ht="13.4" customHeight="1">
      <c r="A142" s="5" t="s">
        <v>171</v>
      </c>
      <c r="B142" s="131">
        <v>12</v>
      </c>
      <c r="C142" s="78" t="s">
        <v>640</v>
      </c>
      <c r="D142" s="28">
        <f>IF(AND($B143="Y",YEAR($B138)+$B140&gt;D$5),D146+D138*(D139-D146*0.5),IF((YEAR($B138)+$B140)&gt;D$5,(D139*D138/$B142-D145)*$B142,(D139*(1+D138*MONTH($B138)/12))))</f>
        <v>0</v>
      </c>
      <c r="E142" s="28">
        <f>IF(AND($B143="Y",YEAR($B138)+$B140&gt;E$5),E146+E138*(E139-E146*0.5),IF((YEAR($B138)+$B140)&gt;E$5,(E139*E138/$B142-E145)*$B142,(E139*(1+E138*MONTH($B138)/12))))</f>
        <v>0</v>
      </c>
      <c r="F142" s="28">
        <f t="shared" ref="F142:M142" si="83">IF(AND($B143="Y",YEAR($B138)+$B140&gt;F$5),F146+F138*(F139-F146*0.5),IF((YEAR($B138)+$B140)&gt;F$5,(F139*F138/$B142-F145)*$B142,(F139*(1+F138*MONTH($B138)/12))))</f>
        <v>0</v>
      </c>
      <c r="G142" s="28">
        <f t="shared" si="83"/>
        <v>0</v>
      </c>
      <c r="H142" s="28">
        <f t="shared" si="83"/>
        <v>0</v>
      </c>
      <c r="I142" s="28">
        <f t="shared" si="83"/>
        <v>0</v>
      </c>
      <c r="J142" s="28">
        <f t="shared" si="83"/>
        <v>0</v>
      </c>
      <c r="K142" s="28">
        <f t="shared" si="83"/>
        <v>0</v>
      </c>
      <c r="L142" s="28">
        <f t="shared" si="83"/>
        <v>0</v>
      </c>
      <c r="M142" s="28">
        <f t="shared" si="83"/>
        <v>0</v>
      </c>
      <c r="N142" s="28"/>
    </row>
    <row r="143" spans="1:14" ht="13.4" customHeight="1">
      <c r="A143" s="5" t="s">
        <v>767</v>
      </c>
      <c r="B143" s="131" t="s">
        <v>719</v>
      </c>
      <c r="C143" s="132" t="s">
        <v>768</v>
      </c>
      <c r="D143" s="140">
        <v>0</v>
      </c>
      <c r="E143" s="140">
        <v>0</v>
      </c>
      <c r="F143" s="140">
        <v>0</v>
      </c>
      <c r="G143" s="140">
        <v>0</v>
      </c>
      <c r="H143" s="140">
        <v>0</v>
      </c>
      <c r="I143" s="140">
        <v>0</v>
      </c>
      <c r="J143" s="140">
        <v>0</v>
      </c>
      <c r="K143" s="140">
        <v>0</v>
      </c>
      <c r="L143" s="140">
        <v>0</v>
      </c>
      <c r="M143" s="140">
        <v>0</v>
      </c>
      <c r="N143" s="28"/>
    </row>
    <row r="144" spans="1:14" ht="13.4" customHeight="1">
      <c r="A144" s="5" t="s">
        <v>182</v>
      </c>
      <c r="B144" s="131"/>
      <c r="C144" s="30" t="s">
        <v>175</v>
      </c>
      <c r="D144" s="28">
        <f t="shared" ref="D144:M144" si="84">D139+D140-D142-D143</f>
        <v>0</v>
      </c>
      <c r="E144" s="28">
        <f t="shared" si="84"/>
        <v>0</v>
      </c>
      <c r="F144" s="28">
        <f t="shared" si="84"/>
        <v>0</v>
      </c>
      <c r="G144" s="28">
        <f t="shared" si="84"/>
        <v>0</v>
      </c>
      <c r="H144" s="28">
        <f t="shared" si="84"/>
        <v>0</v>
      </c>
      <c r="I144" s="28">
        <f t="shared" si="84"/>
        <v>0</v>
      </c>
      <c r="J144" s="28">
        <f t="shared" si="84"/>
        <v>0</v>
      </c>
      <c r="K144" s="28">
        <f t="shared" si="84"/>
        <v>0</v>
      </c>
      <c r="L144" s="28">
        <f t="shared" si="84"/>
        <v>0</v>
      </c>
      <c r="M144" s="28">
        <f t="shared" si="84"/>
        <v>0</v>
      </c>
      <c r="N144" s="28"/>
    </row>
    <row r="145" spans="1:14" ht="13" hidden="1" customHeight="1">
      <c r="A145" s="5"/>
      <c r="B145" s="138"/>
      <c r="C145" s="5" t="s">
        <v>769</v>
      </c>
      <c r="D145" s="28" t="e">
        <f>PPMT(D138/$B142,1,ROUND(($B140-(D$5-YEAR($B138))+MONTH($B138)/12)*$B142,0),D139)</f>
        <v>#NUM!</v>
      </c>
      <c r="E145" s="28" t="e">
        <f>PPMT(E138/$B142,1,ROUND(($B140-(E$5-YEAR($B138))+MONTH($B138)/12)*$B142,0),E139)</f>
        <v>#NUM!</v>
      </c>
      <c r="F145" s="28" t="e">
        <f t="shared" ref="F145:M145" si="85">PPMT(F138/$B142,1,ROUND(($B140-(F$5-YEAR($B138))+MONTH($B138)/12)*$B142,0),F139)</f>
        <v>#NUM!</v>
      </c>
      <c r="G145" s="28" t="e">
        <f t="shared" si="85"/>
        <v>#NUM!</v>
      </c>
      <c r="H145" s="28" t="e">
        <f t="shared" si="85"/>
        <v>#NUM!</v>
      </c>
      <c r="I145" s="28" t="e">
        <f t="shared" si="85"/>
        <v>#NUM!</v>
      </c>
      <c r="J145" s="28" t="e">
        <f t="shared" si="85"/>
        <v>#NUM!</v>
      </c>
      <c r="K145" s="28" t="e">
        <f t="shared" si="85"/>
        <v>#NUM!</v>
      </c>
      <c r="L145" s="28" t="e">
        <f t="shared" si="85"/>
        <v>#NUM!</v>
      </c>
      <c r="M145" s="28" t="e">
        <f t="shared" si="85"/>
        <v>#NUM!</v>
      </c>
      <c r="N145" s="139"/>
    </row>
    <row r="146" spans="1:14" ht="13" hidden="1" customHeight="1">
      <c r="A146" s="5"/>
      <c r="B146" s="5"/>
      <c r="C146" s="5" t="s">
        <v>770</v>
      </c>
      <c r="D146" s="28">
        <f t="shared" ref="D146:M146" si="86">IF(YEAR($B138)+$B140&gt;D$5,D139/(YEAR($B138)+$B140-D$5+MONTH($B138)/12),D139)</f>
        <v>0</v>
      </c>
      <c r="E146" s="28">
        <f t="shared" si="86"/>
        <v>0</v>
      </c>
      <c r="F146" s="28">
        <f t="shared" si="86"/>
        <v>0</v>
      </c>
      <c r="G146" s="28">
        <f t="shared" si="86"/>
        <v>0</v>
      </c>
      <c r="H146" s="28">
        <f t="shared" si="86"/>
        <v>0</v>
      </c>
      <c r="I146" s="28">
        <f t="shared" si="86"/>
        <v>0</v>
      </c>
      <c r="J146" s="28">
        <f t="shared" si="86"/>
        <v>0</v>
      </c>
      <c r="K146" s="28">
        <f t="shared" si="86"/>
        <v>0</v>
      </c>
      <c r="L146" s="28">
        <f t="shared" si="86"/>
        <v>0</v>
      </c>
      <c r="M146" s="28">
        <f t="shared" si="86"/>
        <v>0</v>
      </c>
      <c r="N146" s="139"/>
    </row>
    <row r="147" spans="1:14" ht="13.4" customHeight="1">
      <c r="A147" s="5"/>
      <c r="B147" s="5"/>
      <c r="C147" s="5"/>
      <c r="N147" s="31"/>
    </row>
    <row r="148" spans="1:14" ht="13.4" customHeight="1">
      <c r="A148" s="30" t="s">
        <v>653</v>
      </c>
      <c r="B148" s="99"/>
      <c r="C148" t="s">
        <v>800</v>
      </c>
      <c r="D148" s="161" t="s">
        <v>801</v>
      </c>
      <c r="E148" s="1"/>
    </row>
    <row r="149" spans="1:14" ht="13.4" customHeight="1">
      <c r="A149" s="26" t="s">
        <v>677</v>
      </c>
      <c r="B149" s="133">
        <v>29373</v>
      </c>
      <c r="C149" s="5" t="s">
        <v>639</v>
      </c>
      <c r="D149" s="75">
        <f>IF($D148="V",Input!G$68,IF(AND($B155=D$5,Input!G$63&gt;0),Input!G$63,$B152))</f>
        <v>0.05</v>
      </c>
      <c r="E149" s="75">
        <f>IF($D148="V",Input!H$68,IF(AND($B155=E$5,Input!H$63&gt;0),Input!H$63,D149))</f>
        <v>0.05</v>
      </c>
      <c r="F149" s="75">
        <f>IF($D148="V",Input!I$68,IF(AND($B155=F$5,Input!I$63&gt;0),Input!I$63,E149))</f>
        <v>0.05</v>
      </c>
      <c r="G149" s="75">
        <f>IF($D148="V",Input!J$68,IF(AND($B155=G$5,Input!J$63&gt;0),Input!J$63,F149))</f>
        <v>0.05</v>
      </c>
      <c r="H149" s="75">
        <f>IF($D148="V",Input!K$68,IF(AND($B155=H$5,Input!K$63&gt;0),Input!K$63,G149))</f>
        <v>0.05</v>
      </c>
      <c r="I149" s="75">
        <f>IF($D148="V",Input!L$68,IF(AND($B155=I$5,Input!L$63&gt;0),Input!L$63,H149))</f>
        <v>0.05</v>
      </c>
      <c r="J149" s="75">
        <f>IF($D148="V",Input!M$68,IF(AND($B155=J$5,Input!M$63&gt;0),Input!M$63,I149))</f>
        <v>0.05</v>
      </c>
      <c r="K149" s="75">
        <f>IF($D148="V",Input!N$68,IF(AND($B155=K$5,Input!N$63&gt;0),Input!N$63,J149))</f>
        <v>0.05</v>
      </c>
      <c r="L149" s="75">
        <f>IF($D148="V",Input!O$68,IF(AND($B155=L$5,Input!O$63&gt;0),Input!O$63,K149))</f>
        <v>0.05</v>
      </c>
      <c r="M149" s="75">
        <f>IF($D148="V",Input!P$68,IF(AND($B155=M$5,Input!P$63&gt;0),Input!P$63,L149))</f>
        <v>0.05</v>
      </c>
      <c r="N149" s="5"/>
    </row>
    <row r="150" spans="1:14" ht="13.4" customHeight="1">
      <c r="A150" s="5" t="s">
        <v>361</v>
      </c>
      <c r="B150" s="135">
        <v>0</v>
      </c>
      <c r="C150" s="27" t="s">
        <v>173</v>
      </c>
      <c r="D150" s="140">
        <v>0</v>
      </c>
      <c r="E150" s="28">
        <f t="shared" ref="E150:M150" si="87">D155</f>
        <v>0</v>
      </c>
      <c r="F150" s="28">
        <f t="shared" si="87"/>
        <v>0</v>
      </c>
      <c r="G150" s="28">
        <f t="shared" si="87"/>
        <v>0</v>
      </c>
      <c r="H150" s="28">
        <f t="shared" si="87"/>
        <v>0</v>
      </c>
      <c r="I150" s="28">
        <f t="shared" si="87"/>
        <v>0</v>
      </c>
      <c r="J150" s="28">
        <f t="shared" si="87"/>
        <v>0</v>
      </c>
      <c r="K150" s="28">
        <f t="shared" si="87"/>
        <v>0</v>
      </c>
      <c r="L150" s="28">
        <f t="shared" si="87"/>
        <v>0</v>
      </c>
      <c r="M150" s="28">
        <f t="shared" si="87"/>
        <v>0</v>
      </c>
      <c r="N150" s="28"/>
    </row>
    <row r="151" spans="1:14" ht="13.4" customHeight="1">
      <c r="A151" s="26" t="s">
        <v>170</v>
      </c>
      <c r="B151" s="131">
        <v>35</v>
      </c>
      <c r="C151" s="29" t="s">
        <v>169</v>
      </c>
      <c r="D151" s="28">
        <f>D153-D152</f>
        <v>0</v>
      </c>
      <c r="E151" s="28">
        <f>E153-E152</f>
        <v>0</v>
      </c>
      <c r="F151" s="28">
        <f t="shared" ref="F151:M151" si="88">F153-F152</f>
        <v>0</v>
      </c>
      <c r="G151" s="28">
        <f t="shared" si="88"/>
        <v>0</v>
      </c>
      <c r="H151" s="28">
        <f t="shared" si="88"/>
        <v>0</v>
      </c>
      <c r="I151" s="28">
        <f t="shared" si="88"/>
        <v>0</v>
      </c>
      <c r="J151" s="28">
        <f t="shared" si="88"/>
        <v>0</v>
      </c>
      <c r="K151" s="28">
        <f t="shared" si="88"/>
        <v>0</v>
      </c>
      <c r="L151" s="28">
        <f t="shared" si="88"/>
        <v>0</v>
      </c>
      <c r="M151" s="28">
        <f t="shared" si="88"/>
        <v>0</v>
      </c>
      <c r="N151" s="28"/>
    </row>
    <row r="152" spans="1:14" ht="13.4" customHeight="1">
      <c r="A152" s="5" t="s">
        <v>172</v>
      </c>
      <c r="B152" s="134">
        <f>B141</f>
        <v>0.05</v>
      </c>
      <c r="C152" s="5" t="s">
        <v>174</v>
      </c>
      <c r="D152" s="28">
        <f>IF(AND($B154="Y",YEAR($B149)+$B151&gt;D$5),D157,IF((YEAR($B149)+$B151)&gt;D$5,FV(D149/$B153,$B153,D156),D150))</f>
        <v>0</v>
      </c>
      <c r="E152" s="28">
        <f>IF(AND($B154="Y",YEAR($B149)+$B151&gt;E$5),E157,IF((YEAR($B149)+$B151)&gt;E$5,FV(E149/$B153,$B153,E156),E150))</f>
        <v>0</v>
      </c>
      <c r="F152" s="28">
        <f t="shared" ref="F152:M152" si="89">IF(AND($B154="Y",YEAR($B149)+$B151&gt;F$5),F157,IF((YEAR($B149)+$B151)&gt;F$5,FV(F149/$B153,$B153,F156),F150))</f>
        <v>0</v>
      </c>
      <c r="G152" s="28">
        <f t="shared" si="89"/>
        <v>0</v>
      </c>
      <c r="H152" s="28">
        <f t="shared" si="89"/>
        <v>0</v>
      </c>
      <c r="I152" s="28">
        <f t="shared" si="89"/>
        <v>0</v>
      </c>
      <c r="J152" s="28">
        <f t="shared" si="89"/>
        <v>0</v>
      </c>
      <c r="K152" s="28">
        <f t="shared" si="89"/>
        <v>0</v>
      </c>
      <c r="L152" s="28">
        <f t="shared" si="89"/>
        <v>0</v>
      </c>
      <c r="M152" s="28">
        <f t="shared" si="89"/>
        <v>0</v>
      </c>
      <c r="N152" s="28"/>
    </row>
    <row r="153" spans="1:14" ht="13.4" customHeight="1">
      <c r="A153" s="5" t="s">
        <v>171</v>
      </c>
      <c r="B153" s="131">
        <v>12</v>
      </c>
      <c r="C153" s="78" t="s">
        <v>640</v>
      </c>
      <c r="D153" s="28">
        <f>IF(AND($B154="Y",YEAR($B149)+$B151&gt;D$5),D157+D149*(D150-D157*0.5),IF((YEAR($B149)+$B151)&gt;D$5,(D150*D149/$B153-D156)*$B153,(D150*(1+D149*MONTH($B149)/12))))</f>
        <v>0</v>
      </c>
      <c r="E153" s="28">
        <f>IF(AND($B154="Y",YEAR($B149)+$B151&gt;E$5),E157+E149*(E150-E157*0.5),IF((YEAR($B149)+$B151)&gt;E$5,(E150*E149/$B153-E156)*$B153,(E150*(1+E149*MONTH($B149)/12))))</f>
        <v>0</v>
      </c>
      <c r="F153" s="28">
        <f t="shared" ref="F153:M153" si="90">IF(AND($B154="Y",YEAR($B149)+$B151&gt;F$5),F157+F149*(F150-F157*0.5),IF((YEAR($B149)+$B151)&gt;F$5,(F150*F149/$B153-F156)*$B153,(F150*(1+F149*MONTH($B149)/12))))</f>
        <v>0</v>
      </c>
      <c r="G153" s="28">
        <f t="shared" si="90"/>
        <v>0</v>
      </c>
      <c r="H153" s="28">
        <f t="shared" si="90"/>
        <v>0</v>
      </c>
      <c r="I153" s="28">
        <f t="shared" si="90"/>
        <v>0</v>
      </c>
      <c r="J153" s="28">
        <f t="shared" si="90"/>
        <v>0</v>
      </c>
      <c r="K153" s="28">
        <f t="shared" si="90"/>
        <v>0</v>
      </c>
      <c r="L153" s="28">
        <f t="shared" si="90"/>
        <v>0</v>
      </c>
      <c r="M153" s="28">
        <f t="shared" si="90"/>
        <v>0</v>
      </c>
      <c r="N153" s="28"/>
    </row>
    <row r="154" spans="1:14" ht="13.4" customHeight="1">
      <c r="A154" s="5" t="s">
        <v>767</v>
      </c>
      <c r="B154" s="131" t="s">
        <v>719</v>
      </c>
      <c r="C154" s="132" t="s">
        <v>768</v>
      </c>
      <c r="D154" s="140">
        <v>0</v>
      </c>
      <c r="E154" s="140">
        <v>0</v>
      </c>
      <c r="F154" s="140">
        <v>0</v>
      </c>
      <c r="G154" s="140">
        <v>0</v>
      </c>
      <c r="H154" s="140">
        <v>0</v>
      </c>
      <c r="I154" s="140">
        <v>0</v>
      </c>
      <c r="J154" s="140">
        <v>0</v>
      </c>
      <c r="K154" s="140">
        <v>0</v>
      </c>
      <c r="L154" s="140">
        <v>0</v>
      </c>
      <c r="M154" s="140">
        <v>0</v>
      </c>
      <c r="N154" s="28"/>
    </row>
    <row r="155" spans="1:14" ht="13.4" customHeight="1">
      <c r="A155" s="5" t="s">
        <v>182</v>
      </c>
      <c r="B155" s="131"/>
      <c r="C155" s="30" t="s">
        <v>175</v>
      </c>
      <c r="D155" s="28">
        <f t="shared" ref="D155:M155" si="91">D150+D151-D153-D154</f>
        <v>0</v>
      </c>
      <c r="E155" s="28">
        <f t="shared" si="91"/>
        <v>0</v>
      </c>
      <c r="F155" s="28">
        <f t="shared" si="91"/>
        <v>0</v>
      </c>
      <c r="G155" s="28">
        <f t="shared" si="91"/>
        <v>0</v>
      </c>
      <c r="H155" s="28">
        <f t="shared" si="91"/>
        <v>0</v>
      </c>
      <c r="I155" s="28">
        <f t="shared" si="91"/>
        <v>0</v>
      </c>
      <c r="J155" s="28">
        <f t="shared" si="91"/>
        <v>0</v>
      </c>
      <c r="K155" s="28">
        <f t="shared" si="91"/>
        <v>0</v>
      </c>
      <c r="L155" s="28">
        <f t="shared" si="91"/>
        <v>0</v>
      </c>
      <c r="M155" s="28">
        <f t="shared" si="91"/>
        <v>0</v>
      </c>
      <c r="N155" s="28"/>
    </row>
    <row r="156" spans="1:14" ht="13" hidden="1" customHeight="1">
      <c r="A156" s="5"/>
      <c r="B156" s="138"/>
      <c r="C156" s="5" t="s">
        <v>769</v>
      </c>
      <c r="D156" s="28" t="e">
        <f>PPMT(D149/$B153,1,ROUND(($B151-(D$5-YEAR($B149))+MONTH($B149)/12)*$B153,0),D150)</f>
        <v>#NUM!</v>
      </c>
      <c r="E156" s="28" t="e">
        <f>PPMT(E149/$B153,1,ROUND(($B151-(E$5-YEAR($B149))+MONTH($B149)/12)*$B153,0),E150)</f>
        <v>#NUM!</v>
      </c>
      <c r="F156" s="28" t="e">
        <f t="shared" ref="F156:M156" si="92">PPMT(F149/$B153,1,ROUND(($B151-(F$5-YEAR($B149))+MONTH($B149)/12)*$B153,0),F150)</f>
        <v>#NUM!</v>
      </c>
      <c r="G156" s="28" t="e">
        <f t="shared" si="92"/>
        <v>#NUM!</v>
      </c>
      <c r="H156" s="28" t="e">
        <f t="shared" si="92"/>
        <v>#NUM!</v>
      </c>
      <c r="I156" s="28" t="e">
        <f t="shared" si="92"/>
        <v>#NUM!</v>
      </c>
      <c r="J156" s="28" t="e">
        <f t="shared" si="92"/>
        <v>#NUM!</v>
      </c>
      <c r="K156" s="28" t="e">
        <f t="shared" si="92"/>
        <v>#NUM!</v>
      </c>
      <c r="L156" s="28" t="e">
        <f t="shared" si="92"/>
        <v>#NUM!</v>
      </c>
      <c r="M156" s="28" t="e">
        <f t="shared" si="92"/>
        <v>#NUM!</v>
      </c>
      <c r="N156" s="139"/>
    </row>
    <row r="157" spans="1:14" ht="13" hidden="1" customHeight="1">
      <c r="A157" s="5"/>
      <c r="B157" s="5"/>
      <c r="C157" s="5" t="s">
        <v>770</v>
      </c>
      <c r="D157" s="28">
        <f t="shared" ref="D157:M157" si="93">IF(YEAR($B149)+$B151&gt;D$5,D150/(YEAR($B149)+$B151-D$5+MONTH($B149)/12),D150)</f>
        <v>0</v>
      </c>
      <c r="E157" s="28">
        <f t="shared" si="93"/>
        <v>0</v>
      </c>
      <c r="F157" s="28">
        <f t="shared" si="93"/>
        <v>0</v>
      </c>
      <c r="G157" s="28">
        <f t="shared" si="93"/>
        <v>0</v>
      </c>
      <c r="H157" s="28">
        <f t="shared" si="93"/>
        <v>0</v>
      </c>
      <c r="I157" s="28">
        <f t="shared" si="93"/>
        <v>0</v>
      </c>
      <c r="J157" s="28">
        <f t="shared" si="93"/>
        <v>0</v>
      </c>
      <c r="K157" s="28">
        <f t="shared" si="93"/>
        <v>0</v>
      </c>
      <c r="L157" s="28">
        <f t="shared" si="93"/>
        <v>0</v>
      </c>
      <c r="M157" s="28">
        <f t="shared" si="93"/>
        <v>0</v>
      </c>
      <c r="N157" s="139"/>
    </row>
    <row r="158" spans="1:14" ht="13.4" customHeight="1">
      <c r="A158" s="5"/>
      <c r="B158" s="5"/>
      <c r="C158" s="5"/>
      <c r="D158" s="28"/>
      <c r="E158" s="28"/>
      <c r="F158" s="28"/>
      <c r="G158" s="28"/>
      <c r="H158" s="28"/>
      <c r="I158" s="28"/>
      <c r="J158" s="28"/>
      <c r="K158" s="28"/>
      <c r="L158" s="28"/>
      <c r="M158" s="28"/>
      <c r="N158" s="139"/>
    </row>
    <row r="159" spans="1:14" ht="13.4" customHeight="1">
      <c r="A159" s="5"/>
      <c r="B159" s="5"/>
      <c r="C159" s="5"/>
      <c r="D159" s="28"/>
      <c r="E159" s="28"/>
      <c r="F159" s="28"/>
      <c r="G159" s="28"/>
      <c r="H159" s="28"/>
      <c r="I159" s="28"/>
      <c r="J159" s="28"/>
      <c r="K159" s="28"/>
      <c r="L159" s="28"/>
      <c r="M159" s="28"/>
      <c r="N159" s="139"/>
    </row>
    <row r="160" spans="1:14" ht="13.4" customHeight="1">
      <c r="A160" s="5" t="s">
        <v>783</v>
      </c>
      <c r="B160" s="5"/>
      <c r="C160" s="5"/>
      <c r="D160" s="155">
        <f>+D5</f>
        <v>2024</v>
      </c>
      <c r="E160" s="155">
        <f t="shared" ref="E160:M160" si="94">+E5</f>
        <v>2025</v>
      </c>
      <c r="F160" s="155">
        <f t="shared" si="94"/>
        <v>2026</v>
      </c>
      <c r="G160" s="155">
        <f t="shared" si="94"/>
        <v>2027</v>
      </c>
      <c r="H160" s="155">
        <f t="shared" si="94"/>
        <v>2028</v>
      </c>
      <c r="I160" s="155">
        <f t="shared" si="94"/>
        <v>2029</v>
      </c>
      <c r="J160" s="155">
        <f t="shared" si="94"/>
        <v>2030</v>
      </c>
      <c r="K160" s="155">
        <f t="shared" si="94"/>
        <v>2031</v>
      </c>
      <c r="L160" s="155">
        <f t="shared" si="94"/>
        <v>2032</v>
      </c>
      <c r="M160" s="155">
        <f t="shared" si="94"/>
        <v>2033</v>
      </c>
      <c r="N160" s="139"/>
    </row>
    <row r="161" spans="1:14" ht="13.4" customHeight="1">
      <c r="A161" s="5"/>
      <c r="B161" s="5"/>
      <c r="C161" s="5"/>
      <c r="D161" s="158" t="str">
        <f>+D6</f>
        <v xml:space="preserve">  -----------</v>
      </c>
      <c r="E161" s="158" t="str">
        <f t="shared" ref="E161:M161" si="95">+E6</f>
        <v xml:space="preserve">  -----------</v>
      </c>
      <c r="F161" s="158" t="str">
        <f t="shared" si="95"/>
        <v xml:space="preserve">  -----------</v>
      </c>
      <c r="G161" s="158" t="str">
        <f t="shared" si="95"/>
        <v xml:space="preserve">  -----------</v>
      </c>
      <c r="H161" s="158" t="str">
        <f t="shared" si="95"/>
        <v xml:space="preserve">  -----------</v>
      </c>
      <c r="I161" s="158" t="str">
        <f t="shared" si="95"/>
        <v xml:space="preserve">  -----------</v>
      </c>
      <c r="J161" s="158" t="str">
        <f t="shared" si="95"/>
        <v xml:space="preserve">  -----------</v>
      </c>
      <c r="K161" s="158" t="str">
        <f t="shared" si="95"/>
        <v xml:space="preserve">  -----------</v>
      </c>
      <c r="L161" s="158" t="str">
        <f t="shared" si="95"/>
        <v xml:space="preserve">  -----------</v>
      </c>
      <c r="M161" s="158" t="str">
        <f t="shared" si="95"/>
        <v xml:space="preserve">  -----------</v>
      </c>
      <c r="N161" s="28"/>
    </row>
    <row r="162" spans="1:14" ht="13.4" customHeight="1">
      <c r="A162" s="30" t="s">
        <v>654</v>
      </c>
      <c r="B162" s="99"/>
      <c r="C162" t="s">
        <v>800</v>
      </c>
      <c r="D162" s="161" t="s">
        <v>801</v>
      </c>
      <c r="E162" s="1"/>
      <c r="N162" s="28"/>
    </row>
    <row r="163" spans="1:14" ht="13.4" customHeight="1">
      <c r="A163" s="26" t="s">
        <v>677</v>
      </c>
      <c r="B163" s="133">
        <v>29373</v>
      </c>
      <c r="C163" s="5" t="s">
        <v>639</v>
      </c>
      <c r="D163" s="75">
        <f>IF($D162="V",Input!G$68,IF(AND($B169=D$5,Input!G$63&gt;0),Input!G$63,$B166))</f>
        <v>0.05</v>
      </c>
      <c r="E163" s="75">
        <f>IF($D162="V",Input!H$68,IF(AND($B169=E$5,Input!H$63&gt;0),Input!H$63,D163))</f>
        <v>0.05</v>
      </c>
      <c r="F163" s="75">
        <f>IF($D162="V",Input!I$68,IF(AND($B169=F$5,Input!I$63&gt;0),Input!I$63,E163))</f>
        <v>0.05</v>
      </c>
      <c r="G163" s="75">
        <f>IF($D162="V",Input!J$68,IF(AND($B169=G$5,Input!J$63&gt;0),Input!J$63,F163))</f>
        <v>0.05</v>
      </c>
      <c r="H163" s="75">
        <f>IF($D162="V",Input!K$68,IF(AND($B169=H$5,Input!K$63&gt;0),Input!K$63,G163))</f>
        <v>0.05</v>
      </c>
      <c r="I163" s="75">
        <f>IF($D162="V",Input!L$68,IF(AND($B169=I$5,Input!L$63&gt;0),Input!L$63,H163))</f>
        <v>0.05</v>
      </c>
      <c r="J163" s="75">
        <f>IF($D162="V",Input!M$68,IF(AND($B169=J$5,Input!M$63&gt;0),Input!M$63,I163))</f>
        <v>0.05</v>
      </c>
      <c r="K163" s="75">
        <f>IF($D162="V",Input!N$68,IF(AND($B169=K$5,Input!N$63&gt;0),Input!N$63,J163))</f>
        <v>0.05</v>
      </c>
      <c r="L163" s="75">
        <f>IF($D162="V",Input!O$68,IF(AND($B169=L$5,Input!O$63&gt;0),Input!O$63,K163))</f>
        <v>0.05</v>
      </c>
      <c r="M163" s="75">
        <f>IF($D162="V",Input!P$68,IF(AND($B169=M$5,Input!P$63&gt;0),Input!P$63,L163))</f>
        <v>0.05</v>
      </c>
      <c r="N163" s="5"/>
    </row>
    <row r="164" spans="1:14" ht="13.4" customHeight="1">
      <c r="A164" s="5" t="s">
        <v>361</v>
      </c>
      <c r="B164" s="135">
        <v>0</v>
      </c>
      <c r="C164" s="27" t="s">
        <v>173</v>
      </c>
      <c r="D164" s="140">
        <v>0</v>
      </c>
      <c r="E164" s="28">
        <f t="shared" ref="E164:M164" si="96">D169</f>
        <v>0</v>
      </c>
      <c r="F164" s="28">
        <f t="shared" si="96"/>
        <v>0</v>
      </c>
      <c r="G164" s="28">
        <f t="shared" si="96"/>
        <v>0</v>
      </c>
      <c r="H164" s="28">
        <f t="shared" si="96"/>
        <v>0</v>
      </c>
      <c r="I164" s="28">
        <f t="shared" si="96"/>
        <v>0</v>
      </c>
      <c r="J164" s="28">
        <f t="shared" si="96"/>
        <v>0</v>
      </c>
      <c r="K164" s="28">
        <f t="shared" si="96"/>
        <v>0</v>
      </c>
      <c r="L164" s="28">
        <f t="shared" si="96"/>
        <v>0</v>
      </c>
      <c r="M164" s="28">
        <f t="shared" si="96"/>
        <v>0</v>
      </c>
      <c r="N164" s="28"/>
    </row>
    <row r="165" spans="1:14" ht="13.4" customHeight="1">
      <c r="A165" s="26" t="s">
        <v>170</v>
      </c>
      <c r="B165" s="131">
        <v>35</v>
      </c>
      <c r="C165" s="29" t="s">
        <v>169</v>
      </c>
      <c r="D165" s="28">
        <f>D167-D166</f>
        <v>0</v>
      </c>
      <c r="E165" s="28">
        <f>E167-E166</f>
        <v>0</v>
      </c>
      <c r="F165" s="28">
        <f t="shared" ref="F165:M165" si="97">F167-F166</f>
        <v>0</v>
      </c>
      <c r="G165" s="28">
        <f t="shared" si="97"/>
        <v>0</v>
      </c>
      <c r="H165" s="28">
        <f t="shared" si="97"/>
        <v>0</v>
      </c>
      <c r="I165" s="28">
        <f t="shared" si="97"/>
        <v>0</v>
      </c>
      <c r="J165" s="28">
        <f t="shared" si="97"/>
        <v>0</v>
      </c>
      <c r="K165" s="28">
        <f t="shared" si="97"/>
        <v>0</v>
      </c>
      <c r="L165" s="28">
        <f t="shared" si="97"/>
        <v>0</v>
      </c>
      <c r="M165" s="28">
        <f t="shared" si="97"/>
        <v>0</v>
      </c>
      <c r="N165" s="28"/>
    </row>
    <row r="166" spans="1:14" ht="13.4" customHeight="1">
      <c r="A166" s="5" t="s">
        <v>172</v>
      </c>
      <c r="B166" s="134">
        <f>B152</f>
        <v>0.05</v>
      </c>
      <c r="C166" s="5" t="s">
        <v>174</v>
      </c>
      <c r="D166" s="28">
        <f>IF(AND($B168="Y",YEAR($B163)+$B165&gt;D$5),D171,IF((YEAR($B163)+$B165)&gt;D$5,FV(D163/$B167,$B167,D170),D164))</f>
        <v>0</v>
      </c>
      <c r="E166" s="28">
        <f>IF(AND($B168="Y",YEAR($B163)+$B165&gt;E$5),E171,IF((YEAR($B163)+$B165)&gt;E$5,FV(E163/$B167,$B167,E170),E164))</f>
        <v>0</v>
      </c>
      <c r="F166" s="28">
        <f t="shared" ref="F166:M166" si="98">IF(AND($B168="Y",YEAR($B163)+$B165&gt;F$5),F171,IF((YEAR($B163)+$B165)&gt;F$5,FV(F163/$B167,$B167,F170),F164))</f>
        <v>0</v>
      </c>
      <c r="G166" s="28">
        <f t="shared" si="98"/>
        <v>0</v>
      </c>
      <c r="H166" s="28">
        <f t="shared" si="98"/>
        <v>0</v>
      </c>
      <c r="I166" s="28">
        <f t="shared" si="98"/>
        <v>0</v>
      </c>
      <c r="J166" s="28">
        <f t="shared" si="98"/>
        <v>0</v>
      </c>
      <c r="K166" s="28">
        <f t="shared" si="98"/>
        <v>0</v>
      </c>
      <c r="L166" s="28">
        <f t="shared" si="98"/>
        <v>0</v>
      </c>
      <c r="M166" s="28">
        <f t="shared" si="98"/>
        <v>0</v>
      </c>
      <c r="N166" s="28"/>
    </row>
    <row r="167" spans="1:14" ht="13.4" customHeight="1">
      <c r="A167" s="5" t="s">
        <v>171</v>
      </c>
      <c r="B167" s="131">
        <v>12</v>
      </c>
      <c r="C167" s="78" t="s">
        <v>640</v>
      </c>
      <c r="D167" s="28">
        <f>IF(AND($B168="Y",YEAR($B163)+$B165&gt;D$5),D171+D163*(D164-D171*0.5),IF((YEAR($B163)+$B165)&gt;D$5,(D164*D163/$B167-D170)*$B167,(D164*(1+D163*MONTH($B163)/12))))</f>
        <v>0</v>
      </c>
      <c r="E167" s="28">
        <f>IF(AND($B168="Y",YEAR($B163)+$B165&gt;E$5),E171+E163*(E164-E171*0.5),IF((YEAR($B163)+$B165)&gt;E$5,(E164*E163/$B167-E170)*$B167,(E164*(1+E163*MONTH($B163)/12))))</f>
        <v>0</v>
      </c>
      <c r="F167" s="28">
        <f t="shared" ref="F167:M167" si="99">IF(AND($B168="Y",YEAR($B163)+$B165&gt;F$5),F171+F163*(F164-F171*0.5),IF((YEAR($B163)+$B165)&gt;F$5,(F164*F163/$B167-F170)*$B167,(F164*(1+F163*MONTH($B163)/12))))</f>
        <v>0</v>
      </c>
      <c r="G167" s="28">
        <f t="shared" si="99"/>
        <v>0</v>
      </c>
      <c r="H167" s="28">
        <f t="shared" si="99"/>
        <v>0</v>
      </c>
      <c r="I167" s="28">
        <f t="shared" si="99"/>
        <v>0</v>
      </c>
      <c r="J167" s="28">
        <f t="shared" si="99"/>
        <v>0</v>
      </c>
      <c r="K167" s="28">
        <f t="shared" si="99"/>
        <v>0</v>
      </c>
      <c r="L167" s="28">
        <f t="shared" si="99"/>
        <v>0</v>
      </c>
      <c r="M167" s="28">
        <f t="shared" si="99"/>
        <v>0</v>
      </c>
      <c r="N167" s="28"/>
    </row>
    <row r="168" spans="1:14" ht="13.4" customHeight="1">
      <c r="A168" s="5" t="s">
        <v>767</v>
      </c>
      <c r="B168" s="131" t="s">
        <v>719</v>
      </c>
      <c r="C168" s="132" t="s">
        <v>768</v>
      </c>
      <c r="D168" s="140">
        <v>0</v>
      </c>
      <c r="E168" s="140">
        <v>0</v>
      </c>
      <c r="F168" s="140">
        <v>0</v>
      </c>
      <c r="G168" s="140">
        <v>0</v>
      </c>
      <c r="H168" s="140">
        <v>0</v>
      </c>
      <c r="I168" s="140">
        <v>0</v>
      </c>
      <c r="J168" s="140">
        <v>0</v>
      </c>
      <c r="K168" s="140">
        <v>0</v>
      </c>
      <c r="L168" s="140">
        <v>0</v>
      </c>
      <c r="M168" s="140">
        <v>0</v>
      </c>
      <c r="N168" s="28"/>
    </row>
    <row r="169" spans="1:14" ht="13.4" customHeight="1">
      <c r="A169" s="5" t="s">
        <v>182</v>
      </c>
      <c r="B169" s="131"/>
      <c r="C169" s="30" t="s">
        <v>175</v>
      </c>
      <c r="D169" s="28">
        <f t="shared" ref="D169:M169" si="100">D164+D165-D167-D168</f>
        <v>0</v>
      </c>
      <c r="E169" s="28">
        <f t="shared" si="100"/>
        <v>0</v>
      </c>
      <c r="F169" s="28">
        <f t="shared" si="100"/>
        <v>0</v>
      </c>
      <c r="G169" s="28">
        <f t="shared" si="100"/>
        <v>0</v>
      </c>
      <c r="H169" s="28">
        <f t="shared" si="100"/>
        <v>0</v>
      </c>
      <c r="I169" s="28">
        <f t="shared" si="100"/>
        <v>0</v>
      </c>
      <c r="J169" s="28">
        <f t="shared" si="100"/>
        <v>0</v>
      </c>
      <c r="K169" s="28">
        <f t="shared" si="100"/>
        <v>0</v>
      </c>
      <c r="L169" s="28">
        <f t="shared" si="100"/>
        <v>0</v>
      </c>
      <c r="M169" s="28">
        <f t="shared" si="100"/>
        <v>0</v>
      </c>
      <c r="N169" s="28"/>
    </row>
    <row r="170" spans="1:14" ht="13" hidden="1" customHeight="1">
      <c r="A170" s="5"/>
      <c r="B170" s="138"/>
      <c r="C170" s="5" t="s">
        <v>769</v>
      </c>
      <c r="D170" s="28" t="e">
        <f>PPMT(D163/$B167,1,ROUND(($B165-(D$5-YEAR($B163))+MONTH($B163)/12)*$B167,0),D164)</f>
        <v>#NUM!</v>
      </c>
      <c r="E170" s="28" t="e">
        <f>PPMT(E163/$B167,1,ROUND(($B165-(E$5-YEAR($B163))+MONTH($B163)/12)*$B167,0),E164)</f>
        <v>#NUM!</v>
      </c>
      <c r="F170" s="28" t="e">
        <f t="shared" ref="F170:M170" si="101">PPMT(F163/$B167,1,ROUND(($B165-(F$5-YEAR($B163))+MONTH($B163)/12)*$B167,0),F164)</f>
        <v>#NUM!</v>
      </c>
      <c r="G170" s="28" t="e">
        <f t="shared" si="101"/>
        <v>#NUM!</v>
      </c>
      <c r="H170" s="28" t="e">
        <f t="shared" si="101"/>
        <v>#NUM!</v>
      </c>
      <c r="I170" s="28" t="e">
        <f t="shared" si="101"/>
        <v>#NUM!</v>
      </c>
      <c r="J170" s="28" t="e">
        <f t="shared" si="101"/>
        <v>#NUM!</v>
      </c>
      <c r="K170" s="28" t="e">
        <f t="shared" si="101"/>
        <v>#NUM!</v>
      </c>
      <c r="L170" s="28" t="e">
        <f t="shared" si="101"/>
        <v>#NUM!</v>
      </c>
      <c r="M170" s="28" t="e">
        <f t="shared" si="101"/>
        <v>#NUM!</v>
      </c>
      <c r="N170" s="139"/>
    </row>
    <row r="171" spans="1:14" ht="13" hidden="1" customHeight="1">
      <c r="A171" s="5"/>
      <c r="B171" s="5"/>
      <c r="C171" s="5" t="s">
        <v>770</v>
      </c>
      <c r="D171" s="28">
        <f t="shared" ref="D171:M171" si="102">IF(YEAR($B163)+$B165&gt;D$5,D164/(YEAR($B163)+$B165-D$5+MONTH($B163)/12),D164)</f>
        <v>0</v>
      </c>
      <c r="E171" s="28">
        <f t="shared" si="102"/>
        <v>0</v>
      </c>
      <c r="F171" s="28">
        <f t="shared" si="102"/>
        <v>0</v>
      </c>
      <c r="G171" s="28">
        <f t="shared" si="102"/>
        <v>0</v>
      </c>
      <c r="H171" s="28">
        <f t="shared" si="102"/>
        <v>0</v>
      </c>
      <c r="I171" s="28">
        <f t="shared" si="102"/>
        <v>0</v>
      </c>
      <c r="J171" s="28">
        <f t="shared" si="102"/>
        <v>0</v>
      </c>
      <c r="K171" s="28">
        <f t="shared" si="102"/>
        <v>0</v>
      </c>
      <c r="L171" s="28">
        <f t="shared" si="102"/>
        <v>0</v>
      </c>
      <c r="M171" s="28">
        <f t="shared" si="102"/>
        <v>0</v>
      </c>
      <c r="N171" s="139"/>
    </row>
    <row r="172" spans="1:14" ht="13.4" customHeight="1">
      <c r="A172" s="5"/>
      <c r="B172" s="5"/>
      <c r="C172" s="5"/>
      <c r="D172" s="28"/>
      <c r="E172" s="28"/>
      <c r="F172" s="28"/>
      <c r="G172" s="28"/>
      <c r="H172" s="28"/>
      <c r="I172" s="28"/>
      <c r="J172" s="28"/>
      <c r="K172" s="28"/>
      <c r="L172" s="28"/>
      <c r="M172" s="28"/>
      <c r="N172" s="28"/>
    </row>
    <row r="173" spans="1:14" ht="13.4" customHeight="1">
      <c r="A173" s="30" t="s">
        <v>655</v>
      </c>
      <c r="B173" s="99"/>
      <c r="C173" t="s">
        <v>800</v>
      </c>
      <c r="D173" s="161" t="s">
        <v>801</v>
      </c>
      <c r="E173" s="1"/>
      <c r="N173" s="28"/>
    </row>
    <row r="174" spans="1:14" ht="13.4" customHeight="1">
      <c r="A174" s="26" t="s">
        <v>677</v>
      </c>
      <c r="B174" s="133">
        <v>29373</v>
      </c>
      <c r="C174" s="5" t="s">
        <v>639</v>
      </c>
      <c r="D174" s="75">
        <f>IF($D173="V",Input!G$68,IF(AND($B180=D$5,Input!G$63&gt;0),Input!G$63,$B177))</f>
        <v>0.05</v>
      </c>
      <c r="E174" s="75">
        <f>IF($D173="V",Input!H$68,IF(AND($B180=E$5,Input!H$63&gt;0),Input!H$63,D174))</f>
        <v>0.05</v>
      </c>
      <c r="F174" s="75">
        <f>IF($D173="V",Input!I$68,IF(AND($B180=F$5,Input!I$63&gt;0),Input!I$63,E174))</f>
        <v>0.05</v>
      </c>
      <c r="G174" s="75">
        <f>IF($D173="V",Input!J$68,IF(AND($B180=G$5,Input!J$63&gt;0),Input!J$63,F174))</f>
        <v>0.05</v>
      </c>
      <c r="H174" s="75">
        <f>IF($D173="V",Input!K$68,IF(AND($B180=H$5,Input!K$63&gt;0),Input!K$63,G174))</f>
        <v>0.05</v>
      </c>
      <c r="I174" s="75">
        <f>IF($D173="V",Input!L$68,IF(AND($B180=I$5,Input!L$63&gt;0),Input!L$63,H174))</f>
        <v>0.05</v>
      </c>
      <c r="J174" s="75">
        <f>IF($D173="V",Input!M$68,IF(AND($B180=J$5,Input!M$63&gt;0),Input!M$63,I174))</f>
        <v>0.05</v>
      </c>
      <c r="K174" s="75">
        <f>IF($D173="V",Input!N$68,IF(AND($B180=K$5,Input!N$63&gt;0),Input!N$63,J174))</f>
        <v>0.05</v>
      </c>
      <c r="L174" s="75">
        <f>IF($D173="V",Input!O$68,IF(AND($B180=L$5,Input!O$63&gt;0),Input!O$63,K174))</f>
        <v>0.05</v>
      </c>
      <c r="M174" s="75">
        <f>IF($D173="V",Input!P$68,IF(AND($B180=M$5,Input!P$63&gt;0),Input!P$63,L174))</f>
        <v>0.05</v>
      </c>
      <c r="N174" s="5"/>
    </row>
    <row r="175" spans="1:14" ht="13.4" customHeight="1">
      <c r="A175" s="5" t="s">
        <v>361</v>
      </c>
      <c r="B175" s="135">
        <v>0</v>
      </c>
      <c r="C175" s="27" t="s">
        <v>173</v>
      </c>
      <c r="D175" s="140">
        <v>0</v>
      </c>
      <c r="E175" s="28">
        <f t="shared" ref="E175:M175" si="103">D180</f>
        <v>0</v>
      </c>
      <c r="F175" s="28">
        <f t="shared" si="103"/>
        <v>0</v>
      </c>
      <c r="G175" s="28">
        <f t="shared" si="103"/>
        <v>0</v>
      </c>
      <c r="H175" s="28">
        <f t="shared" si="103"/>
        <v>0</v>
      </c>
      <c r="I175" s="28">
        <f t="shared" si="103"/>
        <v>0</v>
      </c>
      <c r="J175" s="28">
        <f t="shared" si="103"/>
        <v>0</v>
      </c>
      <c r="K175" s="28">
        <f t="shared" si="103"/>
        <v>0</v>
      </c>
      <c r="L175" s="28">
        <f t="shared" si="103"/>
        <v>0</v>
      </c>
      <c r="M175" s="28">
        <f t="shared" si="103"/>
        <v>0</v>
      </c>
      <c r="N175" s="28"/>
    </row>
    <row r="176" spans="1:14" ht="13.4" customHeight="1">
      <c r="A176" s="26" t="s">
        <v>170</v>
      </c>
      <c r="B176" s="131">
        <v>35</v>
      </c>
      <c r="C176" s="29" t="s">
        <v>169</v>
      </c>
      <c r="D176" s="28">
        <f>D178-D177</f>
        <v>0</v>
      </c>
      <c r="E176" s="28">
        <f>E178-E177</f>
        <v>0</v>
      </c>
      <c r="F176" s="28">
        <f t="shared" ref="F176:M176" si="104">F178-F177</f>
        <v>0</v>
      </c>
      <c r="G176" s="28">
        <f t="shared" si="104"/>
        <v>0</v>
      </c>
      <c r="H176" s="28">
        <f t="shared" si="104"/>
        <v>0</v>
      </c>
      <c r="I176" s="28">
        <f t="shared" si="104"/>
        <v>0</v>
      </c>
      <c r="J176" s="28">
        <f t="shared" si="104"/>
        <v>0</v>
      </c>
      <c r="K176" s="28">
        <f t="shared" si="104"/>
        <v>0</v>
      </c>
      <c r="L176" s="28">
        <f t="shared" si="104"/>
        <v>0</v>
      </c>
      <c r="M176" s="28">
        <f t="shared" si="104"/>
        <v>0</v>
      </c>
      <c r="N176" s="28"/>
    </row>
    <row r="177" spans="1:14" ht="13.4" customHeight="1">
      <c r="A177" s="5" t="s">
        <v>172</v>
      </c>
      <c r="B177" s="134">
        <f>B166</f>
        <v>0.05</v>
      </c>
      <c r="C177" s="5" t="s">
        <v>174</v>
      </c>
      <c r="D177" s="28">
        <f>IF(AND($B179="Y",YEAR($B174)+$B176&gt;D$5),D182,IF((YEAR($B174)+$B176)&gt;D$5,FV(D174/$B178,$B178,D181),D175))</f>
        <v>0</v>
      </c>
      <c r="E177" s="28">
        <f>IF(AND($B179="Y",YEAR($B174)+$B176&gt;E$5),E182,IF((YEAR($B174)+$B176)&gt;E$5,FV(E174/$B178,$B178,E181),E175))</f>
        <v>0</v>
      </c>
      <c r="F177" s="28">
        <f t="shared" ref="F177:M177" si="105">IF(AND($B179="Y",YEAR($B174)+$B176&gt;F$5),F182,IF((YEAR($B174)+$B176)&gt;F$5,FV(F174/$B178,$B178,F181),F175))</f>
        <v>0</v>
      </c>
      <c r="G177" s="28">
        <f t="shared" si="105"/>
        <v>0</v>
      </c>
      <c r="H177" s="28">
        <f t="shared" si="105"/>
        <v>0</v>
      </c>
      <c r="I177" s="28">
        <f t="shared" si="105"/>
        <v>0</v>
      </c>
      <c r="J177" s="28">
        <f t="shared" si="105"/>
        <v>0</v>
      </c>
      <c r="K177" s="28">
        <f t="shared" si="105"/>
        <v>0</v>
      </c>
      <c r="L177" s="28">
        <f t="shared" si="105"/>
        <v>0</v>
      </c>
      <c r="M177" s="28">
        <f t="shared" si="105"/>
        <v>0</v>
      </c>
      <c r="N177" s="28"/>
    </row>
    <row r="178" spans="1:14" ht="13.4" customHeight="1">
      <c r="A178" s="5" t="s">
        <v>171</v>
      </c>
      <c r="B178" s="131">
        <v>12</v>
      </c>
      <c r="C178" s="78" t="s">
        <v>640</v>
      </c>
      <c r="D178" s="28">
        <f>IF(AND($B179="Y",YEAR($B174)+$B176&gt;D$5),D182+D174*(D175-D182*0.5),IF((YEAR($B174)+$B176)&gt;D$5,(D175*D174/$B178-D181)*$B178,(D175*(1+D174*MONTH($B174)/12))))</f>
        <v>0</v>
      </c>
      <c r="E178" s="28">
        <f>IF(AND($B179="Y",YEAR($B174)+$B176&gt;E$5),E182+E174*(E175-E182*0.5),IF((YEAR($B174)+$B176)&gt;E$5,(E175*E174/$B178-E181)*$B178,(E175*(1+E174*MONTH($B174)/12))))</f>
        <v>0</v>
      </c>
      <c r="F178" s="28">
        <f t="shared" ref="F178:M178" si="106">IF(AND($B179="Y",YEAR($B174)+$B176&gt;F$5),F182+F174*(F175-F182*0.5),IF((YEAR($B174)+$B176)&gt;F$5,(F175*F174/$B178-F181)*$B178,(F175*(1+F174*MONTH($B174)/12))))</f>
        <v>0</v>
      </c>
      <c r="G178" s="28">
        <f t="shared" si="106"/>
        <v>0</v>
      </c>
      <c r="H178" s="28">
        <f t="shared" si="106"/>
        <v>0</v>
      </c>
      <c r="I178" s="28">
        <f t="shared" si="106"/>
        <v>0</v>
      </c>
      <c r="J178" s="28">
        <f t="shared" si="106"/>
        <v>0</v>
      </c>
      <c r="K178" s="28">
        <f t="shared" si="106"/>
        <v>0</v>
      </c>
      <c r="L178" s="28">
        <f t="shared" si="106"/>
        <v>0</v>
      </c>
      <c r="M178" s="28">
        <f t="shared" si="106"/>
        <v>0</v>
      </c>
      <c r="N178" s="28"/>
    </row>
    <row r="179" spans="1:14" ht="13.4" customHeight="1">
      <c r="A179" s="5" t="s">
        <v>767</v>
      </c>
      <c r="B179" s="131" t="s">
        <v>719</v>
      </c>
      <c r="C179" s="132" t="s">
        <v>768</v>
      </c>
      <c r="D179" s="140">
        <v>0</v>
      </c>
      <c r="E179" s="140">
        <v>0</v>
      </c>
      <c r="F179" s="140">
        <v>0</v>
      </c>
      <c r="G179" s="140">
        <v>0</v>
      </c>
      <c r="H179" s="140">
        <v>0</v>
      </c>
      <c r="I179" s="140">
        <v>0</v>
      </c>
      <c r="J179" s="140">
        <v>0</v>
      </c>
      <c r="K179" s="140">
        <v>0</v>
      </c>
      <c r="L179" s="140">
        <v>0</v>
      </c>
      <c r="M179" s="140">
        <v>0</v>
      </c>
      <c r="N179" s="28"/>
    </row>
    <row r="180" spans="1:14" ht="13.4" customHeight="1">
      <c r="A180" s="5" t="s">
        <v>182</v>
      </c>
      <c r="B180" s="131"/>
      <c r="C180" s="30" t="s">
        <v>175</v>
      </c>
      <c r="D180" s="28">
        <f t="shared" ref="D180:M180" si="107">D175+D176-D178-D179</f>
        <v>0</v>
      </c>
      <c r="E180" s="28">
        <f t="shared" si="107"/>
        <v>0</v>
      </c>
      <c r="F180" s="28">
        <f t="shared" si="107"/>
        <v>0</v>
      </c>
      <c r="G180" s="28">
        <f t="shared" si="107"/>
        <v>0</v>
      </c>
      <c r="H180" s="28">
        <f t="shared" si="107"/>
        <v>0</v>
      </c>
      <c r="I180" s="28">
        <f t="shared" si="107"/>
        <v>0</v>
      </c>
      <c r="J180" s="28">
        <f t="shared" si="107"/>
        <v>0</v>
      </c>
      <c r="K180" s="28">
        <f t="shared" si="107"/>
        <v>0</v>
      </c>
      <c r="L180" s="28">
        <f t="shared" si="107"/>
        <v>0</v>
      </c>
      <c r="M180" s="28">
        <f t="shared" si="107"/>
        <v>0</v>
      </c>
      <c r="N180" s="28"/>
    </row>
    <row r="181" spans="1:14" ht="13" hidden="1" customHeight="1">
      <c r="A181" s="5"/>
      <c r="B181" s="138"/>
      <c r="C181" s="5" t="s">
        <v>769</v>
      </c>
      <c r="D181" s="28" t="e">
        <f>PPMT(D174/$B178,1,ROUND(($B176-(D$5-YEAR($B174))+MONTH($B174)/12)*$B178,0),D175)</f>
        <v>#NUM!</v>
      </c>
      <c r="E181" s="28" t="e">
        <f>PPMT(E174/$B178,1,ROUND(($B176-(E$5-YEAR($B174))+MONTH($B174)/12)*$B178,0),E175)</f>
        <v>#NUM!</v>
      </c>
      <c r="F181" s="28" t="e">
        <f t="shared" ref="F181:M181" si="108">PPMT(F174/$B178,1,ROUND(($B176-(F$5-YEAR($B174))+MONTH($B174)/12)*$B178,0),F175)</f>
        <v>#NUM!</v>
      </c>
      <c r="G181" s="28" t="e">
        <f t="shared" si="108"/>
        <v>#NUM!</v>
      </c>
      <c r="H181" s="28" t="e">
        <f t="shared" si="108"/>
        <v>#NUM!</v>
      </c>
      <c r="I181" s="28" t="e">
        <f t="shared" si="108"/>
        <v>#NUM!</v>
      </c>
      <c r="J181" s="28" t="e">
        <f t="shared" si="108"/>
        <v>#NUM!</v>
      </c>
      <c r="K181" s="28" t="e">
        <f t="shared" si="108"/>
        <v>#NUM!</v>
      </c>
      <c r="L181" s="28" t="e">
        <f t="shared" si="108"/>
        <v>#NUM!</v>
      </c>
      <c r="M181" s="28" t="e">
        <f t="shared" si="108"/>
        <v>#NUM!</v>
      </c>
      <c r="N181" s="139"/>
    </row>
    <row r="182" spans="1:14" ht="13" hidden="1" customHeight="1">
      <c r="A182" s="5"/>
      <c r="B182" s="5"/>
      <c r="C182" s="5" t="s">
        <v>770</v>
      </c>
      <c r="D182" s="28">
        <f t="shared" ref="D182:M182" si="109">IF(YEAR($B174)+$B176&gt;D$5,D175/(YEAR($B174)+$B176-D$5+MONTH($B174)/12),D175)</f>
        <v>0</v>
      </c>
      <c r="E182" s="28">
        <f t="shared" si="109"/>
        <v>0</v>
      </c>
      <c r="F182" s="28">
        <f t="shared" si="109"/>
        <v>0</v>
      </c>
      <c r="G182" s="28">
        <f t="shared" si="109"/>
        <v>0</v>
      </c>
      <c r="H182" s="28">
        <f t="shared" si="109"/>
        <v>0</v>
      </c>
      <c r="I182" s="28">
        <f t="shared" si="109"/>
        <v>0</v>
      </c>
      <c r="J182" s="28">
        <f t="shared" si="109"/>
        <v>0</v>
      </c>
      <c r="K182" s="28">
        <f t="shared" si="109"/>
        <v>0</v>
      </c>
      <c r="L182" s="28">
        <f t="shared" si="109"/>
        <v>0</v>
      </c>
      <c r="M182" s="28">
        <f t="shared" si="109"/>
        <v>0</v>
      </c>
      <c r="N182" s="139"/>
    </row>
    <row r="183" spans="1:14" ht="13.4" customHeight="1">
      <c r="C183" s="5"/>
      <c r="N183" s="31"/>
    </row>
    <row r="184" spans="1:14" ht="13.4" customHeight="1">
      <c r="A184" s="30" t="s">
        <v>656</v>
      </c>
      <c r="B184" s="99"/>
      <c r="C184" t="s">
        <v>800</v>
      </c>
      <c r="D184" s="161" t="s">
        <v>801</v>
      </c>
      <c r="E184" s="1"/>
      <c r="N184" s="28"/>
    </row>
    <row r="185" spans="1:14" ht="13.4" customHeight="1">
      <c r="A185" s="26" t="s">
        <v>677</v>
      </c>
      <c r="B185" s="133">
        <v>29373</v>
      </c>
      <c r="C185" s="5" t="s">
        <v>639</v>
      </c>
      <c r="D185" s="75">
        <f>IF($D184="V",Input!G$68,IF(AND($B191=D$5,Input!G$63&gt;0),Input!G$63,$B188))</f>
        <v>0.05</v>
      </c>
      <c r="E185" s="75">
        <f>IF($D184="V",Input!H$68,IF(AND($B191=E$5,Input!H$63&gt;0),Input!H$63,D185))</f>
        <v>0.05</v>
      </c>
      <c r="F185" s="75">
        <f>IF($D184="V",Input!I$68,IF(AND($B191=F$5,Input!I$63&gt;0),Input!I$63,E185))</f>
        <v>0.05</v>
      </c>
      <c r="G185" s="75">
        <f>IF($D184="V",Input!J$68,IF(AND($B191=G$5,Input!J$63&gt;0),Input!J$63,F185))</f>
        <v>0.05</v>
      </c>
      <c r="H185" s="75">
        <f>IF($D184="V",Input!K$68,IF(AND($B191=H$5,Input!K$63&gt;0),Input!K$63,G185))</f>
        <v>0.05</v>
      </c>
      <c r="I185" s="75">
        <f>IF($D184="V",Input!L$68,IF(AND($B191=I$5,Input!L$63&gt;0),Input!L$63,H185))</f>
        <v>0.05</v>
      </c>
      <c r="J185" s="75">
        <f>IF($D184="V",Input!M$68,IF(AND($B191=J$5,Input!M$63&gt;0),Input!M$63,I185))</f>
        <v>0.05</v>
      </c>
      <c r="K185" s="75">
        <f>IF($D184="V",Input!N$68,IF(AND($B191=K$5,Input!N$63&gt;0),Input!N$63,J185))</f>
        <v>0.05</v>
      </c>
      <c r="L185" s="75">
        <f>IF($D184="V",Input!O$68,IF(AND($B191=L$5,Input!O$63&gt;0),Input!O$63,K185))</f>
        <v>0.05</v>
      </c>
      <c r="M185" s="75">
        <f>IF($D184="V",Input!P$68,IF(AND($B191=M$5,Input!P$63&gt;0),Input!P$63,L185))</f>
        <v>0.05</v>
      </c>
      <c r="N185" s="5"/>
    </row>
    <row r="186" spans="1:14" ht="13.4" customHeight="1">
      <c r="A186" s="5" t="s">
        <v>361</v>
      </c>
      <c r="B186" s="135">
        <v>0</v>
      </c>
      <c r="C186" s="27" t="s">
        <v>173</v>
      </c>
      <c r="D186" s="140">
        <v>0</v>
      </c>
      <c r="E186" s="28">
        <f t="shared" ref="E186:M186" si="110">D191</f>
        <v>0</v>
      </c>
      <c r="F186" s="28">
        <f t="shared" si="110"/>
        <v>0</v>
      </c>
      <c r="G186" s="28">
        <f t="shared" si="110"/>
        <v>0</v>
      </c>
      <c r="H186" s="28">
        <f t="shared" si="110"/>
        <v>0</v>
      </c>
      <c r="I186" s="28">
        <f t="shared" si="110"/>
        <v>0</v>
      </c>
      <c r="J186" s="28">
        <f t="shared" si="110"/>
        <v>0</v>
      </c>
      <c r="K186" s="28">
        <f t="shared" si="110"/>
        <v>0</v>
      </c>
      <c r="L186" s="28">
        <f t="shared" si="110"/>
        <v>0</v>
      </c>
      <c r="M186" s="28">
        <f t="shared" si="110"/>
        <v>0</v>
      </c>
      <c r="N186" s="28"/>
    </row>
    <row r="187" spans="1:14" ht="13.4" customHeight="1">
      <c r="A187" s="26" t="s">
        <v>170</v>
      </c>
      <c r="B187" s="131">
        <v>35</v>
      </c>
      <c r="C187" s="29" t="s">
        <v>169</v>
      </c>
      <c r="D187" s="28">
        <f>D189-D188</f>
        <v>0</v>
      </c>
      <c r="E187" s="28">
        <f>E189-E188</f>
        <v>0</v>
      </c>
      <c r="F187" s="28">
        <f t="shared" ref="F187:M187" si="111">F189-F188</f>
        <v>0</v>
      </c>
      <c r="G187" s="28">
        <f t="shared" si="111"/>
        <v>0</v>
      </c>
      <c r="H187" s="28">
        <f t="shared" si="111"/>
        <v>0</v>
      </c>
      <c r="I187" s="28">
        <f t="shared" si="111"/>
        <v>0</v>
      </c>
      <c r="J187" s="28">
        <f t="shared" si="111"/>
        <v>0</v>
      </c>
      <c r="K187" s="28">
        <f t="shared" si="111"/>
        <v>0</v>
      </c>
      <c r="L187" s="28">
        <f t="shared" si="111"/>
        <v>0</v>
      </c>
      <c r="M187" s="28">
        <f t="shared" si="111"/>
        <v>0</v>
      </c>
      <c r="N187" s="28"/>
    </row>
    <row r="188" spans="1:14" ht="13.4" customHeight="1">
      <c r="A188" s="5" t="s">
        <v>172</v>
      </c>
      <c r="B188" s="134">
        <f>B177</f>
        <v>0.05</v>
      </c>
      <c r="C188" s="5" t="s">
        <v>174</v>
      </c>
      <c r="D188" s="28">
        <f>IF(AND($B190="Y",YEAR($B185)+$B187&gt;D$5),D193,IF((YEAR($B185)+$B187)&gt;D$5,FV(D185/$B189,$B189,D192),D186))</f>
        <v>0</v>
      </c>
      <c r="E188" s="28">
        <f>IF(AND($B190="Y",YEAR($B185)+$B187&gt;E$5),E193,IF((YEAR($B185)+$B187)&gt;E$5,FV(E185/$B189,$B189,E192),E186))</f>
        <v>0</v>
      </c>
      <c r="F188" s="28">
        <f t="shared" ref="F188:M188" si="112">IF(AND($B190="Y",YEAR($B185)+$B187&gt;F$5),F193,IF((YEAR($B185)+$B187)&gt;F$5,FV(F185/$B189,$B189,F192),F186))</f>
        <v>0</v>
      </c>
      <c r="G188" s="28">
        <f t="shared" si="112"/>
        <v>0</v>
      </c>
      <c r="H188" s="28">
        <f t="shared" si="112"/>
        <v>0</v>
      </c>
      <c r="I188" s="28">
        <f t="shared" si="112"/>
        <v>0</v>
      </c>
      <c r="J188" s="28">
        <f t="shared" si="112"/>
        <v>0</v>
      </c>
      <c r="K188" s="28">
        <f t="shared" si="112"/>
        <v>0</v>
      </c>
      <c r="L188" s="28">
        <f t="shared" si="112"/>
        <v>0</v>
      </c>
      <c r="M188" s="28">
        <f t="shared" si="112"/>
        <v>0</v>
      </c>
      <c r="N188" s="28"/>
    </row>
    <row r="189" spans="1:14" ht="13.4" customHeight="1">
      <c r="A189" s="5" t="s">
        <v>171</v>
      </c>
      <c r="B189" s="131">
        <v>12</v>
      </c>
      <c r="C189" s="78" t="s">
        <v>640</v>
      </c>
      <c r="D189" s="28">
        <f>IF(AND($B190="Y",YEAR($B185)+$B187&gt;D$5),D193+D185*(D186-D193*0.5),IF((YEAR($B185)+$B187)&gt;D$5,(D186*D185/$B189-D192)*$B189,(D186*(1+D185*MONTH($B185)/12))))</f>
        <v>0</v>
      </c>
      <c r="E189" s="28">
        <f>IF(AND($B190="Y",YEAR($B185)+$B187&gt;E$5),E193+E185*(E186-E193*0.5),IF((YEAR($B185)+$B187)&gt;E$5,(E186*E185/$B189-E192)*$B189,(E186*(1+E185*MONTH($B185)/12))))</f>
        <v>0</v>
      </c>
      <c r="F189" s="28">
        <f t="shared" ref="F189:M189" si="113">IF(AND($B190="Y",YEAR($B185)+$B187&gt;F$5),F193+F185*(F186-F193*0.5),IF((YEAR($B185)+$B187)&gt;F$5,(F186*F185/$B189-F192)*$B189,(F186*(1+F185*MONTH($B185)/12))))</f>
        <v>0</v>
      </c>
      <c r="G189" s="28">
        <f t="shared" si="113"/>
        <v>0</v>
      </c>
      <c r="H189" s="28">
        <f t="shared" si="113"/>
        <v>0</v>
      </c>
      <c r="I189" s="28">
        <f t="shared" si="113"/>
        <v>0</v>
      </c>
      <c r="J189" s="28">
        <f t="shared" si="113"/>
        <v>0</v>
      </c>
      <c r="K189" s="28">
        <f t="shared" si="113"/>
        <v>0</v>
      </c>
      <c r="L189" s="28">
        <f t="shared" si="113"/>
        <v>0</v>
      </c>
      <c r="M189" s="28">
        <f t="shared" si="113"/>
        <v>0</v>
      </c>
      <c r="N189" s="28"/>
    </row>
    <row r="190" spans="1:14" ht="13.4" customHeight="1">
      <c r="A190" s="5" t="s">
        <v>767</v>
      </c>
      <c r="B190" s="131" t="s">
        <v>719</v>
      </c>
      <c r="C190" s="132" t="s">
        <v>768</v>
      </c>
      <c r="D190" s="140">
        <v>0</v>
      </c>
      <c r="E190" s="140">
        <v>0</v>
      </c>
      <c r="F190" s="140">
        <v>0</v>
      </c>
      <c r="G190" s="140">
        <v>0</v>
      </c>
      <c r="H190" s="140">
        <v>0</v>
      </c>
      <c r="I190" s="140">
        <v>0</v>
      </c>
      <c r="J190" s="140">
        <v>0</v>
      </c>
      <c r="K190" s="140">
        <v>0</v>
      </c>
      <c r="L190" s="140">
        <v>0</v>
      </c>
      <c r="M190" s="140">
        <v>0</v>
      </c>
      <c r="N190" s="28"/>
    </row>
    <row r="191" spans="1:14" ht="13.4" customHeight="1">
      <c r="A191" s="5" t="s">
        <v>182</v>
      </c>
      <c r="B191" s="131"/>
      <c r="C191" s="30" t="s">
        <v>175</v>
      </c>
      <c r="D191" s="28">
        <f t="shared" ref="D191:M191" si="114">D186+D187-D189-D190</f>
        <v>0</v>
      </c>
      <c r="E191" s="28">
        <f t="shared" si="114"/>
        <v>0</v>
      </c>
      <c r="F191" s="28">
        <f t="shared" si="114"/>
        <v>0</v>
      </c>
      <c r="G191" s="28">
        <f t="shared" si="114"/>
        <v>0</v>
      </c>
      <c r="H191" s="28">
        <f t="shared" si="114"/>
        <v>0</v>
      </c>
      <c r="I191" s="28">
        <f t="shared" si="114"/>
        <v>0</v>
      </c>
      <c r="J191" s="28">
        <f t="shared" si="114"/>
        <v>0</v>
      </c>
      <c r="K191" s="28">
        <f t="shared" si="114"/>
        <v>0</v>
      </c>
      <c r="L191" s="28">
        <f t="shared" si="114"/>
        <v>0</v>
      </c>
      <c r="M191" s="28">
        <f t="shared" si="114"/>
        <v>0</v>
      </c>
      <c r="N191" s="28"/>
    </row>
    <row r="192" spans="1:14" ht="13" hidden="1" customHeight="1">
      <c r="A192" s="5"/>
      <c r="B192" s="138"/>
      <c r="C192" s="5" t="s">
        <v>769</v>
      </c>
      <c r="D192" s="28" t="e">
        <f>PPMT(D185/$B189,1,ROUND(($B187-(D$5-YEAR($B185))+MONTH($B185)/12)*$B189,0),D186)</f>
        <v>#NUM!</v>
      </c>
      <c r="E192" s="28" t="e">
        <f>PPMT(E185/$B189,1,ROUND(($B187-(E$5-YEAR($B185))+MONTH($B185)/12)*$B189,0),E186)</f>
        <v>#NUM!</v>
      </c>
      <c r="F192" s="28" t="e">
        <f t="shared" ref="F192:M192" si="115">PPMT(F185/$B189,1,ROUND(($B187-(F$5-YEAR($B185))+MONTH($B185)/12)*$B189,0),F186)</f>
        <v>#NUM!</v>
      </c>
      <c r="G192" s="28" t="e">
        <f t="shared" si="115"/>
        <v>#NUM!</v>
      </c>
      <c r="H192" s="28" t="e">
        <f t="shared" si="115"/>
        <v>#NUM!</v>
      </c>
      <c r="I192" s="28" t="e">
        <f t="shared" si="115"/>
        <v>#NUM!</v>
      </c>
      <c r="J192" s="28" t="e">
        <f t="shared" si="115"/>
        <v>#NUM!</v>
      </c>
      <c r="K192" s="28" t="e">
        <f t="shared" si="115"/>
        <v>#NUM!</v>
      </c>
      <c r="L192" s="28" t="e">
        <f t="shared" si="115"/>
        <v>#NUM!</v>
      </c>
      <c r="M192" s="28" t="e">
        <f t="shared" si="115"/>
        <v>#NUM!</v>
      </c>
      <c r="N192" s="139"/>
    </row>
    <row r="193" spans="1:14" ht="13" hidden="1" customHeight="1">
      <c r="A193" s="5"/>
      <c r="B193" s="5"/>
      <c r="C193" s="5" t="s">
        <v>770</v>
      </c>
      <c r="D193" s="28">
        <f t="shared" ref="D193:M193" si="116">IF(YEAR($B185)+$B187&gt;D$5,D186/(YEAR($B185)+$B187-D$5+MONTH($B185)/12),D186)</f>
        <v>0</v>
      </c>
      <c r="E193" s="28">
        <f t="shared" si="116"/>
        <v>0</v>
      </c>
      <c r="F193" s="28">
        <f t="shared" si="116"/>
        <v>0</v>
      </c>
      <c r="G193" s="28">
        <f t="shared" si="116"/>
        <v>0</v>
      </c>
      <c r="H193" s="28">
        <f t="shared" si="116"/>
        <v>0</v>
      </c>
      <c r="I193" s="28">
        <f t="shared" si="116"/>
        <v>0</v>
      </c>
      <c r="J193" s="28">
        <f t="shared" si="116"/>
        <v>0</v>
      </c>
      <c r="K193" s="28">
        <f t="shared" si="116"/>
        <v>0</v>
      </c>
      <c r="L193" s="28">
        <f t="shared" si="116"/>
        <v>0</v>
      </c>
      <c r="M193" s="28">
        <f t="shared" si="116"/>
        <v>0</v>
      </c>
      <c r="N193" s="139"/>
    </row>
    <row r="194" spans="1:14" ht="13.4" customHeight="1">
      <c r="C194" s="5"/>
      <c r="N194" s="31"/>
    </row>
    <row r="195" spans="1:14" ht="13.4" customHeight="1">
      <c r="A195" s="30" t="s">
        <v>657</v>
      </c>
      <c r="B195" s="99"/>
      <c r="C195" t="s">
        <v>800</v>
      </c>
      <c r="D195" s="161" t="s">
        <v>801</v>
      </c>
      <c r="E195" s="1"/>
      <c r="N195" s="28"/>
    </row>
    <row r="196" spans="1:14" ht="13.4" customHeight="1">
      <c r="A196" s="26" t="s">
        <v>677</v>
      </c>
      <c r="B196" s="133">
        <v>29373</v>
      </c>
      <c r="C196" s="5" t="s">
        <v>639</v>
      </c>
      <c r="D196" s="75">
        <f>IF($D195="V",Input!G$68,IF(AND($B202=D$5,Input!G$63&gt;0),Input!G$63,$B199))</f>
        <v>0.05</v>
      </c>
      <c r="E196" s="75">
        <f>IF($D195="V",Input!H$68,IF(AND($B202=E$5,Input!H$63&gt;0),Input!H$63,D196))</f>
        <v>0.05</v>
      </c>
      <c r="F196" s="75">
        <f>IF($D195="V",Input!I$68,IF(AND($B202=F$5,Input!I$63&gt;0),Input!I$63,E196))</f>
        <v>0.05</v>
      </c>
      <c r="G196" s="75">
        <f>IF($D195="V",Input!J$68,IF(AND($B202=G$5,Input!J$63&gt;0),Input!J$63,F196))</f>
        <v>0.05</v>
      </c>
      <c r="H196" s="75">
        <f>IF($D195="V",Input!K$68,IF(AND($B202=H$5,Input!K$63&gt;0),Input!K$63,G196))</f>
        <v>0.05</v>
      </c>
      <c r="I196" s="75">
        <f>IF($D195="V",Input!L$68,IF(AND($B202=I$5,Input!L$63&gt;0),Input!L$63,H196))</f>
        <v>0.05</v>
      </c>
      <c r="J196" s="75">
        <f>IF($D195="V",Input!M$68,IF(AND($B202=J$5,Input!M$63&gt;0),Input!M$63,I196))</f>
        <v>0.05</v>
      </c>
      <c r="K196" s="75">
        <f>IF($D195="V",Input!N$68,IF(AND($B202=K$5,Input!N$63&gt;0),Input!N$63,J196))</f>
        <v>0.05</v>
      </c>
      <c r="L196" s="75">
        <f>IF($D195="V",Input!O$68,IF(AND($B202=L$5,Input!O$63&gt;0),Input!O$63,K196))</f>
        <v>0.05</v>
      </c>
      <c r="M196" s="75">
        <f>IF($D195="V",Input!P$68,IF(AND($B202=M$5,Input!P$63&gt;0),Input!P$63,L196))</f>
        <v>0.05</v>
      </c>
      <c r="N196" s="5"/>
    </row>
    <row r="197" spans="1:14" ht="13.4" customHeight="1">
      <c r="A197" s="5" t="s">
        <v>361</v>
      </c>
      <c r="B197" s="135">
        <v>0</v>
      </c>
      <c r="C197" s="27" t="s">
        <v>173</v>
      </c>
      <c r="D197" s="140">
        <v>0</v>
      </c>
      <c r="E197" s="28">
        <f t="shared" ref="E197:M197" si="117">D202</f>
        <v>0</v>
      </c>
      <c r="F197" s="28">
        <f t="shared" si="117"/>
        <v>0</v>
      </c>
      <c r="G197" s="28">
        <f t="shared" si="117"/>
        <v>0</v>
      </c>
      <c r="H197" s="28">
        <f t="shared" si="117"/>
        <v>0</v>
      </c>
      <c r="I197" s="28">
        <f t="shared" si="117"/>
        <v>0</v>
      </c>
      <c r="J197" s="28">
        <f t="shared" si="117"/>
        <v>0</v>
      </c>
      <c r="K197" s="28">
        <f t="shared" si="117"/>
        <v>0</v>
      </c>
      <c r="L197" s="28">
        <f t="shared" si="117"/>
        <v>0</v>
      </c>
      <c r="M197" s="28">
        <f t="shared" si="117"/>
        <v>0</v>
      </c>
      <c r="N197" s="28"/>
    </row>
    <row r="198" spans="1:14" ht="13.4" customHeight="1">
      <c r="A198" s="26" t="s">
        <v>170</v>
      </c>
      <c r="B198" s="131">
        <v>35</v>
      </c>
      <c r="C198" s="29" t="s">
        <v>169</v>
      </c>
      <c r="D198" s="28">
        <f>D200-D199</f>
        <v>0</v>
      </c>
      <c r="E198" s="28">
        <f>E200-E199</f>
        <v>0</v>
      </c>
      <c r="F198" s="28">
        <f t="shared" ref="F198:M198" si="118">F200-F199</f>
        <v>0</v>
      </c>
      <c r="G198" s="28">
        <f t="shared" si="118"/>
        <v>0</v>
      </c>
      <c r="H198" s="28">
        <f t="shared" si="118"/>
        <v>0</v>
      </c>
      <c r="I198" s="28">
        <f t="shared" si="118"/>
        <v>0</v>
      </c>
      <c r="J198" s="28">
        <f t="shared" si="118"/>
        <v>0</v>
      </c>
      <c r="K198" s="28">
        <f t="shared" si="118"/>
        <v>0</v>
      </c>
      <c r="L198" s="28">
        <f t="shared" si="118"/>
        <v>0</v>
      </c>
      <c r="M198" s="28">
        <f t="shared" si="118"/>
        <v>0</v>
      </c>
      <c r="N198" s="28"/>
    </row>
    <row r="199" spans="1:14" ht="13.4" customHeight="1">
      <c r="A199" s="5" t="s">
        <v>172</v>
      </c>
      <c r="B199" s="134">
        <f>B188</f>
        <v>0.05</v>
      </c>
      <c r="C199" s="5" t="s">
        <v>174</v>
      </c>
      <c r="D199" s="28">
        <f>IF(AND($B201="Y",YEAR($B196)+$B198&gt;D$5),D204,IF((YEAR($B196)+$B198)&gt;D$5,FV(D196/$B200,$B200,D203),D197))</f>
        <v>0</v>
      </c>
      <c r="E199" s="28">
        <f>IF(AND($B201="Y",YEAR($B196)+$B198&gt;E$5),E204,IF((YEAR($B196)+$B198)&gt;E$5,FV(E196/$B200,$B200,E203),E197))</f>
        <v>0</v>
      </c>
      <c r="F199" s="28">
        <f t="shared" ref="F199:M199" si="119">IF(AND($B201="Y",YEAR($B196)+$B198&gt;F$5),F204,IF((YEAR($B196)+$B198)&gt;F$5,FV(F196/$B200,$B200,F203),F197))</f>
        <v>0</v>
      </c>
      <c r="G199" s="28">
        <f t="shared" si="119"/>
        <v>0</v>
      </c>
      <c r="H199" s="28">
        <f t="shared" si="119"/>
        <v>0</v>
      </c>
      <c r="I199" s="28">
        <f t="shared" si="119"/>
        <v>0</v>
      </c>
      <c r="J199" s="28">
        <f t="shared" si="119"/>
        <v>0</v>
      </c>
      <c r="K199" s="28">
        <f t="shared" si="119"/>
        <v>0</v>
      </c>
      <c r="L199" s="28">
        <f t="shared" si="119"/>
        <v>0</v>
      </c>
      <c r="M199" s="28">
        <f t="shared" si="119"/>
        <v>0</v>
      </c>
      <c r="N199" s="28"/>
    </row>
    <row r="200" spans="1:14" ht="13.4" customHeight="1">
      <c r="A200" s="5" t="s">
        <v>171</v>
      </c>
      <c r="B200" s="131">
        <v>12</v>
      </c>
      <c r="C200" s="78" t="s">
        <v>640</v>
      </c>
      <c r="D200" s="28">
        <f>IF(AND($B201="Y",YEAR($B196)+$B198&gt;D$5),D204+D196*(D197-D204*0.5),IF((YEAR($B196)+$B198)&gt;D$5,(D197*D196/$B200-D203)*$B200,(D197*(1+D196*MONTH($B196)/12))))</f>
        <v>0</v>
      </c>
      <c r="E200" s="28">
        <f>IF(AND($B201="Y",YEAR($B196)+$B198&gt;E$5),E204+E196*(E197-E204*0.5),IF((YEAR($B196)+$B198)&gt;E$5,(E197*E196/$B200-E203)*$B200,(E197*(1+E196*MONTH($B196)/12))))</f>
        <v>0</v>
      </c>
      <c r="F200" s="28">
        <f t="shared" ref="F200:M200" si="120">IF(AND($B201="Y",YEAR($B196)+$B198&gt;F$5),F204+F196*(F197-F204*0.5),IF((YEAR($B196)+$B198)&gt;F$5,(F197*F196/$B200-F203)*$B200,(F197*(1+F196*MONTH($B196)/12))))</f>
        <v>0</v>
      </c>
      <c r="G200" s="28">
        <f t="shared" si="120"/>
        <v>0</v>
      </c>
      <c r="H200" s="28">
        <f t="shared" si="120"/>
        <v>0</v>
      </c>
      <c r="I200" s="28">
        <f t="shared" si="120"/>
        <v>0</v>
      </c>
      <c r="J200" s="28">
        <f t="shared" si="120"/>
        <v>0</v>
      </c>
      <c r="K200" s="28">
        <f t="shared" si="120"/>
        <v>0</v>
      </c>
      <c r="L200" s="28">
        <f t="shared" si="120"/>
        <v>0</v>
      </c>
      <c r="M200" s="28">
        <f t="shared" si="120"/>
        <v>0</v>
      </c>
      <c r="N200" s="28"/>
    </row>
    <row r="201" spans="1:14" ht="13.4" customHeight="1">
      <c r="A201" s="5" t="s">
        <v>767</v>
      </c>
      <c r="B201" s="131" t="s">
        <v>719</v>
      </c>
      <c r="C201" s="132" t="s">
        <v>768</v>
      </c>
      <c r="D201" s="140">
        <v>0</v>
      </c>
      <c r="E201" s="140">
        <v>0</v>
      </c>
      <c r="F201" s="140">
        <v>0</v>
      </c>
      <c r="G201" s="140">
        <v>0</v>
      </c>
      <c r="H201" s="140">
        <v>0</v>
      </c>
      <c r="I201" s="140">
        <v>0</v>
      </c>
      <c r="J201" s="140">
        <v>0</v>
      </c>
      <c r="K201" s="140">
        <v>0</v>
      </c>
      <c r="L201" s="140">
        <v>0</v>
      </c>
      <c r="M201" s="140">
        <v>0</v>
      </c>
      <c r="N201" s="28"/>
    </row>
    <row r="202" spans="1:14" ht="13.4" customHeight="1">
      <c r="A202" s="5" t="s">
        <v>182</v>
      </c>
      <c r="B202" s="131"/>
      <c r="C202" s="30" t="s">
        <v>175</v>
      </c>
      <c r="D202" s="28">
        <f t="shared" ref="D202:M202" si="121">D197+D198-D200-D201</f>
        <v>0</v>
      </c>
      <c r="E202" s="28">
        <f t="shared" si="121"/>
        <v>0</v>
      </c>
      <c r="F202" s="28">
        <f t="shared" si="121"/>
        <v>0</v>
      </c>
      <c r="G202" s="28">
        <f t="shared" si="121"/>
        <v>0</v>
      </c>
      <c r="H202" s="28">
        <f t="shared" si="121"/>
        <v>0</v>
      </c>
      <c r="I202" s="28">
        <f t="shared" si="121"/>
        <v>0</v>
      </c>
      <c r="J202" s="28">
        <f t="shared" si="121"/>
        <v>0</v>
      </c>
      <c r="K202" s="28">
        <f t="shared" si="121"/>
        <v>0</v>
      </c>
      <c r="L202" s="28">
        <f t="shared" si="121"/>
        <v>0</v>
      </c>
      <c r="M202" s="28">
        <f t="shared" si="121"/>
        <v>0</v>
      </c>
      <c r="N202" s="28"/>
    </row>
    <row r="203" spans="1:14" ht="13" hidden="1" customHeight="1">
      <c r="A203" s="5"/>
      <c r="B203" s="138"/>
      <c r="C203" s="5" t="s">
        <v>769</v>
      </c>
      <c r="D203" s="28" t="e">
        <f>PPMT(D196/$B200,1,ROUND(($B198-(D$5-YEAR($B196))+MONTH($B196)/12)*$B200,0),D197)</f>
        <v>#NUM!</v>
      </c>
      <c r="E203" s="28" t="e">
        <f>PPMT(E196/$B200,1,ROUND(($B198-(E$5-YEAR($B196))+MONTH($B196)/12)*$B200,0),E197)</f>
        <v>#NUM!</v>
      </c>
      <c r="F203" s="28" t="e">
        <f t="shared" ref="F203:M203" si="122">PPMT(F196/$B200,1,ROUND(($B198-(F$5-YEAR($B196))+MONTH($B196)/12)*$B200,0),F197)</f>
        <v>#NUM!</v>
      </c>
      <c r="G203" s="28" t="e">
        <f t="shared" si="122"/>
        <v>#NUM!</v>
      </c>
      <c r="H203" s="28" t="e">
        <f t="shared" si="122"/>
        <v>#NUM!</v>
      </c>
      <c r="I203" s="28" t="e">
        <f t="shared" si="122"/>
        <v>#NUM!</v>
      </c>
      <c r="J203" s="28" t="e">
        <f t="shared" si="122"/>
        <v>#NUM!</v>
      </c>
      <c r="K203" s="28" t="e">
        <f t="shared" si="122"/>
        <v>#NUM!</v>
      </c>
      <c r="L203" s="28" t="e">
        <f t="shared" si="122"/>
        <v>#NUM!</v>
      </c>
      <c r="M203" s="28" t="e">
        <f t="shared" si="122"/>
        <v>#NUM!</v>
      </c>
      <c r="N203" s="139"/>
    </row>
    <row r="204" spans="1:14" ht="13" hidden="1" customHeight="1">
      <c r="A204" s="5"/>
      <c r="B204" s="5"/>
      <c r="C204" s="5" t="s">
        <v>770</v>
      </c>
      <c r="D204" s="28">
        <f t="shared" ref="D204:M204" si="123">IF(YEAR($B196)+$B198&gt;D$5,D197/(YEAR($B196)+$B198-D$5+MONTH($B196)/12),D197)</f>
        <v>0</v>
      </c>
      <c r="E204" s="28">
        <f t="shared" si="123"/>
        <v>0</v>
      </c>
      <c r="F204" s="28">
        <f t="shared" si="123"/>
        <v>0</v>
      </c>
      <c r="G204" s="28">
        <f t="shared" si="123"/>
        <v>0</v>
      </c>
      <c r="H204" s="28">
        <f t="shared" si="123"/>
        <v>0</v>
      </c>
      <c r="I204" s="28">
        <f t="shared" si="123"/>
        <v>0</v>
      </c>
      <c r="J204" s="28">
        <f t="shared" si="123"/>
        <v>0</v>
      </c>
      <c r="K204" s="28">
        <f t="shared" si="123"/>
        <v>0</v>
      </c>
      <c r="L204" s="28">
        <f t="shared" si="123"/>
        <v>0</v>
      </c>
      <c r="M204" s="28">
        <f t="shared" si="123"/>
        <v>0</v>
      </c>
      <c r="N204" s="139"/>
    </row>
    <row r="205" spans="1:14" ht="13.4" customHeight="1">
      <c r="A205" s="5"/>
      <c r="B205" s="5"/>
      <c r="C205" s="5"/>
      <c r="D205" s="28"/>
      <c r="E205" s="28"/>
      <c r="F205" s="28"/>
      <c r="G205" s="28"/>
      <c r="H205" s="28"/>
      <c r="I205" s="28"/>
      <c r="J205" s="28"/>
      <c r="K205" s="28"/>
      <c r="L205" s="28"/>
      <c r="M205" s="28"/>
      <c r="N205" s="31"/>
    </row>
    <row r="206" spans="1:14" ht="13.4" customHeight="1">
      <c r="A206" s="30" t="s">
        <v>658</v>
      </c>
      <c r="B206" s="99"/>
      <c r="C206" t="s">
        <v>800</v>
      </c>
      <c r="D206" s="161" t="s">
        <v>801</v>
      </c>
      <c r="E206" s="1"/>
      <c r="N206" s="28"/>
    </row>
    <row r="207" spans="1:14" ht="13.4" customHeight="1">
      <c r="A207" s="26" t="s">
        <v>677</v>
      </c>
      <c r="B207" s="133">
        <v>29373</v>
      </c>
      <c r="C207" s="5" t="s">
        <v>639</v>
      </c>
      <c r="D207" s="75">
        <f>IF($D206="V",Input!G$68,IF(AND($B213=D$5,Input!G$63&gt;0),Input!G$63,$B210))</f>
        <v>0.05</v>
      </c>
      <c r="E207" s="75">
        <f>IF($D206="V",Input!H$68,IF(AND($B213=E$5,Input!H$63&gt;0),Input!H$63,D207))</f>
        <v>0.05</v>
      </c>
      <c r="F207" s="75">
        <f>IF($D206="V",Input!I$68,IF(AND($B213=F$5,Input!I$63&gt;0),Input!I$63,E207))</f>
        <v>0.05</v>
      </c>
      <c r="G207" s="75">
        <f>IF($D206="V",Input!J$68,IF(AND($B213=G$5,Input!J$63&gt;0),Input!J$63,F207))</f>
        <v>0.05</v>
      </c>
      <c r="H207" s="75">
        <f>IF($D206="V",Input!K$68,IF(AND($B213=H$5,Input!K$63&gt;0),Input!K$63,G207))</f>
        <v>0.05</v>
      </c>
      <c r="I207" s="75">
        <f>IF($D206="V",Input!L$68,IF(AND($B213=I$5,Input!L$63&gt;0),Input!L$63,H207))</f>
        <v>0.05</v>
      </c>
      <c r="J207" s="75">
        <f>IF($D206="V",Input!M$68,IF(AND($B213=J$5,Input!M$63&gt;0),Input!M$63,I207))</f>
        <v>0.05</v>
      </c>
      <c r="K207" s="75">
        <f>IF($D206="V",Input!N$68,IF(AND($B213=K$5,Input!N$63&gt;0),Input!N$63,J207))</f>
        <v>0.05</v>
      </c>
      <c r="L207" s="75">
        <f>IF($D206="V",Input!O$68,IF(AND($B213=L$5,Input!O$63&gt;0),Input!O$63,K207))</f>
        <v>0.05</v>
      </c>
      <c r="M207" s="75">
        <f>IF($D206="V",Input!P$68,IF(AND($B213=M$5,Input!P$63&gt;0),Input!P$63,L207))</f>
        <v>0.05</v>
      </c>
      <c r="N207" s="5"/>
    </row>
    <row r="208" spans="1:14" ht="13.4" customHeight="1">
      <c r="A208" s="5" t="s">
        <v>361</v>
      </c>
      <c r="B208" s="135">
        <v>0</v>
      </c>
      <c r="C208" s="27" t="s">
        <v>173</v>
      </c>
      <c r="D208" s="140">
        <v>0</v>
      </c>
      <c r="E208" s="28">
        <f t="shared" ref="E208:M208" si="124">D213</f>
        <v>0</v>
      </c>
      <c r="F208" s="28">
        <f t="shared" si="124"/>
        <v>0</v>
      </c>
      <c r="G208" s="28">
        <f t="shared" si="124"/>
        <v>0</v>
      </c>
      <c r="H208" s="28">
        <f t="shared" si="124"/>
        <v>0</v>
      </c>
      <c r="I208" s="28">
        <f t="shared" si="124"/>
        <v>0</v>
      </c>
      <c r="J208" s="28">
        <f t="shared" si="124"/>
        <v>0</v>
      </c>
      <c r="K208" s="28">
        <f t="shared" si="124"/>
        <v>0</v>
      </c>
      <c r="L208" s="28">
        <f t="shared" si="124"/>
        <v>0</v>
      </c>
      <c r="M208" s="28">
        <f t="shared" si="124"/>
        <v>0</v>
      </c>
      <c r="N208" s="28"/>
    </row>
    <row r="209" spans="1:14" ht="13.4" customHeight="1">
      <c r="A209" s="26" t="s">
        <v>170</v>
      </c>
      <c r="B209" s="131">
        <v>35</v>
      </c>
      <c r="C209" s="29" t="s">
        <v>169</v>
      </c>
      <c r="D209" s="28">
        <f>D211-D210</f>
        <v>0</v>
      </c>
      <c r="E209" s="28">
        <f>E211-E210</f>
        <v>0</v>
      </c>
      <c r="F209" s="28">
        <f t="shared" ref="F209:M209" si="125">F211-F210</f>
        <v>0</v>
      </c>
      <c r="G209" s="28">
        <f t="shared" si="125"/>
        <v>0</v>
      </c>
      <c r="H209" s="28">
        <f t="shared" si="125"/>
        <v>0</v>
      </c>
      <c r="I209" s="28">
        <f t="shared" si="125"/>
        <v>0</v>
      </c>
      <c r="J209" s="28">
        <f t="shared" si="125"/>
        <v>0</v>
      </c>
      <c r="K209" s="28">
        <f t="shared" si="125"/>
        <v>0</v>
      </c>
      <c r="L209" s="28">
        <f t="shared" si="125"/>
        <v>0</v>
      </c>
      <c r="M209" s="28">
        <f t="shared" si="125"/>
        <v>0</v>
      </c>
      <c r="N209" s="28"/>
    </row>
    <row r="210" spans="1:14" ht="13.4" customHeight="1">
      <c r="A210" s="5" t="s">
        <v>172</v>
      </c>
      <c r="B210" s="134">
        <f>B199</f>
        <v>0.05</v>
      </c>
      <c r="C210" s="5" t="s">
        <v>174</v>
      </c>
      <c r="D210" s="28">
        <f>IF(AND($B212="Y",YEAR($B207)+$B209&gt;D$5),D215,IF((YEAR($B207)+$B209)&gt;D$5,FV(D207/$B211,$B211,D214),D208))</f>
        <v>0</v>
      </c>
      <c r="E210" s="28">
        <f>IF(AND($B212="Y",YEAR($B207)+$B209&gt;E$5),E215,IF((YEAR($B207)+$B209)&gt;E$5,FV(E207/$B211,$B211,E214),E208))</f>
        <v>0</v>
      </c>
      <c r="F210" s="28">
        <f t="shared" ref="F210:M210" si="126">IF(AND($B212="Y",YEAR($B207)+$B209&gt;F$5),F215,IF((YEAR($B207)+$B209)&gt;F$5,FV(F207/$B211,$B211,F214),F208))</f>
        <v>0</v>
      </c>
      <c r="G210" s="28">
        <f t="shared" si="126"/>
        <v>0</v>
      </c>
      <c r="H210" s="28">
        <f t="shared" si="126"/>
        <v>0</v>
      </c>
      <c r="I210" s="28">
        <f t="shared" si="126"/>
        <v>0</v>
      </c>
      <c r="J210" s="28">
        <f t="shared" si="126"/>
        <v>0</v>
      </c>
      <c r="K210" s="28">
        <f t="shared" si="126"/>
        <v>0</v>
      </c>
      <c r="L210" s="28">
        <f t="shared" si="126"/>
        <v>0</v>
      </c>
      <c r="M210" s="28">
        <f t="shared" si="126"/>
        <v>0</v>
      </c>
      <c r="N210" s="28"/>
    </row>
    <row r="211" spans="1:14" ht="13.4" customHeight="1">
      <c r="A211" s="5" t="s">
        <v>171</v>
      </c>
      <c r="B211" s="131">
        <v>12</v>
      </c>
      <c r="C211" s="78" t="s">
        <v>640</v>
      </c>
      <c r="D211" s="28">
        <f>IF(AND($B212="Y",YEAR($B207)+$B209&gt;D$5),D215+D207*(D208-D215*0.5),IF((YEAR($B207)+$B209)&gt;D$5,(D208*D207/$B211-D214)*$B211,(D208*(1+D207*MONTH($B207)/12))))</f>
        <v>0</v>
      </c>
      <c r="E211" s="28">
        <f>IF(AND($B212="Y",YEAR($B207)+$B209&gt;E$5),E215+E207*(E208-E215*0.5),IF((YEAR($B207)+$B209)&gt;E$5,(E208*E207/$B211-E214)*$B211,(E208*(1+E207*MONTH($B207)/12))))</f>
        <v>0</v>
      </c>
      <c r="F211" s="28">
        <f t="shared" ref="F211:M211" si="127">IF(AND($B212="Y",YEAR($B207)+$B209&gt;F$5),F215+F207*(F208-F215*0.5),IF((YEAR($B207)+$B209)&gt;F$5,(F208*F207/$B211-F214)*$B211,(F208*(1+F207*MONTH($B207)/12))))</f>
        <v>0</v>
      </c>
      <c r="G211" s="28">
        <f t="shared" si="127"/>
        <v>0</v>
      </c>
      <c r="H211" s="28">
        <f t="shared" si="127"/>
        <v>0</v>
      </c>
      <c r="I211" s="28">
        <f t="shared" si="127"/>
        <v>0</v>
      </c>
      <c r="J211" s="28">
        <f t="shared" si="127"/>
        <v>0</v>
      </c>
      <c r="K211" s="28">
        <f t="shared" si="127"/>
        <v>0</v>
      </c>
      <c r="L211" s="28">
        <f t="shared" si="127"/>
        <v>0</v>
      </c>
      <c r="M211" s="28">
        <f t="shared" si="127"/>
        <v>0</v>
      </c>
      <c r="N211" s="28"/>
    </row>
    <row r="212" spans="1:14" ht="13.4" customHeight="1">
      <c r="A212" s="5" t="s">
        <v>767</v>
      </c>
      <c r="B212" s="131" t="s">
        <v>719</v>
      </c>
      <c r="C212" s="132" t="s">
        <v>768</v>
      </c>
      <c r="D212" s="140">
        <v>0</v>
      </c>
      <c r="E212" s="140">
        <v>0</v>
      </c>
      <c r="F212" s="140">
        <v>0</v>
      </c>
      <c r="G212" s="140">
        <v>0</v>
      </c>
      <c r="H212" s="140">
        <v>0</v>
      </c>
      <c r="I212" s="140">
        <v>0</v>
      </c>
      <c r="J212" s="140">
        <v>0</v>
      </c>
      <c r="K212" s="140">
        <v>0</v>
      </c>
      <c r="L212" s="140">
        <v>0</v>
      </c>
      <c r="M212" s="140">
        <v>0</v>
      </c>
      <c r="N212" s="28"/>
    </row>
    <row r="213" spans="1:14" ht="13.4" customHeight="1">
      <c r="A213" s="5" t="s">
        <v>182</v>
      </c>
      <c r="B213" s="131"/>
      <c r="C213" s="30" t="s">
        <v>175</v>
      </c>
      <c r="D213" s="28">
        <f t="shared" ref="D213:M213" si="128">D208+D209-D211-D212</f>
        <v>0</v>
      </c>
      <c r="E213" s="28">
        <f t="shared" si="128"/>
        <v>0</v>
      </c>
      <c r="F213" s="28">
        <f t="shared" si="128"/>
        <v>0</v>
      </c>
      <c r="G213" s="28">
        <f t="shared" si="128"/>
        <v>0</v>
      </c>
      <c r="H213" s="28">
        <f t="shared" si="128"/>
        <v>0</v>
      </c>
      <c r="I213" s="28">
        <f t="shared" si="128"/>
        <v>0</v>
      </c>
      <c r="J213" s="28">
        <f t="shared" si="128"/>
        <v>0</v>
      </c>
      <c r="K213" s="28">
        <f t="shared" si="128"/>
        <v>0</v>
      </c>
      <c r="L213" s="28">
        <f t="shared" si="128"/>
        <v>0</v>
      </c>
      <c r="M213" s="28">
        <f t="shared" si="128"/>
        <v>0</v>
      </c>
      <c r="N213" s="28"/>
    </row>
    <row r="214" spans="1:14" ht="13" hidden="1" customHeight="1">
      <c r="A214" s="5"/>
      <c r="B214" s="138"/>
      <c r="C214" s="5" t="s">
        <v>769</v>
      </c>
      <c r="D214" s="28" t="e">
        <f>PPMT(D207/$B211,1,ROUND(($B209-(D$5-YEAR($B207))+MONTH($B207)/12)*$B211,0),D208)</f>
        <v>#NUM!</v>
      </c>
      <c r="E214" s="28" t="e">
        <f>PPMT(E207/$B211,1,ROUND(($B209-(E$5-YEAR($B207))+MONTH($B207)/12)*$B211,0),E208)</f>
        <v>#NUM!</v>
      </c>
      <c r="F214" s="28" t="e">
        <f t="shared" ref="F214:M214" si="129">PPMT(F207/$B211,1,ROUND(($B209-(F$5-YEAR($B207))+MONTH($B207)/12)*$B211,0),F208)</f>
        <v>#NUM!</v>
      </c>
      <c r="G214" s="28" t="e">
        <f t="shared" si="129"/>
        <v>#NUM!</v>
      </c>
      <c r="H214" s="28" t="e">
        <f t="shared" si="129"/>
        <v>#NUM!</v>
      </c>
      <c r="I214" s="28" t="e">
        <f t="shared" si="129"/>
        <v>#NUM!</v>
      </c>
      <c r="J214" s="28" t="e">
        <f t="shared" si="129"/>
        <v>#NUM!</v>
      </c>
      <c r="K214" s="28" t="e">
        <f t="shared" si="129"/>
        <v>#NUM!</v>
      </c>
      <c r="L214" s="28" t="e">
        <f t="shared" si="129"/>
        <v>#NUM!</v>
      </c>
      <c r="M214" s="28" t="e">
        <f t="shared" si="129"/>
        <v>#NUM!</v>
      </c>
      <c r="N214" s="139"/>
    </row>
    <row r="215" spans="1:14" ht="13" hidden="1" customHeight="1">
      <c r="A215" s="5"/>
      <c r="B215" s="5"/>
      <c r="C215" s="5" t="s">
        <v>770</v>
      </c>
      <c r="D215" s="28">
        <f t="shared" ref="D215:M215" si="130">IF(YEAR($B207)+$B209&gt;D$5,D208/(YEAR($B207)+$B209-D$5+MONTH($B207)/12),D208)</f>
        <v>0</v>
      </c>
      <c r="E215" s="28">
        <f t="shared" si="130"/>
        <v>0</v>
      </c>
      <c r="F215" s="28">
        <f t="shared" si="130"/>
        <v>0</v>
      </c>
      <c r="G215" s="28">
        <f t="shared" si="130"/>
        <v>0</v>
      </c>
      <c r="H215" s="28">
        <f t="shared" si="130"/>
        <v>0</v>
      </c>
      <c r="I215" s="28">
        <f t="shared" si="130"/>
        <v>0</v>
      </c>
      <c r="J215" s="28">
        <f t="shared" si="130"/>
        <v>0</v>
      </c>
      <c r="K215" s="28">
        <f t="shared" si="130"/>
        <v>0</v>
      </c>
      <c r="L215" s="28">
        <f t="shared" si="130"/>
        <v>0</v>
      </c>
      <c r="M215" s="28">
        <f t="shared" si="130"/>
        <v>0</v>
      </c>
      <c r="N215" s="139"/>
    </row>
    <row r="216" spans="1:14" ht="13.4" customHeight="1">
      <c r="A216" s="5"/>
      <c r="B216" s="5"/>
      <c r="C216" s="5"/>
      <c r="D216" s="28"/>
      <c r="E216" s="28"/>
      <c r="F216" s="28"/>
      <c r="G216" s="28"/>
      <c r="H216" s="28"/>
      <c r="I216" s="28"/>
      <c r="J216" s="28"/>
      <c r="K216" s="28"/>
      <c r="L216" s="28"/>
      <c r="M216" s="28"/>
      <c r="N216" s="31"/>
    </row>
    <row r="217" spans="1:14" ht="13.4" customHeight="1">
      <c r="A217" s="30" t="s">
        <v>659</v>
      </c>
      <c r="B217" s="99"/>
      <c r="C217" t="s">
        <v>800</v>
      </c>
      <c r="D217" s="161" t="s">
        <v>801</v>
      </c>
      <c r="E217" s="1"/>
    </row>
    <row r="218" spans="1:14" ht="13.4" customHeight="1">
      <c r="A218" s="26" t="s">
        <v>677</v>
      </c>
      <c r="B218" s="133">
        <v>29373</v>
      </c>
      <c r="C218" s="5" t="s">
        <v>639</v>
      </c>
      <c r="D218" s="75">
        <f>IF($D217="V",Input!G$68,IF(AND($B224=D$5,Input!G$63&gt;0),Input!G$63,$B221))</f>
        <v>0.05</v>
      </c>
      <c r="E218" s="75">
        <f>IF($D217="V",Input!H$68,IF(AND($B224=E$5,Input!H$63&gt;0),Input!H$63,D218))</f>
        <v>0.05</v>
      </c>
      <c r="F218" s="75">
        <f>IF($D217="V",Input!I$68,IF(AND($B224=F$5,Input!I$63&gt;0),Input!I$63,E218))</f>
        <v>0.05</v>
      </c>
      <c r="G218" s="75">
        <f>IF($D217="V",Input!J$68,IF(AND($B224=G$5,Input!J$63&gt;0),Input!J$63,F218))</f>
        <v>0.05</v>
      </c>
      <c r="H218" s="75">
        <f>IF($D217="V",Input!K$68,IF(AND($B224=H$5,Input!K$63&gt;0),Input!K$63,G218))</f>
        <v>0.05</v>
      </c>
      <c r="I218" s="75">
        <f>IF($D217="V",Input!L$68,IF(AND($B224=I$5,Input!L$63&gt;0),Input!L$63,H218))</f>
        <v>0.05</v>
      </c>
      <c r="J218" s="75">
        <f>IF($D217="V",Input!M$68,IF(AND($B224=J$5,Input!M$63&gt;0),Input!M$63,I218))</f>
        <v>0.05</v>
      </c>
      <c r="K218" s="75">
        <f>IF($D217="V",Input!N$68,IF(AND($B224=K$5,Input!N$63&gt;0),Input!N$63,J218))</f>
        <v>0.05</v>
      </c>
      <c r="L218" s="75">
        <f>IF($D217="V",Input!O$68,IF(AND($B224=L$5,Input!O$63&gt;0),Input!O$63,K218))</f>
        <v>0.05</v>
      </c>
      <c r="M218" s="75">
        <f>IF($D217="V",Input!P$68,IF(AND($B224=M$5,Input!P$63&gt;0),Input!P$63,L218))</f>
        <v>0.05</v>
      </c>
      <c r="N218" s="5"/>
    </row>
    <row r="219" spans="1:14" ht="13.4" customHeight="1">
      <c r="A219" s="5" t="s">
        <v>361</v>
      </c>
      <c r="B219" s="135">
        <v>0</v>
      </c>
      <c r="C219" s="27" t="s">
        <v>173</v>
      </c>
      <c r="D219" s="140">
        <v>0</v>
      </c>
      <c r="E219" s="28">
        <f t="shared" ref="E219:M219" si="131">D224</f>
        <v>0</v>
      </c>
      <c r="F219" s="28">
        <f t="shared" si="131"/>
        <v>0</v>
      </c>
      <c r="G219" s="28">
        <f t="shared" si="131"/>
        <v>0</v>
      </c>
      <c r="H219" s="28">
        <f t="shared" si="131"/>
        <v>0</v>
      </c>
      <c r="I219" s="28">
        <f t="shared" si="131"/>
        <v>0</v>
      </c>
      <c r="J219" s="28">
        <f t="shared" si="131"/>
        <v>0</v>
      </c>
      <c r="K219" s="28">
        <f t="shared" si="131"/>
        <v>0</v>
      </c>
      <c r="L219" s="28">
        <f t="shared" si="131"/>
        <v>0</v>
      </c>
      <c r="M219" s="28">
        <f t="shared" si="131"/>
        <v>0</v>
      </c>
      <c r="N219" s="28"/>
    </row>
    <row r="220" spans="1:14" ht="13.4" customHeight="1">
      <c r="A220" s="26" t="s">
        <v>170</v>
      </c>
      <c r="B220" s="131">
        <v>35</v>
      </c>
      <c r="C220" s="29" t="s">
        <v>169</v>
      </c>
      <c r="D220" s="28">
        <f>D222-D221</f>
        <v>0</v>
      </c>
      <c r="E220" s="28">
        <f>E222-E221</f>
        <v>0</v>
      </c>
      <c r="F220" s="28">
        <f t="shared" ref="F220:M220" si="132">F222-F221</f>
        <v>0</v>
      </c>
      <c r="G220" s="28">
        <f t="shared" si="132"/>
        <v>0</v>
      </c>
      <c r="H220" s="28">
        <f t="shared" si="132"/>
        <v>0</v>
      </c>
      <c r="I220" s="28">
        <f t="shared" si="132"/>
        <v>0</v>
      </c>
      <c r="J220" s="28">
        <f t="shared" si="132"/>
        <v>0</v>
      </c>
      <c r="K220" s="28">
        <f t="shared" si="132"/>
        <v>0</v>
      </c>
      <c r="L220" s="28">
        <f t="shared" si="132"/>
        <v>0</v>
      </c>
      <c r="M220" s="28">
        <f t="shared" si="132"/>
        <v>0</v>
      </c>
      <c r="N220" s="28"/>
    </row>
    <row r="221" spans="1:14" ht="13.4" customHeight="1">
      <c r="A221" s="5" t="s">
        <v>172</v>
      </c>
      <c r="B221" s="134">
        <f>B210</f>
        <v>0.05</v>
      </c>
      <c r="C221" s="5" t="s">
        <v>174</v>
      </c>
      <c r="D221" s="28">
        <f>IF(AND($B223="Y",YEAR($B218)+$B220&gt;D$5),D226,IF((YEAR($B218)+$B220)&gt;D$5,FV(D218/$B222,$B222,D225),D219))</f>
        <v>0</v>
      </c>
      <c r="E221" s="28">
        <f>IF(AND($B223="Y",YEAR($B218)+$B220&gt;E$5),E226,IF((YEAR($B218)+$B220)&gt;E$5,FV(E218/$B222,$B222,E225),E219))</f>
        <v>0</v>
      </c>
      <c r="F221" s="28">
        <f t="shared" ref="F221:M221" si="133">IF(AND($B223="Y",YEAR($B218)+$B220&gt;F$5),F226,IF((YEAR($B218)+$B220)&gt;F$5,FV(F218/$B222,$B222,F225),F219))</f>
        <v>0</v>
      </c>
      <c r="G221" s="28">
        <f t="shared" si="133"/>
        <v>0</v>
      </c>
      <c r="H221" s="28">
        <f t="shared" si="133"/>
        <v>0</v>
      </c>
      <c r="I221" s="28">
        <f t="shared" si="133"/>
        <v>0</v>
      </c>
      <c r="J221" s="28">
        <f t="shared" si="133"/>
        <v>0</v>
      </c>
      <c r="K221" s="28">
        <f t="shared" si="133"/>
        <v>0</v>
      </c>
      <c r="L221" s="28">
        <f t="shared" si="133"/>
        <v>0</v>
      </c>
      <c r="M221" s="28">
        <f t="shared" si="133"/>
        <v>0</v>
      </c>
      <c r="N221" s="28"/>
    </row>
    <row r="222" spans="1:14" ht="13.4" customHeight="1">
      <c r="A222" s="5" t="s">
        <v>171</v>
      </c>
      <c r="B222" s="131">
        <v>12</v>
      </c>
      <c r="C222" s="78" t="s">
        <v>640</v>
      </c>
      <c r="D222" s="28">
        <f>IF(AND($B223="Y",YEAR($B218)+$B220&gt;D$5),D226+D218*(D219-D226*0.5),IF((YEAR($B218)+$B220)&gt;D$5,(D219*D218/$B222-D225)*$B222,(D219*(1+D218*MONTH($B218)/12))))</f>
        <v>0</v>
      </c>
      <c r="E222" s="28">
        <f>IF(AND($B223="Y",YEAR($B218)+$B220&gt;E$5),E226+E218*(E219-E226*0.5),IF((YEAR($B218)+$B220)&gt;E$5,(E219*E218/$B222-E225)*$B222,(E219*(1+E218*MONTH($B218)/12))))</f>
        <v>0</v>
      </c>
      <c r="F222" s="28">
        <f t="shared" ref="F222:M222" si="134">IF(AND($B223="Y",YEAR($B218)+$B220&gt;F$5),F226+F218*(F219-F226*0.5),IF((YEAR($B218)+$B220)&gt;F$5,(F219*F218/$B222-F225)*$B222,(F219*(1+F218*MONTH($B218)/12))))</f>
        <v>0</v>
      </c>
      <c r="G222" s="28">
        <f t="shared" si="134"/>
        <v>0</v>
      </c>
      <c r="H222" s="28">
        <f t="shared" si="134"/>
        <v>0</v>
      </c>
      <c r="I222" s="28">
        <f t="shared" si="134"/>
        <v>0</v>
      </c>
      <c r="J222" s="28">
        <f t="shared" si="134"/>
        <v>0</v>
      </c>
      <c r="K222" s="28">
        <f t="shared" si="134"/>
        <v>0</v>
      </c>
      <c r="L222" s="28">
        <f t="shared" si="134"/>
        <v>0</v>
      </c>
      <c r="M222" s="28">
        <f t="shared" si="134"/>
        <v>0</v>
      </c>
      <c r="N222" s="28"/>
    </row>
    <row r="223" spans="1:14" ht="13.4" customHeight="1">
      <c r="A223" s="5" t="s">
        <v>767</v>
      </c>
      <c r="B223" s="131" t="s">
        <v>719</v>
      </c>
      <c r="C223" s="132" t="s">
        <v>768</v>
      </c>
      <c r="D223" s="140">
        <v>0</v>
      </c>
      <c r="E223" s="140">
        <v>0</v>
      </c>
      <c r="F223" s="140">
        <v>0</v>
      </c>
      <c r="G223" s="140">
        <v>0</v>
      </c>
      <c r="H223" s="140">
        <v>0</v>
      </c>
      <c r="I223" s="140">
        <v>0</v>
      </c>
      <c r="J223" s="140">
        <v>0</v>
      </c>
      <c r="K223" s="140">
        <v>0</v>
      </c>
      <c r="L223" s="140">
        <v>0</v>
      </c>
      <c r="M223" s="140">
        <v>0</v>
      </c>
      <c r="N223" s="28"/>
    </row>
    <row r="224" spans="1:14" ht="13.4" customHeight="1">
      <c r="A224" s="5" t="s">
        <v>182</v>
      </c>
      <c r="B224" s="131"/>
      <c r="C224" s="30" t="s">
        <v>175</v>
      </c>
      <c r="D224" s="28">
        <f t="shared" ref="D224:M224" si="135">D219+D220-D222-D223</f>
        <v>0</v>
      </c>
      <c r="E224" s="28">
        <f t="shared" si="135"/>
        <v>0</v>
      </c>
      <c r="F224" s="28">
        <f t="shared" si="135"/>
        <v>0</v>
      </c>
      <c r="G224" s="28">
        <f t="shared" si="135"/>
        <v>0</v>
      </c>
      <c r="H224" s="28">
        <f t="shared" si="135"/>
        <v>0</v>
      </c>
      <c r="I224" s="28">
        <f t="shared" si="135"/>
        <v>0</v>
      </c>
      <c r="J224" s="28">
        <f t="shared" si="135"/>
        <v>0</v>
      </c>
      <c r="K224" s="28">
        <f t="shared" si="135"/>
        <v>0</v>
      </c>
      <c r="L224" s="28">
        <f t="shared" si="135"/>
        <v>0</v>
      </c>
      <c r="M224" s="28">
        <f t="shared" si="135"/>
        <v>0</v>
      </c>
      <c r="N224" s="28"/>
    </row>
    <row r="225" spans="1:14" ht="13" hidden="1" customHeight="1">
      <c r="A225" s="5"/>
      <c r="B225" s="138"/>
      <c r="C225" s="5" t="s">
        <v>769</v>
      </c>
      <c r="D225" s="28" t="e">
        <f>PPMT(D218/$B222,1,ROUND(($B220-(D$5-YEAR($B218))+MONTH($B218)/12)*$B222,0),D219)</f>
        <v>#NUM!</v>
      </c>
      <c r="E225" s="28" t="e">
        <f>PPMT(E218/$B222,1,ROUND(($B220-(E$5-YEAR($B218))+MONTH($B218)/12)*$B222,0),E219)</f>
        <v>#NUM!</v>
      </c>
      <c r="F225" s="28" t="e">
        <f t="shared" ref="F225:M225" si="136">PPMT(F218/$B222,1,ROUND(($B220-(F$5-YEAR($B218))+MONTH($B218)/12)*$B222,0),F219)</f>
        <v>#NUM!</v>
      </c>
      <c r="G225" s="28" t="e">
        <f t="shared" si="136"/>
        <v>#NUM!</v>
      </c>
      <c r="H225" s="28" t="e">
        <f t="shared" si="136"/>
        <v>#NUM!</v>
      </c>
      <c r="I225" s="28" t="e">
        <f t="shared" si="136"/>
        <v>#NUM!</v>
      </c>
      <c r="J225" s="28" t="e">
        <f t="shared" si="136"/>
        <v>#NUM!</v>
      </c>
      <c r="K225" s="28" t="e">
        <f t="shared" si="136"/>
        <v>#NUM!</v>
      </c>
      <c r="L225" s="28" t="e">
        <f t="shared" si="136"/>
        <v>#NUM!</v>
      </c>
      <c r="M225" s="28" t="e">
        <f t="shared" si="136"/>
        <v>#NUM!</v>
      </c>
      <c r="N225" s="139"/>
    </row>
    <row r="226" spans="1:14" ht="13" hidden="1" customHeight="1">
      <c r="A226" s="5"/>
      <c r="B226" s="5"/>
      <c r="C226" s="5" t="s">
        <v>770</v>
      </c>
      <c r="D226" s="28">
        <f t="shared" ref="D226:M226" si="137">IF(YEAR($B218)+$B220&gt;D$5,D219/(YEAR($B218)+$B220-D$5+MONTH($B218)/12),D219)</f>
        <v>0</v>
      </c>
      <c r="E226" s="28">
        <f t="shared" si="137"/>
        <v>0</v>
      </c>
      <c r="F226" s="28">
        <f t="shared" si="137"/>
        <v>0</v>
      </c>
      <c r="G226" s="28">
        <f t="shared" si="137"/>
        <v>0</v>
      </c>
      <c r="H226" s="28">
        <f t="shared" si="137"/>
        <v>0</v>
      </c>
      <c r="I226" s="28">
        <f t="shared" si="137"/>
        <v>0</v>
      </c>
      <c r="J226" s="28">
        <f t="shared" si="137"/>
        <v>0</v>
      </c>
      <c r="K226" s="28">
        <f t="shared" si="137"/>
        <v>0</v>
      </c>
      <c r="L226" s="28">
        <f t="shared" si="137"/>
        <v>0</v>
      </c>
      <c r="M226" s="28">
        <f t="shared" si="137"/>
        <v>0</v>
      </c>
      <c r="N226" s="139"/>
    </row>
    <row r="227" spans="1:14" ht="13.4" customHeight="1">
      <c r="A227" s="5"/>
      <c r="B227" s="5"/>
      <c r="C227" s="5"/>
      <c r="D227" s="28"/>
      <c r="E227" s="28"/>
      <c r="F227" s="28"/>
      <c r="G227" s="28"/>
      <c r="H227" s="28"/>
      <c r="I227" s="28"/>
      <c r="J227" s="28"/>
      <c r="K227" s="28"/>
      <c r="L227" s="28"/>
      <c r="M227" s="28"/>
      <c r="N227" s="28"/>
    </row>
    <row r="228" spans="1:14" ht="13.4" customHeight="1">
      <c r="A228" s="30" t="s">
        <v>660</v>
      </c>
      <c r="B228" s="99"/>
      <c r="C228" t="s">
        <v>800</v>
      </c>
      <c r="D228" s="161" t="s">
        <v>801</v>
      </c>
      <c r="E228" s="1"/>
      <c r="N228" s="28"/>
    </row>
    <row r="229" spans="1:14" ht="13.4" customHeight="1">
      <c r="A229" s="26" t="s">
        <v>677</v>
      </c>
      <c r="B229" s="133">
        <v>29373</v>
      </c>
      <c r="C229" s="5" t="s">
        <v>639</v>
      </c>
      <c r="D229" s="75">
        <f>IF($D228="V",Input!G$68,IF(AND($B235=D$5,Input!G$63&gt;0),Input!G$63,$B232))</f>
        <v>0.05</v>
      </c>
      <c r="E229" s="75">
        <f>IF($D228="V",Input!H$68,IF(AND($B235=E$5,Input!H$63&gt;0),Input!H$63,D229))</f>
        <v>0.05</v>
      </c>
      <c r="F229" s="75">
        <f>IF($D228="V",Input!I$68,IF(AND($B235=F$5,Input!I$63&gt;0),Input!I$63,E229))</f>
        <v>0.05</v>
      </c>
      <c r="G229" s="75">
        <f>IF($D228="V",Input!J$68,IF(AND($B235=G$5,Input!J$63&gt;0),Input!J$63,F229))</f>
        <v>0.05</v>
      </c>
      <c r="H229" s="75">
        <f>IF($D228="V",Input!K$68,IF(AND($B235=H$5,Input!K$63&gt;0),Input!K$63,G229))</f>
        <v>0.05</v>
      </c>
      <c r="I229" s="75">
        <f>IF($D228="V",Input!L$68,IF(AND($B235=I$5,Input!L$63&gt;0),Input!L$63,H229))</f>
        <v>0.05</v>
      </c>
      <c r="J229" s="75">
        <f>IF($D228="V",Input!M$68,IF(AND($B235=J$5,Input!M$63&gt;0),Input!M$63,I229))</f>
        <v>0.05</v>
      </c>
      <c r="K229" s="75">
        <f>IF($D228="V",Input!N$68,IF(AND($B235=K$5,Input!N$63&gt;0),Input!N$63,J229))</f>
        <v>0.05</v>
      </c>
      <c r="L229" s="75">
        <f>IF($D228="V",Input!O$68,IF(AND($B235=L$5,Input!O$63&gt;0),Input!O$63,K229))</f>
        <v>0.05</v>
      </c>
      <c r="M229" s="75">
        <f>IF($D228="V",Input!P$68,IF(AND($B235=M$5,Input!P$63&gt;0),Input!P$63,L229))</f>
        <v>0.05</v>
      </c>
      <c r="N229" s="5"/>
    </row>
    <row r="230" spans="1:14" ht="13.4" customHeight="1">
      <c r="A230" s="5" t="s">
        <v>361</v>
      </c>
      <c r="B230" s="135">
        <v>0</v>
      </c>
      <c r="C230" s="27" t="s">
        <v>173</v>
      </c>
      <c r="D230" s="140">
        <v>0</v>
      </c>
      <c r="E230" s="28">
        <f t="shared" ref="E230:M230" si="138">D235</f>
        <v>0</v>
      </c>
      <c r="F230" s="28">
        <f t="shared" si="138"/>
        <v>0</v>
      </c>
      <c r="G230" s="28">
        <f t="shared" si="138"/>
        <v>0</v>
      </c>
      <c r="H230" s="28">
        <f t="shared" si="138"/>
        <v>0</v>
      </c>
      <c r="I230" s="28">
        <f t="shared" si="138"/>
        <v>0</v>
      </c>
      <c r="J230" s="28">
        <f t="shared" si="138"/>
        <v>0</v>
      </c>
      <c r="K230" s="28">
        <f t="shared" si="138"/>
        <v>0</v>
      </c>
      <c r="L230" s="28">
        <f t="shared" si="138"/>
        <v>0</v>
      </c>
      <c r="M230" s="28">
        <f t="shared" si="138"/>
        <v>0</v>
      </c>
      <c r="N230" s="28"/>
    </row>
    <row r="231" spans="1:14" ht="13.4" customHeight="1">
      <c r="A231" s="26" t="s">
        <v>170</v>
      </c>
      <c r="B231" s="131">
        <v>35</v>
      </c>
      <c r="C231" s="29" t="s">
        <v>169</v>
      </c>
      <c r="D231" s="28">
        <f>D233-D232</f>
        <v>0</v>
      </c>
      <c r="E231" s="28">
        <f>E233-E232</f>
        <v>0</v>
      </c>
      <c r="F231" s="28">
        <f t="shared" ref="F231:M231" si="139">F233-F232</f>
        <v>0</v>
      </c>
      <c r="G231" s="28">
        <f t="shared" si="139"/>
        <v>0</v>
      </c>
      <c r="H231" s="28">
        <f t="shared" si="139"/>
        <v>0</v>
      </c>
      <c r="I231" s="28">
        <f t="shared" si="139"/>
        <v>0</v>
      </c>
      <c r="J231" s="28">
        <f t="shared" si="139"/>
        <v>0</v>
      </c>
      <c r="K231" s="28">
        <f t="shared" si="139"/>
        <v>0</v>
      </c>
      <c r="L231" s="28">
        <f t="shared" si="139"/>
        <v>0</v>
      </c>
      <c r="M231" s="28">
        <f t="shared" si="139"/>
        <v>0</v>
      </c>
      <c r="N231" s="28"/>
    </row>
    <row r="232" spans="1:14" ht="13.4" customHeight="1">
      <c r="A232" s="5" t="s">
        <v>172</v>
      </c>
      <c r="B232" s="134">
        <f>B221</f>
        <v>0.05</v>
      </c>
      <c r="C232" s="5" t="s">
        <v>174</v>
      </c>
      <c r="D232" s="28">
        <f>IF(AND($B234="Y",YEAR($B229)+$B231&gt;D$5),D237,IF((YEAR($B229)+$B231)&gt;D$5,FV(D229/$B233,$B233,D236),D230))</f>
        <v>0</v>
      </c>
      <c r="E232" s="28">
        <f>IF(AND($B234="Y",YEAR($B229)+$B231&gt;E$5),E237,IF((YEAR($B229)+$B231)&gt;E$5,FV(E229/$B233,$B233,E236),E230))</f>
        <v>0</v>
      </c>
      <c r="F232" s="28">
        <f t="shared" ref="F232:M232" si="140">IF(AND($B234="Y",YEAR($B229)+$B231&gt;F$5),F237,IF((YEAR($B229)+$B231)&gt;F$5,FV(F229/$B233,$B233,F236),F230))</f>
        <v>0</v>
      </c>
      <c r="G232" s="28">
        <f t="shared" si="140"/>
        <v>0</v>
      </c>
      <c r="H232" s="28">
        <f t="shared" si="140"/>
        <v>0</v>
      </c>
      <c r="I232" s="28">
        <f t="shared" si="140"/>
        <v>0</v>
      </c>
      <c r="J232" s="28">
        <f t="shared" si="140"/>
        <v>0</v>
      </c>
      <c r="K232" s="28">
        <f t="shared" si="140"/>
        <v>0</v>
      </c>
      <c r="L232" s="28">
        <f t="shared" si="140"/>
        <v>0</v>
      </c>
      <c r="M232" s="28">
        <f t="shared" si="140"/>
        <v>0</v>
      </c>
      <c r="N232" s="28"/>
    </row>
    <row r="233" spans="1:14" ht="13.4" customHeight="1">
      <c r="A233" s="5" t="s">
        <v>171</v>
      </c>
      <c r="B233" s="131">
        <v>12</v>
      </c>
      <c r="C233" s="78" t="s">
        <v>640</v>
      </c>
      <c r="D233" s="28">
        <f>IF(AND($B234="Y",YEAR($B229)+$B231&gt;D$5),D237+D229*(D230-D237*0.5),IF((YEAR($B229)+$B231)&gt;D$5,(D230*D229/$B233-D236)*$B233,(D230*(1+D229*MONTH($B229)/12))))</f>
        <v>0</v>
      </c>
      <c r="E233" s="28">
        <f>IF(AND($B234="Y",YEAR($B229)+$B231&gt;E$5),E237+E229*(E230-E237*0.5),IF((YEAR($B229)+$B231)&gt;E$5,(E230*E229/$B233-E236)*$B233,(E230*(1+E229*MONTH($B229)/12))))</f>
        <v>0</v>
      </c>
      <c r="F233" s="28">
        <f t="shared" ref="F233:M233" si="141">IF(AND($B234="Y",YEAR($B229)+$B231&gt;F$5),F237+F229*(F230-F237*0.5),IF((YEAR($B229)+$B231)&gt;F$5,(F230*F229/$B233-F236)*$B233,(F230*(1+F229*MONTH($B229)/12))))</f>
        <v>0</v>
      </c>
      <c r="G233" s="28">
        <f t="shared" si="141"/>
        <v>0</v>
      </c>
      <c r="H233" s="28">
        <f t="shared" si="141"/>
        <v>0</v>
      </c>
      <c r="I233" s="28">
        <f t="shared" si="141"/>
        <v>0</v>
      </c>
      <c r="J233" s="28">
        <f t="shared" si="141"/>
        <v>0</v>
      </c>
      <c r="K233" s="28">
        <f t="shared" si="141"/>
        <v>0</v>
      </c>
      <c r="L233" s="28">
        <f t="shared" si="141"/>
        <v>0</v>
      </c>
      <c r="M233" s="28">
        <f t="shared" si="141"/>
        <v>0</v>
      </c>
      <c r="N233" s="28"/>
    </row>
    <row r="234" spans="1:14" ht="13.4" customHeight="1">
      <c r="A234" s="5" t="s">
        <v>767</v>
      </c>
      <c r="B234" s="131" t="s">
        <v>719</v>
      </c>
      <c r="C234" s="132" t="s">
        <v>768</v>
      </c>
      <c r="D234" s="140">
        <v>0</v>
      </c>
      <c r="E234" s="140">
        <v>0</v>
      </c>
      <c r="F234" s="140">
        <v>0</v>
      </c>
      <c r="G234" s="140">
        <v>0</v>
      </c>
      <c r="H234" s="140">
        <v>0</v>
      </c>
      <c r="I234" s="140">
        <v>0</v>
      </c>
      <c r="J234" s="140">
        <v>0</v>
      </c>
      <c r="K234" s="140">
        <v>0</v>
      </c>
      <c r="L234" s="140">
        <v>0</v>
      </c>
      <c r="M234" s="140">
        <v>0</v>
      </c>
      <c r="N234" s="28"/>
    </row>
    <row r="235" spans="1:14" ht="13.4" customHeight="1">
      <c r="A235" s="5" t="s">
        <v>182</v>
      </c>
      <c r="B235" s="131"/>
      <c r="C235" s="30" t="s">
        <v>175</v>
      </c>
      <c r="D235" s="28">
        <f t="shared" ref="D235:M235" si="142">D230+D231-D233-D234</f>
        <v>0</v>
      </c>
      <c r="E235" s="28">
        <f t="shared" si="142"/>
        <v>0</v>
      </c>
      <c r="F235" s="28">
        <f t="shared" si="142"/>
        <v>0</v>
      </c>
      <c r="G235" s="28">
        <f t="shared" si="142"/>
        <v>0</v>
      </c>
      <c r="H235" s="28">
        <f t="shared" si="142"/>
        <v>0</v>
      </c>
      <c r="I235" s="28">
        <f t="shared" si="142"/>
        <v>0</v>
      </c>
      <c r="J235" s="28">
        <f t="shared" si="142"/>
        <v>0</v>
      </c>
      <c r="K235" s="28">
        <f t="shared" si="142"/>
        <v>0</v>
      </c>
      <c r="L235" s="28">
        <f t="shared" si="142"/>
        <v>0</v>
      </c>
      <c r="M235" s="28">
        <f t="shared" si="142"/>
        <v>0</v>
      </c>
      <c r="N235" s="28"/>
    </row>
    <row r="236" spans="1:14" ht="13" hidden="1" customHeight="1">
      <c r="A236" s="5"/>
      <c r="B236" s="138"/>
      <c r="C236" s="5" t="s">
        <v>769</v>
      </c>
      <c r="D236" s="28" t="e">
        <f>PPMT(D229/$B233,1,ROUND(($B231-(D$5-YEAR($B229))+MONTH($B229)/12)*$B233,0),D230)</f>
        <v>#NUM!</v>
      </c>
      <c r="E236" s="28" t="e">
        <f>PPMT(E229/$B233,1,ROUND(($B231-(E$5-YEAR($B229))+MONTH($B229)/12)*$B233,0),E230)</f>
        <v>#NUM!</v>
      </c>
      <c r="F236" s="28" t="e">
        <f t="shared" ref="F236:M236" si="143">PPMT(F229/$B233,1,ROUND(($B231-(F$5-YEAR($B229))+MONTH($B229)/12)*$B233,0),F230)</f>
        <v>#NUM!</v>
      </c>
      <c r="G236" s="28" t="e">
        <f t="shared" si="143"/>
        <v>#NUM!</v>
      </c>
      <c r="H236" s="28" t="e">
        <f t="shared" si="143"/>
        <v>#NUM!</v>
      </c>
      <c r="I236" s="28" t="e">
        <f t="shared" si="143"/>
        <v>#NUM!</v>
      </c>
      <c r="J236" s="28" t="e">
        <f t="shared" si="143"/>
        <v>#NUM!</v>
      </c>
      <c r="K236" s="28" t="e">
        <f t="shared" si="143"/>
        <v>#NUM!</v>
      </c>
      <c r="L236" s="28" t="e">
        <f t="shared" si="143"/>
        <v>#NUM!</v>
      </c>
      <c r="M236" s="28" t="e">
        <f t="shared" si="143"/>
        <v>#NUM!</v>
      </c>
      <c r="N236" s="139"/>
    </row>
    <row r="237" spans="1:14" ht="13" hidden="1" customHeight="1">
      <c r="A237" s="5"/>
      <c r="B237" s="5"/>
      <c r="C237" s="5" t="s">
        <v>770</v>
      </c>
      <c r="D237" s="28">
        <f t="shared" ref="D237:M237" si="144">IF(YEAR($B229)+$B231&gt;D$5,D230/(YEAR($B229)+$B231-D$5+MONTH($B229)/12),D230)</f>
        <v>0</v>
      </c>
      <c r="E237" s="28">
        <f t="shared" si="144"/>
        <v>0</v>
      </c>
      <c r="F237" s="28">
        <f t="shared" si="144"/>
        <v>0</v>
      </c>
      <c r="G237" s="28">
        <f t="shared" si="144"/>
        <v>0</v>
      </c>
      <c r="H237" s="28">
        <f t="shared" si="144"/>
        <v>0</v>
      </c>
      <c r="I237" s="28">
        <f t="shared" si="144"/>
        <v>0</v>
      </c>
      <c r="J237" s="28">
        <f t="shared" si="144"/>
        <v>0</v>
      </c>
      <c r="K237" s="28">
        <f t="shared" si="144"/>
        <v>0</v>
      </c>
      <c r="L237" s="28">
        <f t="shared" si="144"/>
        <v>0</v>
      </c>
      <c r="M237" s="28">
        <f t="shared" si="144"/>
        <v>0</v>
      </c>
      <c r="N237" s="139"/>
    </row>
    <row r="238" spans="1:14" ht="13.4" customHeight="1">
      <c r="A238" s="5"/>
      <c r="B238" s="5"/>
      <c r="C238" s="5"/>
      <c r="D238" s="28"/>
      <c r="E238" s="28"/>
      <c r="F238" s="28"/>
      <c r="G238" s="28"/>
      <c r="H238" s="28"/>
      <c r="I238" s="28"/>
      <c r="J238" s="28"/>
      <c r="K238" s="28"/>
      <c r="L238" s="28"/>
      <c r="M238" s="28"/>
      <c r="N238" s="28"/>
    </row>
    <row r="239" spans="1:14" ht="13.4" customHeight="1">
      <c r="A239" s="5"/>
      <c r="B239" s="5"/>
      <c r="C239" s="5"/>
      <c r="D239" s="28"/>
      <c r="E239" s="28"/>
      <c r="F239" s="28"/>
      <c r="G239" s="28"/>
      <c r="H239" s="28"/>
      <c r="I239" s="28"/>
      <c r="J239" s="28"/>
      <c r="K239" s="28"/>
      <c r="L239" s="28"/>
      <c r="M239" s="28"/>
      <c r="N239" s="28"/>
    </row>
    <row r="240" spans="1:14" ht="13.4" customHeight="1">
      <c r="A240" s="5"/>
      <c r="B240" s="5"/>
      <c r="C240" s="5"/>
      <c r="D240" s="28"/>
      <c r="E240" s="28"/>
      <c r="F240" s="28"/>
      <c r="G240" s="28"/>
      <c r="H240" s="28"/>
      <c r="I240" s="28"/>
      <c r="J240" s="28"/>
      <c r="K240" s="28"/>
      <c r="L240" s="28"/>
      <c r="M240" s="28"/>
      <c r="N240" s="28"/>
    </row>
    <row r="241" spans="1:14" ht="13.4" customHeight="1">
      <c r="A241" s="5" t="s">
        <v>795</v>
      </c>
      <c r="B241" s="5"/>
      <c r="C241" s="5"/>
      <c r="D241" s="155">
        <f>+D5</f>
        <v>2024</v>
      </c>
      <c r="E241" s="155">
        <f t="shared" ref="E241:M241" si="145">+E5</f>
        <v>2025</v>
      </c>
      <c r="F241" s="155">
        <f t="shared" si="145"/>
        <v>2026</v>
      </c>
      <c r="G241" s="155">
        <f t="shared" si="145"/>
        <v>2027</v>
      </c>
      <c r="H241" s="155">
        <f t="shared" si="145"/>
        <v>2028</v>
      </c>
      <c r="I241" s="155">
        <f t="shared" si="145"/>
        <v>2029</v>
      </c>
      <c r="J241" s="155">
        <f t="shared" si="145"/>
        <v>2030</v>
      </c>
      <c r="K241" s="155">
        <f t="shared" si="145"/>
        <v>2031</v>
      </c>
      <c r="L241" s="155">
        <f t="shared" si="145"/>
        <v>2032</v>
      </c>
      <c r="M241" s="155">
        <f t="shared" si="145"/>
        <v>2033</v>
      </c>
      <c r="N241" s="28"/>
    </row>
    <row r="242" spans="1:14" ht="13.4" customHeight="1">
      <c r="A242" s="5"/>
      <c r="B242" s="5"/>
      <c r="C242" s="5"/>
      <c r="D242" s="158" t="str">
        <f>+D6</f>
        <v xml:space="preserve">  -----------</v>
      </c>
      <c r="E242" s="158" t="str">
        <f t="shared" ref="E242:M242" si="146">+E6</f>
        <v xml:space="preserve">  -----------</v>
      </c>
      <c r="F242" s="158" t="str">
        <f t="shared" si="146"/>
        <v xml:space="preserve">  -----------</v>
      </c>
      <c r="G242" s="158" t="str">
        <f t="shared" si="146"/>
        <v xml:space="preserve">  -----------</v>
      </c>
      <c r="H242" s="158" t="str">
        <f t="shared" si="146"/>
        <v xml:space="preserve">  -----------</v>
      </c>
      <c r="I242" s="158" t="str">
        <f t="shared" si="146"/>
        <v xml:space="preserve">  -----------</v>
      </c>
      <c r="J242" s="158" t="str">
        <f t="shared" si="146"/>
        <v xml:space="preserve">  -----------</v>
      </c>
      <c r="K242" s="158" t="str">
        <f t="shared" si="146"/>
        <v xml:space="preserve">  -----------</v>
      </c>
      <c r="L242" s="158" t="str">
        <f t="shared" si="146"/>
        <v xml:space="preserve">  -----------</v>
      </c>
      <c r="M242" s="158" t="str">
        <f t="shared" si="146"/>
        <v xml:space="preserve">  -----------</v>
      </c>
      <c r="N242" s="28"/>
    </row>
    <row r="243" spans="1:14" ht="13.4" customHeight="1">
      <c r="A243" s="30" t="s">
        <v>661</v>
      </c>
      <c r="B243" s="99"/>
      <c r="C243" t="s">
        <v>800</v>
      </c>
      <c r="D243" s="161" t="s">
        <v>801</v>
      </c>
      <c r="E243" s="1"/>
      <c r="N243" s="28"/>
    </row>
    <row r="244" spans="1:14" ht="13.4" customHeight="1">
      <c r="A244" s="26" t="s">
        <v>677</v>
      </c>
      <c r="B244" s="133">
        <v>29373</v>
      </c>
      <c r="C244" s="5" t="s">
        <v>639</v>
      </c>
      <c r="D244" s="75">
        <f>IF($D243="V",Input!G$68,IF(AND($B250=D$5,Input!G$63&gt;0),Input!G$63,$B247))</f>
        <v>0.05</v>
      </c>
      <c r="E244" s="75">
        <f>IF($D243="V",Input!H$68,IF(AND($B250=E$5,Input!H$63&gt;0),Input!H$63,D244))</f>
        <v>0.05</v>
      </c>
      <c r="F244" s="75">
        <f>IF($D243="V",Input!I$68,IF(AND($B250=F$5,Input!I$63&gt;0),Input!I$63,E244))</f>
        <v>0.05</v>
      </c>
      <c r="G244" s="75">
        <f>IF($D243="V",Input!J$68,IF(AND($B250=G$5,Input!J$63&gt;0),Input!J$63,F244))</f>
        <v>0.05</v>
      </c>
      <c r="H244" s="75">
        <f>IF($D243="V",Input!K$68,IF(AND($B250=H$5,Input!K$63&gt;0),Input!K$63,G244))</f>
        <v>0.05</v>
      </c>
      <c r="I244" s="75">
        <f>IF($D243="V",Input!L$68,IF(AND($B250=I$5,Input!L$63&gt;0),Input!L$63,H244))</f>
        <v>0.05</v>
      </c>
      <c r="J244" s="75">
        <f>IF($D243="V",Input!M$68,IF(AND($B250=J$5,Input!M$63&gt;0),Input!M$63,I244))</f>
        <v>0.05</v>
      </c>
      <c r="K244" s="75">
        <f>IF($D243="V",Input!N$68,IF(AND($B250=K$5,Input!N$63&gt;0),Input!N$63,J244))</f>
        <v>0.05</v>
      </c>
      <c r="L244" s="75">
        <f>IF($D243="V",Input!O$68,IF(AND($B250=L$5,Input!O$63&gt;0),Input!O$63,K244))</f>
        <v>0.05</v>
      </c>
      <c r="M244" s="75">
        <f>IF($D243="V",Input!P$68,IF(AND($B250=M$5,Input!P$63&gt;0),Input!P$63,L244))</f>
        <v>0.05</v>
      </c>
      <c r="N244" s="5"/>
    </row>
    <row r="245" spans="1:14" ht="13.4" customHeight="1">
      <c r="A245" s="5" t="s">
        <v>361</v>
      </c>
      <c r="B245" s="135">
        <v>0</v>
      </c>
      <c r="C245" s="27" t="s">
        <v>173</v>
      </c>
      <c r="D245" s="140">
        <v>0</v>
      </c>
      <c r="E245" s="28">
        <f t="shared" ref="E245:M245" si="147">D250</f>
        <v>0</v>
      </c>
      <c r="F245" s="28">
        <f t="shared" si="147"/>
        <v>0</v>
      </c>
      <c r="G245" s="28">
        <f t="shared" si="147"/>
        <v>0</v>
      </c>
      <c r="H245" s="28">
        <f t="shared" si="147"/>
        <v>0</v>
      </c>
      <c r="I245" s="28">
        <f t="shared" si="147"/>
        <v>0</v>
      </c>
      <c r="J245" s="28">
        <f t="shared" si="147"/>
        <v>0</v>
      </c>
      <c r="K245" s="28">
        <f t="shared" si="147"/>
        <v>0</v>
      </c>
      <c r="L245" s="28">
        <f t="shared" si="147"/>
        <v>0</v>
      </c>
      <c r="M245" s="28">
        <f t="shared" si="147"/>
        <v>0</v>
      </c>
      <c r="N245" s="28"/>
    </row>
    <row r="246" spans="1:14" ht="13.4" customHeight="1">
      <c r="A246" s="26" t="s">
        <v>170</v>
      </c>
      <c r="B246" s="131">
        <v>35</v>
      </c>
      <c r="C246" s="29" t="s">
        <v>169</v>
      </c>
      <c r="D246" s="28">
        <f>D248-D247</f>
        <v>0</v>
      </c>
      <c r="E246" s="28">
        <f>E248-E247</f>
        <v>0</v>
      </c>
      <c r="F246" s="28">
        <f t="shared" ref="F246:M246" si="148">F248-F247</f>
        <v>0</v>
      </c>
      <c r="G246" s="28">
        <f t="shared" si="148"/>
        <v>0</v>
      </c>
      <c r="H246" s="28">
        <f t="shared" si="148"/>
        <v>0</v>
      </c>
      <c r="I246" s="28">
        <f t="shared" si="148"/>
        <v>0</v>
      </c>
      <c r="J246" s="28">
        <f t="shared" si="148"/>
        <v>0</v>
      </c>
      <c r="K246" s="28">
        <f t="shared" si="148"/>
        <v>0</v>
      </c>
      <c r="L246" s="28">
        <f t="shared" si="148"/>
        <v>0</v>
      </c>
      <c r="M246" s="28">
        <f t="shared" si="148"/>
        <v>0</v>
      </c>
      <c r="N246" s="28"/>
    </row>
    <row r="247" spans="1:14" ht="13.4" customHeight="1">
      <c r="A247" s="5" t="s">
        <v>172</v>
      </c>
      <c r="B247" s="134">
        <f>B232</f>
        <v>0.05</v>
      </c>
      <c r="C247" s="5" t="s">
        <v>174</v>
      </c>
      <c r="D247" s="28">
        <f>IF(AND($B249="Y",YEAR($B244)+$B246&gt;D$5),D252,IF((YEAR($B244)+$B246)&gt;D$5,FV(D244/$B248,$B248,D251),D245))</f>
        <v>0</v>
      </c>
      <c r="E247" s="28">
        <f>IF(AND($B249="Y",YEAR($B244)+$B246&gt;E$5),E252,IF((YEAR($B244)+$B246)&gt;E$5,FV(E244/$B248,$B248,E251),E245))</f>
        <v>0</v>
      </c>
      <c r="F247" s="28">
        <f t="shared" ref="F247:M247" si="149">IF(AND($B249="Y",YEAR($B244)+$B246&gt;F$5),F252,IF((YEAR($B244)+$B246)&gt;F$5,FV(F244/$B248,$B248,F251),F245))</f>
        <v>0</v>
      </c>
      <c r="G247" s="28">
        <f t="shared" si="149"/>
        <v>0</v>
      </c>
      <c r="H247" s="28">
        <f t="shared" si="149"/>
        <v>0</v>
      </c>
      <c r="I247" s="28">
        <f t="shared" si="149"/>
        <v>0</v>
      </c>
      <c r="J247" s="28">
        <f t="shared" si="149"/>
        <v>0</v>
      </c>
      <c r="K247" s="28">
        <f t="shared" si="149"/>
        <v>0</v>
      </c>
      <c r="L247" s="28">
        <f t="shared" si="149"/>
        <v>0</v>
      </c>
      <c r="M247" s="28">
        <f t="shared" si="149"/>
        <v>0</v>
      </c>
      <c r="N247" s="28"/>
    </row>
    <row r="248" spans="1:14" ht="13.4" customHeight="1">
      <c r="A248" s="5" t="s">
        <v>171</v>
      </c>
      <c r="B248" s="131">
        <v>12</v>
      </c>
      <c r="C248" s="78" t="s">
        <v>640</v>
      </c>
      <c r="D248" s="28">
        <f>IF(AND($B249="Y",YEAR($B244)+$B246&gt;D$5),D252+D244*(D245-D252*0.5),IF((YEAR($B244)+$B246)&gt;D$5,(D245*D244/$B248-D251)*$B248,(D245*(1+D244*MONTH($B244)/12))))</f>
        <v>0</v>
      </c>
      <c r="E248" s="28">
        <f>IF(AND($B249="Y",YEAR($B244)+$B246&gt;E$5),E252+E244*(E245-E252*0.5),IF((YEAR($B244)+$B246)&gt;E$5,(E245*E244/$B248-E251)*$B248,(E245*(1+E244*MONTH($B244)/12))))</f>
        <v>0</v>
      </c>
      <c r="F248" s="28">
        <f t="shared" ref="F248:M248" si="150">IF(AND($B249="Y",YEAR($B244)+$B246&gt;F$5),F252+F244*(F245-F252*0.5),IF((YEAR($B244)+$B246)&gt;F$5,(F245*F244/$B248-F251)*$B248,(F245*(1+F244*MONTH($B244)/12))))</f>
        <v>0</v>
      </c>
      <c r="G248" s="28">
        <f t="shared" si="150"/>
        <v>0</v>
      </c>
      <c r="H248" s="28">
        <f t="shared" si="150"/>
        <v>0</v>
      </c>
      <c r="I248" s="28">
        <f t="shared" si="150"/>
        <v>0</v>
      </c>
      <c r="J248" s="28">
        <f t="shared" si="150"/>
        <v>0</v>
      </c>
      <c r="K248" s="28">
        <f t="shared" si="150"/>
        <v>0</v>
      </c>
      <c r="L248" s="28">
        <f t="shared" si="150"/>
        <v>0</v>
      </c>
      <c r="M248" s="28">
        <f t="shared" si="150"/>
        <v>0</v>
      </c>
      <c r="N248" s="28"/>
    </row>
    <row r="249" spans="1:14" ht="13.4" customHeight="1">
      <c r="A249" s="5" t="s">
        <v>767</v>
      </c>
      <c r="B249" s="131" t="s">
        <v>719</v>
      </c>
      <c r="C249" s="132" t="s">
        <v>768</v>
      </c>
      <c r="D249" s="140">
        <v>0</v>
      </c>
      <c r="E249" s="140">
        <v>0</v>
      </c>
      <c r="F249" s="140">
        <v>0</v>
      </c>
      <c r="G249" s="140">
        <v>0</v>
      </c>
      <c r="H249" s="140">
        <v>0</v>
      </c>
      <c r="I249" s="140">
        <v>0</v>
      </c>
      <c r="J249" s="140">
        <v>0</v>
      </c>
      <c r="K249" s="140">
        <v>0</v>
      </c>
      <c r="L249" s="140">
        <v>0</v>
      </c>
      <c r="M249" s="140">
        <v>0</v>
      </c>
      <c r="N249" s="28"/>
    </row>
    <row r="250" spans="1:14" ht="13.4" customHeight="1">
      <c r="A250" s="5" t="s">
        <v>182</v>
      </c>
      <c r="B250" s="131"/>
      <c r="C250" s="30" t="s">
        <v>175</v>
      </c>
      <c r="D250" s="28">
        <f t="shared" ref="D250:M250" si="151">D245+D246-D248-D249</f>
        <v>0</v>
      </c>
      <c r="E250" s="28">
        <f t="shared" si="151"/>
        <v>0</v>
      </c>
      <c r="F250" s="28">
        <f t="shared" si="151"/>
        <v>0</v>
      </c>
      <c r="G250" s="28">
        <f t="shared" si="151"/>
        <v>0</v>
      </c>
      <c r="H250" s="28">
        <f t="shared" si="151"/>
        <v>0</v>
      </c>
      <c r="I250" s="28">
        <f t="shared" si="151"/>
        <v>0</v>
      </c>
      <c r="J250" s="28">
        <f t="shared" si="151"/>
        <v>0</v>
      </c>
      <c r="K250" s="28">
        <f t="shared" si="151"/>
        <v>0</v>
      </c>
      <c r="L250" s="28">
        <f t="shared" si="151"/>
        <v>0</v>
      </c>
      <c r="M250" s="28">
        <f t="shared" si="151"/>
        <v>0</v>
      </c>
      <c r="N250" s="28"/>
    </row>
    <row r="251" spans="1:14" ht="13" hidden="1" customHeight="1">
      <c r="A251" s="5"/>
      <c r="B251" s="138"/>
      <c r="C251" s="5" t="s">
        <v>769</v>
      </c>
      <c r="D251" s="28" t="e">
        <f>PPMT(D244/$B248,1,ROUND(($B246-(D$5-YEAR($B244))+MONTH($B244)/12)*$B248,0),D245)</f>
        <v>#NUM!</v>
      </c>
      <c r="E251" s="28" t="e">
        <f>PPMT(E244/$B248,1,ROUND(($B246-(E$5-YEAR($B244))+MONTH($B244)/12)*$B248,0),E245)</f>
        <v>#NUM!</v>
      </c>
      <c r="F251" s="28" t="e">
        <f t="shared" ref="F251:M251" si="152">PPMT(F244/$B248,1,ROUND(($B246-(F$5-YEAR($B244))+MONTH($B244)/12)*$B248,0),F245)</f>
        <v>#NUM!</v>
      </c>
      <c r="G251" s="28" t="e">
        <f t="shared" si="152"/>
        <v>#NUM!</v>
      </c>
      <c r="H251" s="28" t="e">
        <f t="shared" si="152"/>
        <v>#NUM!</v>
      </c>
      <c r="I251" s="28" t="e">
        <f t="shared" si="152"/>
        <v>#NUM!</v>
      </c>
      <c r="J251" s="28" t="e">
        <f t="shared" si="152"/>
        <v>#NUM!</v>
      </c>
      <c r="K251" s="28" t="e">
        <f t="shared" si="152"/>
        <v>#NUM!</v>
      </c>
      <c r="L251" s="28" t="e">
        <f t="shared" si="152"/>
        <v>#NUM!</v>
      </c>
      <c r="M251" s="28" t="e">
        <f t="shared" si="152"/>
        <v>#NUM!</v>
      </c>
      <c r="N251" s="139"/>
    </row>
    <row r="252" spans="1:14" ht="13" hidden="1" customHeight="1">
      <c r="A252" s="5"/>
      <c r="B252" s="5"/>
      <c r="C252" s="5" t="s">
        <v>770</v>
      </c>
      <c r="D252" s="28">
        <f t="shared" ref="D252:M252" si="153">IF(YEAR($B244)+$B246&gt;D$5,D245/(YEAR($B244)+$B246-D$5+MONTH($B244)/12),D245)</f>
        <v>0</v>
      </c>
      <c r="E252" s="28">
        <f t="shared" si="153"/>
        <v>0</v>
      </c>
      <c r="F252" s="28">
        <f t="shared" si="153"/>
        <v>0</v>
      </c>
      <c r="G252" s="28">
        <f t="shared" si="153"/>
        <v>0</v>
      </c>
      <c r="H252" s="28">
        <f t="shared" si="153"/>
        <v>0</v>
      </c>
      <c r="I252" s="28">
        <f t="shared" si="153"/>
        <v>0</v>
      </c>
      <c r="J252" s="28">
        <f t="shared" si="153"/>
        <v>0</v>
      </c>
      <c r="K252" s="28">
        <f t="shared" si="153"/>
        <v>0</v>
      </c>
      <c r="L252" s="28">
        <f t="shared" si="153"/>
        <v>0</v>
      </c>
      <c r="M252" s="28">
        <f t="shared" si="153"/>
        <v>0</v>
      </c>
      <c r="N252" s="139"/>
    </row>
    <row r="253" spans="1:14" ht="13.4" customHeight="1">
      <c r="C253" s="5"/>
      <c r="D253" s="28"/>
      <c r="E253" s="28"/>
      <c r="F253" s="28"/>
      <c r="G253" s="28"/>
      <c r="H253" s="28"/>
      <c r="I253" s="28"/>
      <c r="J253" s="28"/>
      <c r="K253" s="28"/>
      <c r="L253" s="28"/>
      <c r="M253" s="28"/>
      <c r="N253" s="31"/>
    </row>
    <row r="254" spans="1:14" ht="13.4" customHeight="1">
      <c r="A254" s="30" t="s">
        <v>662</v>
      </c>
      <c r="B254" s="99"/>
      <c r="C254" t="s">
        <v>800</v>
      </c>
      <c r="D254" s="161" t="s">
        <v>801</v>
      </c>
      <c r="E254" s="1"/>
      <c r="N254" s="28"/>
    </row>
    <row r="255" spans="1:14" ht="13.4" customHeight="1">
      <c r="A255" s="26" t="s">
        <v>677</v>
      </c>
      <c r="B255" s="133">
        <v>29373</v>
      </c>
      <c r="C255" s="5" t="s">
        <v>639</v>
      </c>
      <c r="D255" s="75">
        <f>IF($D254="V",Input!G$68,IF(AND($B261=D$5,Input!G$63&gt;0),Input!G$63,$B258))</f>
        <v>0.05</v>
      </c>
      <c r="E255" s="75">
        <f>IF($D254="V",Input!H$68,IF(AND($B261=E$5,Input!H$63&gt;0),Input!H$63,D255))</f>
        <v>0.05</v>
      </c>
      <c r="F255" s="75">
        <f>IF($D254="V",Input!I$68,IF(AND($B261=F$5,Input!I$63&gt;0),Input!I$63,E255))</f>
        <v>0.05</v>
      </c>
      <c r="G255" s="75">
        <f>IF($D254="V",Input!J$68,IF(AND($B261=G$5,Input!J$63&gt;0),Input!J$63,F255))</f>
        <v>0.05</v>
      </c>
      <c r="H255" s="75">
        <f>IF($D254="V",Input!K$68,IF(AND($B261=H$5,Input!K$63&gt;0),Input!K$63,G255))</f>
        <v>0.05</v>
      </c>
      <c r="I255" s="75">
        <f>IF($D254="V",Input!L$68,IF(AND($B261=I$5,Input!L$63&gt;0),Input!L$63,H255))</f>
        <v>0.05</v>
      </c>
      <c r="J255" s="75">
        <f>IF($D254="V",Input!M$68,IF(AND($B261=J$5,Input!M$63&gt;0),Input!M$63,I255))</f>
        <v>0.05</v>
      </c>
      <c r="K255" s="75">
        <f>IF($D254="V",Input!N$68,IF(AND($B261=K$5,Input!N$63&gt;0),Input!N$63,J255))</f>
        <v>0.05</v>
      </c>
      <c r="L255" s="75">
        <f>IF($D254="V",Input!O$68,IF(AND($B261=L$5,Input!O$63&gt;0),Input!O$63,K255))</f>
        <v>0.05</v>
      </c>
      <c r="M255" s="75">
        <f>IF($D254="V",Input!P$68,IF(AND($B261=M$5,Input!P$63&gt;0),Input!P$63,L255))</f>
        <v>0.05</v>
      </c>
      <c r="N255" s="5"/>
    </row>
    <row r="256" spans="1:14" ht="13.4" customHeight="1">
      <c r="A256" s="5" t="s">
        <v>361</v>
      </c>
      <c r="B256" s="135">
        <v>0</v>
      </c>
      <c r="C256" s="27" t="s">
        <v>173</v>
      </c>
      <c r="D256" s="140">
        <v>0</v>
      </c>
      <c r="E256" s="28">
        <f t="shared" ref="E256:M256" si="154">D261</f>
        <v>0</v>
      </c>
      <c r="F256" s="28">
        <f t="shared" si="154"/>
        <v>0</v>
      </c>
      <c r="G256" s="28">
        <f t="shared" si="154"/>
        <v>0</v>
      </c>
      <c r="H256" s="28">
        <f t="shared" si="154"/>
        <v>0</v>
      </c>
      <c r="I256" s="28">
        <f t="shared" si="154"/>
        <v>0</v>
      </c>
      <c r="J256" s="28">
        <f t="shared" si="154"/>
        <v>0</v>
      </c>
      <c r="K256" s="28">
        <f t="shared" si="154"/>
        <v>0</v>
      </c>
      <c r="L256" s="28">
        <f t="shared" si="154"/>
        <v>0</v>
      </c>
      <c r="M256" s="28">
        <f t="shared" si="154"/>
        <v>0</v>
      </c>
      <c r="N256" s="28"/>
    </row>
    <row r="257" spans="1:14" ht="13.4" customHeight="1">
      <c r="A257" s="26" t="s">
        <v>170</v>
      </c>
      <c r="B257" s="131">
        <v>35</v>
      </c>
      <c r="C257" s="29" t="s">
        <v>169</v>
      </c>
      <c r="D257" s="28">
        <f>D259-D258</f>
        <v>0</v>
      </c>
      <c r="E257" s="28">
        <f>E259-E258</f>
        <v>0</v>
      </c>
      <c r="F257" s="28">
        <f t="shared" ref="F257:M257" si="155">F259-F258</f>
        <v>0</v>
      </c>
      <c r="G257" s="28">
        <f t="shared" si="155"/>
        <v>0</v>
      </c>
      <c r="H257" s="28">
        <f t="shared" si="155"/>
        <v>0</v>
      </c>
      <c r="I257" s="28">
        <f t="shared" si="155"/>
        <v>0</v>
      </c>
      <c r="J257" s="28">
        <f t="shared" si="155"/>
        <v>0</v>
      </c>
      <c r="K257" s="28">
        <f t="shared" si="155"/>
        <v>0</v>
      </c>
      <c r="L257" s="28">
        <f t="shared" si="155"/>
        <v>0</v>
      </c>
      <c r="M257" s="28">
        <f t="shared" si="155"/>
        <v>0</v>
      </c>
      <c r="N257" s="28"/>
    </row>
    <row r="258" spans="1:14" ht="13.4" customHeight="1">
      <c r="A258" s="5" t="s">
        <v>172</v>
      </c>
      <c r="B258" s="134">
        <f>B247</f>
        <v>0.05</v>
      </c>
      <c r="C258" s="5" t="s">
        <v>174</v>
      </c>
      <c r="D258" s="28">
        <f>IF(AND($B260="Y",YEAR($B255)+$B257&gt;D$5),D263,IF((YEAR($B255)+$B257)&gt;D$5,FV(D255/$B259,$B259,D262),D256))</f>
        <v>0</v>
      </c>
      <c r="E258" s="28">
        <f>IF(AND($B260="Y",YEAR($B255)+$B257&gt;E$5),E263,IF((YEAR($B255)+$B257)&gt;E$5,FV(E255/$B259,$B259,E262),E256))</f>
        <v>0</v>
      </c>
      <c r="F258" s="28">
        <f t="shared" ref="F258:M258" si="156">IF(AND($B260="Y",YEAR($B255)+$B257&gt;F$5),F263,IF((YEAR($B255)+$B257)&gt;F$5,FV(F255/$B259,$B259,F262),F256))</f>
        <v>0</v>
      </c>
      <c r="G258" s="28">
        <f t="shared" si="156"/>
        <v>0</v>
      </c>
      <c r="H258" s="28">
        <f t="shared" si="156"/>
        <v>0</v>
      </c>
      <c r="I258" s="28">
        <f t="shared" si="156"/>
        <v>0</v>
      </c>
      <c r="J258" s="28">
        <f t="shared" si="156"/>
        <v>0</v>
      </c>
      <c r="K258" s="28">
        <f t="shared" si="156"/>
        <v>0</v>
      </c>
      <c r="L258" s="28">
        <f t="shared" si="156"/>
        <v>0</v>
      </c>
      <c r="M258" s="28">
        <f t="shared" si="156"/>
        <v>0</v>
      </c>
      <c r="N258" s="28"/>
    </row>
    <row r="259" spans="1:14" ht="13.4" customHeight="1">
      <c r="A259" s="5" t="s">
        <v>171</v>
      </c>
      <c r="B259" s="131">
        <v>12</v>
      </c>
      <c r="C259" s="78" t="s">
        <v>640</v>
      </c>
      <c r="D259" s="28">
        <f>IF(AND($B260="Y",YEAR($B255)+$B257&gt;D$5),D263+D255*(D256-D263*0.5),IF((YEAR($B255)+$B257)&gt;D$5,(D256*D255/$B259-D262)*$B259,(D256*(1+D255*MONTH($B255)/12))))</f>
        <v>0</v>
      </c>
      <c r="E259" s="28">
        <f>IF(AND($B260="Y",YEAR($B255)+$B257&gt;E$5),E263+E255*(E256-E263*0.5),IF((YEAR($B255)+$B257)&gt;E$5,(E256*E255/$B259-E262)*$B259,(E256*(1+E255*MONTH($B255)/12))))</f>
        <v>0</v>
      </c>
      <c r="F259" s="28">
        <f t="shared" ref="F259:M259" si="157">IF(AND($B260="Y",YEAR($B255)+$B257&gt;F$5),F263+F255*(F256-F263*0.5),IF((YEAR($B255)+$B257)&gt;F$5,(F256*F255/$B259-F262)*$B259,(F256*(1+F255*MONTH($B255)/12))))</f>
        <v>0</v>
      </c>
      <c r="G259" s="28">
        <f t="shared" si="157"/>
        <v>0</v>
      </c>
      <c r="H259" s="28">
        <f t="shared" si="157"/>
        <v>0</v>
      </c>
      <c r="I259" s="28">
        <f t="shared" si="157"/>
        <v>0</v>
      </c>
      <c r="J259" s="28">
        <f t="shared" si="157"/>
        <v>0</v>
      </c>
      <c r="K259" s="28">
        <f t="shared" si="157"/>
        <v>0</v>
      </c>
      <c r="L259" s="28">
        <f t="shared" si="157"/>
        <v>0</v>
      </c>
      <c r="M259" s="28">
        <f t="shared" si="157"/>
        <v>0</v>
      </c>
      <c r="N259" s="28"/>
    </row>
    <row r="260" spans="1:14" ht="13.4" customHeight="1">
      <c r="A260" s="5" t="s">
        <v>767</v>
      </c>
      <c r="B260" s="131" t="s">
        <v>719</v>
      </c>
      <c r="C260" s="132" t="s">
        <v>768</v>
      </c>
      <c r="D260" s="140">
        <v>0</v>
      </c>
      <c r="E260" s="140">
        <v>0</v>
      </c>
      <c r="F260" s="140">
        <v>0</v>
      </c>
      <c r="G260" s="140">
        <v>0</v>
      </c>
      <c r="H260" s="140">
        <v>0</v>
      </c>
      <c r="I260" s="140">
        <v>0</v>
      </c>
      <c r="J260" s="140">
        <v>0</v>
      </c>
      <c r="K260" s="140">
        <v>0</v>
      </c>
      <c r="L260" s="140">
        <v>0</v>
      </c>
      <c r="M260" s="140">
        <v>0</v>
      </c>
      <c r="N260" s="28"/>
    </row>
    <row r="261" spans="1:14" ht="13.4" customHeight="1">
      <c r="A261" s="5" t="s">
        <v>182</v>
      </c>
      <c r="B261" s="131"/>
      <c r="C261" s="30" t="s">
        <v>175</v>
      </c>
      <c r="D261" s="28">
        <f t="shared" ref="D261:M261" si="158">D256+D257-D259-D260</f>
        <v>0</v>
      </c>
      <c r="E261" s="28">
        <f t="shared" si="158"/>
        <v>0</v>
      </c>
      <c r="F261" s="28">
        <f t="shared" si="158"/>
        <v>0</v>
      </c>
      <c r="G261" s="28">
        <f t="shared" si="158"/>
        <v>0</v>
      </c>
      <c r="H261" s="28">
        <f t="shared" si="158"/>
        <v>0</v>
      </c>
      <c r="I261" s="28">
        <f t="shared" si="158"/>
        <v>0</v>
      </c>
      <c r="J261" s="28">
        <f t="shared" si="158"/>
        <v>0</v>
      </c>
      <c r="K261" s="28">
        <f t="shared" si="158"/>
        <v>0</v>
      </c>
      <c r="L261" s="28">
        <f t="shared" si="158"/>
        <v>0</v>
      </c>
      <c r="M261" s="28">
        <f t="shared" si="158"/>
        <v>0</v>
      </c>
      <c r="N261" s="28"/>
    </row>
    <row r="262" spans="1:14" ht="13" hidden="1" customHeight="1">
      <c r="A262" s="5"/>
      <c r="B262" s="138"/>
      <c r="C262" s="5" t="s">
        <v>769</v>
      </c>
      <c r="D262" s="28" t="e">
        <f>PPMT(D255/$B259,1,ROUND(($B257-(D$5-YEAR($B255))+MONTH($B255)/12)*$B259,0),D256)</f>
        <v>#NUM!</v>
      </c>
      <c r="E262" s="28" t="e">
        <f>PPMT(E255/$B259,1,ROUND(($B257-(E$5-YEAR($B255))+MONTH($B255)/12)*$B259,0),E256)</f>
        <v>#NUM!</v>
      </c>
      <c r="F262" s="28" t="e">
        <f t="shared" ref="F262:M262" si="159">PPMT(F255/$B259,1,ROUND(($B257-(F$5-YEAR($B255))+MONTH($B255)/12)*$B259,0),F256)</f>
        <v>#NUM!</v>
      </c>
      <c r="G262" s="28" t="e">
        <f t="shared" si="159"/>
        <v>#NUM!</v>
      </c>
      <c r="H262" s="28" t="e">
        <f t="shared" si="159"/>
        <v>#NUM!</v>
      </c>
      <c r="I262" s="28" t="e">
        <f t="shared" si="159"/>
        <v>#NUM!</v>
      </c>
      <c r="J262" s="28" t="e">
        <f t="shared" si="159"/>
        <v>#NUM!</v>
      </c>
      <c r="K262" s="28" t="e">
        <f t="shared" si="159"/>
        <v>#NUM!</v>
      </c>
      <c r="L262" s="28" t="e">
        <f t="shared" si="159"/>
        <v>#NUM!</v>
      </c>
      <c r="M262" s="28" t="e">
        <f t="shared" si="159"/>
        <v>#NUM!</v>
      </c>
      <c r="N262" s="139"/>
    </row>
    <row r="263" spans="1:14" ht="13" hidden="1" customHeight="1">
      <c r="A263" s="5"/>
      <c r="B263" s="5"/>
      <c r="C263" s="5" t="s">
        <v>770</v>
      </c>
      <c r="D263" s="28">
        <f t="shared" ref="D263:M263" si="160">IF(YEAR($B255)+$B257&gt;D$5,D256/(YEAR($B255)+$B257-D$5+MONTH($B255)/12),D256)</f>
        <v>0</v>
      </c>
      <c r="E263" s="28">
        <f t="shared" si="160"/>
        <v>0</v>
      </c>
      <c r="F263" s="28">
        <f t="shared" si="160"/>
        <v>0</v>
      </c>
      <c r="G263" s="28">
        <f t="shared" si="160"/>
        <v>0</v>
      </c>
      <c r="H263" s="28">
        <f t="shared" si="160"/>
        <v>0</v>
      </c>
      <c r="I263" s="28">
        <f t="shared" si="160"/>
        <v>0</v>
      </c>
      <c r="J263" s="28">
        <f t="shared" si="160"/>
        <v>0</v>
      </c>
      <c r="K263" s="28">
        <f t="shared" si="160"/>
        <v>0</v>
      </c>
      <c r="L263" s="28">
        <f t="shared" si="160"/>
        <v>0</v>
      </c>
      <c r="M263" s="28">
        <f t="shared" si="160"/>
        <v>0</v>
      </c>
      <c r="N263" s="139"/>
    </row>
    <row r="264" spans="1:14" ht="13.4" customHeight="1">
      <c r="A264" s="5"/>
      <c r="B264" s="5"/>
      <c r="C264" s="5"/>
      <c r="D264" s="28"/>
      <c r="E264" s="28"/>
      <c r="F264" s="28"/>
      <c r="G264" s="28"/>
      <c r="H264" s="28"/>
      <c r="I264" s="28"/>
      <c r="J264" s="28"/>
      <c r="K264" s="28"/>
      <c r="L264" s="28"/>
      <c r="M264" s="28"/>
      <c r="N264" s="31"/>
    </row>
    <row r="265" spans="1:14" ht="13.4" customHeight="1">
      <c r="A265" s="30" t="s">
        <v>663</v>
      </c>
      <c r="B265" s="99"/>
      <c r="C265" t="s">
        <v>800</v>
      </c>
      <c r="D265" s="161" t="s">
        <v>801</v>
      </c>
      <c r="E265" s="1"/>
      <c r="N265" s="28"/>
    </row>
    <row r="266" spans="1:14" ht="13.4" customHeight="1">
      <c r="A266" s="26" t="s">
        <v>677</v>
      </c>
      <c r="B266" s="133">
        <v>29373</v>
      </c>
      <c r="C266" s="5" t="s">
        <v>639</v>
      </c>
      <c r="D266" s="75">
        <f>IF($D265="V",Input!G$68,IF(AND($B272=D$5,Input!G$63&gt;0),Input!G$63,$B269))</f>
        <v>0.05</v>
      </c>
      <c r="E266" s="75">
        <f>IF($D265="V",Input!H$68,IF(AND($B272=E$5,Input!H$63&gt;0),Input!H$63,D266))</f>
        <v>0.05</v>
      </c>
      <c r="F266" s="75">
        <f>IF($D265="V",Input!I$68,IF(AND($B272=F$5,Input!I$63&gt;0),Input!I$63,E266))</f>
        <v>0.05</v>
      </c>
      <c r="G266" s="75">
        <f>IF($D265="V",Input!J$68,IF(AND($B272=G$5,Input!J$63&gt;0),Input!J$63,F266))</f>
        <v>0.05</v>
      </c>
      <c r="H266" s="75">
        <f>IF($D265="V",Input!K$68,IF(AND($B272=H$5,Input!K$63&gt;0),Input!K$63,G266))</f>
        <v>0.05</v>
      </c>
      <c r="I266" s="75">
        <f>IF($D265="V",Input!L$68,IF(AND($B272=I$5,Input!L$63&gt;0),Input!L$63,H266))</f>
        <v>0.05</v>
      </c>
      <c r="J266" s="75">
        <f>IF($D265="V",Input!M$68,IF(AND($B272=J$5,Input!M$63&gt;0),Input!M$63,I266))</f>
        <v>0.05</v>
      </c>
      <c r="K266" s="75">
        <f>IF($D265="V",Input!N$68,IF(AND($B272=K$5,Input!N$63&gt;0),Input!N$63,J266))</f>
        <v>0.05</v>
      </c>
      <c r="L266" s="75">
        <f>IF($D265="V",Input!O$68,IF(AND($B272=L$5,Input!O$63&gt;0),Input!O$63,K266))</f>
        <v>0.05</v>
      </c>
      <c r="M266" s="75">
        <f>IF($D265="V",Input!P$68,IF(AND($B272=M$5,Input!P$63&gt;0),Input!P$63,L266))</f>
        <v>0.05</v>
      </c>
      <c r="N266" s="5"/>
    </row>
    <row r="267" spans="1:14" ht="13.4" customHeight="1">
      <c r="A267" s="5" t="s">
        <v>361</v>
      </c>
      <c r="B267" s="135">
        <v>0</v>
      </c>
      <c r="C267" s="27" t="s">
        <v>173</v>
      </c>
      <c r="D267" s="140">
        <v>0</v>
      </c>
      <c r="E267" s="28">
        <f t="shared" ref="E267:M267" si="161">D272</f>
        <v>0</v>
      </c>
      <c r="F267" s="28">
        <f t="shared" si="161"/>
        <v>0</v>
      </c>
      <c r="G267" s="28">
        <f t="shared" si="161"/>
        <v>0</v>
      </c>
      <c r="H267" s="28">
        <f t="shared" si="161"/>
        <v>0</v>
      </c>
      <c r="I267" s="28">
        <f t="shared" si="161"/>
        <v>0</v>
      </c>
      <c r="J267" s="28">
        <f t="shared" si="161"/>
        <v>0</v>
      </c>
      <c r="K267" s="28">
        <f t="shared" si="161"/>
        <v>0</v>
      </c>
      <c r="L267" s="28">
        <f t="shared" si="161"/>
        <v>0</v>
      </c>
      <c r="M267" s="28">
        <f t="shared" si="161"/>
        <v>0</v>
      </c>
      <c r="N267" s="28"/>
    </row>
    <row r="268" spans="1:14" ht="13.4" customHeight="1">
      <c r="A268" s="26" t="s">
        <v>170</v>
      </c>
      <c r="B268" s="131">
        <v>35</v>
      </c>
      <c r="C268" s="29" t="s">
        <v>169</v>
      </c>
      <c r="D268" s="28">
        <f>D270-D269</f>
        <v>0</v>
      </c>
      <c r="E268" s="28">
        <f>E270-E269</f>
        <v>0</v>
      </c>
      <c r="F268" s="28">
        <f t="shared" ref="F268:M268" si="162">F270-F269</f>
        <v>0</v>
      </c>
      <c r="G268" s="28">
        <f t="shared" si="162"/>
        <v>0</v>
      </c>
      <c r="H268" s="28">
        <f t="shared" si="162"/>
        <v>0</v>
      </c>
      <c r="I268" s="28">
        <f t="shared" si="162"/>
        <v>0</v>
      </c>
      <c r="J268" s="28">
        <f t="shared" si="162"/>
        <v>0</v>
      </c>
      <c r="K268" s="28">
        <f t="shared" si="162"/>
        <v>0</v>
      </c>
      <c r="L268" s="28">
        <f t="shared" si="162"/>
        <v>0</v>
      </c>
      <c r="M268" s="28">
        <f t="shared" si="162"/>
        <v>0</v>
      </c>
      <c r="N268" s="28"/>
    </row>
    <row r="269" spans="1:14" ht="13.4" customHeight="1">
      <c r="A269" s="5" t="s">
        <v>172</v>
      </c>
      <c r="B269" s="134">
        <f>B258</f>
        <v>0.05</v>
      </c>
      <c r="C269" s="5" t="s">
        <v>174</v>
      </c>
      <c r="D269" s="28">
        <f>IF(AND($B271="Y",YEAR($B266)+$B268&gt;D$5),D274,IF((YEAR($B266)+$B268)&gt;D$5,FV(D266/$B270,$B270,D273),D267))</f>
        <v>0</v>
      </c>
      <c r="E269" s="28">
        <f>IF(AND($B271="Y",YEAR($B266)+$B268&gt;E$5),E274,IF((YEAR($B266)+$B268)&gt;E$5,FV(E266/$B270,$B270,E273),E267))</f>
        <v>0</v>
      </c>
      <c r="F269" s="28">
        <f t="shared" ref="F269:M269" si="163">IF(AND($B271="Y",YEAR($B266)+$B268&gt;F$5),F274,IF((YEAR($B266)+$B268)&gt;F$5,FV(F266/$B270,$B270,F273),F267))</f>
        <v>0</v>
      </c>
      <c r="G269" s="28">
        <f t="shared" si="163"/>
        <v>0</v>
      </c>
      <c r="H269" s="28">
        <f t="shared" si="163"/>
        <v>0</v>
      </c>
      <c r="I269" s="28">
        <f t="shared" si="163"/>
        <v>0</v>
      </c>
      <c r="J269" s="28">
        <f t="shared" si="163"/>
        <v>0</v>
      </c>
      <c r="K269" s="28">
        <f t="shared" si="163"/>
        <v>0</v>
      </c>
      <c r="L269" s="28">
        <f t="shared" si="163"/>
        <v>0</v>
      </c>
      <c r="M269" s="28">
        <f t="shared" si="163"/>
        <v>0</v>
      </c>
      <c r="N269" s="28"/>
    </row>
    <row r="270" spans="1:14" ht="13.4" customHeight="1">
      <c r="A270" s="5" t="s">
        <v>171</v>
      </c>
      <c r="B270" s="131">
        <v>12</v>
      </c>
      <c r="C270" s="78" t="s">
        <v>640</v>
      </c>
      <c r="D270" s="28">
        <f>IF(AND($B271="Y",YEAR($B266)+$B268&gt;D$5),D274+D266*(D267-D274*0.5),IF((YEAR($B266)+$B268)&gt;D$5,(D267*D266/$B270-D273)*$B270,(D267*(1+D266*MONTH($B266)/12))))</f>
        <v>0</v>
      </c>
      <c r="E270" s="28">
        <f>IF(AND($B271="Y",YEAR($B266)+$B268&gt;E$5),E274+E266*(E267-E274*0.5),IF((YEAR($B266)+$B268)&gt;E$5,(E267*E266/$B270-E273)*$B270,(E267*(1+E266*MONTH($B266)/12))))</f>
        <v>0</v>
      </c>
      <c r="F270" s="28">
        <f t="shared" ref="F270:M270" si="164">IF(AND($B271="Y",YEAR($B266)+$B268&gt;F$5),F274+F266*(F267-F274*0.5),IF((YEAR($B266)+$B268)&gt;F$5,(F267*F266/$B270-F273)*$B270,(F267*(1+F266*MONTH($B266)/12))))</f>
        <v>0</v>
      </c>
      <c r="G270" s="28">
        <f t="shared" si="164"/>
        <v>0</v>
      </c>
      <c r="H270" s="28">
        <f t="shared" si="164"/>
        <v>0</v>
      </c>
      <c r="I270" s="28">
        <f t="shared" si="164"/>
        <v>0</v>
      </c>
      <c r="J270" s="28">
        <f t="shared" si="164"/>
        <v>0</v>
      </c>
      <c r="K270" s="28">
        <f t="shared" si="164"/>
        <v>0</v>
      </c>
      <c r="L270" s="28">
        <f t="shared" si="164"/>
        <v>0</v>
      </c>
      <c r="M270" s="28">
        <f t="shared" si="164"/>
        <v>0</v>
      </c>
      <c r="N270" s="28"/>
    </row>
    <row r="271" spans="1:14" ht="13.4" customHeight="1">
      <c r="A271" s="5" t="s">
        <v>767</v>
      </c>
      <c r="B271" s="131" t="s">
        <v>719</v>
      </c>
      <c r="C271" s="132" t="s">
        <v>768</v>
      </c>
      <c r="D271" s="140">
        <v>0</v>
      </c>
      <c r="E271" s="140">
        <v>0</v>
      </c>
      <c r="F271" s="140">
        <v>0</v>
      </c>
      <c r="G271" s="140">
        <v>0</v>
      </c>
      <c r="H271" s="140">
        <v>0</v>
      </c>
      <c r="I271" s="140">
        <v>0</v>
      </c>
      <c r="J271" s="140">
        <v>0</v>
      </c>
      <c r="K271" s="140">
        <v>0</v>
      </c>
      <c r="L271" s="140">
        <v>0</v>
      </c>
      <c r="M271" s="140">
        <v>0</v>
      </c>
      <c r="N271" s="28"/>
    </row>
    <row r="272" spans="1:14" ht="13.4" customHeight="1">
      <c r="A272" s="5" t="s">
        <v>182</v>
      </c>
      <c r="B272" s="131"/>
      <c r="C272" s="30" t="s">
        <v>175</v>
      </c>
      <c r="D272" s="28">
        <f t="shared" ref="D272:M272" si="165">D267+D268-D270-D271</f>
        <v>0</v>
      </c>
      <c r="E272" s="28">
        <f t="shared" si="165"/>
        <v>0</v>
      </c>
      <c r="F272" s="28">
        <f t="shared" si="165"/>
        <v>0</v>
      </c>
      <c r="G272" s="28">
        <f t="shared" si="165"/>
        <v>0</v>
      </c>
      <c r="H272" s="28">
        <f t="shared" si="165"/>
        <v>0</v>
      </c>
      <c r="I272" s="28">
        <f t="shared" si="165"/>
        <v>0</v>
      </c>
      <c r="J272" s="28">
        <f t="shared" si="165"/>
        <v>0</v>
      </c>
      <c r="K272" s="28">
        <f t="shared" si="165"/>
        <v>0</v>
      </c>
      <c r="L272" s="28">
        <f t="shared" si="165"/>
        <v>0</v>
      </c>
      <c r="M272" s="28">
        <f t="shared" si="165"/>
        <v>0</v>
      </c>
      <c r="N272" s="28"/>
    </row>
    <row r="273" spans="1:14" ht="13" hidden="1" customHeight="1">
      <c r="A273" s="5"/>
      <c r="B273" s="138"/>
      <c r="C273" s="5" t="s">
        <v>769</v>
      </c>
      <c r="D273" s="28" t="e">
        <f>PPMT(D266/$B270,1,ROUND(($B268-(D$5-YEAR($B266))+MONTH($B266)/12)*$B270,0),D267)</f>
        <v>#NUM!</v>
      </c>
      <c r="E273" s="28" t="e">
        <f>PPMT(E266/$B270,1,ROUND(($B268-(E$5-YEAR($B266))+MONTH($B266)/12)*$B270,0),E267)</f>
        <v>#NUM!</v>
      </c>
      <c r="F273" s="28" t="e">
        <f t="shared" ref="F273:M273" si="166">PPMT(F266/$B270,1,ROUND(($B268-(F$5-YEAR($B266))+MONTH($B266)/12)*$B270,0),F267)</f>
        <v>#NUM!</v>
      </c>
      <c r="G273" s="28" t="e">
        <f t="shared" si="166"/>
        <v>#NUM!</v>
      </c>
      <c r="H273" s="28" t="e">
        <f t="shared" si="166"/>
        <v>#NUM!</v>
      </c>
      <c r="I273" s="28" t="e">
        <f t="shared" si="166"/>
        <v>#NUM!</v>
      </c>
      <c r="J273" s="28" t="e">
        <f t="shared" si="166"/>
        <v>#NUM!</v>
      </c>
      <c r="K273" s="28" t="e">
        <f t="shared" si="166"/>
        <v>#NUM!</v>
      </c>
      <c r="L273" s="28" t="e">
        <f t="shared" si="166"/>
        <v>#NUM!</v>
      </c>
      <c r="M273" s="28" t="e">
        <f t="shared" si="166"/>
        <v>#NUM!</v>
      </c>
      <c r="N273" s="139"/>
    </row>
    <row r="274" spans="1:14" ht="13" hidden="1" customHeight="1">
      <c r="A274" s="5"/>
      <c r="B274" s="5"/>
      <c r="C274" s="5" t="s">
        <v>770</v>
      </c>
      <c r="D274" s="28">
        <f t="shared" ref="D274:M274" si="167">IF(YEAR($B266)+$B268&gt;D$5,D267/(YEAR($B266)+$B268-D$5+MONTH($B266)/12),D267)</f>
        <v>0</v>
      </c>
      <c r="E274" s="28">
        <f t="shared" si="167"/>
        <v>0</v>
      </c>
      <c r="F274" s="28">
        <f t="shared" si="167"/>
        <v>0</v>
      </c>
      <c r="G274" s="28">
        <f t="shared" si="167"/>
        <v>0</v>
      </c>
      <c r="H274" s="28">
        <f t="shared" si="167"/>
        <v>0</v>
      </c>
      <c r="I274" s="28">
        <f t="shared" si="167"/>
        <v>0</v>
      </c>
      <c r="J274" s="28">
        <f t="shared" si="167"/>
        <v>0</v>
      </c>
      <c r="K274" s="28">
        <f t="shared" si="167"/>
        <v>0</v>
      </c>
      <c r="L274" s="28">
        <f t="shared" si="167"/>
        <v>0</v>
      </c>
      <c r="M274" s="28">
        <f t="shared" si="167"/>
        <v>0</v>
      </c>
      <c r="N274" s="139"/>
    </row>
    <row r="275" spans="1:14" ht="13.4" customHeight="1">
      <c r="A275" s="5"/>
      <c r="B275" s="5"/>
      <c r="C275" s="5"/>
      <c r="D275" s="28"/>
      <c r="E275" s="28"/>
      <c r="F275" s="28"/>
      <c r="G275" s="28"/>
      <c r="H275" s="28"/>
      <c r="I275" s="28"/>
      <c r="J275" s="28"/>
      <c r="K275" s="28"/>
      <c r="L275" s="28"/>
      <c r="M275" s="28"/>
      <c r="N275" s="31"/>
    </row>
    <row r="276" spans="1:14" ht="13.4" customHeight="1">
      <c r="A276" s="30" t="s">
        <v>664</v>
      </c>
      <c r="B276" s="99"/>
      <c r="C276" t="s">
        <v>800</v>
      </c>
      <c r="D276" s="161" t="s">
        <v>801</v>
      </c>
      <c r="E276" s="1"/>
      <c r="N276" s="28"/>
    </row>
    <row r="277" spans="1:14" ht="13.4" customHeight="1">
      <c r="A277" s="26" t="s">
        <v>677</v>
      </c>
      <c r="B277" s="133">
        <v>29373</v>
      </c>
      <c r="C277" s="5" t="s">
        <v>639</v>
      </c>
      <c r="D277" s="75">
        <f>IF($D276="V",Input!G$68,IF(AND($B283=D$5,Input!G$63&gt;0),Input!G$63,$B280))</f>
        <v>0.05</v>
      </c>
      <c r="E277" s="75">
        <f>IF($D276="V",Input!H$68,IF(AND($B283=E$5,Input!H$63&gt;0),Input!H$63,D277))</f>
        <v>0.05</v>
      </c>
      <c r="F277" s="75">
        <f>IF($D276="V",Input!I$68,IF(AND($B283=F$5,Input!I$63&gt;0),Input!I$63,E277))</f>
        <v>0.05</v>
      </c>
      <c r="G277" s="75">
        <f>IF($D276="V",Input!J$68,IF(AND($B283=G$5,Input!J$63&gt;0),Input!J$63,F277))</f>
        <v>0.05</v>
      </c>
      <c r="H277" s="75">
        <f>IF($D276="V",Input!K$68,IF(AND($B283=H$5,Input!K$63&gt;0),Input!K$63,G277))</f>
        <v>0.05</v>
      </c>
      <c r="I277" s="75">
        <f>IF($D276="V",Input!L$68,IF(AND($B283=I$5,Input!L$63&gt;0),Input!L$63,H277))</f>
        <v>0.05</v>
      </c>
      <c r="J277" s="75">
        <f>IF($D276="V",Input!M$68,IF(AND($B283=J$5,Input!M$63&gt;0),Input!M$63,I277))</f>
        <v>0.05</v>
      </c>
      <c r="K277" s="75">
        <f>IF($D276="V",Input!N$68,IF(AND($B283=K$5,Input!N$63&gt;0),Input!N$63,J277))</f>
        <v>0.05</v>
      </c>
      <c r="L277" s="75">
        <f>IF($D276="V",Input!O$68,IF(AND($B283=L$5,Input!O$63&gt;0),Input!O$63,K277))</f>
        <v>0.05</v>
      </c>
      <c r="M277" s="75">
        <f>IF($D276="V",Input!P$68,IF(AND($B283=M$5,Input!P$63&gt;0),Input!P$63,L277))</f>
        <v>0.05</v>
      </c>
      <c r="N277" s="5"/>
    </row>
    <row r="278" spans="1:14" ht="13.4" customHeight="1">
      <c r="A278" s="5" t="s">
        <v>361</v>
      </c>
      <c r="B278" s="135">
        <v>0</v>
      </c>
      <c r="C278" s="27" t="s">
        <v>173</v>
      </c>
      <c r="D278" s="140">
        <v>0</v>
      </c>
      <c r="E278" s="28">
        <f t="shared" ref="E278:M278" si="168">D283</f>
        <v>0</v>
      </c>
      <c r="F278" s="28">
        <f t="shared" si="168"/>
        <v>0</v>
      </c>
      <c r="G278" s="28">
        <f t="shared" si="168"/>
        <v>0</v>
      </c>
      <c r="H278" s="28">
        <f t="shared" si="168"/>
        <v>0</v>
      </c>
      <c r="I278" s="28">
        <f t="shared" si="168"/>
        <v>0</v>
      </c>
      <c r="J278" s="28">
        <f t="shared" si="168"/>
        <v>0</v>
      </c>
      <c r="K278" s="28">
        <f t="shared" si="168"/>
        <v>0</v>
      </c>
      <c r="L278" s="28">
        <f t="shared" si="168"/>
        <v>0</v>
      </c>
      <c r="M278" s="28">
        <f t="shared" si="168"/>
        <v>0</v>
      </c>
      <c r="N278" s="28"/>
    </row>
    <row r="279" spans="1:14" ht="13.4" customHeight="1">
      <c r="A279" s="26" t="s">
        <v>170</v>
      </c>
      <c r="B279" s="131">
        <v>35</v>
      </c>
      <c r="C279" s="29" t="s">
        <v>169</v>
      </c>
      <c r="D279" s="28">
        <f>D281-D280</f>
        <v>0</v>
      </c>
      <c r="E279" s="28">
        <f>E281-E280</f>
        <v>0</v>
      </c>
      <c r="F279" s="28">
        <f t="shared" ref="F279:M279" si="169">F281-F280</f>
        <v>0</v>
      </c>
      <c r="G279" s="28">
        <f t="shared" si="169"/>
        <v>0</v>
      </c>
      <c r="H279" s="28">
        <f t="shared" si="169"/>
        <v>0</v>
      </c>
      <c r="I279" s="28">
        <f t="shared" si="169"/>
        <v>0</v>
      </c>
      <c r="J279" s="28">
        <f t="shared" si="169"/>
        <v>0</v>
      </c>
      <c r="K279" s="28">
        <f t="shared" si="169"/>
        <v>0</v>
      </c>
      <c r="L279" s="28">
        <f t="shared" si="169"/>
        <v>0</v>
      </c>
      <c r="M279" s="28">
        <f t="shared" si="169"/>
        <v>0</v>
      </c>
      <c r="N279" s="28"/>
    </row>
    <row r="280" spans="1:14" ht="13.4" customHeight="1">
      <c r="A280" s="5" t="s">
        <v>172</v>
      </c>
      <c r="B280" s="134">
        <f>B269</f>
        <v>0.05</v>
      </c>
      <c r="C280" s="5" t="s">
        <v>174</v>
      </c>
      <c r="D280" s="28">
        <f>IF(AND($B282="Y",YEAR($B277)+$B279&gt;D$5),D285,IF((YEAR($B277)+$B279)&gt;D$5,FV(D277/$B281,$B281,D284),D278))</f>
        <v>0</v>
      </c>
      <c r="E280" s="28">
        <f>IF(AND($B282="Y",YEAR($B277)+$B279&gt;E$5),E285,IF((YEAR($B277)+$B279)&gt;E$5,FV(E277/$B281,$B281,E284),E278))</f>
        <v>0</v>
      </c>
      <c r="F280" s="28">
        <f t="shared" ref="F280:M280" si="170">IF(AND($B282="Y",YEAR($B277)+$B279&gt;F$5),F285,IF((YEAR($B277)+$B279)&gt;F$5,FV(F277/$B281,$B281,F284),F278))</f>
        <v>0</v>
      </c>
      <c r="G280" s="28">
        <f t="shared" si="170"/>
        <v>0</v>
      </c>
      <c r="H280" s="28">
        <f t="shared" si="170"/>
        <v>0</v>
      </c>
      <c r="I280" s="28">
        <f t="shared" si="170"/>
        <v>0</v>
      </c>
      <c r="J280" s="28">
        <f t="shared" si="170"/>
        <v>0</v>
      </c>
      <c r="K280" s="28">
        <f t="shared" si="170"/>
        <v>0</v>
      </c>
      <c r="L280" s="28">
        <f t="shared" si="170"/>
        <v>0</v>
      </c>
      <c r="M280" s="28">
        <f t="shared" si="170"/>
        <v>0</v>
      </c>
      <c r="N280" s="28"/>
    </row>
    <row r="281" spans="1:14" ht="13.4" customHeight="1">
      <c r="A281" s="5" t="s">
        <v>171</v>
      </c>
      <c r="B281" s="131">
        <v>12</v>
      </c>
      <c r="C281" s="78" t="s">
        <v>640</v>
      </c>
      <c r="D281" s="28">
        <f>IF(AND($B282="Y",YEAR($B277)+$B279&gt;D$5),D285+D277*(D278-D285*0.5),IF((YEAR($B277)+$B279)&gt;D$5,(D278*D277/$B281-D284)*$B281,(D278*(1+D277*MONTH($B277)/12))))</f>
        <v>0</v>
      </c>
      <c r="E281" s="28">
        <f>IF(AND($B282="Y",YEAR($B277)+$B279&gt;E$5),E285+E277*(E278-E285*0.5),IF((YEAR($B277)+$B279)&gt;E$5,(E278*E277/$B281-E284)*$B281,(E278*(1+E277*MONTH($B277)/12))))</f>
        <v>0</v>
      </c>
      <c r="F281" s="28">
        <f t="shared" ref="F281:M281" si="171">IF(AND($B282="Y",YEAR($B277)+$B279&gt;F$5),F285+F277*(F278-F285*0.5),IF((YEAR($B277)+$B279)&gt;F$5,(F278*F277/$B281-F284)*$B281,(F278*(1+F277*MONTH($B277)/12))))</f>
        <v>0</v>
      </c>
      <c r="G281" s="28">
        <f t="shared" si="171"/>
        <v>0</v>
      </c>
      <c r="H281" s="28">
        <f t="shared" si="171"/>
        <v>0</v>
      </c>
      <c r="I281" s="28">
        <f t="shared" si="171"/>
        <v>0</v>
      </c>
      <c r="J281" s="28">
        <f t="shared" si="171"/>
        <v>0</v>
      </c>
      <c r="K281" s="28">
        <f t="shared" si="171"/>
        <v>0</v>
      </c>
      <c r="L281" s="28">
        <f t="shared" si="171"/>
        <v>0</v>
      </c>
      <c r="M281" s="28">
        <f t="shared" si="171"/>
        <v>0</v>
      </c>
      <c r="N281" s="28"/>
    </row>
    <row r="282" spans="1:14" ht="13.4" customHeight="1">
      <c r="A282" s="5" t="s">
        <v>767</v>
      </c>
      <c r="B282" s="131" t="s">
        <v>719</v>
      </c>
      <c r="C282" s="132" t="s">
        <v>768</v>
      </c>
      <c r="D282" s="140">
        <v>0</v>
      </c>
      <c r="E282" s="140">
        <v>0</v>
      </c>
      <c r="F282" s="140">
        <v>0</v>
      </c>
      <c r="G282" s="140">
        <v>0</v>
      </c>
      <c r="H282" s="140">
        <v>0</v>
      </c>
      <c r="I282" s="140">
        <v>0</v>
      </c>
      <c r="J282" s="140">
        <v>0</v>
      </c>
      <c r="K282" s="140">
        <v>0</v>
      </c>
      <c r="L282" s="140">
        <v>0</v>
      </c>
      <c r="M282" s="140">
        <v>0</v>
      </c>
      <c r="N282" s="28"/>
    </row>
    <row r="283" spans="1:14" ht="13.4" customHeight="1">
      <c r="A283" s="5" t="s">
        <v>182</v>
      </c>
      <c r="B283" s="131"/>
      <c r="C283" s="30" t="s">
        <v>175</v>
      </c>
      <c r="D283" s="28">
        <f t="shared" ref="D283:M283" si="172">D278+D279-D281-D282</f>
        <v>0</v>
      </c>
      <c r="E283" s="28">
        <f t="shared" si="172"/>
        <v>0</v>
      </c>
      <c r="F283" s="28">
        <f t="shared" si="172"/>
        <v>0</v>
      </c>
      <c r="G283" s="28">
        <f t="shared" si="172"/>
        <v>0</v>
      </c>
      <c r="H283" s="28">
        <f t="shared" si="172"/>
        <v>0</v>
      </c>
      <c r="I283" s="28">
        <f t="shared" si="172"/>
        <v>0</v>
      </c>
      <c r="J283" s="28">
        <f t="shared" si="172"/>
        <v>0</v>
      </c>
      <c r="K283" s="28">
        <f t="shared" si="172"/>
        <v>0</v>
      </c>
      <c r="L283" s="28">
        <f t="shared" si="172"/>
        <v>0</v>
      </c>
      <c r="M283" s="28">
        <f t="shared" si="172"/>
        <v>0</v>
      </c>
      <c r="N283" s="28"/>
    </row>
    <row r="284" spans="1:14" ht="13" hidden="1" customHeight="1">
      <c r="A284" s="5"/>
      <c r="B284" s="138"/>
      <c r="C284" s="5" t="s">
        <v>769</v>
      </c>
      <c r="D284" s="28" t="e">
        <f>PPMT(D277/$B281,1,ROUND(($B279-(D$5-YEAR($B277))+MONTH($B277)/12)*$B281,0),D278)</f>
        <v>#NUM!</v>
      </c>
      <c r="E284" s="28" t="e">
        <f>PPMT(E277/$B281,1,ROUND(($B279-(E$5-YEAR($B277))+MONTH($B277)/12)*$B281,0),E278)</f>
        <v>#NUM!</v>
      </c>
      <c r="F284" s="28" t="e">
        <f t="shared" ref="F284:M284" si="173">PPMT(F277/$B281,1,ROUND(($B279-(F$5-YEAR($B277))+MONTH($B277)/12)*$B281,0),F278)</f>
        <v>#NUM!</v>
      </c>
      <c r="G284" s="28" t="e">
        <f t="shared" si="173"/>
        <v>#NUM!</v>
      </c>
      <c r="H284" s="28" t="e">
        <f t="shared" si="173"/>
        <v>#NUM!</v>
      </c>
      <c r="I284" s="28" t="e">
        <f t="shared" si="173"/>
        <v>#NUM!</v>
      </c>
      <c r="J284" s="28" t="e">
        <f t="shared" si="173"/>
        <v>#NUM!</v>
      </c>
      <c r="K284" s="28" t="e">
        <f t="shared" si="173"/>
        <v>#NUM!</v>
      </c>
      <c r="L284" s="28" t="e">
        <f t="shared" si="173"/>
        <v>#NUM!</v>
      </c>
      <c r="M284" s="28" t="e">
        <f t="shared" si="173"/>
        <v>#NUM!</v>
      </c>
      <c r="N284" s="139"/>
    </row>
    <row r="285" spans="1:14" ht="13" hidden="1" customHeight="1">
      <c r="A285" s="5"/>
      <c r="B285" s="5"/>
      <c r="C285" s="5" t="s">
        <v>770</v>
      </c>
      <c r="D285" s="28">
        <f t="shared" ref="D285:M285" si="174">IF(YEAR($B277)+$B279&gt;D$5,D278/(YEAR($B277)+$B279-D$5+MONTH($B277)/12),D278)</f>
        <v>0</v>
      </c>
      <c r="E285" s="28">
        <f t="shared" si="174"/>
        <v>0</v>
      </c>
      <c r="F285" s="28">
        <f t="shared" si="174"/>
        <v>0</v>
      </c>
      <c r="G285" s="28">
        <f t="shared" si="174"/>
        <v>0</v>
      </c>
      <c r="H285" s="28">
        <f t="shared" si="174"/>
        <v>0</v>
      </c>
      <c r="I285" s="28">
        <f t="shared" si="174"/>
        <v>0</v>
      </c>
      <c r="J285" s="28">
        <f t="shared" si="174"/>
        <v>0</v>
      </c>
      <c r="K285" s="28">
        <f t="shared" si="174"/>
        <v>0</v>
      </c>
      <c r="L285" s="28">
        <f t="shared" si="174"/>
        <v>0</v>
      </c>
      <c r="M285" s="28">
        <f t="shared" si="174"/>
        <v>0</v>
      </c>
      <c r="N285" s="139"/>
    </row>
    <row r="286" spans="1:14" ht="13.4" customHeight="1">
      <c r="A286" s="5"/>
      <c r="B286" s="5"/>
      <c r="C286" s="5"/>
      <c r="D286" s="28"/>
      <c r="E286" s="28"/>
      <c r="F286" s="28"/>
      <c r="G286" s="28"/>
      <c r="H286" s="28"/>
      <c r="I286" s="28"/>
      <c r="J286" s="28"/>
      <c r="K286" s="28"/>
      <c r="L286" s="28"/>
      <c r="M286" s="28"/>
      <c r="N286" s="31"/>
    </row>
    <row r="287" spans="1:14" ht="13.4" customHeight="1">
      <c r="A287" s="30" t="s">
        <v>665</v>
      </c>
      <c r="B287" s="99"/>
      <c r="C287" t="s">
        <v>800</v>
      </c>
      <c r="D287" s="161" t="s">
        <v>801</v>
      </c>
      <c r="E287" s="1"/>
      <c r="N287" s="28"/>
    </row>
    <row r="288" spans="1:14" ht="13.4" customHeight="1">
      <c r="A288" s="26" t="s">
        <v>677</v>
      </c>
      <c r="B288" s="133">
        <v>29373</v>
      </c>
      <c r="C288" s="5" t="s">
        <v>639</v>
      </c>
      <c r="D288" s="75">
        <f>IF($D287="V",Input!G$68,IF(AND($B294=D$5,Input!G$63&gt;0),Input!G$63,$B291))</f>
        <v>0.05</v>
      </c>
      <c r="E288" s="75">
        <f>IF($D287="V",Input!H$68,IF(AND($B294=E$5,Input!H$63&gt;0),Input!H$63,D288))</f>
        <v>0.05</v>
      </c>
      <c r="F288" s="75">
        <f>IF($D287="V",Input!I$68,IF(AND($B294=F$5,Input!I$63&gt;0),Input!I$63,E288))</f>
        <v>0.05</v>
      </c>
      <c r="G288" s="75">
        <f>IF($D287="V",Input!J$68,IF(AND($B294=G$5,Input!J$63&gt;0),Input!J$63,F288))</f>
        <v>0.05</v>
      </c>
      <c r="H288" s="75">
        <f>IF($D287="V",Input!K$68,IF(AND($B294=H$5,Input!K$63&gt;0),Input!K$63,G288))</f>
        <v>0.05</v>
      </c>
      <c r="I288" s="75">
        <f>IF($D287="V",Input!L$68,IF(AND($B294=I$5,Input!L$63&gt;0),Input!L$63,H288))</f>
        <v>0.05</v>
      </c>
      <c r="J288" s="75">
        <f>IF($D287="V",Input!M$68,IF(AND($B294=J$5,Input!M$63&gt;0),Input!M$63,I288))</f>
        <v>0.05</v>
      </c>
      <c r="K288" s="75">
        <f>IF($D287="V",Input!N$68,IF(AND($B294=K$5,Input!N$63&gt;0),Input!N$63,J288))</f>
        <v>0.05</v>
      </c>
      <c r="L288" s="75">
        <f>IF($D287="V",Input!O$68,IF(AND($B294=L$5,Input!O$63&gt;0),Input!O$63,K288))</f>
        <v>0.05</v>
      </c>
      <c r="M288" s="75">
        <f>IF($D287="V",Input!P$68,IF(AND($B294=M$5,Input!P$63&gt;0),Input!P$63,L288))</f>
        <v>0.05</v>
      </c>
      <c r="N288" s="5"/>
    </row>
    <row r="289" spans="1:14" ht="13.4" customHeight="1">
      <c r="A289" s="5" t="s">
        <v>361</v>
      </c>
      <c r="B289" s="135">
        <v>0</v>
      </c>
      <c r="C289" s="27" t="s">
        <v>173</v>
      </c>
      <c r="D289" s="140">
        <v>0</v>
      </c>
      <c r="E289" s="28">
        <f t="shared" ref="E289:M289" si="175">D294</f>
        <v>0</v>
      </c>
      <c r="F289" s="28">
        <f t="shared" si="175"/>
        <v>0</v>
      </c>
      <c r="G289" s="28">
        <f t="shared" si="175"/>
        <v>0</v>
      </c>
      <c r="H289" s="28">
        <f t="shared" si="175"/>
        <v>0</v>
      </c>
      <c r="I289" s="28">
        <f t="shared" si="175"/>
        <v>0</v>
      </c>
      <c r="J289" s="28">
        <f t="shared" si="175"/>
        <v>0</v>
      </c>
      <c r="K289" s="28">
        <f t="shared" si="175"/>
        <v>0</v>
      </c>
      <c r="L289" s="28">
        <f t="shared" si="175"/>
        <v>0</v>
      </c>
      <c r="M289" s="28">
        <f t="shared" si="175"/>
        <v>0</v>
      </c>
      <c r="N289" s="28"/>
    </row>
    <row r="290" spans="1:14" ht="13.4" customHeight="1">
      <c r="A290" s="26" t="s">
        <v>170</v>
      </c>
      <c r="B290" s="131">
        <v>35</v>
      </c>
      <c r="C290" s="29" t="s">
        <v>169</v>
      </c>
      <c r="D290" s="28">
        <f>D292-D291</f>
        <v>0</v>
      </c>
      <c r="E290" s="28">
        <f>E292-E291</f>
        <v>0</v>
      </c>
      <c r="F290" s="28">
        <f t="shared" ref="F290:M290" si="176">F292-F291</f>
        <v>0</v>
      </c>
      <c r="G290" s="28">
        <f t="shared" si="176"/>
        <v>0</v>
      </c>
      <c r="H290" s="28">
        <f t="shared" si="176"/>
        <v>0</v>
      </c>
      <c r="I290" s="28">
        <f t="shared" si="176"/>
        <v>0</v>
      </c>
      <c r="J290" s="28">
        <f t="shared" si="176"/>
        <v>0</v>
      </c>
      <c r="K290" s="28">
        <f t="shared" si="176"/>
        <v>0</v>
      </c>
      <c r="L290" s="28">
        <f t="shared" si="176"/>
        <v>0</v>
      </c>
      <c r="M290" s="28">
        <f t="shared" si="176"/>
        <v>0</v>
      </c>
      <c r="N290" s="28"/>
    </row>
    <row r="291" spans="1:14" ht="13.4" customHeight="1">
      <c r="A291" s="5" t="s">
        <v>172</v>
      </c>
      <c r="B291" s="134">
        <f>B280</f>
        <v>0.05</v>
      </c>
      <c r="C291" s="5" t="s">
        <v>174</v>
      </c>
      <c r="D291" s="28">
        <f>IF(AND($B293="Y",YEAR($B288)+$B290&gt;D$5),D296,IF((YEAR($B288)+$B290)&gt;D$5,FV(D288/$B292,$B292,D295),D289))</f>
        <v>0</v>
      </c>
      <c r="E291" s="28">
        <f>IF(AND($B293="Y",YEAR($B288)+$B290&gt;E$5),E296,IF((YEAR($B288)+$B290)&gt;E$5,FV(E288/$B292,$B292,E295),E289))</f>
        <v>0</v>
      </c>
      <c r="F291" s="28">
        <f t="shared" ref="F291:M291" si="177">IF(AND($B293="Y",YEAR($B288)+$B290&gt;F$5),F296,IF((YEAR($B288)+$B290)&gt;F$5,FV(F288/$B292,$B292,F295),F289))</f>
        <v>0</v>
      </c>
      <c r="G291" s="28">
        <f t="shared" si="177"/>
        <v>0</v>
      </c>
      <c r="H291" s="28">
        <f t="shared" si="177"/>
        <v>0</v>
      </c>
      <c r="I291" s="28">
        <f t="shared" si="177"/>
        <v>0</v>
      </c>
      <c r="J291" s="28">
        <f t="shared" si="177"/>
        <v>0</v>
      </c>
      <c r="K291" s="28">
        <f t="shared" si="177"/>
        <v>0</v>
      </c>
      <c r="L291" s="28">
        <f t="shared" si="177"/>
        <v>0</v>
      </c>
      <c r="M291" s="28">
        <f t="shared" si="177"/>
        <v>0</v>
      </c>
      <c r="N291" s="28"/>
    </row>
    <row r="292" spans="1:14" ht="13.4" customHeight="1">
      <c r="A292" s="5" t="s">
        <v>171</v>
      </c>
      <c r="B292" s="131">
        <v>12</v>
      </c>
      <c r="C292" s="78" t="s">
        <v>640</v>
      </c>
      <c r="D292" s="28">
        <f>IF(AND($B293="Y",YEAR($B288)+$B290&gt;D$5),D296+D288*(D289-D296*0.5),IF((YEAR($B288)+$B290)&gt;D$5,(D289*D288/$B292-D295)*$B292,(D289*(1+D288*MONTH($B288)/12))))</f>
        <v>0</v>
      </c>
      <c r="E292" s="28">
        <f>IF(AND($B293="Y",YEAR($B288)+$B290&gt;E$5),E296+E288*(E289-E296*0.5),IF((YEAR($B288)+$B290)&gt;E$5,(E289*E288/$B292-E295)*$B292,(E289*(1+E288*MONTH($B288)/12))))</f>
        <v>0</v>
      </c>
      <c r="F292" s="28">
        <f t="shared" ref="F292:M292" si="178">IF(AND($B293="Y",YEAR($B288)+$B290&gt;F$5),F296+F288*(F289-F296*0.5),IF((YEAR($B288)+$B290)&gt;F$5,(F289*F288/$B292-F295)*$B292,(F289*(1+F288*MONTH($B288)/12))))</f>
        <v>0</v>
      </c>
      <c r="G292" s="28">
        <f t="shared" si="178"/>
        <v>0</v>
      </c>
      <c r="H292" s="28">
        <f t="shared" si="178"/>
        <v>0</v>
      </c>
      <c r="I292" s="28">
        <f t="shared" si="178"/>
        <v>0</v>
      </c>
      <c r="J292" s="28">
        <f t="shared" si="178"/>
        <v>0</v>
      </c>
      <c r="K292" s="28">
        <f t="shared" si="178"/>
        <v>0</v>
      </c>
      <c r="L292" s="28">
        <f t="shared" si="178"/>
        <v>0</v>
      </c>
      <c r="M292" s="28">
        <f t="shared" si="178"/>
        <v>0</v>
      </c>
      <c r="N292" s="28"/>
    </row>
    <row r="293" spans="1:14" ht="13.4" customHeight="1">
      <c r="A293" s="5" t="s">
        <v>767</v>
      </c>
      <c r="B293" s="131" t="s">
        <v>719</v>
      </c>
      <c r="C293" s="132" t="s">
        <v>768</v>
      </c>
      <c r="D293" s="140">
        <v>0</v>
      </c>
      <c r="E293" s="140">
        <v>0</v>
      </c>
      <c r="F293" s="140">
        <v>0</v>
      </c>
      <c r="G293" s="140">
        <v>0</v>
      </c>
      <c r="H293" s="140">
        <v>0</v>
      </c>
      <c r="I293" s="140">
        <v>0</v>
      </c>
      <c r="J293" s="140">
        <v>0</v>
      </c>
      <c r="K293" s="140">
        <v>0</v>
      </c>
      <c r="L293" s="140">
        <v>0</v>
      </c>
      <c r="M293" s="140">
        <v>0</v>
      </c>
      <c r="N293" s="28"/>
    </row>
    <row r="294" spans="1:14" ht="13.4" customHeight="1">
      <c r="A294" s="5" t="s">
        <v>182</v>
      </c>
      <c r="B294" s="131"/>
      <c r="C294" s="30" t="s">
        <v>175</v>
      </c>
      <c r="D294" s="28">
        <f t="shared" ref="D294:M294" si="179">D289+D290-D292-D293</f>
        <v>0</v>
      </c>
      <c r="E294" s="28">
        <f t="shared" si="179"/>
        <v>0</v>
      </c>
      <c r="F294" s="28">
        <f t="shared" si="179"/>
        <v>0</v>
      </c>
      <c r="G294" s="28">
        <f t="shared" si="179"/>
        <v>0</v>
      </c>
      <c r="H294" s="28">
        <f t="shared" si="179"/>
        <v>0</v>
      </c>
      <c r="I294" s="28">
        <f t="shared" si="179"/>
        <v>0</v>
      </c>
      <c r="J294" s="28">
        <f t="shared" si="179"/>
        <v>0</v>
      </c>
      <c r="K294" s="28">
        <f t="shared" si="179"/>
        <v>0</v>
      </c>
      <c r="L294" s="28">
        <f t="shared" si="179"/>
        <v>0</v>
      </c>
      <c r="M294" s="28">
        <f t="shared" si="179"/>
        <v>0</v>
      </c>
      <c r="N294" s="28"/>
    </row>
    <row r="295" spans="1:14" ht="13" hidden="1" customHeight="1">
      <c r="A295" s="5"/>
      <c r="B295" s="138"/>
      <c r="C295" s="5" t="s">
        <v>769</v>
      </c>
      <c r="D295" s="28" t="e">
        <f>PPMT(D288/$B292,1,ROUND(($B290-(D$5-YEAR($B288))+MONTH($B288)/12)*$B292,0),D289)</f>
        <v>#NUM!</v>
      </c>
      <c r="E295" s="28" t="e">
        <f>PPMT(E288/$B292,1,ROUND(($B290-(E$5-YEAR($B288))+MONTH($B288)/12)*$B292,0),E289)</f>
        <v>#NUM!</v>
      </c>
      <c r="F295" s="28" t="e">
        <f t="shared" ref="F295:M295" si="180">PPMT(F288/$B292,1,ROUND(($B290-(F$5-YEAR($B288))+MONTH($B288)/12)*$B292,0),F289)</f>
        <v>#NUM!</v>
      </c>
      <c r="G295" s="28" t="e">
        <f t="shared" si="180"/>
        <v>#NUM!</v>
      </c>
      <c r="H295" s="28" t="e">
        <f t="shared" si="180"/>
        <v>#NUM!</v>
      </c>
      <c r="I295" s="28" t="e">
        <f t="shared" si="180"/>
        <v>#NUM!</v>
      </c>
      <c r="J295" s="28" t="e">
        <f t="shared" si="180"/>
        <v>#NUM!</v>
      </c>
      <c r="K295" s="28" t="e">
        <f t="shared" si="180"/>
        <v>#NUM!</v>
      </c>
      <c r="L295" s="28" t="e">
        <f t="shared" si="180"/>
        <v>#NUM!</v>
      </c>
      <c r="M295" s="28" t="e">
        <f t="shared" si="180"/>
        <v>#NUM!</v>
      </c>
      <c r="N295" s="139"/>
    </row>
    <row r="296" spans="1:14" ht="13" hidden="1" customHeight="1">
      <c r="A296" s="5"/>
      <c r="B296" s="5"/>
      <c r="C296" s="5" t="s">
        <v>770</v>
      </c>
      <c r="D296" s="28">
        <f t="shared" ref="D296:M296" si="181">IF(YEAR($B288)+$B290&gt;D$5,D289/(YEAR($B288)+$B290-D$5+MONTH($B288)/12),D289)</f>
        <v>0</v>
      </c>
      <c r="E296" s="28">
        <f t="shared" si="181"/>
        <v>0</v>
      </c>
      <c r="F296" s="28">
        <f t="shared" si="181"/>
        <v>0</v>
      </c>
      <c r="G296" s="28">
        <f t="shared" si="181"/>
        <v>0</v>
      </c>
      <c r="H296" s="28">
        <f t="shared" si="181"/>
        <v>0</v>
      </c>
      <c r="I296" s="28">
        <f t="shared" si="181"/>
        <v>0</v>
      </c>
      <c r="J296" s="28">
        <f t="shared" si="181"/>
        <v>0</v>
      </c>
      <c r="K296" s="28">
        <f t="shared" si="181"/>
        <v>0</v>
      </c>
      <c r="L296" s="28">
        <f t="shared" si="181"/>
        <v>0</v>
      </c>
      <c r="M296" s="28">
        <f t="shared" si="181"/>
        <v>0</v>
      </c>
      <c r="N296" s="139"/>
    </row>
    <row r="297" spans="1:14" ht="13.4" customHeight="1">
      <c r="A297" s="5"/>
      <c r="B297" s="5"/>
      <c r="C297" s="5"/>
      <c r="D297" s="28"/>
      <c r="E297" s="28"/>
      <c r="F297" s="28"/>
      <c r="G297" s="28"/>
      <c r="H297" s="28"/>
      <c r="I297" s="28"/>
      <c r="J297" s="28"/>
      <c r="K297" s="28"/>
      <c r="L297" s="28"/>
      <c r="M297" s="28"/>
      <c r="N297" s="139"/>
    </row>
    <row r="298" spans="1:14" ht="13.4" customHeight="1">
      <c r="A298" s="5"/>
      <c r="B298" s="5"/>
      <c r="C298" s="5"/>
      <c r="D298" s="28"/>
      <c r="E298" s="28"/>
      <c r="F298" s="28"/>
      <c r="G298" s="28"/>
      <c r="H298" s="28"/>
      <c r="I298" s="28"/>
      <c r="J298" s="28"/>
      <c r="K298" s="28"/>
      <c r="L298" s="28"/>
      <c r="M298" s="28"/>
      <c r="N298" s="139"/>
    </row>
    <row r="299" spans="1:14" ht="13.4" customHeight="1">
      <c r="A299" s="5"/>
      <c r="B299" s="5"/>
      <c r="C299" s="5"/>
      <c r="D299" s="28"/>
      <c r="E299" s="28"/>
      <c r="F299" s="28"/>
      <c r="G299" s="28"/>
      <c r="H299" s="28"/>
      <c r="I299" s="28"/>
      <c r="J299" s="28"/>
      <c r="K299" s="28"/>
      <c r="L299" s="28"/>
      <c r="M299" s="28"/>
      <c r="N299" s="31"/>
    </row>
    <row r="300" spans="1:14" ht="13.4" customHeight="1">
      <c r="A300" s="5" t="s">
        <v>883</v>
      </c>
      <c r="B300" s="30" t="s">
        <v>181</v>
      </c>
      <c r="C300" s="5"/>
      <c r="D300" s="31">
        <f t="shared" ref="D300:M300" si="182">D289+D278+D267+D256+D245+D230+D219+D208+D197+D186+D175+D164+D150+D139+D128+D117+D106+D95+D84+D69+D57+D45+D33+D21+D9</f>
        <v>0</v>
      </c>
      <c r="E300" s="31">
        <f t="shared" si="182"/>
        <v>0</v>
      </c>
      <c r="F300" s="31">
        <f t="shared" si="182"/>
        <v>0</v>
      </c>
      <c r="G300" s="31">
        <f t="shared" si="182"/>
        <v>0</v>
      </c>
      <c r="H300" s="31">
        <f t="shared" si="182"/>
        <v>0</v>
      </c>
      <c r="I300" s="31">
        <f t="shared" si="182"/>
        <v>0</v>
      </c>
      <c r="J300" s="31">
        <f t="shared" si="182"/>
        <v>0</v>
      </c>
      <c r="K300" s="31">
        <f t="shared" si="182"/>
        <v>0</v>
      </c>
      <c r="L300" s="31">
        <f t="shared" si="182"/>
        <v>0</v>
      </c>
      <c r="M300" s="31">
        <f t="shared" si="182"/>
        <v>0</v>
      </c>
      <c r="N300" s="31"/>
    </row>
    <row r="301" spans="1:14" ht="13.4" customHeight="1">
      <c r="B301" t="s">
        <v>177</v>
      </c>
      <c r="D301" s="31">
        <f t="shared" ref="D301:M301" si="183">D290+D279+D268+D257+D246+D231+D220+D209+D198+D187+D176+D165+D151+D140+D129+D118+D107+D96+D85+D70+D58+D46+D34+D22+D10</f>
        <v>0</v>
      </c>
      <c r="E301" s="31">
        <f t="shared" si="183"/>
        <v>0</v>
      </c>
      <c r="F301" s="31">
        <f t="shared" si="183"/>
        <v>0</v>
      </c>
      <c r="G301" s="31">
        <f t="shared" si="183"/>
        <v>0</v>
      </c>
      <c r="H301" s="31">
        <f t="shared" si="183"/>
        <v>0</v>
      </c>
      <c r="I301" s="31">
        <f t="shared" si="183"/>
        <v>0</v>
      </c>
      <c r="J301" s="31">
        <f t="shared" si="183"/>
        <v>0</v>
      </c>
      <c r="K301" s="31">
        <f t="shared" si="183"/>
        <v>0</v>
      </c>
      <c r="L301" s="31">
        <f t="shared" si="183"/>
        <v>0</v>
      </c>
      <c r="M301" s="31">
        <f t="shared" si="183"/>
        <v>0</v>
      </c>
      <c r="N301" s="28"/>
    </row>
    <row r="302" spans="1:14" ht="13.4" customHeight="1">
      <c r="A302" s="5"/>
      <c r="B302" s="5" t="s">
        <v>178</v>
      </c>
      <c r="C302" s="5"/>
      <c r="D302" s="31">
        <f t="shared" ref="D302:M302" si="184">D291+D280+D269+D258+D247+D232+D221+D210+D199+D188+D177+D166+D152+D141+D130+D119+D108+D97+D86+D71+D59+D47+D35+D23+D11</f>
        <v>0</v>
      </c>
      <c r="E302" s="31">
        <f t="shared" si="184"/>
        <v>0</v>
      </c>
      <c r="F302" s="31">
        <f t="shared" si="184"/>
        <v>0</v>
      </c>
      <c r="G302" s="31">
        <f t="shared" si="184"/>
        <v>0</v>
      </c>
      <c r="H302" s="31">
        <f t="shared" si="184"/>
        <v>0</v>
      </c>
      <c r="I302" s="31">
        <f t="shared" si="184"/>
        <v>0</v>
      </c>
      <c r="J302" s="31">
        <f t="shared" si="184"/>
        <v>0</v>
      </c>
      <c r="K302" s="31">
        <f t="shared" si="184"/>
        <v>0</v>
      </c>
      <c r="L302" s="31">
        <f t="shared" si="184"/>
        <v>0</v>
      </c>
      <c r="M302" s="31">
        <f t="shared" si="184"/>
        <v>0</v>
      </c>
    </row>
    <row r="303" spans="1:14" ht="13.4" customHeight="1">
      <c r="A303" s="26"/>
      <c r="B303" s="32" t="s">
        <v>179</v>
      </c>
      <c r="C303" s="27"/>
      <c r="D303" s="31">
        <f t="shared" ref="D303:M303" si="185">D292+D281+D270+D259+D248+D233+D222+D211+D200+D189+D178+D167+D153+D142+D131+D120+D109+D98+D87+D72+D60+D48+D36+D24+D12</f>
        <v>0</v>
      </c>
      <c r="E303" s="31">
        <f t="shared" si="185"/>
        <v>0</v>
      </c>
      <c r="F303" s="31">
        <f t="shared" si="185"/>
        <v>0</v>
      </c>
      <c r="G303" s="31">
        <f t="shared" si="185"/>
        <v>0</v>
      </c>
      <c r="H303" s="31">
        <f t="shared" si="185"/>
        <v>0</v>
      </c>
      <c r="I303" s="31">
        <f t="shared" si="185"/>
        <v>0</v>
      </c>
      <c r="J303" s="31">
        <f t="shared" si="185"/>
        <v>0</v>
      </c>
      <c r="K303" s="31">
        <f t="shared" si="185"/>
        <v>0</v>
      </c>
      <c r="L303" s="31">
        <f t="shared" si="185"/>
        <v>0</v>
      </c>
      <c r="M303" s="31">
        <f t="shared" si="185"/>
        <v>0</v>
      </c>
    </row>
    <row r="304" spans="1:14" ht="13.4" customHeight="1">
      <c r="A304" s="26"/>
      <c r="B304" s="137" t="s">
        <v>771</v>
      </c>
      <c r="C304" s="27"/>
      <c r="D304" s="31">
        <f t="shared" ref="D304:M304" si="186">D293+D282+D271+D260+D249+D234+D223+D212+D201+D190+D179+D168+D154+D143+D132+D121+D110+D99+D88+D73+D61+D49+D37+D25+D13</f>
        <v>0</v>
      </c>
      <c r="E304" s="31">
        <f t="shared" si="186"/>
        <v>0</v>
      </c>
      <c r="F304" s="31">
        <f t="shared" si="186"/>
        <v>0</v>
      </c>
      <c r="G304" s="31">
        <f t="shared" si="186"/>
        <v>0</v>
      </c>
      <c r="H304" s="31">
        <f t="shared" si="186"/>
        <v>0</v>
      </c>
      <c r="I304" s="31">
        <f t="shared" si="186"/>
        <v>0</v>
      </c>
      <c r="J304" s="31">
        <f t="shared" si="186"/>
        <v>0</v>
      </c>
      <c r="K304" s="31">
        <f t="shared" si="186"/>
        <v>0</v>
      </c>
      <c r="L304" s="31">
        <f t="shared" si="186"/>
        <v>0</v>
      </c>
      <c r="M304" s="31">
        <f t="shared" si="186"/>
        <v>0</v>
      </c>
    </row>
    <row r="305" spans="1:14" ht="13.4" customHeight="1">
      <c r="A305" s="5"/>
      <c r="B305" s="137" t="s">
        <v>180</v>
      </c>
      <c r="C305" s="29"/>
      <c r="D305" s="31">
        <f t="shared" ref="D305:M305" si="187">D294+D283+D272+D261+D250+D235+D224+D213+D202+D191+D180+D169+D155+D144+D133+D122+D111+D100+D89+D74+D62+D50+D38+D26+D14</f>
        <v>0</v>
      </c>
      <c r="E305" s="31">
        <f t="shared" si="187"/>
        <v>0</v>
      </c>
      <c r="F305" s="31">
        <f t="shared" si="187"/>
        <v>0</v>
      </c>
      <c r="G305" s="31">
        <f t="shared" si="187"/>
        <v>0</v>
      </c>
      <c r="H305" s="31">
        <f t="shared" si="187"/>
        <v>0</v>
      </c>
      <c r="I305" s="31">
        <f t="shared" si="187"/>
        <v>0</v>
      </c>
      <c r="J305" s="31">
        <f t="shared" si="187"/>
        <v>0</v>
      </c>
      <c r="K305" s="31">
        <f t="shared" si="187"/>
        <v>0</v>
      </c>
      <c r="L305" s="31">
        <f t="shared" si="187"/>
        <v>0</v>
      </c>
      <c r="M305" s="31">
        <f t="shared" si="187"/>
        <v>0</v>
      </c>
    </row>
    <row r="306" spans="1:14" ht="13.4" customHeight="1">
      <c r="A306" s="26"/>
      <c r="B306" s="5"/>
      <c r="C306" s="5"/>
      <c r="D306" s="28"/>
      <c r="E306" s="28"/>
      <c r="F306" s="28"/>
      <c r="G306" s="28"/>
      <c r="H306" s="28"/>
      <c r="I306" s="28"/>
      <c r="J306" s="28"/>
      <c r="K306" s="28"/>
      <c r="L306" s="28"/>
      <c r="M306" s="28"/>
      <c r="N306" s="31"/>
    </row>
  </sheetData>
  <sheetProtection sheet="1" objects="1" scenarios="1"/>
  <phoneticPr fontId="0" type="noConversion"/>
  <pageMargins left="0.39" right="0.39" top="0.39" bottom="0.35" header="0.25" footer="0.25"/>
  <pageSetup scale="64" fitToHeight="0" orientation="landscape" horizontalDpi="300" verticalDpi="300" r:id="rId1"/>
  <headerFooter alignWithMargins="0"/>
  <rowBreaks count="3" manualBreakCount="3">
    <brk id="79" max="12" man="1"/>
    <brk id="159" max="12" man="1"/>
    <brk id="239" max="12"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2">
    <pageSetUpPr fitToPage="1"/>
  </sheetPr>
  <dimension ref="A1:O311"/>
  <sheetViews>
    <sheetView showGridLines="0" zoomScale="84" zoomScaleNormal="84" workbookViewId="0">
      <pane xSplit="3" ySplit="6" topLeftCell="D7" activePane="bottomRight" state="frozen"/>
      <selection pane="topRight" activeCell="D1" sqref="D1"/>
      <selection pane="bottomLeft" activeCell="A7" sqref="A7"/>
      <selection pane="bottomRight" activeCell="B7" sqref="B7"/>
    </sheetView>
  </sheetViews>
  <sheetFormatPr defaultColWidth="0" defaultRowHeight="12.5"/>
  <cols>
    <col min="1" max="1" width="20.54296875" customWidth="1"/>
    <col min="2" max="2" width="16.7265625" customWidth="1"/>
    <col min="3" max="3" width="21.7265625" customWidth="1"/>
    <col min="4" max="11" width="14.54296875" customWidth="1"/>
    <col min="12" max="12" width="14.26953125" customWidth="1"/>
    <col min="13" max="14" width="14.54296875" customWidth="1"/>
    <col min="15" max="15" width="14.54296875" hidden="1" customWidth="1"/>
  </cols>
  <sheetData>
    <row r="1" spans="1:14" ht="13.4" customHeight="1"/>
    <row r="2" spans="1:14" ht="13.4" customHeight="1"/>
    <row r="3" spans="1:14" ht="12.75" customHeight="1">
      <c r="A3" s="24"/>
      <c r="B3" s="25"/>
      <c r="C3" s="25"/>
      <c r="F3" s="1" t="s">
        <v>42</v>
      </c>
      <c r="H3" s="24" t="s">
        <v>781</v>
      </c>
      <c r="M3" s="1"/>
    </row>
    <row r="4" spans="1:14" ht="13.4" customHeight="1">
      <c r="A4" s="24"/>
      <c r="D4" s="25"/>
      <c r="E4" s="1"/>
    </row>
    <row r="5" spans="1:14" ht="13.4" customHeight="1">
      <c r="A5" s="1"/>
      <c r="D5" s="2">
        <f>Input!G8</f>
        <v>2024</v>
      </c>
      <c r="E5" s="2">
        <f t="shared" ref="E5:M5" si="0">D5+1</f>
        <v>2025</v>
      </c>
      <c r="F5" s="2">
        <f t="shared" si="0"/>
        <v>2026</v>
      </c>
      <c r="G5" s="2">
        <f t="shared" si="0"/>
        <v>2027</v>
      </c>
      <c r="H5" s="2">
        <f t="shared" si="0"/>
        <v>2028</v>
      </c>
      <c r="I5" s="2">
        <f t="shared" si="0"/>
        <v>2029</v>
      </c>
      <c r="J5" s="2">
        <f t="shared" si="0"/>
        <v>2030</v>
      </c>
      <c r="K5" s="2">
        <f t="shared" si="0"/>
        <v>2031</v>
      </c>
      <c r="L5" s="2">
        <f t="shared" si="0"/>
        <v>2032</v>
      </c>
      <c r="M5" s="2">
        <f t="shared" si="0"/>
        <v>2033</v>
      </c>
    </row>
    <row r="6" spans="1:14" ht="13.4" customHeight="1">
      <c r="A6" s="24"/>
      <c r="B6" s="1"/>
      <c r="C6" s="1"/>
      <c r="D6" s="2" t="s">
        <v>46</v>
      </c>
      <c r="E6" s="2" t="s">
        <v>46</v>
      </c>
      <c r="F6" s="2" t="s">
        <v>46</v>
      </c>
      <c r="G6" s="2" t="s">
        <v>46</v>
      </c>
      <c r="H6" s="2" t="s">
        <v>46</v>
      </c>
      <c r="I6" s="2" t="s">
        <v>46</v>
      </c>
      <c r="J6" s="2" t="s">
        <v>46</v>
      </c>
      <c r="K6" s="2" t="s">
        <v>46</v>
      </c>
      <c r="L6" s="2" t="s">
        <v>46</v>
      </c>
      <c r="M6" s="2" t="s">
        <v>46</v>
      </c>
    </row>
    <row r="7" spans="1:14" ht="13.4" customHeight="1">
      <c r="A7" s="30" t="s">
        <v>858</v>
      </c>
      <c r="B7" s="99"/>
      <c r="C7" t="s">
        <v>800</v>
      </c>
      <c r="D7" s="179" t="s">
        <v>801</v>
      </c>
      <c r="E7" s="1"/>
    </row>
    <row r="8" spans="1:14" ht="13.4" customHeight="1">
      <c r="A8" s="26" t="s">
        <v>677</v>
      </c>
      <c r="B8" s="133">
        <v>29373</v>
      </c>
      <c r="C8" s="5" t="s">
        <v>639</v>
      </c>
      <c r="D8" s="180">
        <f>IF($D7="V",Input!G$68,IF(AND($B14=D$5,Input!G$63&gt;0),Input!G$63,$B11))</f>
        <v>0.05</v>
      </c>
      <c r="E8" s="180">
        <f>IF($D7="V",Input!H$68,IF(AND($B14=E$5,Input!H$63&gt;0),Input!H$63,D8))</f>
        <v>0.05</v>
      </c>
      <c r="F8" s="180">
        <f>IF($D7="V",Input!I$68,IF(AND($B14=F$5,Input!I$63&gt;0),Input!I$63,E8))</f>
        <v>0.05</v>
      </c>
      <c r="G8" s="180">
        <f>IF($D7="V",Input!J$68,IF(AND($B14=G$5,Input!J$63&gt;0),Input!J$63,F8))</f>
        <v>0.05</v>
      </c>
      <c r="H8" s="180">
        <f>IF($D7="V",Input!K$68,IF(AND($B14=H$5,Input!K$63&gt;0),Input!K$63,G8))</f>
        <v>0.05</v>
      </c>
      <c r="I8" s="180">
        <f>IF($D7="V",Input!L$68,IF(AND($B14=I$5,Input!L$63&gt;0),Input!L$63,H8))</f>
        <v>0.05</v>
      </c>
      <c r="J8" s="180">
        <f>IF($D7="V",Input!M$68,IF(AND($B14=J$5,Input!M$63&gt;0),Input!M$63,I8))</f>
        <v>0.05</v>
      </c>
      <c r="K8" s="180">
        <f>IF($D7="V",Input!N$68,IF(AND($B14=K$5,Input!N$63&gt;0),Input!N$63,J8))</f>
        <v>0.05</v>
      </c>
      <c r="L8" s="180">
        <f>IF($D7="V",Input!O$68,IF(AND($B14=L$5,Input!O$63&gt;0),Input!O$63,K8))</f>
        <v>0.05</v>
      </c>
      <c r="M8" s="180">
        <f>IF($D7="V",Input!P$68,IF(AND($B14=M$5,Input!P$63&gt;0),Input!P$63,L8))</f>
        <v>0.05</v>
      </c>
      <c r="N8" s="5"/>
    </row>
    <row r="9" spans="1:14" ht="13.4" customHeight="1">
      <c r="A9" s="5" t="s">
        <v>361</v>
      </c>
      <c r="B9" s="181">
        <v>0</v>
      </c>
      <c r="C9" s="27" t="s">
        <v>173</v>
      </c>
      <c r="D9" s="182">
        <v>0</v>
      </c>
      <c r="E9" s="183">
        <f t="shared" ref="E9:M9" si="1">D14</f>
        <v>0</v>
      </c>
      <c r="F9" s="183">
        <f t="shared" si="1"/>
        <v>0</v>
      </c>
      <c r="G9" s="183">
        <f t="shared" si="1"/>
        <v>0</v>
      </c>
      <c r="H9" s="183">
        <f t="shared" si="1"/>
        <v>0</v>
      </c>
      <c r="I9" s="183">
        <f t="shared" si="1"/>
        <v>0</v>
      </c>
      <c r="J9" s="183">
        <f t="shared" si="1"/>
        <v>0</v>
      </c>
      <c r="K9" s="183">
        <f t="shared" si="1"/>
        <v>0</v>
      </c>
      <c r="L9" s="183">
        <f t="shared" si="1"/>
        <v>0</v>
      </c>
      <c r="M9" s="183">
        <f t="shared" si="1"/>
        <v>0</v>
      </c>
      <c r="N9" s="28"/>
    </row>
    <row r="10" spans="1:14" ht="13.4" customHeight="1">
      <c r="A10" s="26" t="s">
        <v>170</v>
      </c>
      <c r="B10" s="131">
        <v>35</v>
      </c>
      <c r="C10" s="184" t="s">
        <v>169</v>
      </c>
      <c r="D10" s="183">
        <f t="shared" ref="D10:M10" si="2">D12-D11</f>
        <v>0</v>
      </c>
      <c r="E10" s="183">
        <f t="shared" si="2"/>
        <v>0</v>
      </c>
      <c r="F10" s="183">
        <f t="shared" si="2"/>
        <v>0</v>
      </c>
      <c r="G10" s="183">
        <f t="shared" si="2"/>
        <v>0</v>
      </c>
      <c r="H10" s="183">
        <f t="shared" si="2"/>
        <v>0</v>
      </c>
      <c r="I10" s="183">
        <f t="shared" si="2"/>
        <v>0</v>
      </c>
      <c r="J10" s="183">
        <f t="shared" si="2"/>
        <v>0</v>
      </c>
      <c r="K10" s="183">
        <f t="shared" si="2"/>
        <v>0</v>
      </c>
      <c r="L10" s="183">
        <f t="shared" si="2"/>
        <v>0</v>
      </c>
      <c r="M10" s="183">
        <f t="shared" si="2"/>
        <v>0</v>
      </c>
      <c r="N10" s="28"/>
    </row>
    <row r="11" spans="1:14" ht="13.4" customHeight="1">
      <c r="A11" s="5" t="s">
        <v>172</v>
      </c>
      <c r="B11" s="185">
        <v>0.05</v>
      </c>
      <c r="C11" s="5" t="s">
        <v>174</v>
      </c>
      <c r="D11" s="183">
        <f t="shared" ref="D11:M11" si="3">IF(AND($B13="Y",YEAR($B8)+$B10&gt;D$5),D16,IF((YEAR($B8)+$B10)&gt;D$5,FV(D8/$B12,$B12,D15),D9))</f>
        <v>0</v>
      </c>
      <c r="E11" s="183">
        <f t="shared" si="3"/>
        <v>0</v>
      </c>
      <c r="F11" s="183">
        <f t="shared" si="3"/>
        <v>0</v>
      </c>
      <c r="G11" s="183">
        <f t="shared" si="3"/>
        <v>0</v>
      </c>
      <c r="H11" s="183">
        <f t="shared" si="3"/>
        <v>0</v>
      </c>
      <c r="I11" s="183">
        <f t="shared" si="3"/>
        <v>0</v>
      </c>
      <c r="J11" s="183">
        <f t="shared" si="3"/>
        <v>0</v>
      </c>
      <c r="K11" s="183">
        <f t="shared" si="3"/>
        <v>0</v>
      </c>
      <c r="L11" s="183">
        <f t="shared" si="3"/>
        <v>0</v>
      </c>
      <c r="M11" s="183">
        <f t="shared" si="3"/>
        <v>0</v>
      </c>
      <c r="N11" s="28"/>
    </row>
    <row r="12" spans="1:14" ht="13.4" customHeight="1">
      <c r="A12" s="5" t="s">
        <v>171</v>
      </c>
      <c r="B12" s="131">
        <v>12</v>
      </c>
      <c r="C12" s="186" t="s">
        <v>640</v>
      </c>
      <c r="D12" s="183">
        <f t="shared" ref="D12:M12" si="4">IF(AND($B13="Y",YEAR($B8)+$B10&gt;D$5),D16+D8*(D9-D16*0.5),IF((YEAR($B8)+$B10)&gt;D$5,(D9*D8/$B12-D15)*$B12,(D9*(1+D8*MONTH($B8)/12))))</f>
        <v>0</v>
      </c>
      <c r="E12" s="183">
        <f t="shared" si="4"/>
        <v>0</v>
      </c>
      <c r="F12" s="183">
        <f t="shared" si="4"/>
        <v>0</v>
      </c>
      <c r="G12" s="183">
        <f t="shared" si="4"/>
        <v>0</v>
      </c>
      <c r="H12" s="183">
        <f t="shared" si="4"/>
        <v>0</v>
      </c>
      <c r="I12" s="183">
        <f t="shared" si="4"/>
        <v>0</v>
      </c>
      <c r="J12" s="183">
        <f t="shared" si="4"/>
        <v>0</v>
      </c>
      <c r="K12" s="183">
        <f t="shared" si="4"/>
        <v>0</v>
      </c>
      <c r="L12" s="183">
        <f t="shared" si="4"/>
        <v>0</v>
      </c>
      <c r="M12" s="183">
        <f t="shared" si="4"/>
        <v>0</v>
      </c>
      <c r="N12" s="28"/>
    </row>
    <row r="13" spans="1:14" ht="13.4" customHeight="1">
      <c r="A13" s="5" t="s">
        <v>767</v>
      </c>
      <c r="B13" s="131" t="s">
        <v>719</v>
      </c>
      <c r="C13" s="187" t="s">
        <v>768</v>
      </c>
      <c r="D13" s="188">
        <v>0</v>
      </c>
      <c r="E13" s="188">
        <v>0</v>
      </c>
      <c r="F13" s="188">
        <v>0</v>
      </c>
      <c r="G13" s="188">
        <v>0</v>
      </c>
      <c r="H13" s="188">
        <v>0</v>
      </c>
      <c r="I13" s="188">
        <v>0</v>
      </c>
      <c r="J13" s="188">
        <v>0</v>
      </c>
      <c r="K13" s="188">
        <v>0</v>
      </c>
      <c r="L13" s="188">
        <v>0</v>
      </c>
      <c r="M13" s="188">
        <v>0</v>
      </c>
      <c r="N13" s="28"/>
    </row>
    <row r="14" spans="1:14" ht="13.4" customHeight="1">
      <c r="A14" s="5" t="s">
        <v>182</v>
      </c>
      <c r="B14" s="131"/>
      <c r="C14" s="30" t="s">
        <v>175</v>
      </c>
      <c r="D14" s="183">
        <f t="shared" ref="D14:M14" si="5">D9+D10-D12-D13</f>
        <v>0</v>
      </c>
      <c r="E14" s="183">
        <f t="shared" si="5"/>
        <v>0</v>
      </c>
      <c r="F14" s="183">
        <f t="shared" si="5"/>
        <v>0</v>
      </c>
      <c r="G14" s="183">
        <f t="shared" si="5"/>
        <v>0</v>
      </c>
      <c r="H14" s="183">
        <f t="shared" si="5"/>
        <v>0</v>
      </c>
      <c r="I14" s="183">
        <f t="shared" si="5"/>
        <v>0</v>
      </c>
      <c r="J14" s="183">
        <f t="shared" si="5"/>
        <v>0</v>
      </c>
      <c r="K14" s="183">
        <f t="shared" si="5"/>
        <v>0</v>
      </c>
      <c r="L14" s="183">
        <f t="shared" si="5"/>
        <v>0</v>
      </c>
      <c r="M14" s="183">
        <f t="shared" si="5"/>
        <v>0</v>
      </c>
      <c r="N14" s="28"/>
    </row>
    <row r="15" spans="1:14" s="21" customFormat="1" ht="13.4" hidden="1" customHeight="1">
      <c r="A15" s="5"/>
      <c r="B15" s="138"/>
      <c r="C15" s="5" t="s">
        <v>769</v>
      </c>
      <c r="D15" s="183" t="e">
        <f t="shared" ref="D15:M15" si="6">PPMT(D8/$B12,1,ROUND(($B10-(D$5-YEAR($B8))+MONTH($B8)/12)*$B12,0),D9)</f>
        <v>#NUM!</v>
      </c>
      <c r="E15" s="183" t="e">
        <f t="shared" si="6"/>
        <v>#NUM!</v>
      </c>
      <c r="F15" s="183" t="e">
        <f t="shared" si="6"/>
        <v>#NUM!</v>
      </c>
      <c r="G15" s="183" t="e">
        <f t="shared" si="6"/>
        <v>#NUM!</v>
      </c>
      <c r="H15" s="183" t="e">
        <f t="shared" si="6"/>
        <v>#NUM!</v>
      </c>
      <c r="I15" s="183" t="e">
        <f t="shared" si="6"/>
        <v>#NUM!</v>
      </c>
      <c r="J15" s="183" t="e">
        <f t="shared" si="6"/>
        <v>#NUM!</v>
      </c>
      <c r="K15" s="183" t="e">
        <f t="shared" si="6"/>
        <v>#NUM!</v>
      </c>
      <c r="L15" s="183" t="e">
        <f t="shared" si="6"/>
        <v>#NUM!</v>
      </c>
      <c r="M15" s="183" t="e">
        <f t="shared" si="6"/>
        <v>#NUM!</v>
      </c>
      <c r="N15" s="139"/>
    </row>
    <row r="16" spans="1:14" s="21" customFormat="1" ht="13.4" hidden="1" customHeight="1">
      <c r="A16" s="5"/>
      <c r="B16" s="5"/>
      <c r="C16" s="5" t="s">
        <v>770</v>
      </c>
      <c r="D16" s="183">
        <f t="shared" ref="D16:M16" si="7">IF(YEAR($B8)+$B10&gt;D$5,D9/(YEAR($B8)+$B10-D$5+MONTH($B8)/12),D9)</f>
        <v>0</v>
      </c>
      <c r="E16" s="183">
        <f t="shared" si="7"/>
        <v>0</v>
      </c>
      <c r="F16" s="183">
        <f t="shared" si="7"/>
        <v>0</v>
      </c>
      <c r="G16" s="183">
        <f t="shared" si="7"/>
        <v>0</v>
      </c>
      <c r="H16" s="183">
        <f t="shared" si="7"/>
        <v>0</v>
      </c>
      <c r="I16" s="183">
        <f t="shared" si="7"/>
        <v>0</v>
      </c>
      <c r="J16" s="183">
        <f t="shared" si="7"/>
        <v>0</v>
      </c>
      <c r="K16" s="183">
        <f t="shared" si="7"/>
        <v>0</v>
      </c>
      <c r="L16" s="183">
        <f t="shared" si="7"/>
        <v>0</v>
      </c>
      <c r="M16" s="183">
        <f t="shared" si="7"/>
        <v>0</v>
      </c>
      <c r="N16" s="139"/>
    </row>
    <row r="17" spans="1:15" s="21" customFormat="1" ht="13.4" customHeight="1">
      <c r="A17" s="5"/>
      <c r="B17" s="5"/>
      <c r="C17" s="5"/>
      <c r="D17" s="183"/>
      <c r="E17" s="183"/>
      <c r="F17" s="183"/>
      <c r="G17" s="183"/>
      <c r="H17" s="183"/>
      <c r="I17" s="183"/>
      <c r="J17" s="183"/>
      <c r="K17" s="183"/>
      <c r="L17" s="183"/>
      <c r="M17" s="183"/>
      <c r="N17" s="139"/>
    </row>
    <row r="18" spans="1:15" s="21" customFormat="1" ht="13.4" customHeight="1">
      <c r="A18" s="5"/>
      <c r="B18" s="5"/>
      <c r="C18" s="5"/>
      <c r="D18" s="183"/>
      <c r="E18" s="183"/>
      <c r="F18" s="183"/>
      <c r="G18" s="183"/>
      <c r="H18" s="183"/>
      <c r="I18" s="183"/>
      <c r="J18" s="183"/>
      <c r="K18" s="183"/>
      <c r="L18" s="183"/>
      <c r="M18" s="183"/>
      <c r="N18" s="28"/>
      <c r="O18"/>
    </row>
    <row r="19" spans="1:15" ht="13.4" customHeight="1">
      <c r="A19" s="30" t="s">
        <v>859</v>
      </c>
      <c r="B19" s="99"/>
      <c r="C19" t="s">
        <v>800</v>
      </c>
      <c r="D19" s="179" t="s">
        <v>801</v>
      </c>
      <c r="E19" s="1"/>
      <c r="N19" s="28"/>
    </row>
    <row r="20" spans="1:15" ht="13.4" customHeight="1">
      <c r="A20" s="26" t="s">
        <v>677</v>
      </c>
      <c r="B20" s="133">
        <v>29373</v>
      </c>
      <c r="C20" s="5" t="s">
        <v>639</v>
      </c>
      <c r="D20" s="180">
        <f>IF($D19="V",Input!G$68,IF(AND($B26=D$5,Input!G$63&gt;0),Input!G$63,$B23))</f>
        <v>0.05</v>
      </c>
      <c r="E20" s="180">
        <f>IF($D19="V",Input!H$68,IF(AND($B26=E$5,Input!H$63&gt;0),Input!H$63,D20))</f>
        <v>0.05</v>
      </c>
      <c r="F20" s="180">
        <f>IF($D19="V",Input!I$68,IF(AND($B26=F$5,Input!I$63&gt;0),Input!I$63,E20))</f>
        <v>0.05</v>
      </c>
      <c r="G20" s="180">
        <f>IF($D19="V",Input!J$68,IF(AND($B26=G$5,Input!J$63&gt;0),Input!J$63,F20))</f>
        <v>0.05</v>
      </c>
      <c r="H20" s="180">
        <f>IF($D19="V",Input!K$68,IF(AND($B26=H$5,Input!K$63&gt;0),Input!K$63,G20))</f>
        <v>0.05</v>
      </c>
      <c r="I20" s="180">
        <f>IF($D19="V",Input!L$68,IF(AND($B26=I$5,Input!L$63&gt;0),Input!L$63,H20))</f>
        <v>0.05</v>
      </c>
      <c r="J20" s="180">
        <f>IF($D19="V",Input!M$68,IF(AND($B26=J$5,Input!M$63&gt;0),Input!M$63,I20))</f>
        <v>0.05</v>
      </c>
      <c r="K20" s="180">
        <f>IF($D19="V",Input!N$68,IF(AND($B26=K$5,Input!N$63&gt;0),Input!N$63,J20))</f>
        <v>0.05</v>
      </c>
      <c r="L20" s="180">
        <f>IF($D19="V",Input!O$68,IF(AND($B26=L$5,Input!O$63&gt;0),Input!O$63,K20))</f>
        <v>0.05</v>
      </c>
      <c r="M20" s="180">
        <f>IF($D19="V",Input!P$68,IF(AND($B26=M$5,Input!P$63&gt;0),Input!P$63,L20))</f>
        <v>0.05</v>
      </c>
      <c r="N20" s="5"/>
    </row>
    <row r="21" spans="1:15" ht="13.4" customHeight="1">
      <c r="A21" s="5" t="s">
        <v>361</v>
      </c>
      <c r="B21" s="181">
        <v>0</v>
      </c>
      <c r="C21" s="27" t="s">
        <v>173</v>
      </c>
      <c r="D21" s="188">
        <v>0</v>
      </c>
      <c r="E21" s="183">
        <f t="shared" ref="E21:M21" si="8">D26</f>
        <v>0</v>
      </c>
      <c r="F21" s="183">
        <f t="shared" si="8"/>
        <v>0</v>
      </c>
      <c r="G21" s="183">
        <f t="shared" si="8"/>
        <v>0</v>
      </c>
      <c r="H21" s="183">
        <f t="shared" si="8"/>
        <v>0</v>
      </c>
      <c r="I21" s="183">
        <f t="shared" si="8"/>
        <v>0</v>
      </c>
      <c r="J21" s="183">
        <f t="shared" si="8"/>
        <v>0</v>
      </c>
      <c r="K21" s="183">
        <f t="shared" si="8"/>
        <v>0</v>
      </c>
      <c r="L21" s="183">
        <f t="shared" si="8"/>
        <v>0</v>
      </c>
      <c r="M21" s="183">
        <f t="shared" si="8"/>
        <v>0</v>
      </c>
      <c r="N21" s="28"/>
    </row>
    <row r="22" spans="1:15" ht="13.4" customHeight="1">
      <c r="A22" s="26" t="s">
        <v>170</v>
      </c>
      <c r="B22" s="131">
        <v>35</v>
      </c>
      <c r="C22" s="184" t="s">
        <v>169</v>
      </c>
      <c r="D22" s="183">
        <f t="shared" ref="D22:M22" si="9">D24-D23</f>
        <v>0</v>
      </c>
      <c r="E22" s="183">
        <f t="shared" si="9"/>
        <v>0</v>
      </c>
      <c r="F22" s="183">
        <f t="shared" si="9"/>
        <v>0</v>
      </c>
      <c r="G22" s="183">
        <f t="shared" si="9"/>
        <v>0</v>
      </c>
      <c r="H22" s="183">
        <f t="shared" si="9"/>
        <v>0</v>
      </c>
      <c r="I22" s="183">
        <f t="shared" si="9"/>
        <v>0</v>
      </c>
      <c r="J22" s="183">
        <f t="shared" si="9"/>
        <v>0</v>
      </c>
      <c r="K22" s="183">
        <f t="shared" si="9"/>
        <v>0</v>
      </c>
      <c r="L22" s="183">
        <f t="shared" si="9"/>
        <v>0</v>
      </c>
      <c r="M22" s="183">
        <f t="shared" si="9"/>
        <v>0</v>
      </c>
      <c r="N22" s="28"/>
    </row>
    <row r="23" spans="1:15" ht="13.4" customHeight="1">
      <c r="A23" s="5" t="s">
        <v>172</v>
      </c>
      <c r="B23" s="185">
        <f>B11</f>
        <v>0.05</v>
      </c>
      <c r="C23" s="5" t="s">
        <v>174</v>
      </c>
      <c r="D23" s="183">
        <f t="shared" ref="D23:M23" si="10">IF(AND($B25="Y",YEAR($B20)+$B22&gt;D$5),D28,IF((YEAR($B20)+$B22)&gt;D$5,FV(D20/$B24,$B24,D27),D21))</f>
        <v>0</v>
      </c>
      <c r="E23" s="183">
        <f t="shared" si="10"/>
        <v>0</v>
      </c>
      <c r="F23" s="183">
        <f t="shared" si="10"/>
        <v>0</v>
      </c>
      <c r="G23" s="183">
        <f t="shared" si="10"/>
        <v>0</v>
      </c>
      <c r="H23" s="183">
        <f t="shared" si="10"/>
        <v>0</v>
      </c>
      <c r="I23" s="183">
        <f t="shared" si="10"/>
        <v>0</v>
      </c>
      <c r="J23" s="183">
        <f t="shared" si="10"/>
        <v>0</v>
      </c>
      <c r="K23" s="183">
        <f t="shared" si="10"/>
        <v>0</v>
      </c>
      <c r="L23" s="183">
        <f t="shared" si="10"/>
        <v>0</v>
      </c>
      <c r="M23" s="183">
        <f t="shared" si="10"/>
        <v>0</v>
      </c>
      <c r="N23" s="28"/>
    </row>
    <row r="24" spans="1:15" ht="13.4" customHeight="1">
      <c r="A24" s="5" t="s">
        <v>171</v>
      </c>
      <c r="B24" s="131">
        <v>12</v>
      </c>
      <c r="C24" s="186" t="s">
        <v>640</v>
      </c>
      <c r="D24" s="183">
        <f t="shared" ref="D24:M24" si="11">IF(AND($B25="Y",YEAR($B20)+$B22&gt;D$5),D28+D20*(D21-D28*0.5),IF((YEAR($B20)+$B22)&gt;D$5,(D21*D20/$B24-D27)*$B24,(D21*(1+D20*MONTH($B20)/12))))</f>
        <v>0</v>
      </c>
      <c r="E24" s="183">
        <f t="shared" si="11"/>
        <v>0</v>
      </c>
      <c r="F24" s="183">
        <f t="shared" si="11"/>
        <v>0</v>
      </c>
      <c r="G24" s="183">
        <f t="shared" si="11"/>
        <v>0</v>
      </c>
      <c r="H24" s="183">
        <f t="shared" si="11"/>
        <v>0</v>
      </c>
      <c r="I24" s="183">
        <f t="shared" si="11"/>
        <v>0</v>
      </c>
      <c r="J24" s="183">
        <f t="shared" si="11"/>
        <v>0</v>
      </c>
      <c r="K24" s="183">
        <f t="shared" si="11"/>
        <v>0</v>
      </c>
      <c r="L24" s="183">
        <f t="shared" si="11"/>
        <v>0</v>
      </c>
      <c r="M24" s="183">
        <f t="shared" si="11"/>
        <v>0</v>
      </c>
      <c r="N24" s="28"/>
    </row>
    <row r="25" spans="1:15" ht="13.4" customHeight="1">
      <c r="A25" s="5" t="s">
        <v>767</v>
      </c>
      <c r="B25" s="131" t="s">
        <v>719</v>
      </c>
      <c r="C25" s="187" t="s">
        <v>768</v>
      </c>
      <c r="D25" s="188">
        <v>0</v>
      </c>
      <c r="E25" s="188">
        <v>0</v>
      </c>
      <c r="F25" s="188">
        <v>0</v>
      </c>
      <c r="G25" s="188">
        <v>0</v>
      </c>
      <c r="H25" s="188">
        <v>0</v>
      </c>
      <c r="I25" s="188">
        <v>0</v>
      </c>
      <c r="J25" s="188">
        <v>0</v>
      </c>
      <c r="K25" s="188">
        <v>0</v>
      </c>
      <c r="L25" s="188">
        <v>0</v>
      </c>
      <c r="M25" s="188">
        <v>0</v>
      </c>
      <c r="N25" s="28"/>
    </row>
    <row r="26" spans="1:15" ht="13.4" customHeight="1">
      <c r="A26" s="5" t="s">
        <v>182</v>
      </c>
      <c r="B26" s="131"/>
      <c r="C26" s="30" t="s">
        <v>175</v>
      </c>
      <c r="D26" s="183">
        <f t="shared" ref="D26:M26" si="12">D21+D22-D24-D25</f>
        <v>0</v>
      </c>
      <c r="E26" s="183">
        <f t="shared" si="12"/>
        <v>0</v>
      </c>
      <c r="F26" s="183">
        <f t="shared" si="12"/>
        <v>0</v>
      </c>
      <c r="G26" s="183">
        <f t="shared" si="12"/>
        <v>0</v>
      </c>
      <c r="H26" s="183">
        <f t="shared" si="12"/>
        <v>0</v>
      </c>
      <c r="I26" s="183">
        <f t="shared" si="12"/>
        <v>0</v>
      </c>
      <c r="J26" s="183">
        <f t="shared" si="12"/>
        <v>0</v>
      </c>
      <c r="K26" s="183">
        <f t="shared" si="12"/>
        <v>0</v>
      </c>
      <c r="L26" s="183">
        <f t="shared" si="12"/>
        <v>0</v>
      </c>
      <c r="M26" s="183">
        <f t="shared" si="12"/>
        <v>0</v>
      </c>
      <c r="N26" s="28"/>
    </row>
    <row r="27" spans="1:15" ht="13.4" hidden="1" customHeight="1">
      <c r="A27" s="5"/>
      <c r="B27" s="138"/>
      <c r="C27" s="5" t="s">
        <v>769</v>
      </c>
      <c r="D27" s="183" t="e">
        <f t="shared" ref="D27:M27" si="13">PPMT(D20/$B24,1,ROUND(($B22-(D$5-YEAR($B20))+MONTH($B20)/12)*$B24,0),D21)</f>
        <v>#NUM!</v>
      </c>
      <c r="E27" s="183" t="e">
        <f t="shared" si="13"/>
        <v>#NUM!</v>
      </c>
      <c r="F27" s="183" t="e">
        <f t="shared" si="13"/>
        <v>#NUM!</v>
      </c>
      <c r="G27" s="183" t="e">
        <f t="shared" si="13"/>
        <v>#NUM!</v>
      </c>
      <c r="H27" s="183" t="e">
        <f t="shared" si="13"/>
        <v>#NUM!</v>
      </c>
      <c r="I27" s="183" t="e">
        <f t="shared" si="13"/>
        <v>#NUM!</v>
      </c>
      <c r="J27" s="183" t="e">
        <f t="shared" si="13"/>
        <v>#NUM!</v>
      </c>
      <c r="K27" s="183" t="e">
        <f t="shared" si="13"/>
        <v>#NUM!</v>
      </c>
      <c r="L27" s="183" t="e">
        <f t="shared" si="13"/>
        <v>#NUM!</v>
      </c>
      <c r="M27" s="183" t="e">
        <f t="shared" si="13"/>
        <v>#NUM!</v>
      </c>
      <c r="N27" s="139"/>
    </row>
    <row r="28" spans="1:15" ht="13.4" hidden="1" customHeight="1">
      <c r="A28" s="5"/>
      <c r="B28" s="5"/>
      <c r="C28" s="5" t="s">
        <v>770</v>
      </c>
      <c r="D28" s="183">
        <f t="shared" ref="D28:M28" si="14">IF(YEAR($B20)+$B22&gt;D$5,D21/(YEAR($B20)+$B22-D$5+MONTH($B20)/12),D21)</f>
        <v>0</v>
      </c>
      <c r="E28" s="183">
        <f t="shared" si="14"/>
        <v>0</v>
      </c>
      <c r="F28" s="183">
        <f t="shared" si="14"/>
        <v>0</v>
      </c>
      <c r="G28" s="183">
        <f t="shared" si="14"/>
        <v>0</v>
      </c>
      <c r="H28" s="183">
        <f t="shared" si="14"/>
        <v>0</v>
      </c>
      <c r="I28" s="183">
        <f t="shared" si="14"/>
        <v>0</v>
      </c>
      <c r="J28" s="183">
        <f t="shared" si="14"/>
        <v>0</v>
      </c>
      <c r="K28" s="183">
        <f t="shared" si="14"/>
        <v>0</v>
      </c>
      <c r="L28" s="183">
        <f t="shared" si="14"/>
        <v>0</v>
      </c>
      <c r="M28" s="183">
        <f t="shared" si="14"/>
        <v>0</v>
      </c>
      <c r="N28" s="139"/>
    </row>
    <row r="29" spans="1:15" ht="13.4" customHeight="1">
      <c r="A29" s="5"/>
      <c r="B29" s="5"/>
      <c r="C29" s="5"/>
      <c r="D29" s="183"/>
      <c r="E29" s="183"/>
      <c r="F29" s="183"/>
      <c r="G29" s="183"/>
      <c r="H29" s="183"/>
      <c r="I29" s="183"/>
      <c r="J29" s="183"/>
      <c r="K29" s="183"/>
      <c r="L29" s="183"/>
      <c r="M29" s="183"/>
      <c r="N29" s="139"/>
    </row>
    <row r="30" spans="1:15" ht="13.4" customHeight="1">
      <c r="A30" s="5"/>
      <c r="B30" s="5"/>
      <c r="C30" s="5"/>
      <c r="D30" s="183"/>
      <c r="E30" s="183"/>
      <c r="F30" s="183"/>
      <c r="G30" s="183"/>
      <c r="H30" s="183"/>
      <c r="I30" s="183"/>
      <c r="J30" s="183"/>
      <c r="K30" s="183"/>
      <c r="L30" s="183"/>
      <c r="M30" s="183"/>
      <c r="N30" s="28"/>
    </row>
    <row r="31" spans="1:15" ht="13.4" customHeight="1">
      <c r="A31" s="30" t="s">
        <v>860</v>
      </c>
      <c r="B31" s="99"/>
      <c r="C31" t="s">
        <v>800</v>
      </c>
      <c r="D31" s="179" t="s">
        <v>801</v>
      </c>
      <c r="E31" s="1"/>
      <c r="N31" s="28"/>
    </row>
    <row r="32" spans="1:15" ht="13.4" customHeight="1">
      <c r="A32" s="26" t="s">
        <v>677</v>
      </c>
      <c r="B32" s="133">
        <v>29373</v>
      </c>
      <c r="C32" s="5" t="s">
        <v>639</v>
      </c>
      <c r="D32" s="180">
        <f>IF($D31="V",Input!G$68,IF(AND($B38=D$5,Input!G$63&gt;0),Input!G$63,$B35))</f>
        <v>0.05</v>
      </c>
      <c r="E32" s="180">
        <f>IF($D31="V",Input!H$68,IF(AND($B38=E$5,Input!H$63&gt;0),Input!H$63,D32))</f>
        <v>0.05</v>
      </c>
      <c r="F32" s="180">
        <f>IF($D31="V",Input!I$68,IF(AND($B38=F$5,Input!I$63&gt;0),Input!I$63,E32))</f>
        <v>0.05</v>
      </c>
      <c r="G32" s="180">
        <f>IF($D31="V",Input!J$68,IF(AND($B38=G$5,Input!J$63&gt;0),Input!J$63,F32))</f>
        <v>0.05</v>
      </c>
      <c r="H32" s="180">
        <f>IF($D31="V",Input!K$68,IF(AND($B38=H$5,Input!K$63&gt;0),Input!K$63,G32))</f>
        <v>0.05</v>
      </c>
      <c r="I32" s="180">
        <f>IF($D31="V",Input!L$68,IF(AND($B38=I$5,Input!L$63&gt;0),Input!L$63,H32))</f>
        <v>0.05</v>
      </c>
      <c r="J32" s="180">
        <f>IF($D31="V",Input!M$68,IF(AND($B38=J$5,Input!M$63&gt;0),Input!M$63,I32))</f>
        <v>0.05</v>
      </c>
      <c r="K32" s="180">
        <f>IF($D31="V",Input!N$68,IF(AND($B38=K$5,Input!N$63&gt;0),Input!N$63,J32))</f>
        <v>0.05</v>
      </c>
      <c r="L32" s="180">
        <f>IF($D31="V",Input!O$68,IF(AND($B38=L$5,Input!O$63&gt;0),Input!O$63,K32))</f>
        <v>0.05</v>
      </c>
      <c r="M32" s="180">
        <f>IF($D31="V",Input!P$68,IF(AND($B38=M$5,Input!P$63&gt;0),Input!P$63,L32))</f>
        <v>0.05</v>
      </c>
      <c r="N32" s="5"/>
    </row>
    <row r="33" spans="1:14" ht="13.4" customHeight="1">
      <c r="A33" s="5" t="s">
        <v>361</v>
      </c>
      <c r="B33" s="181">
        <v>0</v>
      </c>
      <c r="C33" s="27" t="s">
        <v>173</v>
      </c>
      <c r="D33" s="188">
        <v>0</v>
      </c>
      <c r="E33" s="183">
        <f t="shared" ref="E33:M33" si="15">D38</f>
        <v>0</v>
      </c>
      <c r="F33" s="183">
        <f t="shared" si="15"/>
        <v>0</v>
      </c>
      <c r="G33" s="183">
        <f t="shared" si="15"/>
        <v>0</v>
      </c>
      <c r="H33" s="183">
        <f t="shared" si="15"/>
        <v>0</v>
      </c>
      <c r="I33" s="183">
        <f t="shared" si="15"/>
        <v>0</v>
      </c>
      <c r="J33" s="183">
        <f t="shared" si="15"/>
        <v>0</v>
      </c>
      <c r="K33" s="183">
        <f t="shared" si="15"/>
        <v>0</v>
      </c>
      <c r="L33" s="183">
        <f t="shared" si="15"/>
        <v>0</v>
      </c>
      <c r="M33" s="183">
        <f t="shared" si="15"/>
        <v>0</v>
      </c>
      <c r="N33" s="28"/>
    </row>
    <row r="34" spans="1:14" ht="13.4" customHeight="1">
      <c r="A34" s="26" t="s">
        <v>170</v>
      </c>
      <c r="B34" s="131">
        <v>35</v>
      </c>
      <c r="C34" s="184" t="s">
        <v>169</v>
      </c>
      <c r="D34" s="183">
        <f t="shared" ref="D34:M34" si="16">D36-D35</f>
        <v>0</v>
      </c>
      <c r="E34" s="183">
        <f t="shared" si="16"/>
        <v>0</v>
      </c>
      <c r="F34" s="183">
        <f t="shared" si="16"/>
        <v>0</v>
      </c>
      <c r="G34" s="183">
        <f t="shared" si="16"/>
        <v>0</v>
      </c>
      <c r="H34" s="183">
        <f t="shared" si="16"/>
        <v>0</v>
      </c>
      <c r="I34" s="183">
        <f t="shared" si="16"/>
        <v>0</v>
      </c>
      <c r="J34" s="183">
        <f t="shared" si="16"/>
        <v>0</v>
      </c>
      <c r="K34" s="183">
        <f t="shared" si="16"/>
        <v>0</v>
      </c>
      <c r="L34" s="183">
        <f t="shared" si="16"/>
        <v>0</v>
      </c>
      <c r="M34" s="183">
        <f t="shared" si="16"/>
        <v>0</v>
      </c>
      <c r="N34" s="28"/>
    </row>
    <row r="35" spans="1:14" ht="13.4" customHeight="1">
      <c r="A35" s="5" t="s">
        <v>172</v>
      </c>
      <c r="B35" s="185">
        <f>B23</f>
        <v>0.05</v>
      </c>
      <c r="C35" s="5" t="s">
        <v>174</v>
      </c>
      <c r="D35" s="183">
        <f t="shared" ref="D35:M35" si="17">IF(AND($B37="Y",YEAR($B32)+$B34&gt;D$5),D40,IF((YEAR($B32)+$B34)&gt;D$5,FV(D32/$B36,$B36,D39),D33))</f>
        <v>0</v>
      </c>
      <c r="E35" s="183">
        <f t="shared" si="17"/>
        <v>0</v>
      </c>
      <c r="F35" s="183">
        <f t="shared" si="17"/>
        <v>0</v>
      </c>
      <c r="G35" s="183">
        <f t="shared" si="17"/>
        <v>0</v>
      </c>
      <c r="H35" s="183">
        <f t="shared" si="17"/>
        <v>0</v>
      </c>
      <c r="I35" s="183">
        <f t="shared" si="17"/>
        <v>0</v>
      </c>
      <c r="J35" s="183">
        <f t="shared" si="17"/>
        <v>0</v>
      </c>
      <c r="K35" s="183">
        <f t="shared" si="17"/>
        <v>0</v>
      </c>
      <c r="L35" s="183">
        <f t="shared" si="17"/>
        <v>0</v>
      </c>
      <c r="M35" s="183">
        <f t="shared" si="17"/>
        <v>0</v>
      </c>
      <c r="N35" s="28"/>
    </row>
    <row r="36" spans="1:14" ht="13.4" customHeight="1">
      <c r="A36" s="5" t="s">
        <v>171</v>
      </c>
      <c r="B36" s="131">
        <v>12</v>
      </c>
      <c r="C36" s="186" t="s">
        <v>640</v>
      </c>
      <c r="D36" s="183">
        <f t="shared" ref="D36:M36" si="18">IF(AND($B37="Y",YEAR($B32)+$B34&gt;D$5),D40+D32*(D33-D40*0.5),IF((YEAR($B32)+$B34)&gt;D$5,(D33*D32/$B36-D39)*$B36,(D33*(1+D32*MONTH($B32)/12))))</f>
        <v>0</v>
      </c>
      <c r="E36" s="183">
        <f t="shared" si="18"/>
        <v>0</v>
      </c>
      <c r="F36" s="183">
        <f t="shared" si="18"/>
        <v>0</v>
      </c>
      <c r="G36" s="183">
        <f t="shared" si="18"/>
        <v>0</v>
      </c>
      <c r="H36" s="183">
        <f t="shared" si="18"/>
        <v>0</v>
      </c>
      <c r="I36" s="183">
        <f t="shared" si="18"/>
        <v>0</v>
      </c>
      <c r="J36" s="183">
        <f t="shared" si="18"/>
        <v>0</v>
      </c>
      <c r="K36" s="183">
        <f t="shared" si="18"/>
        <v>0</v>
      </c>
      <c r="L36" s="183">
        <f t="shared" si="18"/>
        <v>0</v>
      </c>
      <c r="M36" s="183">
        <f t="shared" si="18"/>
        <v>0</v>
      </c>
      <c r="N36" s="28"/>
    </row>
    <row r="37" spans="1:14" ht="13.4" customHeight="1">
      <c r="A37" s="5" t="s">
        <v>767</v>
      </c>
      <c r="B37" s="131" t="s">
        <v>719</v>
      </c>
      <c r="C37" s="187" t="s">
        <v>768</v>
      </c>
      <c r="D37" s="188">
        <v>0</v>
      </c>
      <c r="E37" s="188">
        <v>0</v>
      </c>
      <c r="F37" s="188">
        <v>0</v>
      </c>
      <c r="G37" s="188">
        <v>0</v>
      </c>
      <c r="H37" s="188">
        <v>0</v>
      </c>
      <c r="I37" s="188">
        <v>0</v>
      </c>
      <c r="J37" s="188">
        <v>0</v>
      </c>
      <c r="K37" s="188">
        <v>0</v>
      </c>
      <c r="L37" s="188">
        <v>0</v>
      </c>
      <c r="M37" s="188">
        <v>0</v>
      </c>
      <c r="N37" s="28"/>
    </row>
    <row r="38" spans="1:14" ht="13.4" customHeight="1">
      <c r="A38" s="5" t="s">
        <v>182</v>
      </c>
      <c r="B38" s="131"/>
      <c r="C38" s="30" t="s">
        <v>175</v>
      </c>
      <c r="D38" s="183">
        <f t="shared" ref="D38:M38" si="19">D33+D34-D36-D37</f>
        <v>0</v>
      </c>
      <c r="E38" s="183">
        <f t="shared" si="19"/>
        <v>0</v>
      </c>
      <c r="F38" s="183">
        <f t="shared" si="19"/>
        <v>0</v>
      </c>
      <c r="G38" s="183">
        <f t="shared" si="19"/>
        <v>0</v>
      </c>
      <c r="H38" s="183">
        <f t="shared" si="19"/>
        <v>0</v>
      </c>
      <c r="I38" s="183">
        <f t="shared" si="19"/>
        <v>0</v>
      </c>
      <c r="J38" s="183">
        <f t="shared" si="19"/>
        <v>0</v>
      </c>
      <c r="K38" s="183">
        <f t="shared" si="19"/>
        <v>0</v>
      </c>
      <c r="L38" s="183">
        <f t="shared" si="19"/>
        <v>0</v>
      </c>
      <c r="M38" s="183">
        <f t="shared" si="19"/>
        <v>0</v>
      </c>
      <c r="N38" s="28"/>
    </row>
    <row r="39" spans="1:14" ht="13.4" hidden="1" customHeight="1">
      <c r="A39" s="5"/>
      <c r="B39" s="138"/>
      <c r="C39" s="5" t="s">
        <v>769</v>
      </c>
      <c r="D39" s="183" t="e">
        <f t="shared" ref="D39:M39" si="20">PPMT(D32/$B36,1,ROUND(($B34-(D$5-YEAR($B32))+MONTH($B32)/12)*$B36,0),D33)</f>
        <v>#NUM!</v>
      </c>
      <c r="E39" s="183" t="e">
        <f t="shared" si="20"/>
        <v>#NUM!</v>
      </c>
      <c r="F39" s="183" t="e">
        <f t="shared" si="20"/>
        <v>#NUM!</v>
      </c>
      <c r="G39" s="183" t="e">
        <f t="shared" si="20"/>
        <v>#NUM!</v>
      </c>
      <c r="H39" s="183" t="e">
        <f t="shared" si="20"/>
        <v>#NUM!</v>
      </c>
      <c r="I39" s="183" t="e">
        <f t="shared" si="20"/>
        <v>#NUM!</v>
      </c>
      <c r="J39" s="183" t="e">
        <f t="shared" si="20"/>
        <v>#NUM!</v>
      </c>
      <c r="K39" s="183" t="e">
        <f t="shared" si="20"/>
        <v>#NUM!</v>
      </c>
      <c r="L39" s="183" t="e">
        <f t="shared" si="20"/>
        <v>#NUM!</v>
      </c>
      <c r="M39" s="183" t="e">
        <f t="shared" si="20"/>
        <v>#NUM!</v>
      </c>
      <c r="N39" s="139"/>
    </row>
    <row r="40" spans="1:14" ht="13.4" hidden="1" customHeight="1">
      <c r="A40" s="5"/>
      <c r="B40" s="5"/>
      <c r="C40" s="5" t="s">
        <v>770</v>
      </c>
      <c r="D40" s="183">
        <f t="shared" ref="D40:M40" si="21">IF(YEAR($B32)+$B34&gt;D$5,D33/(YEAR($B32)+$B34-D$5+MONTH($B32)/12),D33)</f>
        <v>0</v>
      </c>
      <c r="E40" s="183">
        <f t="shared" si="21"/>
        <v>0</v>
      </c>
      <c r="F40" s="183">
        <f t="shared" si="21"/>
        <v>0</v>
      </c>
      <c r="G40" s="183">
        <f t="shared" si="21"/>
        <v>0</v>
      </c>
      <c r="H40" s="183">
        <f t="shared" si="21"/>
        <v>0</v>
      </c>
      <c r="I40" s="183">
        <f t="shared" si="21"/>
        <v>0</v>
      </c>
      <c r="J40" s="183">
        <f t="shared" si="21"/>
        <v>0</v>
      </c>
      <c r="K40" s="183">
        <f t="shared" si="21"/>
        <v>0</v>
      </c>
      <c r="L40" s="183">
        <f t="shared" si="21"/>
        <v>0</v>
      </c>
      <c r="M40" s="183">
        <f t="shared" si="21"/>
        <v>0</v>
      </c>
      <c r="N40" s="139"/>
    </row>
    <row r="41" spans="1:14" ht="13.4" customHeight="1">
      <c r="A41" s="5"/>
      <c r="B41" s="5"/>
      <c r="C41" s="5"/>
      <c r="D41" s="183"/>
      <c r="E41" s="183"/>
      <c r="F41" s="183"/>
      <c r="G41" s="183"/>
      <c r="H41" s="183"/>
      <c r="I41" s="183"/>
      <c r="J41" s="183"/>
      <c r="K41" s="183"/>
      <c r="L41" s="183"/>
      <c r="M41" s="183"/>
      <c r="N41" s="139"/>
    </row>
    <row r="42" spans="1:14" ht="13.4" customHeight="1">
      <c r="A42" s="5"/>
      <c r="B42" s="5"/>
      <c r="C42" s="5"/>
      <c r="D42" s="183"/>
      <c r="E42" s="183"/>
      <c r="F42" s="183"/>
      <c r="G42" s="183"/>
      <c r="H42" s="183"/>
      <c r="I42" s="183"/>
      <c r="J42" s="183"/>
      <c r="K42" s="183"/>
      <c r="L42" s="183"/>
      <c r="M42" s="183"/>
      <c r="N42" s="46"/>
    </row>
    <row r="43" spans="1:14" ht="13.4" customHeight="1">
      <c r="A43" s="30" t="s">
        <v>861</v>
      </c>
      <c r="B43" s="99"/>
      <c r="C43" t="s">
        <v>800</v>
      </c>
      <c r="D43" s="179" t="s">
        <v>801</v>
      </c>
      <c r="E43" s="1"/>
      <c r="N43" s="28"/>
    </row>
    <row r="44" spans="1:14" ht="13.4" customHeight="1">
      <c r="A44" s="26" t="s">
        <v>677</v>
      </c>
      <c r="B44" s="133">
        <v>29373</v>
      </c>
      <c r="C44" s="5" t="s">
        <v>639</v>
      </c>
      <c r="D44" s="180">
        <f>IF($D43="V",Input!G$68,IF(AND($B50=D$5,Input!G$63&gt;0),Input!G$63,$B47))</f>
        <v>0.05</v>
      </c>
      <c r="E44" s="180">
        <f>IF($D43="V",Input!H$68,IF(AND($B50=E$5,Input!H$63&gt;0),Input!H$63,D44))</f>
        <v>0.05</v>
      </c>
      <c r="F44" s="180">
        <f>IF($D43="V",Input!I$68,IF(AND($B50=F$5,Input!I$63&gt;0),Input!I$63,E44))</f>
        <v>0.05</v>
      </c>
      <c r="G44" s="180">
        <f>IF($D43="V",Input!J$68,IF(AND($B50=G$5,Input!J$63&gt;0),Input!J$63,F44))</f>
        <v>0.05</v>
      </c>
      <c r="H44" s="180">
        <f>IF($D43="V",Input!K$68,IF(AND($B50=H$5,Input!K$63&gt;0),Input!K$63,G44))</f>
        <v>0.05</v>
      </c>
      <c r="I44" s="180">
        <f>IF($D43="V",Input!L$68,IF(AND($B50=I$5,Input!L$63&gt;0),Input!L$63,H44))</f>
        <v>0.05</v>
      </c>
      <c r="J44" s="180">
        <f>IF($D43="V",Input!M$68,IF(AND($B50=J$5,Input!M$63&gt;0),Input!M$63,I44))</f>
        <v>0.05</v>
      </c>
      <c r="K44" s="180">
        <f>IF($D43="V",Input!N$68,IF(AND($B50=K$5,Input!N$63&gt;0),Input!N$63,J44))</f>
        <v>0.05</v>
      </c>
      <c r="L44" s="180">
        <f>IF($D43="V",Input!O$68,IF(AND($B50=L$5,Input!O$63&gt;0),Input!O$63,K44))</f>
        <v>0.05</v>
      </c>
      <c r="M44" s="180">
        <f>IF($D43="V",Input!P$68,IF(AND($B50=M$5,Input!P$63&gt;0),Input!P$63,L44))</f>
        <v>0.05</v>
      </c>
      <c r="N44" s="5"/>
    </row>
    <row r="45" spans="1:14" ht="13.4" customHeight="1">
      <c r="A45" s="5" t="s">
        <v>361</v>
      </c>
      <c r="B45" s="181">
        <v>0</v>
      </c>
      <c r="C45" s="27" t="s">
        <v>173</v>
      </c>
      <c r="D45" s="188">
        <v>0</v>
      </c>
      <c r="E45" s="183">
        <f t="shared" ref="E45:M45" si="22">D50</f>
        <v>0</v>
      </c>
      <c r="F45" s="183">
        <f t="shared" si="22"/>
        <v>0</v>
      </c>
      <c r="G45" s="183">
        <f t="shared" si="22"/>
        <v>0</v>
      </c>
      <c r="H45" s="183">
        <f t="shared" si="22"/>
        <v>0</v>
      </c>
      <c r="I45" s="183">
        <f t="shared" si="22"/>
        <v>0</v>
      </c>
      <c r="J45" s="183">
        <f t="shared" si="22"/>
        <v>0</v>
      </c>
      <c r="K45" s="183">
        <f t="shared" si="22"/>
        <v>0</v>
      </c>
      <c r="L45" s="183">
        <f t="shared" si="22"/>
        <v>0</v>
      </c>
      <c r="M45" s="183">
        <f t="shared" si="22"/>
        <v>0</v>
      </c>
      <c r="N45" s="28"/>
    </row>
    <row r="46" spans="1:14" ht="13.4" customHeight="1">
      <c r="A46" s="26" t="s">
        <v>170</v>
      </c>
      <c r="B46" s="131">
        <v>35</v>
      </c>
      <c r="C46" s="184" t="s">
        <v>169</v>
      </c>
      <c r="D46" s="183">
        <f t="shared" ref="D46:M46" si="23">D48-D47</f>
        <v>0</v>
      </c>
      <c r="E46" s="183">
        <f t="shared" si="23"/>
        <v>0</v>
      </c>
      <c r="F46" s="183">
        <f t="shared" si="23"/>
        <v>0</v>
      </c>
      <c r="G46" s="183">
        <f t="shared" si="23"/>
        <v>0</v>
      </c>
      <c r="H46" s="183">
        <f t="shared" si="23"/>
        <v>0</v>
      </c>
      <c r="I46" s="183">
        <f t="shared" si="23"/>
        <v>0</v>
      </c>
      <c r="J46" s="183">
        <f t="shared" si="23"/>
        <v>0</v>
      </c>
      <c r="K46" s="183">
        <f t="shared" si="23"/>
        <v>0</v>
      </c>
      <c r="L46" s="183">
        <f t="shared" si="23"/>
        <v>0</v>
      </c>
      <c r="M46" s="183">
        <f t="shared" si="23"/>
        <v>0</v>
      </c>
      <c r="N46" s="28"/>
    </row>
    <row r="47" spans="1:14" ht="13.4" customHeight="1">
      <c r="A47" s="5" t="s">
        <v>172</v>
      </c>
      <c r="B47" s="185">
        <f>B35</f>
        <v>0.05</v>
      </c>
      <c r="C47" s="5" t="s">
        <v>174</v>
      </c>
      <c r="D47" s="183">
        <f t="shared" ref="D47:M47" si="24">IF(AND($B49="Y",YEAR($B44)+$B46&gt;D$5),D52,IF((YEAR($B44)+$B46)&gt;D$5,FV(D44/$B48,$B48,D51),D45))</f>
        <v>0</v>
      </c>
      <c r="E47" s="183">
        <f t="shared" si="24"/>
        <v>0</v>
      </c>
      <c r="F47" s="183">
        <f t="shared" si="24"/>
        <v>0</v>
      </c>
      <c r="G47" s="183">
        <f t="shared" si="24"/>
        <v>0</v>
      </c>
      <c r="H47" s="183">
        <f t="shared" si="24"/>
        <v>0</v>
      </c>
      <c r="I47" s="183">
        <f t="shared" si="24"/>
        <v>0</v>
      </c>
      <c r="J47" s="183">
        <f t="shared" si="24"/>
        <v>0</v>
      </c>
      <c r="K47" s="183">
        <f t="shared" si="24"/>
        <v>0</v>
      </c>
      <c r="L47" s="183">
        <f t="shared" si="24"/>
        <v>0</v>
      </c>
      <c r="M47" s="183">
        <f t="shared" si="24"/>
        <v>0</v>
      </c>
      <c r="N47" s="28"/>
    </row>
    <row r="48" spans="1:14" ht="13.4" customHeight="1">
      <c r="A48" s="5" t="s">
        <v>171</v>
      </c>
      <c r="B48" s="131">
        <v>12</v>
      </c>
      <c r="C48" s="186" t="s">
        <v>640</v>
      </c>
      <c r="D48" s="183">
        <f t="shared" ref="D48:M48" si="25">IF(AND($B49="Y",YEAR($B44)+$B46&gt;D$5),D52+D44*(D45-D52*0.5),IF((YEAR($B44)+$B46)&gt;D$5,(D45*D44/$B48-D51)*$B48,(D45*(1+D44*MONTH($B44)/12))))</f>
        <v>0</v>
      </c>
      <c r="E48" s="183">
        <f t="shared" si="25"/>
        <v>0</v>
      </c>
      <c r="F48" s="183">
        <f t="shared" si="25"/>
        <v>0</v>
      </c>
      <c r="G48" s="183">
        <f t="shared" si="25"/>
        <v>0</v>
      </c>
      <c r="H48" s="183">
        <f t="shared" si="25"/>
        <v>0</v>
      </c>
      <c r="I48" s="183">
        <f t="shared" si="25"/>
        <v>0</v>
      </c>
      <c r="J48" s="183">
        <f t="shared" si="25"/>
        <v>0</v>
      </c>
      <c r="K48" s="183">
        <f t="shared" si="25"/>
        <v>0</v>
      </c>
      <c r="L48" s="183">
        <f t="shared" si="25"/>
        <v>0</v>
      </c>
      <c r="M48" s="183">
        <f t="shared" si="25"/>
        <v>0</v>
      </c>
      <c r="N48" s="28"/>
    </row>
    <row r="49" spans="1:14" ht="13.4" customHeight="1">
      <c r="A49" s="5" t="s">
        <v>767</v>
      </c>
      <c r="B49" s="131" t="s">
        <v>719</v>
      </c>
      <c r="C49" s="187" t="s">
        <v>768</v>
      </c>
      <c r="D49" s="188">
        <v>0</v>
      </c>
      <c r="E49" s="188">
        <v>0</v>
      </c>
      <c r="F49" s="188">
        <v>0</v>
      </c>
      <c r="G49" s="188">
        <v>0</v>
      </c>
      <c r="H49" s="188">
        <v>0</v>
      </c>
      <c r="I49" s="188">
        <v>0</v>
      </c>
      <c r="J49" s="188">
        <v>0</v>
      </c>
      <c r="K49" s="188">
        <v>0</v>
      </c>
      <c r="L49" s="188">
        <v>0</v>
      </c>
      <c r="M49" s="188">
        <v>0</v>
      </c>
      <c r="N49" s="28"/>
    </row>
    <row r="50" spans="1:14" ht="13.4" customHeight="1">
      <c r="A50" s="5" t="s">
        <v>182</v>
      </c>
      <c r="B50" s="131"/>
      <c r="C50" s="30" t="s">
        <v>175</v>
      </c>
      <c r="D50" s="183">
        <f t="shared" ref="D50:M50" si="26">D45+D46-D48-D49</f>
        <v>0</v>
      </c>
      <c r="E50" s="183">
        <f t="shared" si="26"/>
        <v>0</v>
      </c>
      <c r="F50" s="183">
        <f t="shared" si="26"/>
        <v>0</v>
      </c>
      <c r="G50" s="183">
        <f t="shared" si="26"/>
        <v>0</v>
      </c>
      <c r="H50" s="183">
        <f t="shared" si="26"/>
        <v>0</v>
      </c>
      <c r="I50" s="183">
        <f t="shared" si="26"/>
        <v>0</v>
      </c>
      <c r="J50" s="183">
        <f t="shared" si="26"/>
        <v>0</v>
      </c>
      <c r="K50" s="183">
        <f t="shared" si="26"/>
        <v>0</v>
      </c>
      <c r="L50" s="183">
        <f t="shared" si="26"/>
        <v>0</v>
      </c>
      <c r="M50" s="183">
        <f t="shared" si="26"/>
        <v>0</v>
      </c>
      <c r="N50" s="28"/>
    </row>
    <row r="51" spans="1:14" ht="13" hidden="1" customHeight="1">
      <c r="A51" s="5"/>
      <c r="B51" s="138"/>
      <c r="C51" s="5" t="s">
        <v>769</v>
      </c>
      <c r="D51" s="183" t="e">
        <f t="shared" ref="D51:M51" si="27">PPMT(D44/$B48,1,ROUND(($B46-(D$5-YEAR($B44))+MONTH($B44)/12)*$B48,0),D45)</f>
        <v>#NUM!</v>
      </c>
      <c r="E51" s="183" t="e">
        <f t="shared" si="27"/>
        <v>#NUM!</v>
      </c>
      <c r="F51" s="183" t="e">
        <f t="shared" si="27"/>
        <v>#NUM!</v>
      </c>
      <c r="G51" s="183" t="e">
        <f t="shared" si="27"/>
        <v>#NUM!</v>
      </c>
      <c r="H51" s="183" t="e">
        <f t="shared" si="27"/>
        <v>#NUM!</v>
      </c>
      <c r="I51" s="183" t="e">
        <f t="shared" si="27"/>
        <v>#NUM!</v>
      </c>
      <c r="J51" s="183" t="e">
        <f t="shared" si="27"/>
        <v>#NUM!</v>
      </c>
      <c r="K51" s="183" t="e">
        <f t="shared" si="27"/>
        <v>#NUM!</v>
      </c>
      <c r="L51" s="183" t="e">
        <f t="shared" si="27"/>
        <v>#NUM!</v>
      </c>
      <c r="M51" s="183" t="e">
        <f t="shared" si="27"/>
        <v>#NUM!</v>
      </c>
      <c r="N51" s="139"/>
    </row>
    <row r="52" spans="1:14" ht="13" hidden="1" customHeight="1">
      <c r="A52" s="5"/>
      <c r="B52" s="5"/>
      <c r="C52" s="5" t="s">
        <v>770</v>
      </c>
      <c r="D52" s="183">
        <f t="shared" ref="D52:M52" si="28">IF(YEAR($B44)+$B46&gt;D$5,D45/(YEAR($B44)+$B46-D$5+MONTH($B44)/12),D45)</f>
        <v>0</v>
      </c>
      <c r="E52" s="183">
        <f t="shared" si="28"/>
        <v>0</v>
      </c>
      <c r="F52" s="183">
        <f t="shared" si="28"/>
        <v>0</v>
      </c>
      <c r="G52" s="183">
        <f t="shared" si="28"/>
        <v>0</v>
      </c>
      <c r="H52" s="183">
        <f t="shared" si="28"/>
        <v>0</v>
      </c>
      <c r="I52" s="183">
        <f t="shared" si="28"/>
        <v>0</v>
      </c>
      <c r="J52" s="183">
        <f t="shared" si="28"/>
        <v>0</v>
      </c>
      <c r="K52" s="183">
        <f t="shared" si="28"/>
        <v>0</v>
      </c>
      <c r="L52" s="183">
        <f t="shared" si="28"/>
        <v>0</v>
      </c>
      <c r="M52" s="183">
        <f t="shared" si="28"/>
        <v>0</v>
      </c>
      <c r="N52" s="139"/>
    </row>
    <row r="53" spans="1:14" ht="13.4" customHeight="1">
      <c r="A53" s="5"/>
      <c r="B53" s="5"/>
      <c r="C53" s="5"/>
      <c r="D53" s="183"/>
      <c r="E53" s="183"/>
      <c r="F53" s="183"/>
      <c r="G53" s="183"/>
      <c r="H53" s="183"/>
      <c r="I53" s="183"/>
      <c r="J53" s="183"/>
      <c r="K53" s="183"/>
      <c r="L53" s="183"/>
      <c r="M53" s="183"/>
      <c r="N53" s="139"/>
    </row>
    <row r="54" spans="1:14" ht="13.4" customHeight="1">
      <c r="A54" s="5"/>
      <c r="B54" s="5"/>
      <c r="C54" s="5"/>
      <c r="D54" s="183"/>
      <c r="E54" s="183"/>
      <c r="F54" s="183"/>
      <c r="G54" s="183"/>
      <c r="H54" s="183"/>
      <c r="I54" s="183"/>
      <c r="J54" s="183"/>
      <c r="K54" s="183"/>
      <c r="L54" s="183"/>
      <c r="M54" s="183"/>
      <c r="N54" s="46"/>
    </row>
    <row r="55" spans="1:14" ht="13.4" customHeight="1">
      <c r="A55" s="30" t="s">
        <v>862</v>
      </c>
      <c r="B55" s="99"/>
      <c r="C55" t="s">
        <v>800</v>
      </c>
      <c r="D55" s="179" t="s">
        <v>801</v>
      </c>
      <c r="E55" s="1"/>
      <c r="N55" s="28"/>
    </row>
    <row r="56" spans="1:14" ht="13.4" customHeight="1">
      <c r="A56" s="26" t="s">
        <v>677</v>
      </c>
      <c r="B56" s="133">
        <v>29373</v>
      </c>
      <c r="C56" s="5" t="s">
        <v>639</v>
      </c>
      <c r="D56" s="180">
        <f>IF($D55="V",Input!G$68,IF(AND($B62=D$5,Input!G$63&gt;0),Input!G$63,$B59))</f>
        <v>0.05</v>
      </c>
      <c r="E56" s="180">
        <f>IF($D55="V",Input!H$68,IF(AND($B62=E$5,Input!H$63&gt;0),Input!H$63,D56))</f>
        <v>0.05</v>
      </c>
      <c r="F56" s="180">
        <f>IF($D55="V",Input!I$68,IF(AND($B62=F$5,Input!I$63&gt;0),Input!I$63,E56))</f>
        <v>0.05</v>
      </c>
      <c r="G56" s="180">
        <f>IF($D55="V",Input!J$68,IF(AND($B62=G$5,Input!J$63&gt;0),Input!J$63,F56))</f>
        <v>0.05</v>
      </c>
      <c r="H56" s="180">
        <f>IF($D55="V",Input!K$68,IF(AND($B62=H$5,Input!K$63&gt;0),Input!K$63,G56))</f>
        <v>0.05</v>
      </c>
      <c r="I56" s="180">
        <f>IF($D55="V",Input!L$68,IF(AND($B62=I$5,Input!L$63&gt;0),Input!L$63,H56))</f>
        <v>0.05</v>
      </c>
      <c r="J56" s="180">
        <f>IF($D55="V",Input!M$68,IF(AND($B62=J$5,Input!M$63&gt;0),Input!M$63,I56))</f>
        <v>0.05</v>
      </c>
      <c r="K56" s="180">
        <f>IF($D55="V",Input!N$68,IF(AND($B62=K$5,Input!N$63&gt;0),Input!N$63,J56))</f>
        <v>0.05</v>
      </c>
      <c r="L56" s="180">
        <f>IF($D55="V",Input!O$68,IF(AND($B62=L$5,Input!O$63&gt;0),Input!O$63,K56))</f>
        <v>0.05</v>
      </c>
      <c r="M56" s="180">
        <f>IF($D55="V",Input!P$68,IF(AND($B62=M$5,Input!P$63&gt;0),Input!P$63,L56))</f>
        <v>0.05</v>
      </c>
      <c r="N56" s="5"/>
    </row>
    <row r="57" spans="1:14" ht="13.4" customHeight="1">
      <c r="A57" s="5" t="s">
        <v>361</v>
      </c>
      <c r="B57" s="181">
        <v>0</v>
      </c>
      <c r="C57" s="27" t="s">
        <v>173</v>
      </c>
      <c r="D57" s="188">
        <v>0</v>
      </c>
      <c r="E57" s="183">
        <f t="shared" ref="E57:M57" si="29">D62</f>
        <v>0</v>
      </c>
      <c r="F57" s="183">
        <f t="shared" si="29"/>
        <v>0</v>
      </c>
      <c r="G57" s="183">
        <f t="shared" si="29"/>
        <v>0</v>
      </c>
      <c r="H57" s="183">
        <f t="shared" si="29"/>
        <v>0</v>
      </c>
      <c r="I57" s="183">
        <f t="shared" si="29"/>
        <v>0</v>
      </c>
      <c r="J57" s="183">
        <f t="shared" si="29"/>
        <v>0</v>
      </c>
      <c r="K57" s="183">
        <f t="shared" si="29"/>
        <v>0</v>
      </c>
      <c r="L57" s="183">
        <f t="shared" si="29"/>
        <v>0</v>
      </c>
      <c r="M57" s="183">
        <f t="shared" si="29"/>
        <v>0</v>
      </c>
      <c r="N57" s="28"/>
    </row>
    <row r="58" spans="1:14" ht="13.4" customHeight="1">
      <c r="A58" s="26" t="s">
        <v>170</v>
      </c>
      <c r="B58" s="131">
        <v>35</v>
      </c>
      <c r="C58" s="184" t="s">
        <v>169</v>
      </c>
      <c r="D58" s="183">
        <f t="shared" ref="D58:M58" si="30">D60-D59</f>
        <v>0</v>
      </c>
      <c r="E58" s="183">
        <f t="shared" si="30"/>
        <v>0</v>
      </c>
      <c r="F58" s="183">
        <f t="shared" si="30"/>
        <v>0</v>
      </c>
      <c r="G58" s="183">
        <f t="shared" si="30"/>
        <v>0</v>
      </c>
      <c r="H58" s="183">
        <f t="shared" si="30"/>
        <v>0</v>
      </c>
      <c r="I58" s="183">
        <f t="shared" si="30"/>
        <v>0</v>
      </c>
      <c r="J58" s="183">
        <f t="shared" si="30"/>
        <v>0</v>
      </c>
      <c r="K58" s="183">
        <f t="shared" si="30"/>
        <v>0</v>
      </c>
      <c r="L58" s="183">
        <f t="shared" si="30"/>
        <v>0</v>
      </c>
      <c r="M58" s="183">
        <f t="shared" si="30"/>
        <v>0</v>
      </c>
      <c r="N58" s="28"/>
    </row>
    <row r="59" spans="1:14" ht="13.4" customHeight="1">
      <c r="A59" s="5" t="s">
        <v>172</v>
      </c>
      <c r="B59" s="185">
        <f>B47</f>
        <v>0.05</v>
      </c>
      <c r="C59" s="5" t="s">
        <v>174</v>
      </c>
      <c r="D59" s="183">
        <f t="shared" ref="D59:M59" si="31">IF(AND($B61="Y",YEAR($B56)+$B58&gt;D$5),D64,IF((YEAR($B56)+$B58)&gt;D$5,FV(D56/$B60,$B60,D63),D57))</f>
        <v>0</v>
      </c>
      <c r="E59" s="183">
        <f t="shared" si="31"/>
        <v>0</v>
      </c>
      <c r="F59" s="183">
        <f t="shared" si="31"/>
        <v>0</v>
      </c>
      <c r="G59" s="183">
        <f t="shared" si="31"/>
        <v>0</v>
      </c>
      <c r="H59" s="183">
        <f t="shared" si="31"/>
        <v>0</v>
      </c>
      <c r="I59" s="183">
        <f t="shared" si="31"/>
        <v>0</v>
      </c>
      <c r="J59" s="183">
        <f t="shared" si="31"/>
        <v>0</v>
      </c>
      <c r="K59" s="183">
        <f t="shared" si="31"/>
        <v>0</v>
      </c>
      <c r="L59" s="183">
        <f t="shared" si="31"/>
        <v>0</v>
      </c>
      <c r="M59" s="183">
        <f t="shared" si="31"/>
        <v>0</v>
      </c>
      <c r="N59" s="28"/>
    </row>
    <row r="60" spans="1:14" ht="13.4" customHeight="1">
      <c r="A60" s="5" t="s">
        <v>171</v>
      </c>
      <c r="B60" s="131">
        <v>12</v>
      </c>
      <c r="C60" s="186" t="s">
        <v>640</v>
      </c>
      <c r="D60" s="183">
        <f t="shared" ref="D60:M60" si="32">IF(AND($B61="Y",YEAR($B56)+$B58&gt;D$5),D64+D56*(D57-D64*0.5),IF((YEAR($B56)+$B58)&gt;D$5,(D57*D56/$B60-D63)*$B60,(D57*(1+D56*MONTH($B56)/12))))</f>
        <v>0</v>
      </c>
      <c r="E60" s="183">
        <f t="shared" si="32"/>
        <v>0</v>
      </c>
      <c r="F60" s="183">
        <f t="shared" si="32"/>
        <v>0</v>
      </c>
      <c r="G60" s="183">
        <f t="shared" si="32"/>
        <v>0</v>
      </c>
      <c r="H60" s="183">
        <f t="shared" si="32"/>
        <v>0</v>
      </c>
      <c r="I60" s="183">
        <f t="shared" si="32"/>
        <v>0</v>
      </c>
      <c r="J60" s="183">
        <f t="shared" si="32"/>
        <v>0</v>
      </c>
      <c r="K60" s="183">
        <f t="shared" si="32"/>
        <v>0</v>
      </c>
      <c r="L60" s="183">
        <f t="shared" si="32"/>
        <v>0</v>
      </c>
      <c r="M60" s="183">
        <f t="shared" si="32"/>
        <v>0</v>
      </c>
      <c r="N60" s="28"/>
    </row>
    <row r="61" spans="1:14" ht="13.4" customHeight="1">
      <c r="A61" s="5" t="s">
        <v>767</v>
      </c>
      <c r="B61" s="131" t="s">
        <v>719</v>
      </c>
      <c r="C61" s="187" t="s">
        <v>768</v>
      </c>
      <c r="D61" s="188">
        <v>0</v>
      </c>
      <c r="E61" s="188">
        <v>0</v>
      </c>
      <c r="F61" s="188">
        <v>0</v>
      </c>
      <c r="G61" s="188">
        <v>0</v>
      </c>
      <c r="H61" s="188">
        <v>0</v>
      </c>
      <c r="I61" s="188">
        <v>0</v>
      </c>
      <c r="J61" s="188">
        <v>0</v>
      </c>
      <c r="K61" s="188">
        <v>0</v>
      </c>
      <c r="L61" s="188">
        <v>0</v>
      </c>
      <c r="M61" s="188">
        <v>0</v>
      </c>
      <c r="N61" s="28"/>
    </row>
    <row r="62" spans="1:14" ht="13.4" customHeight="1">
      <c r="A62" s="5" t="s">
        <v>182</v>
      </c>
      <c r="B62" s="131"/>
      <c r="C62" s="30" t="s">
        <v>175</v>
      </c>
      <c r="D62" s="183">
        <f t="shared" ref="D62:M62" si="33">D57+D58-D60-D61</f>
        <v>0</v>
      </c>
      <c r="E62" s="183">
        <f t="shared" si="33"/>
        <v>0</v>
      </c>
      <c r="F62" s="183">
        <f t="shared" si="33"/>
        <v>0</v>
      </c>
      <c r="G62" s="183">
        <f t="shared" si="33"/>
        <v>0</v>
      </c>
      <c r="H62" s="183">
        <f t="shared" si="33"/>
        <v>0</v>
      </c>
      <c r="I62" s="183">
        <f t="shared" si="33"/>
        <v>0</v>
      </c>
      <c r="J62" s="183">
        <f t="shared" si="33"/>
        <v>0</v>
      </c>
      <c r="K62" s="183">
        <f t="shared" si="33"/>
        <v>0</v>
      </c>
      <c r="L62" s="183">
        <f t="shared" si="33"/>
        <v>0</v>
      </c>
      <c r="M62" s="183">
        <f t="shared" si="33"/>
        <v>0</v>
      </c>
      <c r="N62" s="28"/>
    </row>
    <row r="63" spans="1:14" ht="13" hidden="1" customHeight="1">
      <c r="A63" s="5"/>
      <c r="B63" s="138"/>
      <c r="C63" s="5" t="s">
        <v>769</v>
      </c>
      <c r="D63" s="183" t="e">
        <f t="shared" ref="D63:M63" si="34">PPMT(D56/$B60,1,ROUND(($B58-(D$5-YEAR($B56))+MONTH($B56)/12)*$B60,0),D57)</f>
        <v>#NUM!</v>
      </c>
      <c r="E63" s="183" t="e">
        <f t="shared" si="34"/>
        <v>#NUM!</v>
      </c>
      <c r="F63" s="183" t="e">
        <f t="shared" si="34"/>
        <v>#NUM!</v>
      </c>
      <c r="G63" s="183" t="e">
        <f t="shared" si="34"/>
        <v>#NUM!</v>
      </c>
      <c r="H63" s="183" t="e">
        <f t="shared" si="34"/>
        <v>#NUM!</v>
      </c>
      <c r="I63" s="183" t="e">
        <f t="shared" si="34"/>
        <v>#NUM!</v>
      </c>
      <c r="J63" s="183" t="e">
        <f t="shared" si="34"/>
        <v>#NUM!</v>
      </c>
      <c r="K63" s="183" t="e">
        <f t="shared" si="34"/>
        <v>#NUM!</v>
      </c>
      <c r="L63" s="183" t="e">
        <f t="shared" si="34"/>
        <v>#NUM!</v>
      </c>
      <c r="M63" s="183" t="e">
        <f t="shared" si="34"/>
        <v>#NUM!</v>
      </c>
      <c r="N63" s="139"/>
    </row>
    <row r="64" spans="1:14" ht="13" hidden="1" customHeight="1">
      <c r="A64" s="5"/>
      <c r="B64" s="5"/>
      <c r="C64" s="5" t="s">
        <v>770</v>
      </c>
      <c r="D64" s="183">
        <f t="shared" ref="D64:M64" si="35">IF(YEAR($B56)+$B58&gt;D$5,D57/(YEAR($B56)+$B58-D$5+MONTH($B56)/12),D57)</f>
        <v>0</v>
      </c>
      <c r="E64" s="183">
        <f t="shared" si="35"/>
        <v>0</v>
      </c>
      <c r="F64" s="183">
        <f t="shared" si="35"/>
        <v>0</v>
      </c>
      <c r="G64" s="183">
        <f t="shared" si="35"/>
        <v>0</v>
      </c>
      <c r="H64" s="183">
        <f t="shared" si="35"/>
        <v>0</v>
      </c>
      <c r="I64" s="183">
        <f t="shared" si="35"/>
        <v>0</v>
      </c>
      <c r="J64" s="183">
        <f t="shared" si="35"/>
        <v>0</v>
      </c>
      <c r="K64" s="183">
        <f t="shared" si="35"/>
        <v>0</v>
      </c>
      <c r="L64" s="183">
        <f t="shared" si="35"/>
        <v>0</v>
      </c>
      <c r="M64" s="183">
        <f t="shared" si="35"/>
        <v>0</v>
      </c>
      <c r="N64" s="139"/>
    </row>
    <row r="65" spans="1:14" ht="13.4" customHeight="1">
      <c r="A65" s="5"/>
      <c r="B65" s="5"/>
      <c r="C65" s="5"/>
      <c r="D65" s="183"/>
      <c r="E65" s="183"/>
      <c r="F65" s="183"/>
      <c r="G65" s="183"/>
      <c r="H65" s="183"/>
      <c r="I65" s="183"/>
      <c r="J65" s="183"/>
      <c r="K65" s="183"/>
      <c r="L65" s="183"/>
      <c r="M65" s="183"/>
      <c r="N65" s="139"/>
    </row>
    <row r="66" spans="1:14" ht="13.4" customHeight="1">
      <c r="A66" s="5"/>
      <c r="B66" s="5"/>
      <c r="C66" s="5"/>
      <c r="D66" s="183"/>
      <c r="E66" s="183"/>
      <c r="F66" s="183"/>
      <c r="G66" s="183"/>
      <c r="H66" s="183"/>
      <c r="I66" s="183"/>
      <c r="J66" s="183"/>
      <c r="K66" s="183"/>
      <c r="L66" s="183"/>
      <c r="M66" s="183"/>
      <c r="N66" s="46"/>
    </row>
    <row r="67" spans="1:14" ht="13.4" customHeight="1">
      <c r="A67" s="30" t="s">
        <v>863</v>
      </c>
      <c r="B67" s="99"/>
      <c r="C67" t="s">
        <v>800</v>
      </c>
      <c r="D67" s="179" t="s">
        <v>801</v>
      </c>
      <c r="E67" s="1"/>
      <c r="N67" s="28"/>
    </row>
    <row r="68" spans="1:14" ht="13.4" customHeight="1">
      <c r="A68" s="26" t="s">
        <v>677</v>
      </c>
      <c r="B68" s="133">
        <v>29373</v>
      </c>
      <c r="C68" s="5" t="s">
        <v>639</v>
      </c>
      <c r="D68" s="180">
        <f>IF($D67="V",Input!G$68,IF(AND($B74=D$5,Input!G$63&gt;0),Input!G$63,$B71))</f>
        <v>0.05</v>
      </c>
      <c r="E68" s="180">
        <f>IF($D67="V",Input!H$68,IF(AND($B74=E$5,Input!H$63&gt;0),Input!H$63,D68))</f>
        <v>0.05</v>
      </c>
      <c r="F68" s="180">
        <f>IF($D67="V",Input!I$68,IF(AND($B74=F$5,Input!I$63&gt;0),Input!I$63,E68))</f>
        <v>0.05</v>
      </c>
      <c r="G68" s="180">
        <f>IF($D67="V",Input!J$68,IF(AND($B74=G$5,Input!J$63&gt;0),Input!J$63,F68))</f>
        <v>0.05</v>
      </c>
      <c r="H68" s="180">
        <f>IF($D67="V",Input!K$68,IF(AND($B74=H$5,Input!K$63&gt;0),Input!K$63,G68))</f>
        <v>0.05</v>
      </c>
      <c r="I68" s="180">
        <f>IF($D67="V",Input!L$68,IF(AND($B74=I$5,Input!L$63&gt;0),Input!L$63,H68))</f>
        <v>0.05</v>
      </c>
      <c r="J68" s="180">
        <f>IF($D67="V",Input!M$68,IF(AND($B74=J$5,Input!M$63&gt;0),Input!M$63,I68))</f>
        <v>0.05</v>
      </c>
      <c r="K68" s="180">
        <f>IF($D67="V",Input!N$68,IF(AND($B74=K$5,Input!N$63&gt;0),Input!N$63,J68))</f>
        <v>0.05</v>
      </c>
      <c r="L68" s="180">
        <f>IF($D67="V",Input!O$68,IF(AND($B74=L$5,Input!O$63&gt;0),Input!O$63,K68))</f>
        <v>0.05</v>
      </c>
      <c r="M68" s="180">
        <f>IF($D67="V",Input!P$68,IF(AND($B74=M$5,Input!P$63&gt;0),Input!P$63,L68))</f>
        <v>0.05</v>
      </c>
      <c r="N68" s="5"/>
    </row>
    <row r="69" spans="1:14" ht="13.4" customHeight="1">
      <c r="A69" s="5" t="s">
        <v>361</v>
      </c>
      <c r="B69" s="181">
        <v>0</v>
      </c>
      <c r="C69" s="27" t="s">
        <v>173</v>
      </c>
      <c r="D69" s="188">
        <v>0</v>
      </c>
      <c r="E69" s="183">
        <f t="shared" ref="E69:M69" si="36">D74</f>
        <v>0</v>
      </c>
      <c r="F69" s="183">
        <f t="shared" si="36"/>
        <v>0</v>
      </c>
      <c r="G69" s="183">
        <f t="shared" si="36"/>
        <v>0</v>
      </c>
      <c r="H69" s="183">
        <f t="shared" si="36"/>
        <v>0</v>
      </c>
      <c r="I69" s="183">
        <f t="shared" si="36"/>
        <v>0</v>
      </c>
      <c r="J69" s="183">
        <f t="shared" si="36"/>
        <v>0</v>
      </c>
      <c r="K69" s="183">
        <f t="shared" si="36"/>
        <v>0</v>
      </c>
      <c r="L69" s="183">
        <f t="shared" si="36"/>
        <v>0</v>
      </c>
      <c r="M69" s="183">
        <f t="shared" si="36"/>
        <v>0</v>
      </c>
      <c r="N69" s="28"/>
    </row>
    <row r="70" spans="1:14" ht="13.4" customHeight="1">
      <c r="A70" s="26" t="s">
        <v>170</v>
      </c>
      <c r="B70" s="131">
        <v>35</v>
      </c>
      <c r="C70" s="184" t="s">
        <v>169</v>
      </c>
      <c r="D70" s="183">
        <f t="shared" ref="D70:M70" si="37">D72-D71</f>
        <v>0</v>
      </c>
      <c r="E70" s="183">
        <f t="shared" si="37"/>
        <v>0</v>
      </c>
      <c r="F70" s="183">
        <f t="shared" si="37"/>
        <v>0</v>
      </c>
      <c r="G70" s="183">
        <f t="shared" si="37"/>
        <v>0</v>
      </c>
      <c r="H70" s="183">
        <f t="shared" si="37"/>
        <v>0</v>
      </c>
      <c r="I70" s="183">
        <f t="shared" si="37"/>
        <v>0</v>
      </c>
      <c r="J70" s="183">
        <f t="shared" si="37"/>
        <v>0</v>
      </c>
      <c r="K70" s="183">
        <f t="shared" si="37"/>
        <v>0</v>
      </c>
      <c r="L70" s="183">
        <f t="shared" si="37"/>
        <v>0</v>
      </c>
      <c r="M70" s="183">
        <f t="shared" si="37"/>
        <v>0</v>
      </c>
      <c r="N70" s="28"/>
    </row>
    <row r="71" spans="1:14" ht="13.4" customHeight="1">
      <c r="A71" s="5" t="s">
        <v>172</v>
      </c>
      <c r="B71" s="185">
        <f>B59</f>
        <v>0.05</v>
      </c>
      <c r="C71" s="5" t="s">
        <v>174</v>
      </c>
      <c r="D71" s="183">
        <f t="shared" ref="D71:M71" si="38">IF(AND($B73="Y",YEAR($B68)+$B70&gt;D$5),D76,IF((YEAR($B68)+$B70)&gt;D$5,FV(D68/$B72,$B72,D75),D69))</f>
        <v>0</v>
      </c>
      <c r="E71" s="183">
        <f t="shared" si="38"/>
        <v>0</v>
      </c>
      <c r="F71" s="183">
        <f t="shared" si="38"/>
        <v>0</v>
      </c>
      <c r="G71" s="183">
        <f t="shared" si="38"/>
        <v>0</v>
      </c>
      <c r="H71" s="183">
        <f t="shared" si="38"/>
        <v>0</v>
      </c>
      <c r="I71" s="183">
        <f t="shared" si="38"/>
        <v>0</v>
      </c>
      <c r="J71" s="183">
        <f t="shared" si="38"/>
        <v>0</v>
      </c>
      <c r="K71" s="183">
        <f t="shared" si="38"/>
        <v>0</v>
      </c>
      <c r="L71" s="183">
        <f t="shared" si="38"/>
        <v>0</v>
      </c>
      <c r="M71" s="183">
        <f t="shared" si="38"/>
        <v>0</v>
      </c>
      <c r="N71" s="28"/>
    </row>
    <row r="72" spans="1:14" ht="13.4" customHeight="1">
      <c r="A72" s="5" t="s">
        <v>171</v>
      </c>
      <c r="B72" s="131">
        <v>12</v>
      </c>
      <c r="C72" s="186" t="s">
        <v>640</v>
      </c>
      <c r="D72" s="183">
        <f t="shared" ref="D72:M72" si="39">IF(AND($B73="Y",YEAR($B68)+$B70&gt;D$5),D76+D68*(D69-D76*0.5),IF((YEAR($B68)+$B70)&gt;D$5,(D69*D68/$B72-D75)*$B72,(D69*(1+D68*MONTH($B68)/12))))</f>
        <v>0</v>
      </c>
      <c r="E72" s="183">
        <f t="shared" si="39"/>
        <v>0</v>
      </c>
      <c r="F72" s="183">
        <f t="shared" si="39"/>
        <v>0</v>
      </c>
      <c r="G72" s="183">
        <f t="shared" si="39"/>
        <v>0</v>
      </c>
      <c r="H72" s="183">
        <f t="shared" si="39"/>
        <v>0</v>
      </c>
      <c r="I72" s="183">
        <f t="shared" si="39"/>
        <v>0</v>
      </c>
      <c r="J72" s="183">
        <f t="shared" si="39"/>
        <v>0</v>
      </c>
      <c r="K72" s="183">
        <f t="shared" si="39"/>
        <v>0</v>
      </c>
      <c r="L72" s="183">
        <f t="shared" si="39"/>
        <v>0</v>
      </c>
      <c r="M72" s="183">
        <f t="shared" si="39"/>
        <v>0</v>
      </c>
      <c r="N72" s="28"/>
    </row>
    <row r="73" spans="1:14" ht="13.4" customHeight="1">
      <c r="A73" s="5" t="s">
        <v>767</v>
      </c>
      <c r="B73" s="131" t="s">
        <v>719</v>
      </c>
      <c r="C73" s="187" t="s">
        <v>768</v>
      </c>
      <c r="D73" s="188">
        <v>0</v>
      </c>
      <c r="E73" s="188">
        <v>0</v>
      </c>
      <c r="F73" s="188">
        <v>0</v>
      </c>
      <c r="G73" s="188">
        <v>0</v>
      </c>
      <c r="H73" s="188">
        <v>0</v>
      </c>
      <c r="I73" s="188">
        <v>0</v>
      </c>
      <c r="J73" s="188">
        <v>0</v>
      </c>
      <c r="K73" s="188">
        <v>0</v>
      </c>
      <c r="L73" s="188">
        <v>0</v>
      </c>
      <c r="M73" s="188">
        <v>0</v>
      </c>
      <c r="N73" s="28"/>
    </row>
    <row r="74" spans="1:14" ht="13.4" customHeight="1">
      <c r="A74" s="5" t="s">
        <v>182</v>
      </c>
      <c r="B74" s="131"/>
      <c r="C74" s="30" t="s">
        <v>175</v>
      </c>
      <c r="D74" s="183">
        <f t="shared" ref="D74:M74" si="40">D69+D70-D72-D73</f>
        <v>0</v>
      </c>
      <c r="E74" s="183">
        <f t="shared" si="40"/>
        <v>0</v>
      </c>
      <c r="F74" s="183">
        <f t="shared" si="40"/>
        <v>0</v>
      </c>
      <c r="G74" s="183">
        <f t="shared" si="40"/>
        <v>0</v>
      </c>
      <c r="H74" s="183">
        <f t="shared" si="40"/>
        <v>0</v>
      </c>
      <c r="I74" s="183">
        <f t="shared" si="40"/>
        <v>0</v>
      </c>
      <c r="J74" s="183">
        <f t="shared" si="40"/>
        <v>0</v>
      </c>
      <c r="K74" s="183">
        <f t="shared" si="40"/>
        <v>0</v>
      </c>
      <c r="L74" s="183">
        <f t="shared" si="40"/>
        <v>0</v>
      </c>
      <c r="M74" s="183">
        <f t="shared" si="40"/>
        <v>0</v>
      </c>
      <c r="N74" s="28"/>
    </row>
    <row r="75" spans="1:14" ht="13" hidden="1" customHeight="1">
      <c r="A75" s="5"/>
      <c r="B75" s="138"/>
      <c r="C75" s="5" t="s">
        <v>769</v>
      </c>
      <c r="D75" s="183" t="e">
        <f t="shared" ref="D75:M75" si="41">PPMT(D68/$B72,1,ROUND(($B70-(D$5-YEAR($B68))+MONTH($B68)/12)*$B72,0),D69)</f>
        <v>#NUM!</v>
      </c>
      <c r="E75" s="183" t="e">
        <f t="shared" si="41"/>
        <v>#NUM!</v>
      </c>
      <c r="F75" s="183" t="e">
        <f t="shared" si="41"/>
        <v>#NUM!</v>
      </c>
      <c r="G75" s="183" t="e">
        <f t="shared" si="41"/>
        <v>#NUM!</v>
      </c>
      <c r="H75" s="183" t="e">
        <f t="shared" si="41"/>
        <v>#NUM!</v>
      </c>
      <c r="I75" s="183" t="e">
        <f t="shared" si="41"/>
        <v>#NUM!</v>
      </c>
      <c r="J75" s="183" t="e">
        <f t="shared" si="41"/>
        <v>#NUM!</v>
      </c>
      <c r="K75" s="183" t="e">
        <f t="shared" si="41"/>
        <v>#NUM!</v>
      </c>
      <c r="L75" s="183" t="e">
        <f t="shared" si="41"/>
        <v>#NUM!</v>
      </c>
      <c r="M75" s="183" t="e">
        <f t="shared" si="41"/>
        <v>#NUM!</v>
      </c>
      <c r="N75" s="139"/>
    </row>
    <row r="76" spans="1:14" ht="13" hidden="1" customHeight="1">
      <c r="A76" s="5"/>
      <c r="B76" s="5"/>
      <c r="C76" s="5" t="s">
        <v>770</v>
      </c>
      <c r="D76" s="183">
        <f t="shared" ref="D76:M76" si="42">IF(YEAR($B68)+$B70&gt;D$5,D69/(YEAR($B68)+$B70-D$5+MONTH($B68)/12),D69)</f>
        <v>0</v>
      </c>
      <c r="E76" s="183">
        <f t="shared" si="42"/>
        <v>0</v>
      </c>
      <c r="F76" s="183">
        <f t="shared" si="42"/>
        <v>0</v>
      </c>
      <c r="G76" s="183">
        <f t="shared" si="42"/>
        <v>0</v>
      </c>
      <c r="H76" s="183">
        <f t="shared" si="42"/>
        <v>0</v>
      </c>
      <c r="I76" s="183">
        <f t="shared" si="42"/>
        <v>0</v>
      </c>
      <c r="J76" s="183">
        <f t="shared" si="42"/>
        <v>0</v>
      </c>
      <c r="K76" s="183">
        <f t="shared" si="42"/>
        <v>0</v>
      </c>
      <c r="L76" s="183">
        <f t="shared" si="42"/>
        <v>0</v>
      </c>
      <c r="M76" s="183">
        <f t="shared" si="42"/>
        <v>0</v>
      </c>
      <c r="N76" s="139"/>
    </row>
    <row r="77" spans="1:14" ht="13.4" customHeight="1">
      <c r="A77" s="5"/>
      <c r="B77" s="5"/>
      <c r="C77" s="5"/>
      <c r="D77" s="183"/>
      <c r="E77" s="183"/>
      <c r="F77" s="183"/>
      <c r="G77" s="183"/>
      <c r="H77" s="183"/>
      <c r="I77" s="183"/>
      <c r="J77" s="183"/>
      <c r="K77" s="183"/>
      <c r="L77" s="183"/>
      <c r="M77" s="183"/>
      <c r="N77" s="139"/>
    </row>
    <row r="78" spans="1:14" ht="13.4" customHeight="1">
      <c r="A78" s="5"/>
      <c r="B78" s="5"/>
      <c r="C78" s="5"/>
      <c r="D78" s="183"/>
      <c r="E78" s="183"/>
      <c r="F78" s="183"/>
      <c r="G78" s="183"/>
      <c r="H78" s="183"/>
      <c r="I78" s="183"/>
      <c r="J78" s="183"/>
      <c r="K78" s="183"/>
      <c r="L78" s="183"/>
      <c r="M78" s="183"/>
      <c r="N78" s="139"/>
    </row>
    <row r="79" spans="1:14" ht="13.4" customHeight="1">
      <c r="A79" s="5"/>
      <c r="B79" s="5"/>
      <c r="C79" s="5"/>
      <c r="D79" s="183"/>
      <c r="E79" s="183"/>
      <c r="F79" s="183"/>
      <c r="G79" s="183"/>
      <c r="H79" s="183"/>
      <c r="I79" s="183"/>
      <c r="J79" s="183"/>
      <c r="K79" s="183"/>
      <c r="L79" s="183"/>
      <c r="M79" s="183"/>
      <c r="N79" s="139"/>
    </row>
    <row r="80" spans="1:14" ht="13.4" customHeight="1">
      <c r="A80" s="5" t="s">
        <v>884</v>
      </c>
      <c r="B80" s="5"/>
      <c r="C80" s="5"/>
      <c r="D80" s="189">
        <f t="shared" ref="D80:M80" si="43">+D5</f>
        <v>2024</v>
      </c>
      <c r="E80" s="189">
        <f t="shared" si="43"/>
        <v>2025</v>
      </c>
      <c r="F80" s="189">
        <f t="shared" si="43"/>
        <v>2026</v>
      </c>
      <c r="G80" s="189">
        <f t="shared" si="43"/>
        <v>2027</v>
      </c>
      <c r="H80" s="189">
        <f t="shared" si="43"/>
        <v>2028</v>
      </c>
      <c r="I80" s="189">
        <f t="shared" si="43"/>
        <v>2029</v>
      </c>
      <c r="J80" s="189">
        <f t="shared" si="43"/>
        <v>2030</v>
      </c>
      <c r="K80" s="189">
        <f t="shared" si="43"/>
        <v>2031</v>
      </c>
      <c r="L80" s="189">
        <f t="shared" si="43"/>
        <v>2032</v>
      </c>
      <c r="M80" s="189">
        <f t="shared" si="43"/>
        <v>2033</v>
      </c>
      <c r="N80" s="139"/>
    </row>
    <row r="81" spans="1:14" ht="13.4" customHeight="1">
      <c r="A81" s="5"/>
      <c r="B81" s="5"/>
      <c r="C81" s="5"/>
      <c r="D81" s="190" t="str">
        <f t="shared" ref="D81:M81" si="44">+D6</f>
        <v xml:space="preserve">  -----------</v>
      </c>
      <c r="E81" s="190" t="str">
        <f t="shared" si="44"/>
        <v xml:space="preserve">  -----------</v>
      </c>
      <c r="F81" s="190" t="str">
        <f t="shared" si="44"/>
        <v xml:space="preserve">  -----------</v>
      </c>
      <c r="G81" s="190" t="str">
        <f t="shared" si="44"/>
        <v xml:space="preserve">  -----------</v>
      </c>
      <c r="H81" s="190" t="str">
        <f t="shared" si="44"/>
        <v xml:space="preserve">  -----------</v>
      </c>
      <c r="I81" s="190" t="str">
        <f t="shared" si="44"/>
        <v xml:space="preserve">  -----------</v>
      </c>
      <c r="J81" s="190" t="str">
        <f t="shared" si="44"/>
        <v xml:space="preserve">  -----------</v>
      </c>
      <c r="K81" s="190" t="str">
        <f t="shared" si="44"/>
        <v xml:space="preserve">  -----------</v>
      </c>
      <c r="L81" s="190" t="str">
        <f t="shared" si="44"/>
        <v xml:space="preserve">  -----------</v>
      </c>
      <c r="M81" s="190" t="str">
        <f t="shared" si="44"/>
        <v xml:space="preserve">  -----------</v>
      </c>
      <c r="N81" s="139"/>
    </row>
    <row r="82" spans="1:14" ht="13.4" customHeight="1">
      <c r="A82" s="30" t="s">
        <v>864</v>
      </c>
      <c r="B82" s="99"/>
      <c r="C82" t="s">
        <v>800</v>
      </c>
      <c r="D82" s="179" t="s">
        <v>801</v>
      </c>
      <c r="E82" s="1"/>
    </row>
    <row r="83" spans="1:14" ht="13.4" customHeight="1">
      <c r="A83" s="26" t="s">
        <v>677</v>
      </c>
      <c r="B83" s="133">
        <v>29373</v>
      </c>
      <c r="C83" s="5" t="s">
        <v>639</v>
      </c>
      <c r="D83" s="180">
        <f>IF($D82="V",Input!G$68,IF(AND($B89=D$5,Input!G$63&gt;0),Input!G$63,$B86))</f>
        <v>0.05</v>
      </c>
      <c r="E83" s="180">
        <f>IF($D82="V",Input!H$68,IF(AND($B89=E$5,Input!H$63&gt;0),Input!H$63,D83))</f>
        <v>0.05</v>
      </c>
      <c r="F83" s="180">
        <f>IF($D82="V",Input!I$68,IF(AND($B89=F$5,Input!I$63&gt;0),Input!I$63,E83))</f>
        <v>0.05</v>
      </c>
      <c r="G83" s="180">
        <f>IF($D82="V",Input!J$68,IF(AND($B89=G$5,Input!J$63&gt;0),Input!J$63,F83))</f>
        <v>0.05</v>
      </c>
      <c r="H83" s="180">
        <f>IF($D82="V",Input!K$68,IF(AND($B89=H$5,Input!K$63&gt;0),Input!K$63,G83))</f>
        <v>0.05</v>
      </c>
      <c r="I83" s="180">
        <f>IF($D82="V",Input!L$68,IF(AND($B89=I$5,Input!L$63&gt;0),Input!L$63,H83))</f>
        <v>0.05</v>
      </c>
      <c r="J83" s="180">
        <f>IF($D82="V",Input!M$68,IF(AND($B89=J$5,Input!M$63&gt;0),Input!M$63,I83))</f>
        <v>0.05</v>
      </c>
      <c r="K83" s="180">
        <f>IF($D82="V",Input!N$68,IF(AND($B89=K$5,Input!N$63&gt;0),Input!N$63,J83))</f>
        <v>0.05</v>
      </c>
      <c r="L83" s="180">
        <f>IF($D82="V",Input!O$68,IF(AND($B89=L$5,Input!O$63&gt;0),Input!O$63,K83))</f>
        <v>0.05</v>
      </c>
      <c r="M83" s="180">
        <f>IF($D82="V",Input!P$68,IF(AND($B89=M$5,Input!P$63&gt;0),Input!P$63,L83))</f>
        <v>0.05</v>
      </c>
      <c r="N83" s="5"/>
    </row>
    <row r="84" spans="1:14" ht="13.4" customHeight="1">
      <c r="A84" s="5" t="s">
        <v>361</v>
      </c>
      <c r="B84" s="181">
        <v>0</v>
      </c>
      <c r="C84" s="27" t="s">
        <v>173</v>
      </c>
      <c r="D84" s="188">
        <v>0</v>
      </c>
      <c r="E84" s="183">
        <f t="shared" ref="E84:M84" si="45">D89</f>
        <v>0</v>
      </c>
      <c r="F84" s="183">
        <f t="shared" si="45"/>
        <v>0</v>
      </c>
      <c r="G84" s="183">
        <f t="shared" si="45"/>
        <v>0</v>
      </c>
      <c r="H84" s="183">
        <f t="shared" si="45"/>
        <v>0</v>
      </c>
      <c r="I84" s="183">
        <f t="shared" si="45"/>
        <v>0</v>
      </c>
      <c r="J84" s="183">
        <f t="shared" si="45"/>
        <v>0</v>
      </c>
      <c r="K84" s="183">
        <f t="shared" si="45"/>
        <v>0</v>
      </c>
      <c r="L84" s="183">
        <f t="shared" si="45"/>
        <v>0</v>
      </c>
      <c r="M84" s="183">
        <f t="shared" si="45"/>
        <v>0</v>
      </c>
      <c r="N84" s="28"/>
    </row>
    <row r="85" spans="1:14" ht="13.4" customHeight="1">
      <c r="A85" s="26" t="s">
        <v>170</v>
      </c>
      <c r="B85" s="131">
        <v>35</v>
      </c>
      <c r="C85" s="184" t="s">
        <v>169</v>
      </c>
      <c r="D85" s="183">
        <f t="shared" ref="D85:M85" si="46">D87-D86</f>
        <v>0</v>
      </c>
      <c r="E85" s="183">
        <f t="shared" si="46"/>
        <v>0</v>
      </c>
      <c r="F85" s="183">
        <f t="shared" si="46"/>
        <v>0</v>
      </c>
      <c r="G85" s="183">
        <f t="shared" si="46"/>
        <v>0</v>
      </c>
      <c r="H85" s="183">
        <f t="shared" si="46"/>
        <v>0</v>
      </c>
      <c r="I85" s="183">
        <f t="shared" si="46"/>
        <v>0</v>
      </c>
      <c r="J85" s="183">
        <f t="shared" si="46"/>
        <v>0</v>
      </c>
      <c r="K85" s="183">
        <f t="shared" si="46"/>
        <v>0</v>
      </c>
      <c r="L85" s="183">
        <f t="shared" si="46"/>
        <v>0</v>
      </c>
      <c r="M85" s="183">
        <f t="shared" si="46"/>
        <v>0</v>
      </c>
      <c r="N85" s="28"/>
    </row>
    <row r="86" spans="1:14" ht="13.4" customHeight="1">
      <c r="A86" s="5" t="s">
        <v>172</v>
      </c>
      <c r="B86" s="185">
        <f>B71</f>
        <v>0.05</v>
      </c>
      <c r="C86" s="5" t="s">
        <v>174</v>
      </c>
      <c r="D86" s="183">
        <f t="shared" ref="D86:M86" si="47">IF(AND($B88="Y",YEAR($B83)+$B85&gt;D$5),D91,IF((YEAR($B83)+$B85)&gt;D$5,FV(D83/$B87,$B87,D90),D84))</f>
        <v>0</v>
      </c>
      <c r="E86" s="183">
        <f t="shared" si="47"/>
        <v>0</v>
      </c>
      <c r="F86" s="183">
        <f t="shared" si="47"/>
        <v>0</v>
      </c>
      <c r="G86" s="183">
        <f t="shared" si="47"/>
        <v>0</v>
      </c>
      <c r="H86" s="183">
        <f t="shared" si="47"/>
        <v>0</v>
      </c>
      <c r="I86" s="183">
        <f t="shared" si="47"/>
        <v>0</v>
      </c>
      <c r="J86" s="183">
        <f t="shared" si="47"/>
        <v>0</v>
      </c>
      <c r="K86" s="183">
        <f t="shared" si="47"/>
        <v>0</v>
      </c>
      <c r="L86" s="183">
        <f t="shared" si="47"/>
        <v>0</v>
      </c>
      <c r="M86" s="183">
        <f t="shared" si="47"/>
        <v>0</v>
      </c>
      <c r="N86" s="28"/>
    </row>
    <row r="87" spans="1:14" ht="13.4" customHeight="1">
      <c r="A87" s="5" t="s">
        <v>171</v>
      </c>
      <c r="B87" s="131">
        <v>12</v>
      </c>
      <c r="C87" s="186" t="s">
        <v>640</v>
      </c>
      <c r="D87" s="183">
        <f t="shared" ref="D87:M87" si="48">IF(AND($B88="Y",YEAR($B83)+$B85&gt;D$5),D91+D83*(D84-D91*0.5),IF((YEAR($B83)+$B85)&gt;D$5,(D84*D83/$B87-D90)*$B87,(D84*(1+D83*MONTH($B83)/12))))</f>
        <v>0</v>
      </c>
      <c r="E87" s="183">
        <f t="shared" si="48"/>
        <v>0</v>
      </c>
      <c r="F87" s="183">
        <f t="shared" si="48"/>
        <v>0</v>
      </c>
      <c r="G87" s="183">
        <f t="shared" si="48"/>
        <v>0</v>
      </c>
      <c r="H87" s="183">
        <f t="shared" si="48"/>
        <v>0</v>
      </c>
      <c r="I87" s="183">
        <f t="shared" si="48"/>
        <v>0</v>
      </c>
      <c r="J87" s="183">
        <f t="shared" si="48"/>
        <v>0</v>
      </c>
      <c r="K87" s="183">
        <f t="shared" si="48"/>
        <v>0</v>
      </c>
      <c r="L87" s="183">
        <f t="shared" si="48"/>
        <v>0</v>
      </c>
      <c r="M87" s="183">
        <f t="shared" si="48"/>
        <v>0</v>
      </c>
      <c r="N87" s="28"/>
    </row>
    <row r="88" spans="1:14" ht="13.4" customHeight="1">
      <c r="A88" s="5" t="s">
        <v>767</v>
      </c>
      <c r="B88" s="131" t="s">
        <v>719</v>
      </c>
      <c r="C88" s="187" t="s">
        <v>768</v>
      </c>
      <c r="D88" s="188">
        <v>0</v>
      </c>
      <c r="E88" s="188">
        <v>0</v>
      </c>
      <c r="F88" s="188">
        <v>0</v>
      </c>
      <c r="G88" s="188">
        <v>0</v>
      </c>
      <c r="H88" s="188">
        <v>0</v>
      </c>
      <c r="I88" s="188">
        <v>0</v>
      </c>
      <c r="J88" s="188">
        <v>0</v>
      </c>
      <c r="K88" s="188">
        <v>0</v>
      </c>
      <c r="L88" s="188">
        <v>0</v>
      </c>
      <c r="M88" s="188">
        <v>0</v>
      </c>
      <c r="N88" s="28"/>
    </row>
    <row r="89" spans="1:14" ht="13.4" customHeight="1">
      <c r="A89" s="5" t="s">
        <v>182</v>
      </c>
      <c r="B89" s="131"/>
      <c r="C89" s="30" t="s">
        <v>175</v>
      </c>
      <c r="D89" s="183">
        <f t="shared" ref="D89:M89" si="49">D84+D85-D87-D88</f>
        <v>0</v>
      </c>
      <c r="E89" s="183">
        <f t="shared" si="49"/>
        <v>0</v>
      </c>
      <c r="F89" s="183">
        <f t="shared" si="49"/>
        <v>0</v>
      </c>
      <c r="G89" s="183">
        <f t="shared" si="49"/>
        <v>0</v>
      </c>
      <c r="H89" s="183">
        <f t="shared" si="49"/>
        <v>0</v>
      </c>
      <c r="I89" s="183">
        <f t="shared" si="49"/>
        <v>0</v>
      </c>
      <c r="J89" s="183">
        <f t="shared" si="49"/>
        <v>0</v>
      </c>
      <c r="K89" s="183">
        <f t="shared" si="49"/>
        <v>0</v>
      </c>
      <c r="L89" s="183">
        <f t="shared" si="49"/>
        <v>0</v>
      </c>
      <c r="M89" s="183">
        <f t="shared" si="49"/>
        <v>0</v>
      </c>
      <c r="N89" s="28"/>
    </row>
    <row r="90" spans="1:14" ht="13" hidden="1" customHeight="1">
      <c r="A90" s="5"/>
      <c r="B90" s="138"/>
      <c r="C90" s="5" t="s">
        <v>769</v>
      </c>
      <c r="D90" s="183" t="e">
        <f t="shared" ref="D90:M90" si="50">PPMT(D83/$B87,1,ROUND(($B85-(D$5-YEAR($B83))+MONTH($B83)/12)*$B87,0),D84)</f>
        <v>#NUM!</v>
      </c>
      <c r="E90" s="183" t="e">
        <f t="shared" si="50"/>
        <v>#NUM!</v>
      </c>
      <c r="F90" s="183" t="e">
        <f t="shared" si="50"/>
        <v>#NUM!</v>
      </c>
      <c r="G90" s="183" t="e">
        <f t="shared" si="50"/>
        <v>#NUM!</v>
      </c>
      <c r="H90" s="183" t="e">
        <f t="shared" si="50"/>
        <v>#NUM!</v>
      </c>
      <c r="I90" s="183" t="e">
        <f t="shared" si="50"/>
        <v>#NUM!</v>
      </c>
      <c r="J90" s="183" t="e">
        <f t="shared" si="50"/>
        <v>#NUM!</v>
      </c>
      <c r="K90" s="183" t="e">
        <f t="shared" si="50"/>
        <v>#NUM!</v>
      </c>
      <c r="L90" s="183" t="e">
        <f t="shared" si="50"/>
        <v>#NUM!</v>
      </c>
      <c r="M90" s="183" t="e">
        <f t="shared" si="50"/>
        <v>#NUM!</v>
      </c>
      <c r="N90" s="139"/>
    </row>
    <row r="91" spans="1:14" ht="13" hidden="1" customHeight="1">
      <c r="A91" s="5"/>
      <c r="B91" s="5"/>
      <c r="C91" s="5" t="s">
        <v>770</v>
      </c>
      <c r="D91" s="183">
        <f t="shared" ref="D91:M91" si="51">IF(YEAR($B83)+$B85&gt;D$5,D84/(YEAR($B83)+$B85-D$5+MONTH($B83)/12),D84)</f>
        <v>0</v>
      </c>
      <c r="E91" s="183">
        <f t="shared" si="51"/>
        <v>0</v>
      </c>
      <c r="F91" s="183">
        <f t="shared" si="51"/>
        <v>0</v>
      </c>
      <c r="G91" s="183">
        <f t="shared" si="51"/>
        <v>0</v>
      </c>
      <c r="H91" s="183">
        <f t="shared" si="51"/>
        <v>0</v>
      </c>
      <c r="I91" s="183">
        <f t="shared" si="51"/>
        <v>0</v>
      </c>
      <c r="J91" s="183">
        <f t="shared" si="51"/>
        <v>0</v>
      </c>
      <c r="K91" s="183">
        <f t="shared" si="51"/>
        <v>0</v>
      </c>
      <c r="L91" s="183">
        <f t="shared" si="51"/>
        <v>0</v>
      </c>
      <c r="M91" s="183">
        <f t="shared" si="51"/>
        <v>0</v>
      </c>
      <c r="N91" s="139"/>
    </row>
    <row r="92" spans="1:14" ht="13.4" customHeight="1">
      <c r="C92" s="5"/>
      <c r="D92" s="183"/>
      <c r="E92" s="183"/>
      <c r="F92" s="183"/>
      <c r="G92" s="183"/>
      <c r="H92" s="183"/>
      <c r="I92" s="183"/>
      <c r="J92" s="183"/>
      <c r="K92" s="183"/>
      <c r="L92" s="183"/>
      <c r="M92" s="183"/>
      <c r="N92" s="28"/>
    </row>
    <row r="93" spans="1:14" ht="13.4" customHeight="1">
      <c r="A93" s="30" t="s">
        <v>865</v>
      </c>
      <c r="B93" s="99"/>
      <c r="C93" t="s">
        <v>800</v>
      </c>
      <c r="D93" s="179" t="s">
        <v>801</v>
      </c>
      <c r="E93" s="1"/>
      <c r="N93" s="28"/>
    </row>
    <row r="94" spans="1:14" ht="13.4" customHeight="1">
      <c r="A94" s="26" t="s">
        <v>677</v>
      </c>
      <c r="B94" s="133">
        <v>29373</v>
      </c>
      <c r="C94" s="5" t="s">
        <v>639</v>
      </c>
      <c r="D94" s="180">
        <f>IF($D93="V",Input!G$68,IF(AND($B100=D$5,Input!G$63&gt;0),Input!G$63,$B97))</f>
        <v>0.05</v>
      </c>
      <c r="E94" s="180">
        <f>IF($D93="V",Input!H$68,IF(AND($B100=E$5,Input!H$63&gt;0),Input!H$63,D94))</f>
        <v>0.05</v>
      </c>
      <c r="F94" s="180">
        <f>IF($D93="V",Input!I$68,IF(AND($B100=F$5,Input!I$63&gt;0),Input!I$63,E94))</f>
        <v>0.05</v>
      </c>
      <c r="G94" s="180">
        <f>IF($D93="V",Input!J$68,IF(AND($B100=G$5,Input!J$63&gt;0),Input!J$63,F94))</f>
        <v>0.05</v>
      </c>
      <c r="H94" s="180">
        <f>IF($D93="V",Input!K$68,IF(AND($B100=H$5,Input!K$63&gt;0),Input!K$63,G94))</f>
        <v>0.05</v>
      </c>
      <c r="I94" s="180">
        <f>IF($D93="V",Input!L$68,IF(AND($B100=I$5,Input!L$63&gt;0),Input!L$63,H94))</f>
        <v>0.05</v>
      </c>
      <c r="J94" s="180">
        <f>IF($D93="V",Input!M$68,IF(AND($B100=J$5,Input!M$63&gt;0),Input!M$63,I94))</f>
        <v>0.05</v>
      </c>
      <c r="K94" s="180">
        <f>IF($D93="V",Input!N$68,IF(AND($B100=K$5,Input!N$63&gt;0),Input!N$63,J94))</f>
        <v>0.05</v>
      </c>
      <c r="L94" s="180">
        <f>IF($D93="V",Input!O$68,IF(AND($B100=L$5,Input!O$63&gt;0),Input!O$63,K94))</f>
        <v>0.05</v>
      </c>
      <c r="M94" s="180">
        <f>IF($D93="V",Input!P$68,IF(AND($B100=M$5,Input!P$63&gt;0),Input!P$63,L94))</f>
        <v>0.05</v>
      </c>
      <c r="N94" s="5"/>
    </row>
    <row r="95" spans="1:14" ht="13.4" customHeight="1">
      <c r="A95" s="5" t="s">
        <v>361</v>
      </c>
      <c r="B95" s="181">
        <v>0</v>
      </c>
      <c r="C95" s="27" t="s">
        <v>173</v>
      </c>
      <c r="D95" s="188">
        <v>0</v>
      </c>
      <c r="E95" s="183">
        <f t="shared" ref="E95:M95" si="52">D100</f>
        <v>0</v>
      </c>
      <c r="F95" s="183">
        <f t="shared" si="52"/>
        <v>0</v>
      </c>
      <c r="G95" s="183">
        <f t="shared" si="52"/>
        <v>0</v>
      </c>
      <c r="H95" s="183">
        <f t="shared" si="52"/>
        <v>0</v>
      </c>
      <c r="I95" s="183">
        <f t="shared" si="52"/>
        <v>0</v>
      </c>
      <c r="J95" s="183">
        <f t="shared" si="52"/>
        <v>0</v>
      </c>
      <c r="K95" s="183">
        <f t="shared" si="52"/>
        <v>0</v>
      </c>
      <c r="L95" s="183">
        <f t="shared" si="52"/>
        <v>0</v>
      </c>
      <c r="M95" s="183">
        <f t="shared" si="52"/>
        <v>0</v>
      </c>
      <c r="N95" s="28"/>
    </row>
    <row r="96" spans="1:14" ht="13.4" customHeight="1">
      <c r="A96" s="26" t="s">
        <v>170</v>
      </c>
      <c r="B96" s="131">
        <v>35</v>
      </c>
      <c r="C96" s="184" t="s">
        <v>169</v>
      </c>
      <c r="D96" s="183">
        <f t="shared" ref="D96:M96" si="53">D98-D97</f>
        <v>0</v>
      </c>
      <c r="E96" s="183">
        <f t="shared" si="53"/>
        <v>0</v>
      </c>
      <c r="F96" s="183">
        <f t="shared" si="53"/>
        <v>0</v>
      </c>
      <c r="G96" s="183">
        <f t="shared" si="53"/>
        <v>0</v>
      </c>
      <c r="H96" s="183">
        <f t="shared" si="53"/>
        <v>0</v>
      </c>
      <c r="I96" s="183">
        <f t="shared" si="53"/>
        <v>0</v>
      </c>
      <c r="J96" s="183">
        <f t="shared" si="53"/>
        <v>0</v>
      </c>
      <c r="K96" s="183">
        <f t="shared" si="53"/>
        <v>0</v>
      </c>
      <c r="L96" s="183">
        <f t="shared" si="53"/>
        <v>0</v>
      </c>
      <c r="M96" s="183">
        <f t="shared" si="53"/>
        <v>0</v>
      </c>
      <c r="N96" s="28"/>
    </row>
    <row r="97" spans="1:14" ht="13.4" customHeight="1">
      <c r="A97" s="5" t="s">
        <v>172</v>
      </c>
      <c r="B97" s="185">
        <f>B86</f>
        <v>0.05</v>
      </c>
      <c r="C97" s="5" t="s">
        <v>174</v>
      </c>
      <c r="D97" s="183">
        <f t="shared" ref="D97:M97" si="54">IF(AND($B99="Y",YEAR($B94)+$B96&gt;D$5),D102,IF((YEAR($B94)+$B96)&gt;D$5,FV(D94/$B98,$B98,D101),D95))</f>
        <v>0</v>
      </c>
      <c r="E97" s="183">
        <f t="shared" si="54"/>
        <v>0</v>
      </c>
      <c r="F97" s="183">
        <f t="shared" si="54"/>
        <v>0</v>
      </c>
      <c r="G97" s="183">
        <f t="shared" si="54"/>
        <v>0</v>
      </c>
      <c r="H97" s="183">
        <f t="shared" si="54"/>
        <v>0</v>
      </c>
      <c r="I97" s="183">
        <f t="shared" si="54"/>
        <v>0</v>
      </c>
      <c r="J97" s="183">
        <f t="shared" si="54"/>
        <v>0</v>
      </c>
      <c r="K97" s="183">
        <f t="shared" si="54"/>
        <v>0</v>
      </c>
      <c r="L97" s="183">
        <f t="shared" si="54"/>
        <v>0</v>
      </c>
      <c r="M97" s="183">
        <f t="shared" si="54"/>
        <v>0</v>
      </c>
      <c r="N97" s="28"/>
    </row>
    <row r="98" spans="1:14" ht="13.4" customHeight="1">
      <c r="A98" s="5" t="s">
        <v>171</v>
      </c>
      <c r="B98" s="131">
        <v>12</v>
      </c>
      <c r="C98" s="186" t="s">
        <v>640</v>
      </c>
      <c r="D98" s="183">
        <f t="shared" ref="D98:M98" si="55">IF(AND($B99="Y",YEAR($B94)+$B96&gt;D$5),D102+D94*(D95-D102*0.5),IF((YEAR($B94)+$B96)&gt;D$5,(D95*D94/$B98-D101)*$B98,(D95*(1+D94*MONTH($B94)/12))))</f>
        <v>0</v>
      </c>
      <c r="E98" s="183">
        <f t="shared" si="55"/>
        <v>0</v>
      </c>
      <c r="F98" s="183">
        <f t="shared" si="55"/>
        <v>0</v>
      </c>
      <c r="G98" s="183">
        <f t="shared" si="55"/>
        <v>0</v>
      </c>
      <c r="H98" s="183">
        <f t="shared" si="55"/>
        <v>0</v>
      </c>
      <c r="I98" s="183">
        <f t="shared" si="55"/>
        <v>0</v>
      </c>
      <c r="J98" s="183">
        <f t="shared" si="55"/>
        <v>0</v>
      </c>
      <c r="K98" s="183">
        <f t="shared" si="55"/>
        <v>0</v>
      </c>
      <c r="L98" s="183">
        <f t="shared" si="55"/>
        <v>0</v>
      </c>
      <c r="M98" s="183">
        <f t="shared" si="55"/>
        <v>0</v>
      </c>
      <c r="N98" s="28"/>
    </row>
    <row r="99" spans="1:14" ht="13.4" customHeight="1">
      <c r="A99" s="5" t="s">
        <v>767</v>
      </c>
      <c r="B99" s="131" t="s">
        <v>719</v>
      </c>
      <c r="C99" s="187" t="s">
        <v>768</v>
      </c>
      <c r="D99" s="188">
        <v>0</v>
      </c>
      <c r="E99" s="188">
        <v>0</v>
      </c>
      <c r="F99" s="188">
        <v>0</v>
      </c>
      <c r="G99" s="188">
        <v>0</v>
      </c>
      <c r="H99" s="188">
        <v>0</v>
      </c>
      <c r="I99" s="188">
        <v>0</v>
      </c>
      <c r="J99" s="188">
        <v>0</v>
      </c>
      <c r="K99" s="188">
        <v>0</v>
      </c>
      <c r="L99" s="188">
        <v>0</v>
      </c>
      <c r="M99" s="188">
        <v>0</v>
      </c>
      <c r="N99" s="28"/>
    </row>
    <row r="100" spans="1:14" ht="13.4" customHeight="1">
      <c r="A100" s="5" t="s">
        <v>182</v>
      </c>
      <c r="B100" s="131"/>
      <c r="C100" s="30" t="s">
        <v>175</v>
      </c>
      <c r="D100" s="183">
        <f t="shared" ref="D100:M100" si="56">D95+D96-D98-D99</f>
        <v>0</v>
      </c>
      <c r="E100" s="183">
        <f t="shared" si="56"/>
        <v>0</v>
      </c>
      <c r="F100" s="183">
        <f t="shared" si="56"/>
        <v>0</v>
      </c>
      <c r="G100" s="183">
        <f t="shared" si="56"/>
        <v>0</v>
      </c>
      <c r="H100" s="183">
        <f t="shared" si="56"/>
        <v>0</v>
      </c>
      <c r="I100" s="183">
        <f t="shared" si="56"/>
        <v>0</v>
      </c>
      <c r="J100" s="183">
        <f t="shared" si="56"/>
        <v>0</v>
      </c>
      <c r="K100" s="183">
        <f t="shared" si="56"/>
        <v>0</v>
      </c>
      <c r="L100" s="183">
        <f t="shared" si="56"/>
        <v>0</v>
      </c>
      <c r="M100" s="183">
        <f t="shared" si="56"/>
        <v>0</v>
      </c>
      <c r="N100" s="28"/>
    </row>
    <row r="101" spans="1:14" ht="13" hidden="1" customHeight="1">
      <c r="A101" s="5"/>
      <c r="B101" s="138"/>
      <c r="C101" s="5" t="s">
        <v>769</v>
      </c>
      <c r="D101" s="183" t="e">
        <f t="shared" ref="D101:M101" si="57">PPMT(D94/$B98,1,ROUND(($B96-(D$5-YEAR($B94))+MONTH($B94)/12)*$B98,0),D95)</f>
        <v>#NUM!</v>
      </c>
      <c r="E101" s="183" t="e">
        <f t="shared" si="57"/>
        <v>#NUM!</v>
      </c>
      <c r="F101" s="183" t="e">
        <f t="shared" si="57"/>
        <v>#NUM!</v>
      </c>
      <c r="G101" s="183" t="e">
        <f t="shared" si="57"/>
        <v>#NUM!</v>
      </c>
      <c r="H101" s="183" t="e">
        <f t="shared" si="57"/>
        <v>#NUM!</v>
      </c>
      <c r="I101" s="183" t="e">
        <f t="shared" si="57"/>
        <v>#NUM!</v>
      </c>
      <c r="J101" s="183" t="e">
        <f t="shared" si="57"/>
        <v>#NUM!</v>
      </c>
      <c r="K101" s="183" t="e">
        <f t="shared" si="57"/>
        <v>#NUM!</v>
      </c>
      <c r="L101" s="183" t="e">
        <f t="shared" si="57"/>
        <v>#NUM!</v>
      </c>
      <c r="M101" s="183" t="e">
        <f t="shared" si="57"/>
        <v>#NUM!</v>
      </c>
      <c r="N101" s="139"/>
    </row>
    <row r="102" spans="1:14" ht="13" hidden="1" customHeight="1">
      <c r="A102" s="5"/>
      <c r="B102" s="5"/>
      <c r="C102" s="5" t="s">
        <v>770</v>
      </c>
      <c r="D102" s="183">
        <f t="shared" ref="D102:M102" si="58">IF(YEAR($B94)+$B96&gt;D$5,D95/(YEAR($B94)+$B96-D$5+MONTH($B94)/12),D95)</f>
        <v>0</v>
      </c>
      <c r="E102" s="183">
        <f t="shared" si="58"/>
        <v>0</v>
      </c>
      <c r="F102" s="183">
        <f t="shared" si="58"/>
        <v>0</v>
      </c>
      <c r="G102" s="183">
        <f t="shared" si="58"/>
        <v>0</v>
      </c>
      <c r="H102" s="183">
        <f t="shared" si="58"/>
        <v>0</v>
      </c>
      <c r="I102" s="183">
        <f t="shared" si="58"/>
        <v>0</v>
      </c>
      <c r="J102" s="183">
        <f t="shared" si="58"/>
        <v>0</v>
      </c>
      <c r="K102" s="183">
        <f t="shared" si="58"/>
        <v>0</v>
      </c>
      <c r="L102" s="183">
        <f t="shared" si="58"/>
        <v>0</v>
      </c>
      <c r="M102" s="183">
        <f t="shared" si="58"/>
        <v>0</v>
      </c>
      <c r="N102" s="139"/>
    </row>
    <row r="103" spans="1:14" ht="13.4" customHeight="1">
      <c r="C103" s="5"/>
      <c r="D103" s="183"/>
      <c r="E103" s="183"/>
      <c r="F103" s="183"/>
      <c r="G103" s="183"/>
      <c r="H103" s="183"/>
      <c r="I103" s="183"/>
      <c r="J103" s="183"/>
      <c r="K103" s="183"/>
      <c r="L103" s="183"/>
      <c r="M103" s="183"/>
      <c r="N103" s="28"/>
    </row>
    <row r="104" spans="1:14" ht="13.4" customHeight="1">
      <c r="A104" s="30" t="s">
        <v>866</v>
      </c>
      <c r="B104" s="99"/>
      <c r="C104" t="s">
        <v>800</v>
      </c>
      <c r="D104" s="179" t="s">
        <v>801</v>
      </c>
      <c r="E104" s="1"/>
      <c r="N104" s="28"/>
    </row>
    <row r="105" spans="1:14" ht="13.4" customHeight="1">
      <c r="A105" s="26" t="s">
        <v>677</v>
      </c>
      <c r="B105" s="133">
        <v>29373</v>
      </c>
      <c r="C105" s="5" t="s">
        <v>639</v>
      </c>
      <c r="D105" s="180">
        <f>IF($D104="V",Input!G$68,IF(AND($B111=D$5,Input!G$63&gt;0),Input!G$63,$B108))</f>
        <v>0.05</v>
      </c>
      <c r="E105" s="180">
        <f>IF($D104="V",Input!H$68,IF(AND($B111=E$5,Input!H$63&gt;0),Input!H$63,D105))</f>
        <v>0.05</v>
      </c>
      <c r="F105" s="180">
        <f>IF($D104="V",Input!I$68,IF(AND($B111=F$5,Input!I$63&gt;0),Input!I$63,E105))</f>
        <v>0.05</v>
      </c>
      <c r="G105" s="180">
        <f>IF($D104="V",Input!J$68,IF(AND($B111=G$5,Input!J$63&gt;0),Input!J$63,F105))</f>
        <v>0.05</v>
      </c>
      <c r="H105" s="180">
        <f>IF($D104="V",Input!K$68,IF(AND($B111=H$5,Input!K$63&gt;0),Input!K$63,G105))</f>
        <v>0.05</v>
      </c>
      <c r="I105" s="180">
        <f>IF($D104="V",Input!L$68,IF(AND($B111=I$5,Input!L$63&gt;0),Input!L$63,H105))</f>
        <v>0.05</v>
      </c>
      <c r="J105" s="180">
        <f>IF($D104="V",Input!M$68,IF(AND($B111=J$5,Input!M$63&gt;0),Input!M$63,I105))</f>
        <v>0.05</v>
      </c>
      <c r="K105" s="180">
        <f>IF($D104="V",Input!N$68,IF(AND($B111=K$5,Input!N$63&gt;0),Input!N$63,J105))</f>
        <v>0.05</v>
      </c>
      <c r="L105" s="180">
        <f>IF($D104="V",Input!O$68,IF(AND($B111=L$5,Input!O$63&gt;0),Input!O$63,K105))</f>
        <v>0.05</v>
      </c>
      <c r="M105" s="180">
        <f>IF($D104="V",Input!P$68,IF(AND($B111=M$5,Input!P$63&gt;0),Input!P$63,L105))</f>
        <v>0.05</v>
      </c>
      <c r="N105" s="5"/>
    </row>
    <row r="106" spans="1:14" ht="13.4" customHeight="1">
      <c r="A106" s="5" t="s">
        <v>361</v>
      </c>
      <c r="B106" s="181">
        <v>0</v>
      </c>
      <c r="C106" s="27" t="s">
        <v>173</v>
      </c>
      <c r="D106" s="188">
        <v>0</v>
      </c>
      <c r="E106" s="183">
        <f t="shared" ref="E106:M106" si="59">D111</f>
        <v>0</v>
      </c>
      <c r="F106" s="183">
        <f t="shared" si="59"/>
        <v>0</v>
      </c>
      <c r="G106" s="183">
        <f t="shared" si="59"/>
        <v>0</v>
      </c>
      <c r="H106" s="183">
        <f t="shared" si="59"/>
        <v>0</v>
      </c>
      <c r="I106" s="183">
        <f t="shared" si="59"/>
        <v>0</v>
      </c>
      <c r="J106" s="183">
        <f t="shared" si="59"/>
        <v>0</v>
      </c>
      <c r="K106" s="183">
        <f t="shared" si="59"/>
        <v>0</v>
      </c>
      <c r="L106" s="183">
        <f t="shared" si="59"/>
        <v>0</v>
      </c>
      <c r="M106" s="183">
        <f t="shared" si="59"/>
        <v>0</v>
      </c>
      <c r="N106" s="28"/>
    </row>
    <row r="107" spans="1:14" ht="13.4" customHeight="1">
      <c r="A107" s="26" t="s">
        <v>170</v>
      </c>
      <c r="B107" s="131">
        <v>35</v>
      </c>
      <c r="C107" s="184" t="s">
        <v>169</v>
      </c>
      <c r="D107" s="183">
        <f t="shared" ref="D107:M107" si="60">D109-D108</f>
        <v>0</v>
      </c>
      <c r="E107" s="183">
        <f t="shared" si="60"/>
        <v>0</v>
      </c>
      <c r="F107" s="183">
        <f t="shared" si="60"/>
        <v>0</v>
      </c>
      <c r="G107" s="183">
        <f t="shared" si="60"/>
        <v>0</v>
      </c>
      <c r="H107" s="183">
        <f t="shared" si="60"/>
        <v>0</v>
      </c>
      <c r="I107" s="183">
        <f t="shared" si="60"/>
        <v>0</v>
      </c>
      <c r="J107" s="183">
        <f t="shared" si="60"/>
        <v>0</v>
      </c>
      <c r="K107" s="183">
        <f t="shared" si="60"/>
        <v>0</v>
      </c>
      <c r="L107" s="183">
        <f t="shared" si="60"/>
        <v>0</v>
      </c>
      <c r="M107" s="183">
        <f t="shared" si="60"/>
        <v>0</v>
      </c>
      <c r="N107" s="28"/>
    </row>
    <row r="108" spans="1:14" ht="13.4" customHeight="1">
      <c r="A108" s="5" t="s">
        <v>172</v>
      </c>
      <c r="B108" s="185">
        <f>B97</f>
        <v>0.05</v>
      </c>
      <c r="C108" s="5" t="s">
        <v>174</v>
      </c>
      <c r="D108" s="183">
        <f t="shared" ref="D108:M108" si="61">IF(AND($B110="Y",YEAR($B105)+$B107&gt;D$5),D113,IF((YEAR($B105)+$B107)&gt;D$5,FV(D105/$B109,$B109,D112),D106))</f>
        <v>0</v>
      </c>
      <c r="E108" s="183">
        <f t="shared" si="61"/>
        <v>0</v>
      </c>
      <c r="F108" s="183">
        <f t="shared" si="61"/>
        <v>0</v>
      </c>
      <c r="G108" s="183">
        <f t="shared" si="61"/>
        <v>0</v>
      </c>
      <c r="H108" s="183">
        <f t="shared" si="61"/>
        <v>0</v>
      </c>
      <c r="I108" s="183">
        <f t="shared" si="61"/>
        <v>0</v>
      </c>
      <c r="J108" s="183">
        <f t="shared" si="61"/>
        <v>0</v>
      </c>
      <c r="K108" s="183">
        <f t="shared" si="61"/>
        <v>0</v>
      </c>
      <c r="L108" s="183">
        <f t="shared" si="61"/>
        <v>0</v>
      </c>
      <c r="M108" s="183">
        <f t="shared" si="61"/>
        <v>0</v>
      </c>
      <c r="N108" s="28"/>
    </row>
    <row r="109" spans="1:14" ht="13.4" customHeight="1">
      <c r="A109" s="5" t="s">
        <v>171</v>
      </c>
      <c r="B109" s="131">
        <v>12</v>
      </c>
      <c r="C109" s="186" t="s">
        <v>640</v>
      </c>
      <c r="D109" s="183">
        <f t="shared" ref="D109:M109" si="62">IF(AND($B110="Y",YEAR($B105)+$B107&gt;D$5),D113+D105*(D106-D113*0.5),IF((YEAR($B105)+$B107)&gt;D$5,(D106*D105/$B109-D112)*$B109,(D106*(1+D105*MONTH($B105)/12))))</f>
        <v>0</v>
      </c>
      <c r="E109" s="183">
        <f t="shared" si="62"/>
        <v>0</v>
      </c>
      <c r="F109" s="183">
        <f t="shared" si="62"/>
        <v>0</v>
      </c>
      <c r="G109" s="183">
        <f t="shared" si="62"/>
        <v>0</v>
      </c>
      <c r="H109" s="183">
        <f t="shared" si="62"/>
        <v>0</v>
      </c>
      <c r="I109" s="183">
        <f t="shared" si="62"/>
        <v>0</v>
      </c>
      <c r="J109" s="183">
        <f t="shared" si="62"/>
        <v>0</v>
      </c>
      <c r="K109" s="183">
        <f t="shared" si="62"/>
        <v>0</v>
      </c>
      <c r="L109" s="183">
        <f t="shared" si="62"/>
        <v>0</v>
      </c>
      <c r="M109" s="183">
        <f t="shared" si="62"/>
        <v>0</v>
      </c>
      <c r="N109" s="28"/>
    </row>
    <row r="110" spans="1:14" ht="13.4" customHeight="1">
      <c r="A110" s="5" t="s">
        <v>767</v>
      </c>
      <c r="B110" s="131" t="s">
        <v>719</v>
      </c>
      <c r="C110" s="187" t="s">
        <v>768</v>
      </c>
      <c r="D110" s="188">
        <v>0</v>
      </c>
      <c r="E110" s="188">
        <v>0</v>
      </c>
      <c r="F110" s="188">
        <v>0</v>
      </c>
      <c r="G110" s="188">
        <v>0</v>
      </c>
      <c r="H110" s="188">
        <v>0</v>
      </c>
      <c r="I110" s="188">
        <v>0</v>
      </c>
      <c r="J110" s="188">
        <v>0</v>
      </c>
      <c r="K110" s="188">
        <v>0</v>
      </c>
      <c r="L110" s="188">
        <v>0</v>
      </c>
      <c r="M110" s="188">
        <v>0</v>
      </c>
      <c r="N110" s="28"/>
    </row>
    <row r="111" spans="1:14" ht="13.4" customHeight="1">
      <c r="A111" s="5" t="s">
        <v>182</v>
      </c>
      <c r="B111" s="131"/>
      <c r="C111" s="30" t="s">
        <v>175</v>
      </c>
      <c r="D111" s="183">
        <f t="shared" ref="D111:M111" si="63">D106+D107-D109-D110</f>
        <v>0</v>
      </c>
      <c r="E111" s="183">
        <f t="shared" si="63"/>
        <v>0</v>
      </c>
      <c r="F111" s="183">
        <f t="shared" si="63"/>
        <v>0</v>
      </c>
      <c r="G111" s="183">
        <f t="shared" si="63"/>
        <v>0</v>
      </c>
      <c r="H111" s="183">
        <f t="shared" si="63"/>
        <v>0</v>
      </c>
      <c r="I111" s="183">
        <f t="shared" si="63"/>
        <v>0</v>
      </c>
      <c r="J111" s="183">
        <f t="shared" si="63"/>
        <v>0</v>
      </c>
      <c r="K111" s="183">
        <f t="shared" si="63"/>
        <v>0</v>
      </c>
      <c r="L111" s="183">
        <f t="shared" si="63"/>
        <v>0</v>
      </c>
      <c r="M111" s="183">
        <f t="shared" si="63"/>
        <v>0</v>
      </c>
      <c r="N111" s="28"/>
    </row>
    <row r="112" spans="1:14" ht="13" hidden="1" customHeight="1">
      <c r="A112" s="5"/>
      <c r="B112" s="138"/>
      <c r="C112" s="5" t="s">
        <v>769</v>
      </c>
      <c r="D112" s="183" t="e">
        <f t="shared" ref="D112:M112" si="64">PPMT(D105/$B109,1,ROUND(($B107-(D$5-YEAR($B105))+MONTH($B105)/12)*$B109,0),D106)</f>
        <v>#NUM!</v>
      </c>
      <c r="E112" s="183" t="e">
        <f t="shared" si="64"/>
        <v>#NUM!</v>
      </c>
      <c r="F112" s="183" t="e">
        <f t="shared" si="64"/>
        <v>#NUM!</v>
      </c>
      <c r="G112" s="183" t="e">
        <f t="shared" si="64"/>
        <v>#NUM!</v>
      </c>
      <c r="H112" s="183" t="e">
        <f t="shared" si="64"/>
        <v>#NUM!</v>
      </c>
      <c r="I112" s="183" t="e">
        <f t="shared" si="64"/>
        <v>#NUM!</v>
      </c>
      <c r="J112" s="183" t="e">
        <f t="shared" si="64"/>
        <v>#NUM!</v>
      </c>
      <c r="K112" s="183" t="e">
        <f t="shared" si="64"/>
        <v>#NUM!</v>
      </c>
      <c r="L112" s="183" t="e">
        <f t="shared" si="64"/>
        <v>#NUM!</v>
      </c>
      <c r="M112" s="183" t="e">
        <f t="shared" si="64"/>
        <v>#NUM!</v>
      </c>
      <c r="N112" s="139"/>
    </row>
    <row r="113" spans="1:14" ht="13" hidden="1" customHeight="1">
      <c r="A113" s="5"/>
      <c r="B113" s="5"/>
      <c r="C113" s="5" t="s">
        <v>770</v>
      </c>
      <c r="D113" s="183">
        <f t="shared" ref="D113:M113" si="65">IF(YEAR($B105)+$B107&gt;D$5,D106/(YEAR($B105)+$B107-D$5+MONTH($B105)/12),D106)</f>
        <v>0</v>
      </c>
      <c r="E113" s="183">
        <f t="shared" si="65"/>
        <v>0</v>
      </c>
      <c r="F113" s="183">
        <f t="shared" si="65"/>
        <v>0</v>
      </c>
      <c r="G113" s="183">
        <f t="shared" si="65"/>
        <v>0</v>
      </c>
      <c r="H113" s="183">
        <f t="shared" si="65"/>
        <v>0</v>
      </c>
      <c r="I113" s="183">
        <f t="shared" si="65"/>
        <v>0</v>
      </c>
      <c r="J113" s="183">
        <f t="shared" si="65"/>
        <v>0</v>
      </c>
      <c r="K113" s="183">
        <f t="shared" si="65"/>
        <v>0</v>
      </c>
      <c r="L113" s="183">
        <f t="shared" si="65"/>
        <v>0</v>
      </c>
      <c r="M113" s="183">
        <f t="shared" si="65"/>
        <v>0</v>
      </c>
      <c r="N113" s="139"/>
    </row>
    <row r="114" spans="1:14" ht="13.4" customHeight="1">
      <c r="C114" s="5"/>
      <c r="D114" s="183"/>
      <c r="E114" s="183"/>
      <c r="F114" s="183"/>
      <c r="G114" s="183"/>
      <c r="H114" s="183"/>
      <c r="I114" s="183"/>
      <c r="J114" s="183"/>
      <c r="K114" s="183"/>
      <c r="L114" s="183"/>
      <c r="M114" s="183"/>
      <c r="N114" s="46"/>
    </row>
    <row r="115" spans="1:14" ht="13.4" customHeight="1">
      <c r="A115" s="30" t="s">
        <v>867</v>
      </c>
      <c r="B115" s="99"/>
      <c r="C115" t="s">
        <v>800</v>
      </c>
      <c r="D115" s="179" t="s">
        <v>801</v>
      </c>
      <c r="E115" s="1"/>
      <c r="N115" s="28"/>
    </row>
    <row r="116" spans="1:14" ht="13.4" customHeight="1">
      <c r="A116" s="26" t="s">
        <v>677</v>
      </c>
      <c r="B116" s="133">
        <v>29373</v>
      </c>
      <c r="C116" s="5" t="s">
        <v>639</v>
      </c>
      <c r="D116" s="180">
        <f>IF($D115="V",Input!G$68,IF(AND($B122=D$5,Input!G$63&gt;0),Input!G$63,$B119))</f>
        <v>0.05</v>
      </c>
      <c r="E116" s="180">
        <f>IF($D115="V",Input!H$68,IF(AND($B122=E$5,Input!H$63&gt;0),Input!H$63,D116))</f>
        <v>0.05</v>
      </c>
      <c r="F116" s="180">
        <f>IF($D115="V",Input!I$68,IF(AND($B122=F$5,Input!I$63&gt;0),Input!I$63,E116))</f>
        <v>0.05</v>
      </c>
      <c r="G116" s="180">
        <f>IF($D115="V",Input!J$68,IF(AND($B122=G$5,Input!J$63&gt;0),Input!J$63,F116))</f>
        <v>0.05</v>
      </c>
      <c r="H116" s="180">
        <f>IF($D115="V",Input!K$68,IF(AND($B122=H$5,Input!K$63&gt;0),Input!K$63,G116))</f>
        <v>0.05</v>
      </c>
      <c r="I116" s="180">
        <f>IF($D115="V",Input!L$68,IF(AND($B122=I$5,Input!L$63&gt;0),Input!L$63,H116))</f>
        <v>0.05</v>
      </c>
      <c r="J116" s="180">
        <f>IF($D115="V",Input!M$68,IF(AND($B122=J$5,Input!M$63&gt;0),Input!M$63,I116))</f>
        <v>0.05</v>
      </c>
      <c r="K116" s="180">
        <f>IF($D115="V",Input!N$68,IF(AND($B122=K$5,Input!N$63&gt;0),Input!N$63,J116))</f>
        <v>0.05</v>
      </c>
      <c r="L116" s="180">
        <f>IF($D115="V",Input!O$68,IF(AND($B122=L$5,Input!O$63&gt;0),Input!O$63,K116))</f>
        <v>0.05</v>
      </c>
      <c r="M116" s="180">
        <f>IF($D115="V",Input!P$68,IF(AND($B122=M$5,Input!P$63&gt;0),Input!P$63,L116))</f>
        <v>0.05</v>
      </c>
      <c r="N116" s="5"/>
    </row>
    <row r="117" spans="1:14" ht="13.4" customHeight="1">
      <c r="A117" s="5" t="s">
        <v>361</v>
      </c>
      <c r="B117" s="181">
        <v>0</v>
      </c>
      <c r="C117" s="27" t="s">
        <v>173</v>
      </c>
      <c r="D117" s="188">
        <v>0</v>
      </c>
      <c r="E117" s="183">
        <f t="shared" ref="E117:M117" si="66">D122</f>
        <v>0</v>
      </c>
      <c r="F117" s="183">
        <f t="shared" si="66"/>
        <v>0</v>
      </c>
      <c r="G117" s="183">
        <f t="shared" si="66"/>
        <v>0</v>
      </c>
      <c r="H117" s="183">
        <f t="shared" si="66"/>
        <v>0</v>
      </c>
      <c r="I117" s="183">
        <f t="shared" si="66"/>
        <v>0</v>
      </c>
      <c r="J117" s="183">
        <f t="shared" si="66"/>
        <v>0</v>
      </c>
      <c r="K117" s="183">
        <f t="shared" si="66"/>
        <v>0</v>
      </c>
      <c r="L117" s="183">
        <f t="shared" si="66"/>
        <v>0</v>
      </c>
      <c r="M117" s="183">
        <f t="shared" si="66"/>
        <v>0</v>
      </c>
      <c r="N117" s="28"/>
    </row>
    <row r="118" spans="1:14" ht="13.4" customHeight="1">
      <c r="A118" s="26" t="s">
        <v>170</v>
      </c>
      <c r="B118" s="131">
        <v>35</v>
      </c>
      <c r="C118" s="184" t="s">
        <v>169</v>
      </c>
      <c r="D118" s="183">
        <f t="shared" ref="D118:M118" si="67">D120-D119</f>
        <v>0</v>
      </c>
      <c r="E118" s="183">
        <f t="shared" si="67"/>
        <v>0</v>
      </c>
      <c r="F118" s="183">
        <f t="shared" si="67"/>
        <v>0</v>
      </c>
      <c r="G118" s="183">
        <f t="shared" si="67"/>
        <v>0</v>
      </c>
      <c r="H118" s="183">
        <f t="shared" si="67"/>
        <v>0</v>
      </c>
      <c r="I118" s="183">
        <f t="shared" si="67"/>
        <v>0</v>
      </c>
      <c r="J118" s="183">
        <f t="shared" si="67"/>
        <v>0</v>
      </c>
      <c r="K118" s="183">
        <f t="shared" si="67"/>
        <v>0</v>
      </c>
      <c r="L118" s="183">
        <f t="shared" si="67"/>
        <v>0</v>
      </c>
      <c r="M118" s="183">
        <f t="shared" si="67"/>
        <v>0</v>
      </c>
      <c r="N118" s="28"/>
    </row>
    <row r="119" spans="1:14" ht="13.4" customHeight="1">
      <c r="A119" s="5" t="s">
        <v>172</v>
      </c>
      <c r="B119" s="185">
        <f>B108</f>
        <v>0.05</v>
      </c>
      <c r="C119" s="5" t="s">
        <v>174</v>
      </c>
      <c r="D119" s="183">
        <f t="shared" ref="D119:M119" si="68">IF(AND($B121="Y",YEAR($B116)+$B118&gt;D$5),D124,IF((YEAR($B116)+$B118)&gt;D$5,FV(D116/$B120,$B120,D123),D117))</f>
        <v>0</v>
      </c>
      <c r="E119" s="183">
        <f t="shared" si="68"/>
        <v>0</v>
      </c>
      <c r="F119" s="183">
        <f t="shared" si="68"/>
        <v>0</v>
      </c>
      <c r="G119" s="183">
        <f t="shared" si="68"/>
        <v>0</v>
      </c>
      <c r="H119" s="183">
        <f t="shared" si="68"/>
        <v>0</v>
      </c>
      <c r="I119" s="183">
        <f t="shared" si="68"/>
        <v>0</v>
      </c>
      <c r="J119" s="183">
        <f t="shared" si="68"/>
        <v>0</v>
      </c>
      <c r="K119" s="183">
        <f t="shared" si="68"/>
        <v>0</v>
      </c>
      <c r="L119" s="183">
        <f t="shared" si="68"/>
        <v>0</v>
      </c>
      <c r="M119" s="183">
        <f t="shared" si="68"/>
        <v>0</v>
      </c>
      <c r="N119" s="28"/>
    </row>
    <row r="120" spans="1:14" ht="13.4" customHeight="1">
      <c r="A120" s="5" t="s">
        <v>171</v>
      </c>
      <c r="B120" s="131">
        <v>12</v>
      </c>
      <c r="C120" s="186" t="s">
        <v>640</v>
      </c>
      <c r="D120" s="183">
        <f t="shared" ref="D120:M120" si="69">IF(AND($B121="Y",YEAR($B116)+$B118&gt;D$5),D124+D116*(D117-D124*0.5),IF((YEAR($B116)+$B118)&gt;D$5,(D117*D116/$B120-D123)*$B120,(D117*(1+D116*MONTH($B116)/12))))</f>
        <v>0</v>
      </c>
      <c r="E120" s="183">
        <f t="shared" si="69"/>
        <v>0</v>
      </c>
      <c r="F120" s="183">
        <f t="shared" si="69"/>
        <v>0</v>
      </c>
      <c r="G120" s="183">
        <f t="shared" si="69"/>
        <v>0</v>
      </c>
      <c r="H120" s="183">
        <f t="shared" si="69"/>
        <v>0</v>
      </c>
      <c r="I120" s="183">
        <f t="shared" si="69"/>
        <v>0</v>
      </c>
      <c r="J120" s="183">
        <f t="shared" si="69"/>
        <v>0</v>
      </c>
      <c r="K120" s="183">
        <f t="shared" si="69"/>
        <v>0</v>
      </c>
      <c r="L120" s="183">
        <f t="shared" si="69"/>
        <v>0</v>
      </c>
      <c r="M120" s="183">
        <f t="shared" si="69"/>
        <v>0</v>
      </c>
      <c r="N120" s="28"/>
    </row>
    <row r="121" spans="1:14" ht="13.4" customHeight="1">
      <c r="A121" s="5" t="s">
        <v>767</v>
      </c>
      <c r="B121" s="131" t="s">
        <v>719</v>
      </c>
      <c r="C121" s="187" t="s">
        <v>768</v>
      </c>
      <c r="D121" s="188">
        <v>0</v>
      </c>
      <c r="E121" s="188">
        <v>0</v>
      </c>
      <c r="F121" s="188">
        <v>0</v>
      </c>
      <c r="G121" s="188">
        <v>0</v>
      </c>
      <c r="H121" s="188">
        <v>0</v>
      </c>
      <c r="I121" s="188">
        <v>0</v>
      </c>
      <c r="J121" s="188">
        <v>0</v>
      </c>
      <c r="K121" s="188">
        <v>0</v>
      </c>
      <c r="L121" s="188">
        <v>0</v>
      </c>
      <c r="M121" s="188">
        <v>0</v>
      </c>
      <c r="N121" s="28"/>
    </row>
    <row r="122" spans="1:14" ht="13.4" customHeight="1">
      <c r="A122" s="5" t="s">
        <v>182</v>
      </c>
      <c r="B122" s="131"/>
      <c r="C122" s="30" t="s">
        <v>175</v>
      </c>
      <c r="D122" s="183">
        <f t="shared" ref="D122:M122" si="70">D117+D118-D120-D121</f>
        <v>0</v>
      </c>
      <c r="E122" s="183">
        <f t="shared" si="70"/>
        <v>0</v>
      </c>
      <c r="F122" s="183">
        <f t="shared" si="70"/>
        <v>0</v>
      </c>
      <c r="G122" s="183">
        <f t="shared" si="70"/>
        <v>0</v>
      </c>
      <c r="H122" s="183">
        <f t="shared" si="70"/>
        <v>0</v>
      </c>
      <c r="I122" s="183">
        <f t="shared" si="70"/>
        <v>0</v>
      </c>
      <c r="J122" s="183">
        <f t="shared" si="70"/>
        <v>0</v>
      </c>
      <c r="K122" s="183">
        <f t="shared" si="70"/>
        <v>0</v>
      </c>
      <c r="L122" s="183">
        <f t="shared" si="70"/>
        <v>0</v>
      </c>
      <c r="M122" s="183">
        <f t="shared" si="70"/>
        <v>0</v>
      </c>
      <c r="N122" s="28"/>
    </row>
    <row r="123" spans="1:14" ht="13" hidden="1" customHeight="1">
      <c r="A123" s="5"/>
      <c r="B123" s="138"/>
      <c r="C123" s="5" t="s">
        <v>769</v>
      </c>
      <c r="D123" s="183" t="e">
        <f t="shared" ref="D123:M123" si="71">PPMT(D116/$B120,1,ROUND(($B118-(D$5-YEAR($B116))+MONTH($B116)/12)*$B120,0),D117)</f>
        <v>#NUM!</v>
      </c>
      <c r="E123" s="183" t="e">
        <f t="shared" si="71"/>
        <v>#NUM!</v>
      </c>
      <c r="F123" s="183" t="e">
        <f t="shared" si="71"/>
        <v>#NUM!</v>
      </c>
      <c r="G123" s="183" t="e">
        <f t="shared" si="71"/>
        <v>#NUM!</v>
      </c>
      <c r="H123" s="183" t="e">
        <f t="shared" si="71"/>
        <v>#NUM!</v>
      </c>
      <c r="I123" s="183" t="e">
        <f t="shared" si="71"/>
        <v>#NUM!</v>
      </c>
      <c r="J123" s="183" t="e">
        <f t="shared" si="71"/>
        <v>#NUM!</v>
      </c>
      <c r="K123" s="183" t="e">
        <f t="shared" si="71"/>
        <v>#NUM!</v>
      </c>
      <c r="L123" s="183" t="e">
        <f t="shared" si="71"/>
        <v>#NUM!</v>
      </c>
      <c r="M123" s="183" t="e">
        <f t="shared" si="71"/>
        <v>#NUM!</v>
      </c>
      <c r="N123" s="139"/>
    </row>
    <row r="124" spans="1:14" ht="13" hidden="1" customHeight="1">
      <c r="A124" s="5"/>
      <c r="B124" s="5"/>
      <c r="C124" s="5" t="s">
        <v>770</v>
      </c>
      <c r="D124" s="183">
        <f t="shared" ref="D124:M124" si="72">IF(YEAR($B116)+$B118&gt;D$5,D117/(YEAR($B116)+$B118-D$5+MONTH($B116)/12),D117)</f>
        <v>0</v>
      </c>
      <c r="E124" s="183">
        <f t="shared" si="72"/>
        <v>0</v>
      </c>
      <c r="F124" s="183">
        <f t="shared" si="72"/>
        <v>0</v>
      </c>
      <c r="G124" s="183">
        <f t="shared" si="72"/>
        <v>0</v>
      </c>
      <c r="H124" s="183">
        <f t="shared" si="72"/>
        <v>0</v>
      </c>
      <c r="I124" s="183">
        <f t="shared" si="72"/>
        <v>0</v>
      </c>
      <c r="J124" s="183">
        <f t="shared" si="72"/>
        <v>0</v>
      </c>
      <c r="K124" s="183">
        <f t="shared" si="72"/>
        <v>0</v>
      </c>
      <c r="L124" s="183">
        <f t="shared" si="72"/>
        <v>0</v>
      </c>
      <c r="M124" s="183">
        <f t="shared" si="72"/>
        <v>0</v>
      </c>
      <c r="N124" s="139"/>
    </row>
    <row r="125" spans="1:14" ht="13.4" customHeight="1">
      <c r="C125" s="5"/>
      <c r="D125" s="183"/>
      <c r="E125" s="183"/>
      <c r="F125" s="183"/>
      <c r="G125" s="183"/>
      <c r="H125" s="183"/>
      <c r="I125" s="183"/>
      <c r="J125" s="183"/>
      <c r="K125" s="183"/>
      <c r="L125" s="183"/>
      <c r="M125" s="183"/>
      <c r="N125" s="46"/>
    </row>
    <row r="126" spans="1:14" ht="13.4" customHeight="1">
      <c r="A126" s="30" t="s">
        <v>868</v>
      </c>
      <c r="B126" s="99"/>
      <c r="C126" t="s">
        <v>800</v>
      </c>
      <c r="D126" s="179" t="s">
        <v>801</v>
      </c>
      <c r="E126" s="1"/>
      <c r="N126" s="28"/>
    </row>
    <row r="127" spans="1:14" ht="13.4" customHeight="1">
      <c r="A127" s="26" t="s">
        <v>677</v>
      </c>
      <c r="B127" s="133">
        <v>29373</v>
      </c>
      <c r="C127" s="5" t="s">
        <v>639</v>
      </c>
      <c r="D127" s="180">
        <f>IF($D126="V",Input!G$68,IF(AND($B133=D$5,Input!G$63&gt;0),Input!G$63,$B130))</f>
        <v>0.05</v>
      </c>
      <c r="E127" s="180">
        <f>IF($D126="V",Input!H$68,IF(AND($B133=E$5,Input!H$63&gt;0),Input!H$63,D127))</f>
        <v>0.05</v>
      </c>
      <c r="F127" s="180">
        <f>IF($D126="V",Input!I$68,IF(AND($B133=F$5,Input!I$63&gt;0),Input!I$63,E127))</f>
        <v>0.05</v>
      </c>
      <c r="G127" s="180">
        <f>IF($D126="V",Input!J$68,IF(AND($B133=G$5,Input!J$63&gt;0),Input!J$63,F127))</f>
        <v>0.05</v>
      </c>
      <c r="H127" s="180">
        <f>IF($D126="V",Input!K$68,IF(AND($B133=H$5,Input!K$63&gt;0),Input!K$63,G127))</f>
        <v>0.05</v>
      </c>
      <c r="I127" s="180">
        <f>IF($D126="V",Input!L$68,IF(AND($B133=I$5,Input!L$63&gt;0),Input!L$63,H127))</f>
        <v>0.05</v>
      </c>
      <c r="J127" s="180">
        <f>IF($D126="V",Input!M$68,IF(AND($B133=J$5,Input!M$63&gt;0),Input!M$63,I127))</f>
        <v>0.05</v>
      </c>
      <c r="K127" s="180">
        <f>IF($D126="V",Input!N$68,IF(AND($B133=K$5,Input!N$63&gt;0),Input!N$63,J127))</f>
        <v>0.05</v>
      </c>
      <c r="L127" s="180">
        <f>IF($D126="V",Input!O$68,IF(AND($B133=L$5,Input!O$63&gt;0),Input!O$63,K127))</f>
        <v>0.05</v>
      </c>
      <c r="M127" s="180">
        <f>IF($D126="V",Input!P$68,IF(AND($B133=M$5,Input!P$63&gt;0),Input!P$63,L127))</f>
        <v>0.05</v>
      </c>
      <c r="N127" s="5"/>
    </row>
    <row r="128" spans="1:14" ht="13.4" customHeight="1">
      <c r="A128" s="5" t="s">
        <v>361</v>
      </c>
      <c r="B128" s="181">
        <v>0</v>
      </c>
      <c r="C128" s="27" t="s">
        <v>173</v>
      </c>
      <c r="D128" s="188">
        <v>0</v>
      </c>
      <c r="E128" s="183">
        <f t="shared" ref="E128:M128" si="73">D133</f>
        <v>0</v>
      </c>
      <c r="F128" s="183">
        <f t="shared" si="73"/>
        <v>0</v>
      </c>
      <c r="G128" s="183">
        <f t="shared" si="73"/>
        <v>0</v>
      </c>
      <c r="H128" s="183">
        <f t="shared" si="73"/>
        <v>0</v>
      </c>
      <c r="I128" s="183">
        <f t="shared" si="73"/>
        <v>0</v>
      </c>
      <c r="J128" s="183">
        <f t="shared" si="73"/>
        <v>0</v>
      </c>
      <c r="K128" s="183">
        <f t="shared" si="73"/>
        <v>0</v>
      </c>
      <c r="L128" s="183">
        <f t="shared" si="73"/>
        <v>0</v>
      </c>
      <c r="M128" s="183">
        <f t="shared" si="73"/>
        <v>0</v>
      </c>
      <c r="N128" s="28"/>
    </row>
    <row r="129" spans="1:14" ht="13.4" customHeight="1">
      <c r="A129" s="26" t="s">
        <v>170</v>
      </c>
      <c r="B129" s="131">
        <v>35</v>
      </c>
      <c r="C129" s="184" t="s">
        <v>169</v>
      </c>
      <c r="D129" s="183">
        <f t="shared" ref="D129:M129" si="74">D131-D130</f>
        <v>0</v>
      </c>
      <c r="E129" s="183">
        <f t="shared" si="74"/>
        <v>0</v>
      </c>
      <c r="F129" s="183">
        <f t="shared" si="74"/>
        <v>0</v>
      </c>
      <c r="G129" s="183">
        <f t="shared" si="74"/>
        <v>0</v>
      </c>
      <c r="H129" s="183">
        <f t="shared" si="74"/>
        <v>0</v>
      </c>
      <c r="I129" s="183">
        <f t="shared" si="74"/>
        <v>0</v>
      </c>
      <c r="J129" s="183">
        <f t="shared" si="74"/>
        <v>0</v>
      </c>
      <c r="K129" s="183">
        <f t="shared" si="74"/>
        <v>0</v>
      </c>
      <c r="L129" s="183">
        <f t="shared" si="74"/>
        <v>0</v>
      </c>
      <c r="M129" s="183">
        <f t="shared" si="74"/>
        <v>0</v>
      </c>
      <c r="N129" s="28"/>
    </row>
    <row r="130" spans="1:14" ht="13.4" customHeight="1">
      <c r="A130" s="5" t="s">
        <v>172</v>
      </c>
      <c r="B130" s="185">
        <f>B119</f>
        <v>0.05</v>
      </c>
      <c r="C130" s="5" t="s">
        <v>174</v>
      </c>
      <c r="D130" s="183">
        <f t="shared" ref="D130:M130" si="75">IF(AND($B132="Y",YEAR($B127)+$B129&gt;D$5),D135,IF((YEAR($B127)+$B129)&gt;D$5,FV(D127/$B131,$B131,D134),D128))</f>
        <v>0</v>
      </c>
      <c r="E130" s="183">
        <f t="shared" si="75"/>
        <v>0</v>
      </c>
      <c r="F130" s="183">
        <f t="shared" si="75"/>
        <v>0</v>
      </c>
      <c r="G130" s="183">
        <f t="shared" si="75"/>
        <v>0</v>
      </c>
      <c r="H130" s="183">
        <f t="shared" si="75"/>
        <v>0</v>
      </c>
      <c r="I130" s="183">
        <f t="shared" si="75"/>
        <v>0</v>
      </c>
      <c r="J130" s="183">
        <f t="shared" si="75"/>
        <v>0</v>
      </c>
      <c r="K130" s="183">
        <f t="shared" si="75"/>
        <v>0</v>
      </c>
      <c r="L130" s="183">
        <f t="shared" si="75"/>
        <v>0</v>
      </c>
      <c r="M130" s="183">
        <f t="shared" si="75"/>
        <v>0</v>
      </c>
      <c r="N130" s="28"/>
    </row>
    <row r="131" spans="1:14" ht="13.4" customHeight="1">
      <c r="A131" s="5" t="s">
        <v>171</v>
      </c>
      <c r="B131" s="131">
        <v>12</v>
      </c>
      <c r="C131" s="186" t="s">
        <v>640</v>
      </c>
      <c r="D131" s="183">
        <f t="shared" ref="D131:M131" si="76">IF(AND($B132="Y",YEAR($B127)+$B129&gt;D$5),D135+D127*(D128-D135*0.5),IF((YEAR($B127)+$B129)&gt;D$5,(D128*D127/$B131-D134)*$B131,(D128*(1+D127*MONTH($B127)/12))))</f>
        <v>0</v>
      </c>
      <c r="E131" s="183">
        <f t="shared" si="76"/>
        <v>0</v>
      </c>
      <c r="F131" s="183">
        <f t="shared" si="76"/>
        <v>0</v>
      </c>
      <c r="G131" s="183">
        <f t="shared" si="76"/>
        <v>0</v>
      </c>
      <c r="H131" s="183">
        <f t="shared" si="76"/>
        <v>0</v>
      </c>
      <c r="I131" s="183">
        <f t="shared" si="76"/>
        <v>0</v>
      </c>
      <c r="J131" s="183">
        <f t="shared" si="76"/>
        <v>0</v>
      </c>
      <c r="K131" s="183">
        <f t="shared" si="76"/>
        <v>0</v>
      </c>
      <c r="L131" s="183">
        <f t="shared" si="76"/>
        <v>0</v>
      </c>
      <c r="M131" s="183">
        <f t="shared" si="76"/>
        <v>0</v>
      </c>
      <c r="N131" s="28"/>
    </row>
    <row r="132" spans="1:14" ht="13.4" customHeight="1">
      <c r="A132" s="5" t="s">
        <v>767</v>
      </c>
      <c r="B132" s="131" t="s">
        <v>719</v>
      </c>
      <c r="C132" s="187" t="s">
        <v>768</v>
      </c>
      <c r="D132" s="188">
        <v>0</v>
      </c>
      <c r="E132" s="188">
        <v>0</v>
      </c>
      <c r="F132" s="188">
        <v>0</v>
      </c>
      <c r="G132" s="188">
        <v>0</v>
      </c>
      <c r="H132" s="188">
        <v>0</v>
      </c>
      <c r="I132" s="188">
        <v>0</v>
      </c>
      <c r="J132" s="188">
        <v>0</v>
      </c>
      <c r="K132" s="188">
        <v>0</v>
      </c>
      <c r="L132" s="188">
        <v>0</v>
      </c>
      <c r="M132" s="188">
        <v>0</v>
      </c>
      <c r="N132" s="28"/>
    </row>
    <row r="133" spans="1:14" ht="13.4" customHeight="1">
      <c r="A133" s="5" t="s">
        <v>182</v>
      </c>
      <c r="B133" s="131"/>
      <c r="C133" s="30" t="s">
        <v>175</v>
      </c>
      <c r="D133" s="183">
        <f t="shared" ref="D133:M133" si="77">D128+D129-D131-D132</f>
        <v>0</v>
      </c>
      <c r="E133" s="183">
        <f t="shared" si="77"/>
        <v>0</v>
      </c>
      <c r="F133" s="183">
        <f t="shared" si="77"/>
        <v>0</v>
      </c>
      <c r="G133" s="183">
        <f t="shared" si="77"/>
        <v>0</v>
      </c>
      <c r="H133" s="183">
        <f t="shared" si="77"/>
        <v>0</v>
      </c>
      <c r="I133" s="183">
        <f t="shared" si="77"/>
        <v>0</v>
      </c>
      <c r="J133" s="183">
        <f t="shared" si="77"/>
        <v>0</v>
      </c>
      <c r="K133" s="183">
        <f t="shared" si="77"/>
        <v>0</v>
      </c>
      <c r="L133" s="183">
        <f t="shared" si="77"/>
        <v>0</v>
      </c>
      <c r="M133" s="183">
        <f t="shared" si="77"/>
        <v>0</v>
      </c>
      <c r="N133" s="28"/>
    </row>
    <row r="134" spans="1:14" ht="13" hidden="1" customHeight="1">
      <c r="A134" s="5"/>
      <c r="B134" s="138"/>
      <c r="C134" s="5" t="s">
        <v>769</v>
      </c>
      <c r="D134" s="183" t="e">
        <f t="shared" ref="D134:M134" si="78">PPMT(D127/$B131,1,ROUND(($B129-(D$5-YEAR($B127))+MONTH($B127)/12)*$B131,0),D128)</f>
        <v>#NUM!</v>
      </c>
      <c r="E134" s="183" t="e">
        <f t="shared" si="78"/>
        <v>#NUM!</v>
      </c>
      <c r="F134" s="183" t="e">
        <f t="shared" si="78"/>
        <v>#NUM!</v>
      </c>
      <c r="G134" s="183" t="e">
        <f t="shared" si="78"/>
        <v>#NUM!</v>
      </c>
      <c r="H134" s="183" t="e">
        <f t="shared" si="78"/>
        <v>#NUM!</v>
      </c>
      <c r="I134" s="183" t="e">
        <f t="shared" si="78"/>
        <v>#NUM!</v>
      </c>
      <c r="J134" s="183" t="e">
        <f t="shared" si="78"/>
        <v>#NUM!</v>
      </c>
      <c r="K134" s="183" t="e">
        <f t="shared" si="78"/>
        <v>#NUM!</v>
      </c>
      <c r="L134" s="183" t="e">
        <f t="shared" si="78"/>
        <v>#NUM!</v>
      </c>
      <c r="M134" s="183" t="e">
        <f t="shared" si="78"/>
        <v>#NUM!</v>
      </c>
      <c r="N134" s="139"/>
    </row>
    <row r="135" spans="1:14" ht="13" hidden="1" customHeight="1">
      <c r="A135" s="5"/>
      <c r="B135" s="5"/>
      <c r="C135" s="5" t="s">
        <v>770</v>
      </c>
      <c r="D135" s="183">
        <f t="shared" ref="D135:M135" si="79">IF(YEAR($B127)+$B129&gt;D$5,D128/(YEAR($B127)+$B129-D$5+MONTH($B127)/12),D128)</f>
        <v>0</v>
      </c>
      <c r="E135" s="183">
        <f t="shared" si="79"/>
        <v>0</v>
      </c>
      <c r="F135" s="183">
        <f t="shared" si="79"/>
        <v>0</v>
      </c>
      <c r="G135" s="183">
        <f t="shared" si="79"/>
        <v>0</v>
      </c>
      <c r="H135" s="183">
        <f t="shared" si="79"/>
        <v>0</v>
      </c>
      <c r="I135" s="183">
        <f t="shared" si="79"/>
        <v>0</v>
      </c>
      <c r="J135" s="183">
        <f t="shared" si="79"/>
        <v>0</v>
      </c>
      <c r="K135" s="183">
        <f t="shared" si="79"/>
        <v>0</v>
      </c>
      <c r="L135" s="183">
        <f t="shared" si="79"/>
        <v>0</v>
      </c>
      <c r="M135" s="183">
        <f t="shared" si="79"/>
        <v>0</v>
      </c>
      <c r="N135" s="139"/>
    </row>
    <row r="136" spans="1:14" ht="13.4" customHeight="1">
      <c r="A136" s="5"/>
      <c r="B136" s="5"/>
      <c r="C136" s="5"/>
      <c r="D136" s="183"/>
      <c r="E136" s="183"/>
      <c r="F136" s="183"/>
      <c r="G136" s="183"/>
      <c r="H136" s="183"/>
      <c r="I136" s="183"/>
      <c r="J136" s="183"/>
      <c r="K136" s="183"/>
      <c r="L136" s="183"/>
      <c r="M136" s="183"/>
      <c r="N136" s="46"/>
    </row>
    <row r="137" spans="1:14" ht="13.4" customHeight="1">
      <c r="A137" s="30" t="s">
        <v>869</v>
      </c>
      <c r="B137" s="99"/>
      <c r="C137" t="s">
        <v>800</v>
      </c>
      <c r="D137" s="179" t="s">
        <v>801</v>
      </c>
      <c r="E137" s="1"/>
      <c r="N137" s="28"/>
    </row>
    <row r="138" spans="1:14" ht="13.4" customHeight="1">
      <c r="A138" s="26" t="s">
        <v>677</v>
      </c>
      <c r="B138" s="133">
        <v>29373</v>
      </c>
      <c r="C138" s="5" t="s">
        <v>639</v>
      </c>
      <c r="D138" s="180">
        <f>IF($D137="V",Input!G$68,IF(AND($B144=D$5,Input!G$63&gt;0),Input!G$63,$B141))</f>
        <v>0.05</v>
      </c>
      <c r="E138" s="180">
        <f>IF($D137="V",Input!H$68,IF(AND($B144=E$5,Input!H$63&gt;0),Input!H$63,D138))</f>
        <v>0.05</v>
      </c>
      <c r="F138" s="180">
        <f>IF($D137="V",Input!I$68,IF(AND($B144=F$5,Input!I$63&gt;0),Input!I$63,E138))</f>
        <v>0.05</v>
      </c>
      <c r="G138" s="180">
        <f>IF($D137="V",Input!J$68,IF(AND($B144=G$5,Input!J$63&gt;0),Input!J$63,F138))</f>
        <v>0.05</v>
      </c>
      <c r="H138" s="180">
        <f>IF($D137="V",Input!K$68,IF(AND($B144=H$5,Input!K$63&gt;0),Input!K$63,G138))</f>
        <v>0.05</v>
      </c>
      <c r="I138" s="180">
        <f>IF($D137="V",Input!L$68,IF(AND($B144=I$5,Input!L$63&gt;0),Input!L$63,H138))</f>
        <v>0.05</v>
      </c>
      <c r="J138" s="180">
        <f>IF($D137="V",Input!M$68,IF(AND($B144=J$5,Input!M$63&gt;0),Input!M$63,I138))</f>
        <v>0.05</v>
      </c>
      <c r="K138" s="180">
        <f>IF($D137="V",Input!N$68,IF(AND($B144=K$5,Input!N$63&gt;0),Input!N$63,J138))</f>
        <v>0.05</v>
      </c>
      <c r="L138" s="180">
        <f>IF($D137="V",Input!O$68,IF(AND($B144=L$5,Input!O$63&gt;0),Input!O$63,K138))</f>
        <v>0.05</v>
      </c>
      <c r="M138" s="180">
        <f>IF($D137="V",Input!P$68,IF(AND($B144=M$5,Input!P$63&gt;0),Input!P$63,L138))</f>
        <v>0.05</v>
      </c>
      <c r="N138" s="5"/>
    </row>
    <row r="139" spans="1:14" ht="13.4" customHeight="1">
      <c r="A139" s="5" t="s">
        <v>361</v>
      </c>
      <c r="B139" s="181">
        <v>0</v>
      </c>
      <c r="C139" s="27" t="s">
        <v>173</v>
      </c>
      <c r="D139" s="188">
        <v>0</v>
      </c>
      <c r="E139" s="183">
        <f t="shared" ref="E139:M139" si="80">D144</f>
        <v>0</v>
      </c>
      <c r="F139" s="183">
        <f t="shared" si="80"/>
        <v>0</v>
      </c>
      <c r="G139" s="183">
        <f t="shared" si="80"/>
        <v>0</v>
      </c>
      <c r="H139" s="183">
        <f t="shared" si="80"/>
        <v>0</v>
      </c>
      <c r="I139" s="183">
        <f t="shared" si="80"/>
        <v>0</v>
      </c>
      <c r="J139" s="183">
        <f t="shared" si="80"/>
        <v>0</v>
      </c>
      <c r="K139" s="183">
        <f t="shared" si="80"/>
        <v>0</v>
      </c>
      <c r="L139" s="183">
        <f t="shared" si="80"/>
        <v>0</v>
      </c>
      <c r="M139" s="183">
        <f t="shared" si="80"/>
        <v>0</v>
      </c>
      <c r="N139" s="28"/>
    </row>
    <row r="140" spans="1:14" ht="13.4" customHeight="1">
      <c r="A140" s="26" t="s">
        <v>170</v>
      </c>
      <c r="B140" s="131">
        <v>35</v>
      </c>
      <c r="C140" s="184" t="s">
        <v>169</v>
      </c>
      <c r="D140" s="183">
        <f t="shared" ref="D140:M140" si="81">D142-D141</f>
        <v>0</v>
      </c>
      <c r="E140" s="183">
        <f t="shared" si="81"/>
        <v>0</v>
      </c>
      <c r="F140" s="183">
        <f t="shared" si="81"/>
        <v>0</v>
      </c>
      <c r="G140" s="183">
        <f t="shared" si="81"/>
        <v>0</v>
      </c>
      <c r="H140" s="183">
        <f t="shared" si="81"/>
        <v>0</v>
      </c>
      <c r="I140" s="183">
        <f t="shared" si="81"/>
        <v>0</v>
      </c>
      <c r="J140" s="183">
        <f t="shared" si="81"/>
        <v>0</v>
      </c>
      <c r="K140" s="183">
        <f t="shared" si="81"/>
        <v>0</v>
      </c>
      <c r="L140" s="183">
        <f t="shared" si="81"/>
        <v>0</v>
      </c>
      <c r="M140" s="183">
        <f t="shared" si="81"/>
        <v>0</v>
      </c>
      <c r="N140" s="28"/>
    </row>
    <row r="141" spans="1:14" ht="13.4" customHeight="1">
      <c r="A141" s="5" t="s">
        <v>172</v>
      </c>
      <c r="B141" s="185">
        <f>B130</f>
        <v>0.05</v>
      </c>
      <c r="C141" s="5" t="s">
        <v>174</v>
      </c>
      <c r="D141" s="183">
        <f t="shared" ref="D141:M141" si="82">IF(AND($B143="Y",YEAR($B138)+$B140&gt;D$5),D146,IF((YEAR($B138)+$B140)&gt;D$5,FV(D138/$B142,$B142,D145),D139))</f>
        <v>0</v>
      </c>
      <c r="E141" s="183">
        <f t="shared" si="82"/>
        <v>0</v>
      </c>
      <c r="F141" s="183">
        <f t="shared" si="82"/>
        <v>0</v>
      </c>
      <c r="G141" s="183">
        <f t="shared" si="82"/>
        <v>0</v>
      </c>
      <c r="H141" s="183">
        <f t="shared" si="82"/>
        <v>0</v>
      </c>
      <c r="I141" s="183">
        <f t="shared" si="82"/>
        <v>0</v>
      </c>
      <c r="J141" s="183">
        <f t="shared" si="82"/>
        <v>0</v>
      </c>
      <c r="K141" s="183">
        <f t="shared" si="82"/>
        <v>0</v>
      </c>
      <c r="L141" s="183">
        <f t="shared" si="82"/>
        <v>0</v>
      </c>
      <c r="M141" s="183">
        <f t="shared" si="82"/>
        <v>0</v>
      </c>
      <c r="N141" s="28"/>
    </row>
    <row r="142" spans="1:14" ht="13.4" customHeight="1">
      <c r="A142" s="5" t="s">
        <v>171</v>
      </c>
      <c r="B142" s="131">
        <v>12</v>
      </c>
      <c r="C142" s="186" t="s">
        <v>640</v>
      </c>
      <c r="D142" s="183">
        <f t="shared" ref="D142:M142" si="83">IF(AND($B143="Y",YEAR($B138)+$B140&gt;D$5),D146+D138*(D139-D146*0.5),IF((YEAR($B138)+$B140)&gt;D$5,(D139*D138/$B142-D145)*$B142,(D139*(1+D138*MONTH($B138)/12))))</f>
        <v>0</v>
      </c>
      <c r="E142" s="183">
        <f t="shared" si="83"/>
        <v>0</v>
      </c>
      <c r="F142" s="183">
        <f t="shared" si="83"/>
        <v>0</v>
      </c>
      <c r="G142" s="183">
        <f t="shared" si="83"/>
        <v>0</v>
      </c>
      <c r="H142" s="183">
        <f t="shared" si="83"/>
        <v>0</v>
      </c>
      <c r="I142" s="183">
        <f t="shared" si="83"/>
        <v>0</v>
      </c>
      <c r="J142" s="183">
        <f t="shared" si="83"/>
        <v>0</v>
      </c>
      <c r="K142" s="183">
        <f t="shared" si="83"/>
        <v>0</v>
      </c>
      <c r="L142" s="183">
        <f t="shared" si="83"/>
        <v>0</v>
      </c>
      <c r="M142" s="183">
        <f t="shared" si="83"/>
        <v>0</v>
      </c>
      <c r="N142" s="28"/>
    </row>
    <row r="143" spans="1:14" ht="13.4" customHeight="1">
      <c r="A143" s="5" t="s">
        <v>767</v>
      </c>
      <c r="B143" s="131" t="s">
        <v>719</v>
      </c>
      <c r="C143" s="187" t="s">
        <v>768</v>
      </c>
      <c r="D143" s="188">
        <v>0</v>
      </c>
      <c r="E143" s="188">
        <v>0</v>
      </c>
      <c r="F143" s="188">
        <v>0</v>
      </c>
      <c r="G143" s="188">
        <v>0</v>
      </c>
      <c r="H143" s="188">
        <v>0</v>
      </c>
      <c r="I143" s="188">
        <v>0</v>
      </c>
      <c r="J143" s="188">
        <v>0</v>
      </c>
      <c r="K143" s="188">
        <v>0</v>
      </c>
      <c r="L143" s="188">
        <v>0</v>
      </c>
      <c r="M143" s="188">
        <v>0</v>
      </c>
      <c r="N143" s="28"/>
    </row>
    <row r="144" spans="1:14" ht="13.4" customHeight="1">
      <c r="A144" s="5" t="s">
        <v>182</v>
      </c>
      <c r="B144" s="131"/>
      <c r="C144" s="30" t="s">
        <v>175</v>
      </c>
      <c r="D144" s="183">
        <f t="shared" ref="D144:M144" si="84">D139+D140-D142-D143</f>
        <v>0</v>
      </c>
      <c r="E144" s="183">
        <f t="shared" si="84"/>
        <v>0</v>
      </c>
      <c r="F144" s="183">
        <f t="shared" si="84"/>
        <v>0</v>
      </c>
      <c r="G144" s="183">
        <f t="shared" si="84"/>
        <v>0</v>
      </c>
      <c r="H144" s="183">
        <f t="shared" si="84"/>
        <v>0</v>
      </c>
      <c r="I144" s="183">
        <f t="shared" si="84"/>
        <v>0</v>
      </c>
      <c r="J144" s="183">
        <f t="shared" si="84"/>
        <v>0</v>
      </c>
      <c r="K144" s="183">
        <f t="shared" si="84"/>
        <v>0</v>
      </c>
      <c r="L144" s="183">
        <f t="shared" si="84"/>
        <v>0</v>
      </c>
      <c r="M144" s="183">
        <f t="shared" si="84"/>
        <v>0</v>
      </c>
      <c r="N144" s="28"/>
    </row>
    <row r="145" spans="1:14" ht="13" hidden="1" customHeight="1">
      <c r="A145" s="5"/>
      <c r="B145" s="138"/>
      <c r="C145" s="5" t="s">
        <v>769</v>
      </c>
      <c r="D145" s="183" t="e">
        <f t="shared" ref="D145:M145" si="85">PPMT(D138/$B142,1,ROUND(($B140-(D$5-YEAR($B138))+MONTH($B138)/12)*$B142,0),D139)</f>
        <v>#NUM!</v>
      </c>
      <c r="E145" s="183" t="e">
        <f t="shared" si="85"/>
        <v>#NUM!</v>
      </c>
      <c r="F145" s="183" t="e">
        <f t="shared" si="85"/>
        <v>#NUM!</v>
      </c>
      <c r="G145" s="183" t="e">
        <f t="shared" si="85"/>
        <v>#NUM!</v>
      </c>
      <c r="H145" s="183" t="e">
        <f t="shared" si="85"/>
        <v>#NUM!</v>
      </c>
      <c r="I145" s="183" t="e">
        <f t="shared" si="85"/>
        <v>#NUM!</v>
      </c>
      <c r="J145" s="183" t="e">
        <f t="shared" si="85"/>
        <v>#NUM!</v>
      </c>
      <c r="K145" s="183" t="e">
        <f t="shared" si="85"/>
        <v>#NUM!</v>
      </c>
      <c r="L145" s="183" t="e">
        <f t="shared" si="85"/>
        <v>#NUM!</v>
      </c>
      <c r="M145" s="183" t="e">
        <f t="shared" si="85"/>
        <v>#NUM!</v>
      </c>
      <c r="N145" s="139"/>
    </row>
    <row r="146" spans="1:14" ht="13" hidden="1" customHeight="1">
      <c r="A146" s="5"/>
      <c r="B146" s="5"/>
      <c r="C146" s="5" t="s">
        <v>770</v>
      </c>
      <c r="D146" s="183">
        <f t="shared" ref="D146:M146" si="86">IF(YEAR($B138)+$B140&gt;D$5,D139/(YEAR($B138)+$B140-D$5+MONTH($B138)/12),D139)</f>
        <v>0</v>
      </c>
      <c r="E146" s="183">
        <f t="shared" si="86"/>
        <v>0</v>
      </c>
      <c r="F146" s="183">
        <f t="shared" si="86"/>
        <v>0</v>
      </c>
      <c r="G146" s="183">
        <f t="shared" si="86"/>
        <v>0</v>
      </c>
      <c r="H146" s="183">
        <f t="shared" si="86"/>
        <v>0</v>
      </c>
      <c r="I146" s="183">
        <f t="shared" si="86"/>
        <v>0</v>
      </c>
      <c r="J146" s="183">
        <f t="shared" si="86"/>
        <v>0</v>
      </c>
      <c r="K146" s="183">
        <f t="shared" si="86"/>
        <v>0</v>
      </c>
      <c r="L146" s="183">
        <f t="shared" si="86"/>
        <v>0</v>
      </c>
      <c r="M146" s="183">
        <f t="shared" si="86"/>
        <v>0</v>
      </c>
      <c r="N146" s="139"/>
    </row>
    <row r="147" spans="1:14" ht="13.4" customHeight="1">
      <c r="A147" s="5"/>
      <c r="B147" s="5"/>
      <c r="C147" s="5"/>
      <c r="N147" s="46"/>
    </row>
    <row r="148" spans="1:14" ht="13.4" customHeight="1">
      <c r="A148" s="30" t="s">
        <v>870</v>
      </c>
      <c r="B148" s="99"/>
      <c r="C148" t="s">
        <v>800</v>
      </c>
      <c r="D148" s="179" t="s">
        <v>801</v>
      </c>
      <c r="E148" s="1"/>
    </row>
    <row r="149" spans="1:14" ht="13.4" customHeight="1">
      <c r="A149" s="26" t="s">
        <v>677</v>
      </c>
      <c r="B149" s="133">
        <v>29373</v>
      </c>
      <c r="C149" s="5" t="s">
        <v>639</v>
      </c>
      <c r="D149" s="180">
        <f>IF($D148="V",Input!G$68,IF(AND($B155=D$5,Input!G$63&gt;0),Input!G$63,$B152))</f>
        <v>0.05</v>
      </c>
      <c r="E149" s="180">
        <f>IF($D148="V",Input!H$68,IF(AND($B155=E$5,Input!H$63&gt;0),Input!H$63,D149))</f>
        <v>0.05</v>
      </c>
      <c r="F149" s="180">
        <f>IF($D148="V",Input!I$68,IF(AND($B155=F$5,Input!I$63&gt;0),Input!I$63,E149))</f>
        <v>0.05</v>
      </c>
      <c r="G149" s="180">
        <f>IF($D148="V",Input!J$68,IF(AND($B155=G$5,Input!J$63&gt;0),Input!J$63,F149))</f>
        <v>0.05</v>
      </c>
      <c r="H149" s="180">
        <f>IF($D148="V",Input!K$68,IF(AND($B155=H$5,Input!K$63&gt;0),Input!K$63,G149))</f>
        <v>0.05</v>
      </c>
      <c r="I149" s="180">
        <f>IF($D148="V",Input!L$68,IF(AND($B155=I$5,Input!L$63&gt;0),Input!L$63,H149))</f>
        <v>0.05</v>
      </c>
      <c r="J149" s="180">
        <f>IF($D148="V",Input!M$68,IF(AND($B155=J$5,Input!M$63&gt;0),Input!M$63,I149))</f>
        <v>0.05</v>
      </c>
      <c r="K149" s="180">
        <f>IF($D148="V",Input!N$68,IF(AND($B155=K$5,Input!N$63&gt;0),Input!N$63,J149))</f>
        <v>0.05</v>
      </c>
      <c r="L149" s="180">
        <f>IF($D148="V",Input!O$68,IF(AND($B155=L$5,Input!O$63&gt;0),Input!O$63,K149))</f>
        <v>0.05</v>
      </c>
      <c r="M149" s="180">
        <f>IF($D148="V",Input!P$68,IF(AND($B155=M$5,Input!P$63&gt;0),Input!P$63,L149))</f>
        <v>0.05</v>
      </c>
      <c r="N149" s="5"/>
    </row>
    <row r="150" spans="1:14" ht="13.4" customHeight="1">
      <c r="A150" s="5" t="s">
        <v>361</v>
      </c>
      <c r="B150" s="181">
        <v>0</v>
      </c>
      <c r="C150" s="27" t="s">
        <v>173</v>
      </c>
      <c r="D150" s="188">
        <v>0</v>
      </c>
      <c r="E150" s="183">
        <f t="shared" ref="E150:M150" si="87">D155</f>
        <v>0</v>
      </c>
      <c r="F150" s="183">
        <f t="shared" si="87"/>
        <v>0</v>
      </c>
      <c r="G150" s="183">
        <f t="shared" si="87"/>
        <v>0</v>
      </c>
      <c r="H150" s="183">
        <f t="shared" si="87"/>
        <v>0</v>
      </c>
      <c r="I150" s="183">
        <f t="shared" si="87"/>
        <v>0</v>
      </c>
      <c r="J150" s="183">
        <f t="shared" si="87"/>
        <v>0</v>
      </c>
      <c r="K150" s="183">
        <f t="shared" si="87"/>
        <v>0</v>
      </c>
      <c r="L150" s="183">
        <f t="shared" si="87"/>
        <v>0</v>
      </c>
      <c r="M150" s="183">
        <f t="shared" si="87"/>
        <v>0</v>
      </c>
      <c r="N150" s="28"/>
    </row>
    <row r="151" spans="1:14" ht="13.4" customHeight="1">
      <c r="A151" s="26" t="s">
        <v>170</v>
      </c>
      <c r="B151" s="131">
        <v>35</v>
      </c>
      <c r="C151" s="184" t="s">
        <v>169</v>
      </c>
      <c r="D151" s="183">
        <f t="shared" ref="D151:M151" si="88">D153-D152</f>
        <v>0</v>
      </c>
      <c r="E151" s="183">
        <f t="shared" si="88"/>
        <v>0</v>
      </c>
      <c r="F151" s="183">
        <f t="shared" si="88"/>
        <v>0</v>
      </c>
      <c r="G151" s="183">
        <f t="shared" si="88"/>
        <v>0</v>
      </c>
      <c r="H151" s="183">
        <f t="shared" si="88"/>
        <v>0</v>
      </c>
      <c r="I151" s="183">
        <f t="shared" si="88"/>
        <v>0</v>
      </c>
      <c r="J151" s="183">
        <f t="shared" si="88"/>
        <v>0</v>
      </c>
      <c r="K151" s="183">
        <f t="shared" si="88"/>
        <v>0</v>
      </c>
      <c r="L151" s="183">
        <f t="shared" si="88"/>
        <v>0</v>
      </c>
      <c r="M151" s="183">
        <f t="shared" si="88"/>
        <v>0</v>
      </c>
      <c r="N151" s="28"/>
    </row>
    <row r="152" spans="1:14" ht="13.4" customHeight="1">
      <c r="A152" s="5" t="s">
        <v>172</v>
      </c>
      <c r="B152" s="185">
        <f>B141</f>
        <v>0.05</v>
      </c>
      <c r="C152" s="5" t="s">
        <v>174</v>
      </c>
      <c r="D152" s="183">
        <f t="shared" ref="D152:M152" si="89">IF(AND($B154="Y",YEAR($B149)+$B151&gt;D$5),D157,IF((YEAR($B149)+$B151)&gt;D$5,FV(D149/$B153,$B153,D156),D150))</f>
        <v>0</v>
      </c>
      <c r="E152" s="183">
        <f t="shared" si="89"/>
        <v>0</v>
      </c>
      <c r="F152" s="183">
        <f t="shared" si="89"/>
        <v>0</v>
      </c>
      <c r="G152" s="183">
        <f t="shared" si="89"/>
        <v>0</v>
      </c>
      <c r="H152" s="183">
        <f t="shared" si="89"/>
        <v>0</v>
      </c>
      <c r="I152" s="183">
        <f t="shared" si="89"/>
        <v>0</v>
      </c>
      <c r="J152" s="183">
        <f t="shared" si="89"/>
        <v>0</v>
      </c>
      <c r="K152" s="183">
        <f t="shared" si="89"/>
        <v>0</v>
      </c>
      <c r="L152" s="183">
        <f t="shared" si="89"/>
        <v>0</v>
      </c>
      <c r="M152" s="183">
        <f t="shared" si="89"/>
        <v>0</v>
      </c>
      <c r="N152" s="28"/>
    </row>
    <row r="153" spans="1:14" ht="13.4" customHeight="1">
      <c r="A153" s="5" t="s">
        <v>171</v>
      </c>
      <c r="B153" s="131">
        <v>12</v>
      </c>
      <c r="C153" s="186" t="s">
        <v>640</v>
      </c>
      <c r="D153" s="183">
        <f t="shared" ref="D153:M153" si="90">IF(AND($B154="Y",YEAR($B149)+$B151&gt;D$5),D157+D149*(D150-D157*0.5),IF((YEAR($B149)+$B151)&gt;D$5,(D150*D149/$B153-D156)*$B153,(D150*(1+D149*MONTH($B149)/12))))</f>
        <v>0</v>
      </c>
      <c r="E153" s="183">
        <f t="shared" si="90"/>
        <v>0</v>
      </c>
      <c r="F153" s="183">
        <f t="shared" si="90"/>
        <v>0</v>
      </c>
      <c r="G153" s="183">
        <f t="shared" si="90"/>
        <v>0</v>
      </c>
      <c r="H153" s="183">
        <f t="shared" si="90"/>
        <v>0</v>
      </c>
      <c r="I153" s="183">
        <f t="shared" si="90"/>
        <v>0</v>
      </c>
      <c r="J153" s="183">
        <f t="shared" si="90"/>
        <v>0</v>
      </c>
      <c r="K153" s="183">
        <f t="shared" si="90"/>
        <v>0</v>
      </c>
      <c r="L153" s="183">
        <f t="shared" si="90"/>
        <v>0</v>
      </c>
      <c r="M153" s="183">
        <f t="shared" si="90"/>
        <v>0</v>
      </c>
      <c r="N153" s="28"/>
    </row>
    <row r="154" spans="1:14" ht="13.4" customHeight="1">
      <c r="A154" s="5" t="s">
        <v>767</v>
      </c>
      <c r="B154" s="131" t="s">
        <v>719</v>
      </c>
      <c r="C154" s="187" t="s">
        <v>768</v>
      </c>
      <c r="D154" s="188">
        <v>0</v>
      </c>
      <c r="E154" s="188">
        <v>0</v>
      </c>
      <c r="F154" s="188">
        <v>0</v>
      </c>
      <c r="G154" s="188">
        <v>0</v>
      </c>
      <c r="H154" s="188">
        <v>0</v>
      </c>
      <c r="I154" s="188">
        <v>0</v>
      </c>
      <c r="J154" s="188">
        <v>0</v>
      </c>
      <c r="K154" s="188">
        <v>0</v>
      </c>
      <c r="L154" s="188">
        <v>0</v>
      </c>
      <c r="M154" s="188">
        <v>0</v>
      </c>
      <c r="N154" s="28"/>
    </row>
    <row r="155" spans="1:14" ht="13.4" customHeight="1">
      <c r="A155" s="5" t="s">
        <v>182</v>
      </c>
      <c r="B155" s="131"/>
      <c r="C155" s="30" t="s">
        <v>175</v>
      </c>
      <c r="D155" s="183">
        <f t="shared" ref="D155:M155" si="91">D150+D151-D153-D154</f>
        <v>0</v>
      </c>
      <c r="E155" s="183">
        <f t="shared" si="91"/>
        <v>0</v>
      </c>
      <c r="F155" s="183">
        <f t="shared" si="91"/>
        <v>0</v>
      </c>
      <c r="G155" s="183">
        <f t="shared" si="91"/>
        <v>0</v>
      </c>
      <c r="H155" s="183">
        <f t="shared" si="91"/>
        <v>0</v>
      </c>
      <c r="I155" s="183">
        <f t="shared" si="91"/>
        <v>0</v>
      </c>
      <c r="J155" s="183">
        <f t="shared" si="91"/>
        <v>0</v>
      </c>
      <c r="K155" s="183">
        <f t="shared" si="91"/>
        <v>0</v>
      </c>
      <c r="L155" s="183">
        <f t="shared" si="91"/>
        <v>0</v>
      </c>
      <c r="M155" s="183">
        <f t="shared" si="91"/>
        <v>0</v>
      </c>
      <c r="N155" s="28"/>
    </row>
    <row r="156" spans="1:14" ht="13" hidden="1" customHeight="1">
      <c r="A156" s="5"/>
      <c r="B156" s="138"/>
      <c r="C156" s="5" t="s">
        <v>769</v>
      </c>
      <c r="D156" s="183" t="e">
        <f t="shared" ref="D156:M156" si="92">PPMT(D149/$B153,1,ROUND(($B151-(D$5-YEAR($B149))+MONTH($B149)/12)*$B153,0),D150)</f>
        <v>#NUM!</v>
      </c>
      <c r="E156" s="183" t="e">
        <f t="shared" si="92"/>
        <v>#NUM!</v>
      </c>
      <c r="F156" s="183" t="e">
        <f t="shared" si="92"/>
        <v>#NUM!</v>
      </c>
      <c r="G156" s="183" t="e">
        <f t="shared" si="92"/>
        <v>#NUM!</v>
      </c>
      <c r="H156" s="183" t="e">
        <f t="shared" si="92"/>
        <v>#NUM!</v>
      </c>
      <c r="I156" s="183" t="e">
        <f t="shared" si="92"/>
        <v>#NUM!</v>
      </c>
      <c r="J156" s="183" t="e">
        <f t="shared" si="92"/>
        <v>#NUM!</v>
      </c>
      <c r="K156" s="183" t="e">
        <f t="shared" si="92"/>
        <v>#NUM!</v>
      </c>
      <c r="L156" s="183" t="e">
        <f t="shared" si="92"/>
        <v>#NUM!</v>
      </c>
      <c r="M156" s="183" t="e">
        <f t="shared" si="92"/>
        <v>#NUM!</v>
      </c>
      <c r="N156" s="139"/>
    </row>
    <row r="157" spans="1:14" ht="13" hidden="1" customHeight="1">
      <c r="A157" s="5"/>
      <c r="B157" s="5"/>
      <c r="C157" s="5" t="s">
        <v>770</v>
      </c>
      <c r="D157" s="183">
        <f t="shared" ref="D157:M157" si="93">IF(YEAR($B149)+$B151&gt;D$5,D150/(YEAR($B149)+$B151-D$5+MONTH($B149)/12),D150)</f>
        <v>0</v>
      </c>
      <c r="E157" s="183">
        <f t="shared" si="93"/>
        <v>0</v>
      </c>
      <c r="F157" s="183">
        <f t="shared" si="93"/>
        <v>0</v>
      </c>
      <c r="G157" s="183">
        <f t="shared" si="93"/>
        <v>0</v>
      </c>
      <c r="H157" s="183">
        <f t="shared" si="93"/>
        <v>0</v>
      </c>
      <c r="I157" s="183">
        <f t="shared" si="93"/>
        <v>0</v>
      </c>
      <c r="J157" s="183">
        <f t="shared" si="93"/>
        <v>0</v>
      </c>
      <c r="K157" s="183">
        <f t="shared" si="93"/>
        <v>0</v>
      </c>
      <c r="L157" s="183">
        <f t="shared" si="93"/>
        <v>0</v>
      </c>
      <c r="M157" s="183">
        <f t="shared" si="93"/>
        <v>0</v>
      </c>
      <c r="N157" s="139"/>
    </row>
    <row r="158" spans="1:14" ht="13.4" customHeight="1">
      <c r="A158" s="5"/>
      <c r="B158" s="5"/>
      <c r="C158" s="5"/>
      <c r="D158" s="183"/>
      <c r="E158" s="183"/>
      <c r="F158" s="183"/>
      <c r="G158" s="183"/>
      <c r="H158" s="183"/>
      <c r="I158" s="183"/>
      <c r="J158" s="183"/>
      <c r="K158" s="183"/>
      <c r="L158" s="183"/>
      <c r="M158" s="183"/>
      <c r="N158" s="139"/>
    </row>
    <row r="159" spans="1:14" ht="13.4" customHeight="1">
      <c r="A159" s="5"/>
      <c r="B159" s="5"/>
      <c r="C159" s="5"/>
      <c r="D159" s="183"/>
      <c r="E159" s="183"/>
      <c r="F159" s="183"/>
      <c r="G159" s="183"/>
      <c r="H159" s="183"/>
      <c r="I159" s="183"/>
      <c r="J159" s="183"/>
      <c r="K159" s="183"/>
      <c r="L159" s="183"/>
      <c r="M159" s="183"/>
      <c r="N159" s="139"/>
    </row>
    <row r="160" spans="1:14" ht="13.4" customHeight="1">
      <c r="A160" s="5" t="s">
        <v>885</v>
      </c>
      <c r="B160" s="5"/>
      <c r="C160" s="5"/>
      <c r="D160" s="189">
        <f t="shared" ref="D160:M160" si="94">+D5</f>
        <v>2024</v>
      </c>
      <c r="E160" s="189">
        <f t="shared" si="94"/>
        <v>2025</v>
      </c>
      <c r="F160" s="189">
        <f t="shared" si="94"/>
        <v>2026</v>
      </c>
      <c r="G160" s="189">
        <f t="shared" si="94"/>
        <v>2027</v>
      </c>
      <c r="H160" s="189">
        <f t="shared" si="94"/>
        <v>2028</v>
      </c>
      <c r="I160" s="189">
        <f t="shared" si="94"/>
        <v>2029</v>
      </c>
      <c r="J160" s="189">
        <f t="shared" si="94"/>
        <v>2030</v>
      </c>
      <c r="K160" s="189">
        <f t="shared" si="94"/>
        <v>2031</v>
      </c>
      <c r="L160" s="189">
        <f t="shared" si="94"/>
        <v>2032</v>
      </c>
      <c r="M160" s="189">
        <f t="shared" si="94"/>
        <v>2033</v>
      </c>
      <c r="N160" s="139"/>
    </row>
    <row r="161" spans="1:14" ht="13.4" customHeight="1">
      <c r="A161" s="5"/>
      <c r="B161" s="5"/>
      <c r="C161" s="5"/>
      <c r="D161" s="190" t="str">
        <f t="shared" ref="D161:M161" si="95">+D6</f>
        <v xml:space="preserve">  -----------</v>
      </c>
      <c r="E161" s="190" t="str">
        <f t="shared" si="95"/>
        <v xml:space="preserve">  -----------</v>
      </c>
      <c r="F161" s="190" t="str">
        <f t="shared" si="95"/>
        <v xml:space="preserve">  -----------</v>
      </c>
      <c r="G161" s="190" t="str">
        <f t="shared" si="95"/>
        <v xml:space="preserve">  -----------</v>
      </c>
      <c r="H161" s="190" t="str">
        <f t="shared" si="95"/>
        <v xml:space="preserve">  -----------</v>
      </c>
      <c r="I161" s="190" t="str">
        <f t="shared" si="95"/>
        <v xml:space="preserve">  -----------</v>
      </c>
      <c r="J161" s="190" t="str">
        <f t="shared" si="95"/>
        <v xml:space="preserve">  -----------</v>
      </c>
      <c r="K161" s="190" t="str">
        <f t="shared" si="95"/>
        <v xml:space="preserve">  -----------</v>
      </c>
      <c r="L161" s="190" t="str">
        <f t="shared" si="95"/>
        <v xml:space="preserve">  -----------</v>
      </c>
      <c r="M161" s="190" t="str">
        <f t="shared" si="95"/>
        <v xml:space="preserve">  -----------</v>
      </c>
      <c r="N161" s="28"/>
    </row>
    <row r="162" spans="1:14" ht="13.4" customHeight="1">
      <c r="A162" s="30" t="s">
        <v>871</v>
      </c>
      <c r="B162" s="99"/>
      <c r="C162" t="s">
        <v>800</v>
      </c>
      <c r="D162" s="179" t="s">
        <v>801</v>
      </c>
      <c r="E162" s="1"/>
      <c r="N162" s="28"/>
    </row>
    <row r="163" spans="1:14" ht="13.4" customHeight="1">
      <c r="A163" s="26" t="s">
        <v>677</v>
      </c>
      <c r="B163" s="133">
        <v>29373</v>
      </c>
      <c r="C163" s="5" t="s">
        <v>639</v>
      </c>
      <c r="D163" s="180">
        <f>IF($D162="V",Input!G$68,IF(AND($B169=D$5,Input!G$63&gt;0),Input!G$63,$B166))</f>
        <v>0.05</v>
      </c>
      <c r="E163" s="180">
        <f>IF($D162="V",Input!H$68,IF(AND($B169=E$5,Input!H$63&gt;0),Input!H$63,D163))</f>
        <v>0.05</v>
      </c>
      <c r="F163" s="180">
        <f>IF($D162="V",Input!I$68,IF(AND($B169=F$5,Input!I$63&gt;0),Input!I$63,E163))</f>
        <v>0.05</v>
      </c>
      <c r="G163" s="180">
        <f>IF($D162="V",Input!J$68,IF(AND($B169=G$5,Input!J$63&gt;0),Input!J$63,F163))</f>
        <v>0.05</v>
      </c>
      <c r="H163" s="180">
        <f>IF($D162="V",Input!K$68,IF(AND($B169=H$5,Input!K$63&gt;0),Input!K$63,G163))</f>
        <v>0.05</v>
      </c>
      <c r="I163" s="180">
        <f>IF($D162="V",Input!L$68,IF(AND($B169=I$5,Input!L$63&gt;0),Input!L$63,H163))</f>
        <v>0.05</v>
      </c>
      <c r="J163" s="180">
        <f>IF($D162="V",Input!M$68,IF(AND($B169=J$5,Input!M$63&gt;0),Input!M$63,I163))</f>
        <v>0.05</v>
      </c>
      <c r="K163" s="180">
        <f>IF($D162="V",Input!N$68,IF(AND($B169=K$5,Input!N$63&gt;0),Input!N$63,J163))</f>
        <v>0.05</v>
      </c>
      <c r="L163" s="180">
        <f>IF($D162="V",Input!O$68,IF(AND($B169=L$5,Input!O$63&gt;0),Input!O$63,K163))</f>
        <v>0.05</v>
      </c>
      <c r="M163" s="180">
        <f>IF($D162="V",Input!P$68,IF(AND($B169=M$5,Input!P$63&gt;0),Input!P$63,L163))</f>
        <v>0.05</v>
      </c>
      <c r="N163" s="5"/>
    </row>
    <row r="164" spans="1:14" ht="13.4" customHeight="1">
      <c r="A164" s="5" t="s">
        <v>361</v>
      </c>
      <c r="B164" s="181">
        <v>0</v>
      </c>
      <c r="C164" s="27" t="s">
        <v>173</v>
      </c>
      <c r="D164" s="188">
        <v>0</v>
      </c>
      <c r="E164" s="183">
        <f t="shared" ref="E164:M164" si="96">D169</f>
        <v>0</v>
      </c>
      <c r="F164" s="183">
        <f t="shared" si="96"/>
        <v>0</v>
      </c>
      <c r="G164" s="183">
        <f t="shared" si="96"/>
        <v>0</v>
      </c>
      <c r="H164" s="183">
        <f t="shared" si="96"/>
        <v>0</v>
      </c>
      <c r="I164" s="183">
        <f t="shared" si="96"/>
        <v>0</v>
      </c>
      <c r="J164" s="183">
        <f t="shared" si="96"/>
        <v>0</v>
      </c>
      <c r="K164" s="183">
        <f t="shared" si="96"/>
        <v>0</v>
      </c>
      <c r="L164" s="183">
        <f t="shared" si="96"/>
        <v>0</v>
      </c>
      <c r="M164" s="183">
        <f t="shared" si="96"/>
        <v>0</v>
      </c>
      <c r="N164" s="28"/>
    </row>
    <row r="165" spans="1:14" ht="13.4" customHeight="1">
      <c r="A165" s="26" t="s">
        <v>170</v>
      </c>
      <c r="B165" s="131">
        <v>35</v>
      </c>
      <c r="C165" s="184" t="s">
        <v>169</v>
      </c>
      <c r="D165" s="183">
        <f t="shared" ref="D165:M165" si="97">D167-D166</f>
        <v>0</v>
      </c>
      <c r="E165" s="183">
        <f t="shared" si="97"/>
        <v>0</v>
      </c>
      <c r="F165" s="183">
        <f t="shared" si="97"/>
        <v>0</v>
      </c>
      <c r="G165" s="183">
        <f t="shared" si="97"/>
        <v>0</v>
      </c>
      <c r="H165" s="183">
        <f t="shared" si="97"/>
        <v>0</v>
      </c>
      <c r="I165" s="183">
        <f t="shared" si="97"/>
        <v>0</v>
      </c>
      <c r="J165" s="183">
        <f t="shared" si="97"/>
        <v>0</v>
      </c>
      <c r="K165" s="183">
        <f t="shared" si="97"/>
        <v>0</v>
      </c>
      <c r="L165" s="183">
        <f t="shared" si="97"/>
        <v>0</v>
      </c>
      <c r="M165" s="183">
        <f t="shared" si="97"/>
        <v>0</v>
      </c>
      <c r="N165" s="28"/>
    </row>
    <row r="166" spans="1:14" ht="13.4" customHeight="1">
      <c r="A166" s="5" t="s">
        <v>172</v>
      </c>
      <c r="B166" s="185">
        <f>B152</f>
        <v>0.05</v>
      </c>
      <c r="C166" s="5" t="s">
        <v>174</v>
      </c>
      <c r="D166" s="183">
        <f t="shared" ref="D166:M166" si="98">IF(AND($B168="Y",YEAR($B163)+$B165&gt;D$5),D171,IF((YEAR($B163)+$B165)&gt;D$5,FV(D163/$B167,$B167,D170),D164))</f>
        <v>0</v>
      </c>
      <c r="E166" s="183">
        <f t="shared" si="98"/>
        <v>0</v>
      </c>
      <c r="F166" s="183">
        <f t="shared" si="98"/>
        <v>0</v>
      </c>
      <c r="G166" s="183">
        <f t="shared" si="98"/>
        <v>0</v>
      </c>
      <c r="H166" s="183">
        <f t="shared" si="98"/>
        <v>0</v>
      </c>
      <c r="I166" s="183">
        <f t="shared" si="98"/>
        <v>0</v>
      </c>
      <c r="J166" s="183">
        <f t="shared" si="98"/>
        <v>0</v>
      </c>
      <c r="K166" s="183">
        <f t="shared" si="98"/>
        <v>0</v>
      </c>
      <c r="L166" s="183">
        <f t="shared" si="98"/>
        <v>0</v>
      </c>
      <c r="M166" s="183">
        <f t="shared" si="98"/>
        <v>0</v>
      </c>
      <c r="N166" s="28"/>
    </row>
    <row r="167" spans="1:14" ht="13.4" customHeight="1">
      <c r="A167" s="5" t="s">
        <v>171</v>
      </c>
      <c r="B167" s="131">
        <v>12</v>
      </c>
      <c r="C167" s="186" t="s">
        <v>640</v>
      </c>
      <c r="D167" s="183">
        <f t="shared" ref="D167:M167" si="99">IF(AND($B168="Y",YEAR($B163)+$B165&gt;D$5),D171+D163*(D164-D171*0.5),IF((YEAR($B163)+$B165)&gt;D$5,(D164*D163/$B167-D170)*$B167,(D164*(1+D163*MONTH($B163)/12))))</f>
        <v>0</v>
      </c>
      <c r="E167" s="183">
        <f t="shared" si="99"/>
        <v>0</v>
      </c>
      <c r="F167" s="183">
        <f t="shared" si="99"/>
        <v>0</v>
      </c>
      <c r="G167" s="183">
        <f t="shared" si="99"/>
        <v>0</v>
      </c>
      <c r="H167" s="183">
        <f t="shared" si="99"/>
        <v>0</v>
      </c>
      <c r="I167" s="183">
        <f t="shared" si="99"/>
        <v>0</v>
      </c>
      <c r="J167" s="183">
        <f t="shared" si="99"/>
        <v>0</v>
      </c>
      <c r="K167" s="183">
        <f t="shared" si="99"/>
        <v>0</v>
      </c>
      <c r="L167" s="183">
        <f t="shared" si="99"/>
        <v>0</v>
      </c>
      <c r="M167" s="183">
        <f t="shared" si="99"/>
        <v>0</v>
      </c>
      <c r="N167" s="28"/>
    </row>
    <row r="168" spans="1:14" ht="13.4" customHeight="1">
      <c r="A168" s="5" t="s">
        <v>767</v>
      </c>
      <c r="B168" s="131" t="s">
        <v>719</v>
      </c>
      <c r="C168" s="187" t="s">
        <v>768</v>
      </c>
      <c r="D168" s="188">
        <v>0</v>
      </c>
      <c r="E168" s="188">
        <v>0</v>
      </c>
      <c r="F168" s="188">
        <v>0</v>
      </c>
      <c r="G168" s="188">
        <v>0</v>
      </c>
      <c r="H168" s="188">
        <v>0</v>
      </c>
      <c r="I168" s="188">
        <v>0</v>
      </c>
      <c r="J168" s="188">
        <v>0</v>
      </c>
      <c r="K168" s="188">
        <v>0</v>
      </c>
      <c r="L168" s="188">
        <v>0</v>
      </c>
      <c r="M168" s="188">
        <v>0</v>
      </c>
      <c r="N168" s="28"/>
    </row>
    <row r="169" spans="1:14" ht="13.4" customHeight="1">
      <c r="A169" s="5" t="s">
        <v>182</v>
      </c>
      <c r="B169" s="131"/>
      <c r="C169" s="30" t="s">
        <v>175</v>
      </c>
      <c r="D169" s="183">
        <f t="shared" ref="D169:M169" si="100">D164+D165-D167-D168</f>
        <v>0</v>
      </c>
      <c r="E169" s="183">
        <f t="shared" si="100"/>
        <v>0</v>
      </c>
      <c r="F169" s="183">
        <f t="shared" si="100"/>
        <v>0</v>
      </c>
      <c r="G169" s="183">
        <f t="shared" si="100"/>
        <v>0</v>
      </c>
      <c r="H169" s="183">
        <f t="shared" si="100"/>
        <v>0</v>
      </c>
      <c r="I169" s="183">
        <f t="shared" si="100"/>
        <v>0</v>
      </c>
      <c r="J169" s="183">
        <f t="shared" si="100"/>
        <v>0</v>
      </c>
      <c r="K169" s="183">
        <f t="shared" si="100"/>
        <v>0</v>
      </c>
      <c r="L169" s="183">
        <f t="shared" si="100"/>
        <v>0</v>
      </c>
      <c r="M169" s="183">
        <f t="shared" si="100"/>
        <v>0</v>
      </c>
      <c r="N169" s="28"/>
    </row>
    <row r="170" spans="1:14" ht="13" hidden="1" customHeight="1">
      <c r="A170" s="5"/>
      <c r="B170" s="138"/>
      <c r="C170" s="5" t="s">
        <v>769</v>
      </c>
      <c r="D170" s="183" t="e">
        <f t="shared" ref="D170:M170" si="101">PPMT(D163/$B167,1,ROUND(($B165-(D$5-YEAR($B163))+MONTH($B163)/12)*$B167,0),D164)</f>
        <v>#NUM!</v>
      </c>
      <c r="E170" s="183" t="e">
        <f t="shared" si="101"/>
        <v>#NUM!</v>
      </c>
      <c r="F170" s="183" t="e">
        <f t="shared" si="101"/>
        <v>#NUM!</v>
      </c>
      <c r="G170" s="183" t="e">
        <f t="shared" si="101"/>
        <v>#NUM!</v>
      </c>
      <c r="H170" s="183" t="e">
        <f t="shared" si="101"/>
        <v>#NUM!</v>
      </c>
      <c r="I170" s="183" t="e">
        <f t="shared" si="101"/>
        <v>#NUM!</v>
      </c>
      <c r="J170" s="183" t="e">
        <f t="shared" si="101"/>
        <v>#NUM!</v>
      </c>
      <c r="K170" s="183" t="e">
        <f t="shared" si="101"/>
        <v>#NUM!</v>
      </c>
      <c r="L170" s="183" t="e">
        <f t="shared" si="101"/>
        <v>#NUM!</v>
      </c>
      <c r="M170" s="183" t="e">
        <f t="shared" si="101"/>
        <v>#NUM!</v>
      </c>
      <c r="N170" s="139"/>
    </row>
    <row r="171" spans="1:14" ht="13" hidden="1" customHeight="1">
      <c r="A171" s="5"/>
      <c r="B171" s="5"/>
      <c r="C171" s="5" t="s">
        <v>770</v>
      </c>
      <c r="D171" s="183">
        <f t="shared" ref="D171:M171" si="102">IF(YEAR($B163)+$B165&gt;D$5,D164/(YEAR($B163)+$B165-D$5+MONTH($B163)/12),D164)</f>
        <v>0</v>
      </c>
      <c r="E171" s="183">
        <f t="shared" si="102"/>
        <v>0</v>
      </c>
      <c r="F171" s="183">
        <f t="shared" si="102"/>
        <v>0</v>
      </c>
      <c r="G171" s="183">
        <f t="shared" si="102"/>
        <v>0</v>
      </c>
      <c r="H171" s="183">
        <f t="shared" si="102"/>
        <v>0</v>
      </c>
      <c r="I171" s="183">
        <f t="shared" si="102"/>
        <v>0</v>
      </c>
      <c r="J171" s="183">
        <f t="shared" si="102"/>
        <v>0</v>
      </c>
      <c r="K171" s="183">
        <f t="shared" si="102"/>
        <v>0</v>
      </c>
      <c r="L171" s="183">
        <f t="shared" si="102"/>
        <v>0</v>
      </c>
      <c r="M171" s="183">
        <f t="shared" si="102"/>
        <v>0</v>
      </c>
      <c r="N171" s="139"/>
    </row>
    <row r="172" spans="1:14" ht="13.4" customHeight="1">
      <c r="A172" s="5"/>
      <c r="B172" s="5"/>
      <c r="C172" s="5"/>
      <c r="D172" s="183"/>
      <c r="E172" s="183"/>
      <c r="F172" s="183"/>
      <c r="G172" s="183"/>
      <c r="H172" s="183"/>
      <c r="I172" s="183"/>
      <c r="J172" s="183"/>
      <c r="K172" s="183"/>
      <c r="L172" s="183"/>
      <c r="M172" s="183"/>
      <c r="N172" s="28"/>
    </row>
    <row r="173" spans="1:14" ht="13.4" customHeight="1">
      <c r="A173" s="30" t="s">
        <v>872</v>
      </c>
      <c r="B173" s="99"/>
      <c r="C173" t="s">
        <v>800</v>
      </c>
      <c r="D173" s="179" t="s">
        <v>801</v>
      </c>
      <c r="E173" s="1"/>
      <c r="N173" s="28"/>
    </row>
    <row r="174" spans="1:14" ht="13.4" customHeight="1">
      <c r="A174" s="26" t="s">
        <v>677</v>
      </c>
      <c r="B174" s="133">
        <v>29373</v>
      </c>
      <c r="C174" s="5" t="s">
        <v>639</v>
      </c>
      <c r="D174" s="180">
        <f>IF($D173="V",Input!G$68,IF(AND($B180=D$5,Input!G$63&gt;0),Input!G$63,$B177))</f>
        <v>0.05</v>
      </c>
      <c r="E174" s="180">
        <f>IF($D173="V",Input!H$68,IF(AND($B180=E$5,Input!H$63&gt;0),Input!H$63,D174))</f>
        <v>0.05</v>
      </c>
      <c r="F174" s="180">
        <f>IF($D173="V",Input!I$68,IF(AND($B180=F$5,Input!I$63&gt;0),Input!I$63,E174))</f>
        <v>0.05</v>
      </c>
      <c r="G174" s="180">
        <f>IF($D173="V",Input!J$68,IF(AND($B180=G$5,Input!J$63&gt;0),Input!J$63,F174))</f>
        <v>0.05</v>
      </c>
      <c r="H174" s="180">
        <f>IF($D173="V",Input!K$68,IF(AND($B180=H$5,Input!K$63&gt;0),Input!K$63,G174))</f>
        <v>0.05</v>
      </c>
      <c r="I174" s="180">
        <f>IF($D173="V",Input!L$68,IF(AND($B180=I$5,Input!L$63&gt;0),Input!L$63,H174))</f>
        <v>0.05</v>
      </c>
      <c r="J174" s="180">
        <f>IF($D173="V",Input!M$68,IF(AND($B180=J$5,Input!M$63&gt;0),Input!M$63,I174))</f>
        <v>0.05</v>
      </c>
      <c r="K174" s="180">
        <f>IF($D173="V",Input!N$68,IF(AND($B180=K$5,Input!N$63&gt;0),Input!N$63,J174))</f>
        <v>0.05</v>
      </c>
      <c r="L174" s="180">
        <f>IF($D173="V",Input!O$68,IF(AND($B180=L$5,Input!O$63&gt;0),Input!O$63,K174))</f>
        <v>0.05</v>
      </c>
      <c r="M174" s="180">
        <f>IF($D173="V",Input!P$68,IF(AND($B180=M$5,Input!P$63&gt;0),Input!P$63,L174))</f>
        <v>0.05</v>
      </c>
      <c r="N174" s="5"/>
    </row>
    <row r="175" spans="1:14" ht="13.4" customHeight="1">
      <c r="A175" s="5" t="s">
        <v>361</v>
      </c>
      <c r="B175" s="181">
        <v>0</v>
      </c>
      <c r="C175" s="27" t="s">
        <v>173</v>
      </c>
      <c r="D175" s="188">
        <v>0</v>
      </c>
      <c r="E175" s="183">
        <f t="shared" ref="E175:M175" si="103">D180</f>
        <v>0</v>
      </c>
      <c r="F175" s="183">
        <f t="shared" si="103"/>
        <v>0</v>
      </c>
      <c r="G175" s="183">
        <f t="shared" si="103"/>
        <v>0</v>
      </c>
      <c r="H175" s="183">
        <f t="shared" si="103"/>
        <v>0</v>
      </c>
      <c r="I175" s="183">
        <f t="shared" si="103"/>
        <v>0</v>
      </c>
      <c r="J175" s="183">
        <f t="shared" si="103"/>
        <v>0</v>
      </c>
      <c r="K175" s="183">
        <f t="shared" si="103"/>
        <v>0</v>
      </c>
      <c r="L175" s="183">
        <f t="shared" si="103"/>
        <v>0</v>
      </c>
      <c r="M175" s="183">
        <f t="shared" si="103"/>
        <v>0</v>
      </c>
      <c r="N175" s="28"/>
    </row>
    <row r="176" spans="1:14" ht="13.4" customHeight="1">
      <c r="A176" s="26" t="s">
        <v>170</v>
      </c>
      <c r="B176" s="131">
        <v>35</v>
      </c>
      <c r="C176" s="184" t="s">
        <v>169</v>
      </c>
      <c r="D176" s="183">
        <f t="shared" ref="D176:M176" si="104">D178-D177</f>
        <v>0</v>
      </c>
      <c r="E176" s="183">
        <f t="shared" si="104"/>
        <v>0</v>
      </c>
      <c r="F176" s="183">
        <f t="shared" si="104"/>
        <v>0</v>
      </c>
      <c r="G176" s="183">
        <f t="shared" si="104"/>
        <v>0</v>
      </c>
      <c r="H176" s="183">
        <f t="shared" si="104"/>
        <v>0</v>
      </c>
      <c r="I176" s="183">
        <f t="shared" si="104"/>
        <v>0</v>
      </c>
      <c r="J176" s="183">
        <f t="shared" si="104"/>
        <v>0</v>
      </c>
      <c r="K176" s="183">
        <f t="shared" si="104"/>
        <v>0</v>
      </c>
      <c r="L176" s="183">
        <f t="shared" si="104"/>
        <v>0</v>
      </c>
      <c r="M176" s="183">
        <f t="shared" si="104"/>
        <v>0</v>
      </c>
      <c r="N176" s="28"/>
    </row>
    <row r="177" spans="1:14" ht="13.4" customHeight="1">
      <c r="A177" s="5" t="s">
        <v>172</v>
      </c>
      <c r="B177" s="185">
        <f>B166</f>
        <v>0.05</v>
      </c>
      <c r="C177" s="5" t="s">
        <v>174</v>
      </c>
      <c r="D177" s="183">
        <f t="shared" ref="D177:M177" si="105">IF(AND($B179="Y",YEAR($B174)+$B176&gt;D$5),D182,IF((YEAR($B174)+$B176)&gt;D$5,FV(D174/$B178,$B178,D181),D175))</f>
        <v>0</v>
      </c>
      <c r="E177" s="183">
        <f t="shared" si="105"/>
        <v>0</v>
      </c>
      <c r="F177" s="183">
        <f t="shared" si="105"/>
        <v>0</v>
      </c>
      <c r="G177" s="183">
        <f t="shared" si="105"/>
        <v>0</v>
      </c>
      <c r="H177" s="183">
        <f t="shared" si="105"/>
        <v>0</v>
      </c>
      <c r="I177" s="183">
        <f t="shared" si="105"/>
        <v>0</v>
      </c>
      <c r="J177" s="183">
        <f t="shared" si="105"/>
        <v>0</v>
      </c>
      <c r="K177" s="183">
        <f t="shared" si="105"/>
        <v>0</v>
      </c>
      <c r="L177" s="183">
        <f t="shared" si="105"/>
        <v>0</v>
      </c>
      <c r="M177" s="183">
        <f t="shared" si="105"/>
        <v>0</v>
      </c>
      <c r="N177" s="28"/>
    </row>
    <row r="178" spans="1:14" ht="13.4" customHeight="1">
      <c r="A178" s="5" t="s">
        <v>171</v>
      </c>
      <c r="B178" s="131">
        <v>12</v>
      </c>
      <c r="C178" s="186" t="s">
        <v>640</v>
      </c>
      <c r="D178" s="183">
        <f t="shared" ref="D178:M178" si="106">IF(AND($B179="Y",YEAR($B174)+$B176&gt;D$5),D182+D174*(D175-D182*0.5),IF((YEAR($B174)+$B176)&gt;D$5,(D175*D174/$B178-D181)*$B178,(D175*(1+D174*MONTH($B174)/12))))</f>
        <v>0</v>
      </c>
      <c r="E178" s="183">
        <f t="shared" si="106"/>
        <v>0</v>
      </c>
      <c r="F178" s="183">
        <f t="shared" si="106"/>
        <v>0</v>
      </c>
      <c r="G178" s="183">
        <f t="shared" si="106"/>
        <v>0</v>
      </c>
      <c r="H178" s="183">
        <f t="shared" si="106"/>
        <v>0</v>
      </c>
      <c r="I178" s="183">
        <f t="shared" si="106"/>
        <v>0</v>
      </c>
      <c r="J178" s="183">
        <f t="shared" si="106"/>
        <v>0</v>
      </c>
      <c r="K178" s="183">
        <f t="shared" si="106"/>
        <v>0</v>
      </c>
      <c r="L178" s="183">
        <f t="shared" si="106"/>
        <v>0</v>
      </c>
      <c r="M178" s="183">
        <f t="shared" si="106"/>
        <v>0</v>
      </c>
      <c r="N178" s="28"/>
    </row>
    <row r="179" spans="1:14" ht="13.4" customHeight="1">
      <c r="A179" s="5" t="s">
        <v>767</v>
      </c>
      <c r="B179" s="131" t="s">
        <v>719</v>
      </c>
      <c r="C179" s="187" t="s">
        <v>768</v>
      </c>
      <c r="D179" s="188">
        <v>0</v>
      </c>
      <c r="E179" s="188">
        <v>0</v>
      </c>
      <c r="F179" s="188">
        <v>0</v>
      </c>
      <c r="G179" s="188">
        <v>0</v>
      </c>
      <c r="H179" s="188">
        <v>0</v>
      </c>
      <c r="I179" s="188">
        <v>0</v>
      </c>
      <c r="J179" s="188">
        <v>0</v>
      </c>
      <c r="K179" s="188">
        <v>0</v>
      </c>
      <c r="L179" s="188">
        <v>0</v>
      </c>
      <c r="M179" s="188">
        <v>0</v>
      </c>
      <c r="N179" s="28"/>
    </row>
    <row r="180" spans="1:14" ht="13.4" customHeight="1">
      <c r="A180" s="5" t="s">
        <v>182</v>
      </c>
      <c r="B180" s="131"/>
      <c r="C180" s="30" t="s">
        <v>175</v>
      </c>
      <c r="D180" s="183">
        <f t="shared" ref="D180:M180" si="107">D175+D176-D178-D179</f>
        <v>0</v>
      </c>
      <c r="E180" s="183">
        <f t="shared" si="107"/>
        <v>0</v>
      </c>
      <c r="F180" s="183">
        <f t="shared" si="107"/>
        <v>0</v>
      </c>
      <c r="G180" s="183">
        <f t="shared" si="107"/>
        <v>0</v>
      </c>
      <c r="H180" s="183">
        <f t="shared" si="107"/>
        <v>0</v>
      </c>
      <c r="I180" s="183">
        <f t="shared" si="107"/>
        <v>0</v>
      </c>
      <c r="J180" s="183">
        <f t="shared" si="107"/>
        <v>0</v>
      </c>
      <c r="K180" s="183">
        <f t="shared" si="107"/>
        <v>0</v>
      </c>
      <c r="L180" s="183">
        <f t="shared" si="107"/>
        <v>0</v>
      </c>
      <c r="M180" s="183">
        <f t="shared" si="107"/>
        <v>0</v>
      </c>
      <c r="N180" s="28"/>
    </row>
    <row r="181" spans="1:14" ht="13" hidden="1" customHeight="1">
      <c r="A181" s="5"/>
      <c r="B181" s="138"/>
      <c r="C181" s="5" t="s">
        <v>769</v>
      </c>
      <c r="D181" s="183" t="e">
        <f t="shared" ref="D181:M181" si="108">PPMT(D174/$B178,1,ROUND(($B176-(D$5-YEAR($B174))+MONTH($B174)/12)*$B178,0),D175)</f>
        <v>#NUM!</v>
      </c>
      <c r="E181" s="183" t="e">
        <f t="shared" si="108"/>
        <v>#NUM!</v>
      </c>
      <c r="F181" s="183" t="e">
        <f t="shared" si="108"/>
        <v>#NUM!</v>
      </c>
      <c r="G181" s="183" t="e">
        <f t="shared" si="108"/>
        <v>#NUM!</v>
      </c>
      <c r="H181" s="183" t="e">
        <f t="shared" si="108"/>
        <v>#NUM!</v>
      </c>
      <c r="I181" s="183" t="e">
        <f t="shared" si="108"/>
        <v>#NUM!</v>
      </c>
      <c r="J181" s="183" t="e">
        <f t="shared" si="108"/>
        <v>#NUM!</v>
      </c>
      <c r="K181" s="183" t="e">
        <f t="shared" si="108"/>
        <v>#NUM!</v>
      </c>
      <c r="L181" s="183" t="e">
        <f t="shared" si="108"/>
        <v>#NUM!</v>
      </c>
      <c r="M181" s="183" t="e">
        <f t="shared" si="108"/>
        <v>#NUM!</v>
      </c>
      <c r="N181" s="139"/>
    </row>
    <row r="182" spans="1:14" ht="13" hidden="1" customHeight="1">
      <c r="A182" s="5"/>
      <c r="B182" s="5"/>
      <c r="C182" s="5" t="s">
        <v>770</v>
      </c>
      <c r="D182" s="183">
        <f t="shared" ref="D182:M182" si="109">IF(YEAR($B174)+$B176&gt;D$5,D175/(YEAR($B174)+$B176-D$5+MONTH($B174)/12),D175)</f>
        <v>0</v>
      </c>
      <c r="E182" s="183">
        <f t="shared" si="109"/>
        <v>0</v>
      </c>
      <c r="F182" s="183">
        <f t="shared" si="109"/>
        <v>0</v>
      </c>
      <c r="G182" s="183">
        <f t="shared" si="109"/>
        <v>0</v>
      </c>
      <c r="H182" s="183">
        <f t="shared" si="109"/>
        <v>0</v>
      </c>
      <c r="I182" s="183">
        <f t="shared" si="109"/>
        <v>0</v>
      </c>
      <c r="J182" s="183">
        <f t="shared" si="109"/>
        <v>0</v>
      </c>
      <c r="K182" s="183">
        <f t="shared" si="109"/>
        <v>0</v>
      </c>
      <c r="L182" s="183">
        <f t="shared" si="109"/>
        <v>0</v>
      </c>
      <c r="M182" s="183">
        <f t="shared" si="109"/>
        <v>0</v>
      </c>
      <c r="N182" s="139"/>
    </row>
    <row r="183" spans="1:14" ht="13.4" customHeight="1">
      <c r="C183" s="5"/>
      <c r="N183" s="46"/>
    </row>
    <row r="184" spans="1:14" ht="13.4" customHeight="1">
      <c r="A184" s="30" t="s">
        <v>873</v>
      </c>
      <c r="B184" s="99"/>
      <c r="C184" t="s">
        <v>800</v>
      </c>
      <c r="D184" s="179" t="s">
        <v>801</v>
      </c>
      <c r="E184" s="1"/>
      <c r="N184" s="28"/>
    </row>
    <row r="185" spans="1:14" ht="13.4" customHeight="1">
      <c r="A185" s="26" t="s">
        <v>677</v>
      </c>
      <c r="B185" s="133">
        <v>29373</v>
      </c>
      <c r="C185" s="5" t="s">
        <v>639</v>
      </c>
      <c r="D185" s="180">
        <f>IF($D184="V",Input!G$68,IF(AND($B191=D$5,Input!G$63&gt;0),Input!G$63,$B188))</f>
        <v>0.05</v>
      </c>
      <c r="E185" s="180">
        <f>IF($D184="V",Input!H$68,IF(AND($B191=E$5,Input!H$63&gt;0),Input!H$63,D185))</f>
        <v>0.05</v>
      </c>
      <c r="F185" s="180">
        <f>IF($D184="V",Input!I$68,IF(AND($B191=F$5,Input!I$63&gt;0),Input!I$63,E185))</f>
        <v>0.05</v>
      </c>
      <c r="G185" s="180">
        <f>IF($D184="V",Input!J$68,IF(AND($B191=G$5,Input!J$63&gt;0),Input!J$63,F185))</f>
        <v>0.05</v>
      </c>
      <c r="H185" s="180">
        <f>IF($D184="V",Input!K$68,IF(AND($B191=H$5,Input!K$63&gt;0),Input!K$63,G185))</f>
        <v>0.05</v>
      </c>
      <c r="I185" s="180">
        <f>IF($D184="V",Input!L$68,IF(AND($B191=I$5,Input!L$63&gt;0),Input!L$63,H185))</f>
        <v>0.05</v>
      </c>
      <c r="J185" s="180">
        <f>IF($D184="V",Input!M$68,IF(AND($B191=J$5,Input!M$63&gt;0),Input!M$63,I185))</f>
        <v>0.05</v>
      </c>
      <c r="K185" s="180">
        <f>IF($D184="V",Input!N$68,IF(AND($B191=K$5,Input!N$63&gt;0),Input!N$63,J185))</f>
        <v>0.05</v>
      </c>
      <c r="L185" s="180">
        <f>IF($D184="V",Input!O$68,IF(AND($B191=L$5,Input!O$63&gt;0),Input!O$63,K185))</f>
        <v>0.05</v>
      </c>
      <c r="M185" s="180">
        <f>IF($D184="V",Input!P$68,IF(AND($B191=M$5,Input!P$63&gt;0),Input!P$63,L185))</f>
        <v>0.05</v>
      </c>
      <c r="N185" s="5"/>
    </row>
    <row r="186" spans="1:14" ht="13.4" customHeight="1">
      <c r="A186" s="5" t="s">
        <v>361</v>
      </c>
      <c r="B186" s="181">
        <v>0</v>
      </c>
      <c r="C186" s="27" t="s">
        <v>173</v>
      </c>
      <c r="D186" s="188">
        <v>0</v>
      </c>
      <c r="E186" s="183">
        <f t="shared" ref="E186:M186" si="110">D191</f>
        <v>0</v>
      </c>
      <c r="F186" s="183">
        <f t="shared" si="110"/>
        <v>0</v>
      </c>
      <c r="G186" s="183">
        <f t="shared" si="110"/>
        <v>0</v>
      </c>
      <c r="H186" s="183">
        <f t="shared" si="110"/>
        <v>0</v>
      </c>
      <c r="I186" s="183">
        <f t="shared" si="110"/>
        <v>0</v>
      </c>
      <c r="J186" s="183">
        <f t="shared" si="110"/>
        <v>0</v>
      </c>
      <c r="K186" s="183">
        <f t="shared" si="110"/>
        <v>0</v>
      </c>
      <c r="L186" s="183">
        <f t="shared" si="110"/>
        <v>0</v>
      </c>
      <c r="M186" s="183">
        <f t="shared" si="110"/>
        <v>0</v>
      </c>
      <c r="N186" s="28"/>
    </row>
    <row r="187" spans="1:14" ht="13.4" customHeight="1">
      <c r="A187" s="26" t="s">
        <v>170</v>
      </c>
      <c r="B187" s="131">
        <v>35</v>
      </c>
      <c r="C187" s="184" t="s">
        <v>169</v>
      </c>
      <c r="D187" s="183">
        <f t="shared" ref="D187:M187" si="111">D189-D188</f>
        <v>0</v>
      </c>
      <c r="E187" s="183">
        <f t="shared" si="111"/>
        <v>0</v>
      </c>
      <c r="F187" s="183">
        <f t="shared" si="111"/>
        <v>0</v>
      </c>
      <c r="G187" s="183">
        <f t="shared" si="111"/>
        <v>0</v>
      </c>
      <c r="H187" s="183">
        <f t="shared" si="111"/>
        <v>0</v>
      </c>
      <c r="I187" s="183">
        <f t="shared" si="111"/>
        <v>0</v>
      </c>
      <c r="J187" s="183">
        <f t="shared" si="111"/>
        <v>0</v>
      </c>
      <c r="K187" s="183">
        <f t="shared" si="111"/>
        <v>0</v>
      </c>
      <c r="L187" s="183">
        <f t="shared" si="111"/>
        <v>0</v>
      </c>
      <c r="M187" s="183">
        <f t="shared" si="111"/>
        <v>0</v>
      </c>
      <c r="N187" s="28"/>
    </row>
    <row r="188" spans="1:14" ht="13.4" customHeight="1">
      <c r="A188" s="5" t="s">
        <v>172</v>
      </c>
      <c r="B188" s="185">
        <f>B177</f>
        <v>0.05</v>
      </c>
      <c r="C188" s="5" t="s">
        <v>174</v>
      </c>
      <c r="D188" s="183">
        <f t="shared" ref="D188:M188" si="112">IF(AND($B190="Y",YEAR($B185)+$B187&gt;D$5),D193,IF((YEAR($B185)+$B187)&gt;D$5,FV(D185/$B189,$B189,D192),D186))</f>
        <v>0</v>
      </c>
      <c r="E188" s="183">
        <f t="shared" si="112"/>
        <v>0</v>
      </c>
      <c r="F188" s="183">
        <f t="shared" si="112"/>
        <v>0</v>
      </c>
      <c r="G188" s="183">
        <f t="shared" si="112"/>
        <v>0</v>
      </c>
      <c r="H188" s="183">
        <f t="shared" si="112"/>
        <v>0</v>
      </c>
      <c r="I188" s="183">
        <f t="shared" si="112"/>
        <v>0</v>
      </c>
      <c r="J188" s="183">
        <f t="shared" si="112"/>
        <v>0</v>
      </c>
      <c r="K188" s="183">
        <f t="shared" si="112"/>
        <v>0</v>
      </c>
      <c r="L188" s="183">
        <f t="shared" si="112"/>
        <v>0</v>
      </c>
      <c r="M188" s="183">
        <f t="shared" si="112"/>
        <v>0</v>
      </c>
      <c r="N188" s="28"/>
    </row>
    <row r="189" spans="1:14" ht="13.4" customHeight="1">
      <c r="A189" s="5" t="s">
        <v>171</v>
      </c>
      <c r="B189" s="131">
        <v>12</v>
      </c>
      <c r="C189" s="186" t="s">
        <v>640</v>
      </c>
      <c r="D189" s="183">
        <f t="shared" ref="D189:M189" si="113">IF(AND($B190="Y",YEAR($B185)+$B187&gt;D$5),D193+D185*(D186-D193*0.5),IF((YEAR($B185)+$B187)&gt;D$5,(D186*D185/$B189-D192)*$B189,(D186*(1+D185*MONTH($B185)/12))))</f>
        <v>0</v>
      </c>
      <c r="E189" s="183">
        <f t="shared" si="113"/>
        <v>0</v>
      </c>
      <c r="F189" s="183">
        <f t="shared" si="113"/>
        <v>0</v>
      </c>
      <c r="G189" s="183">
        <f t="shared" si="113"/>
        <v>0</v>
      </c>
      <c r="H189" s="183">
        <f t="shared" si="113"/>
        <v>0</v>
      </c>
      <c r="I189" s="183">
        <f t="shared" si="113"/>
        <v>0</v>
      </c>
      <c r="J189" s="183">
        <f t="shared" si="113"/>
        <v>0</v>
      </c>
      <c r="K189" s="183">
        <f t="shared" si="113"/>
        <v>0</v>
      </c>
      <c r="L189" s="183">
        <f t="shared" si="113"/>
        <v>0</v>
      </c>
      <c r="M189" s="183">
        <f t="shared" si="113"/>
        <v>0</v>
      </c>
      <c r="N189" s="28"/>
    </row>
    <row r="190" spans="1:14" ht="13.4" customHeight="1">
      <c r="A190" s="5" t="s">
        <v>767</v>
      </c>
      <c r="B190" s="131" t="s">
        <v>719</v>
      </c>
      <c r="C190" s="187" t="s">
        <v>768</v>
      </c>
      <c r="D190" s="188">
        <v>0</v>
      </c>
      <c r="E190" s="188">
        <v>0</v>
      </c>
      <c r="F190" s="188">
        <v>0</v>
      </c>
      <c r="G190" s="188">
        <v>0</v>
      </c>
      <c r="H190" s="188">
        <v>0</v>
      </c>
      <c r="I190" s="188">
        <v>0</v>
      </c>
      <c r="J190" s="188">
        <v>0</v>
      </c>
      <c r="K190" s="188">
        <v>0</v>
      </c>
      <c r="L190" s="188">
        <v>0</v>
      </c>
      <c r="M190" s="188">
        <v>0</v>
      </c>
      <c r="N190" s="28"/>
    </row>
    <row r="191" spans="1:14" ht="13.4" customHeight="1">
      <c r="A191" s="5" t="s">
        <v>182</v>
      </c>
      <c r="B191" s="131"/>
      <c r="C191" s="30" t="s">
        <v>175</v>
      </c>
      <c r="D191" s="183">
        <f t="shared" ref="D191:M191" si="114">D186+D187-D189-D190</f>
        <v>0</v>
      </c>
      <c r="E191" s="183">
        <f t="shared" si="114"/>
        <v>0</v>
      </c>
      <c r="F191" s="183">
        <f t="shared" si="114"/>
        <v>0</v>
      </c>
      <c r="G191" s="183">
        <f t="shared" si="114"/>
        <v>0</v>
      </c>
      <c r="H191" s="183">
        <f t="shared" si="114"/>
        <v>0</v>
      </c>
      <c r="I191" s="183">
        <f t="shared" si="114"/>
        <v>0</v>
      </c>
      <c r="J191" s="183">
        <f t="shared" si="114"/>
        <v>0</v>
      </c>
      <c r="K191" s="183">
        <f t="shared" si="114"/>
        <v>0</v>
      </c>
      <c r="L191" s="183">
        <f t="shared" si="114"/>
        <v>0</v>
      </c>
      <c r="M191" s="183">
        <f t="shared" si="114"/>
        <v>0</v>
      </c>
      <c r="N191" s="28"/>
    </row>
    <row r="192" spans="1:14" ht="13" hidden="1" customHeight="1">
      <c r="A192" s="5"/>
      <c r="B192" s="138"/>
      <c r="C192" s="5" t="s">
        <v>769</v>
      </c>
      <c r="D192" s="183" t="e">
        <f t="shared" ref="D192:M192" si="115">PPMT(D185/$B189,1,ROUND(($B187-(D$5-YEAR($B185))+MONTH($B185)/12)*$B189,0),D186)</f>
        <v>#NUM!</v>
      </c>
      <c r="E192" s="183" t="e">
        <f t="shared" si="115"/>
        <v>#NUM!</v>
      </c>
      <c r="F192" s="183" t="e">
        <f t="shared" si="115"/>
        <v>#NUM!</v>
      </c>
      <c r="G192" s="183" t="e">
        <f t="shared" si="115"/>
        <v>#NUM!</v>
      </c>
      <c r="H192" s="183" t="e">
        <f t="shared" si="115"/>
        <v>#NUM!</v>
      </c>
      <c r="I192" s="183" t="e">
        <f t="shared" si="115"/>
        <v>#NUM!</v>
      </c>
      <c r="J192" s="183" t="e">
        <f t="shared" si="115"/>
        <v>#NUM!</v>
      </c>
      <c r="K192" s="183" t="e">
        <f t="shared" si="115"/>
        <v>#NUM!</v>
      </c>
      <c r="L192" s="183" t="e">
        <f t="shared" si="115"/>
        <v>#NUM!</v>
      </c>
      <c r="M192" s="183" t="e">
        <f t="shared" si="115"/>
        <v>#NUM!</v>
      </c>
      <c r="N192" s="139"/>
    </row>
    <row r="193" spans="1:14" ht="13" hidden="1" customHeight="1">
      <c r="A193" s="5"/>
      <c r="B193" s="5"/>
      <c r="C193" s="5" t="s">
        <v>770</v>
      </c>
      <c r="D193" s="183">
        <f t="shared" ref="D193:M193" si="116">IF(YEAR($B185)+$B187&gt;D$5,D186/(YEAR($B185)+$B187-D$5+MONTH($B185)/12),D186)</f>
        <v>0</v>
      </c>
      <c r="E193" s="183">
        <f t="shared" si="116"/>
        <v>0</v>
      </c>
      <c r="F193" s="183">
        <f t="shared" si="116"/>
        <v>0</v>
      </c>
      <c r="G193" s="183">
        <f t="shared" si="116"/>
        <v>0</v>
      </c>
      <c r="H193" s="183">
        <f t="shared" si="116"/>
        <v>0</v>
      </c>
      <c r="I193" s="183">
        <f t="shared" si="116"/>
        <v>0</v>
      </c>
      <c r="J193" s="183">
        <f t="shared" si="116"/>
        <v>0</v>
      </c>
      <c r="K193" s="183">
        <f t="shared" si="116"/>
        <v>0</v>
      </c>
      <c r="L193" s="183">
        <f t="shared" si="116"/>
        <v>0</v>
      </c>
      <c r="M193" s="183">
        <f t="shared" si="116"/>
        <v>0</v>
      </c>
      <c r="N193" s="139"/>
    </row>
    <row r="194" spans="1:14" ht="13.4" customHeight="1">
      <c r="C194" s="5"/>
      <c r="N194" s="46"/>
    </row>
    <row r="195" spans="1:14" ht="13.4" customHeight="1">
      <c r="A195" s="30" t="s">
        <v>874</v>
      </c>
      <c r="B195" s="99"/>
      <c r="C195" t="s">
        <v>800</v>
      </c>
      <c r="D195" s="179" t="s">
        <v>801</v>
      </c>
      <c r="E195" s="1"/>
      <c r="N195" s="28"/>
    </row>
    <row r="196" spans="1:14" ht="13.4" customHeight="1">
      <c r="A196" s="26" t="s">
        <v>677</v>
      </c>
      <c r="B196" s="133">
        <v>29373</v>
      </c>
      <c r="C196" s="5" t="s">
        <v>639</v>
      </c>
      <c r="D196" s="180">
        <f>IF($D195="V",Input!G$68,IF(AND($B202=D$5,Input!G$63&gt;0),Input!G$63,$B199))</f>
        <v>0.05</v>
      </c>
      <c r="E196" s="180">
        <f>IF($D195="V",Input!H$68,IF(AND($B202=E$5,Input!H$63&gt;0),Input!H$63,D196))</f>
        <v>0.05</v>
      </c>
      <c r="F196" s="180">
        <f>IF($D195="V",Input!I$68,IF(AND($B202=F$5,Input!I$63&gt;0),Input!I$63,E196))</f>
        <v>0.05</v>
      </c>
      <c r="G196" s="180">
        <f>IF($D195="V",Input!J$68,IF(AND($B202=G$5,Input!J$63&gt;0),Input!J$63,F196))</f>
        <v>0.05</v>
      </c>
      <c r="H196" s="180">
        <f>IF($D195="V",Input!K$68,IF(AND($B202=H$5,Input!K$63&gt;0),Input!K$63,G196))</f>
        <v>0.05</v>
      </c>
      <c r="I196" s="180">
        <f>IF($D195="V",Input!L$68,IF(AND($B202=I$5,Input!L$63&gt;0),Input!L$63,H196))</f>
        <v>0.05</v>
      </c>
      <c r="J196" s="180">
        <f>IF($D195="V",Input!M$68,IF(AND($B202=J$5,Input!M$63&gt;0),Input!M$63,I196))</f>
        <v>0.05</v>
      </c>
      <c r="K196" s="180">
        <f>IF($D195="V",Input!N$68,IF(AND($B202=K$5,Input!N$63&gt;0),Input!N$63,J196))</f>
        <v>0.05</v>
      </c>
      <c r="L196" s="180">
        <f>IF($D195="V",Input!O$68,IF(AND($B202=L$5,Input!O$63&gt;0),Input!O$63,K196))</f>
        <v>0.05</v>
      </c>
      <c r="M196" s="180">
        <f>IF($D195="V",Input!P$68,IF(AND($B202=M$5,Input!P$63&gt;0),Input!P$63,L196))</f>
        <v>0.05</v>
      </c>
      <c r="N196" s="5"/>
    </row>
    <row r="197" spans="1:14" ht="13.4" customHeight="1">
      <c r="A197" s="5" t="s">
        <v>361</v>
      </c>
      <c r="B197" s="181">
        <v>0</v>
      </c>
      <c r="C197" s="27" t="s">
        <v>173</v>
      </c>
      <c r="D197" s="188">
        <v>0</v>
      </c>
      <c r="E197" s="183">
        <f t="shared" ref="E197:M197" si="117">D202</f>
        <v>0</v>
      </c>
      <c r="F197" s="183">
        <f t="shared" si="117"/>
        <v>0</v>
      </c>
      <c r="G197" s="183">
        <f t="shared" si="117"/>
        <v>0</v>
      </c>
      <c r="H197" s="183">
        <f t="shared" si="117"/>
        <v>0</v>
      </c>
      <c r="I197" s="183">
        <f t="shared" si="117"/>
        <v>0</v>
      </c>
      <c r="J197" s="183">
        <f t="shared" si="117"/>
        <v>0</v>
      </c>
      <c r="K197" s="183">
        <f t="shared" si="117"/>
        <v>0</v>
      </c>
      <c r="L197" s="183">
        <f t="shared" si="117"/>
        <v>0</v>
      </c>
      <c r="M197" s="183">
        <f t="shared" si="117"/>
        <v>0</v>
      </c>
      <c r="N197" s="28"/>
    </row>
    <row r="198" spans="1:14" ht="13.4" customHeight="1">
      <c r="A198" s="26" t="s">
        <v>170</v>
      </c>
      <c r="B198" s="131">
        <v>35</v>
      </c>
      <c r="C198" s="184" t="s">
        <v>169</v>
      </c>
      <c r="D198" s="183">
        <f t="shared" ref="D198:M198" si="118">D200-D199</f>
        <v>0</v>
      </c>
      <c r="E198" s="183">
        <f t="shared" si="118"/>
        <v>0</v>
      </c>
      <c r="F198" s="183">
        <f t="shared" si="118"/>
        <v>0</v>
      </c>
      <c r="G198" s="183">
        <f t="shared" si="118"/>
        <v>0</v>
      </c>
      <c r="H198" s="183">
        <f t="shared" si="118"/>
        <v>0</v>
      </c>
      <c r="I198" s="183">
        <f t="shared" si="118"/>
        <v>0</v>
      </c>
      <c r="J198" s="183">
        <f t="shared" si="118"/>
        <v>0</v>
      </c>
      <c r="K198" s="183">
        <f t="shared" si="118"/>
        <v>0</v>
      </c>
      <c r="L198" s="183">
        <f t="shared" si="118"/>
        <v>0</v>
      </c>
      <c r="M198" s="183">
        <f t="shared" si="118"/>
        <v>0</v>
      </c>
      <c r="N198" s="28"/>
    </row>
    <row r="199" spans="1:14" ht="13.4" customHeight="1">
      <c r="A199" s="5" t="s">
        <v>172</v>
      </c>
      <c r="B199" s="185">
        <f>B188</f>
        <v>0.05</v>
      </c>
      <c r="C199" s="5" t="s">
        <v>174</v>
      </c>
      <c r="D199" s="183">
        <f t="shared" ref="D199:M199" si="119">IF(AND($B201="Y",YEAR($B196)+$B198&gt;D$5),D204,IF((YEAR($B196)+$B198)&gt;D$5,FV(D196/$B200,$B200,D203),D197))</f>
        <v>0</v>
      </c>
      <c r="E199" s="183">
        <f t="shared" si="119"/>
        <v>0</v>
      </c>
      <c r="F199" s="183">
        <f t="shared" si="119"/>
        <v>0</v>
      </c>
      <c r="G199" s="183">
        <f t="shared" si="119"/>
        <v>0</v>
      </c>
      <c r="H199" s="183">
        <f t="shared" si="119"/>
        <v>0</v>
      </c>
      <c r="I199" s="183">
        <f t="shared" si="119"/>
        <v>0</v>
      </c>
      <c r="J199" s="183">
        <f t="shared" si="119"/>
        <v>0</v>
      </c>
      <c r="K199" s="183">
        <f t="shared" si="119"/>
        <v>0</v>
      </c>
      <c r="L199" s="183">
        <f t="shared" si="119"/>
        <v>0</v>
      </c>
      <c r="M199" s="183">
        <f t="shared" si="119"/>
        <v>0</v>
      </c>
      <c r="N199" s="28"/>
    </row>
    <row r="200" spans="1:14" ht="13.4" customHeight="1">
      <c r="A200" s="5" t="s">
        <v>171</v>
      </c>
      <c r="B200" s="131">
        <v>12</v>
      </c>
      <c r="C200" s="186" t="s">
        <v>640</v>
      </c>
      <c r="D200" s="183">
        <f t="shared" ref="D200:M200" si="120">IF(AND($B201="Y",YEAR($B196)+$B198&gt;D$5),D204+D196*(D197-D204*0.5),IF((YEAR($B196)+$B198)&gt;D$5,(D197*D196/$B200-D203)*$B200,(D197*(1+D196*MONTH($B196)/12))))</f>
        <v>0</v>
      </c>
      <c r="E200" s="183">
        <f t="shared" si="120"/>
        <v>0</v>
      </c>
      <c r="F200" s="183">
        <f t="shared" si="120"/>
        <v>0</v>
      </c>
      <c r="G200" s="183">
        <f t="shared" si="120"/>
        <v>0</v>
      </c>
      <c r="H200" s="183">
        <f t="shared" si="120"/>
        <v>0</v>
      </c>
      <c r="I200" s="183">
        <f t="shared" si="120"/>
        <v>0</v>
      </c>
      <c r="J200" s="183">
        <f t="shared" si="120"/>
        <v>0</v>
      </c>
      <c r="K200" s="183">
        <f t="shared" si="120"/>
        <v>0</v>
      </c>
      <c r="L200" s="183">
        <f t="shared" si="120"/>
        <v>0</v>
      </c>
      <c r="M200" s="183">
        <f t="shared" si="120"/>
        <v>0</v>
      </c>
      <c r="N200" s="28"/>
    </row>
    <row r="201" spans="1:14" ht="13.4" customHeight="1">
      <c r="A201" s="5" t="s">
        <v>767</v>
      </c>
      <c r="B201" s="131" t="s">
        <v>719</v>
      </c>
      <c r="C201" s="187" t="s">
        <v>768</v>
      </c>
      <c r="D201" s="188">
        <v>0</v>
      </c>
      <c r="E201" s="188">
        <v>0</v>
      </c>
      <c r="F201" s="188">
        <v>0</v>
      </c>
      <c r="G201" s="188">
        <v>0</v>
      </c>
      <c r="H201" s="188">
        <v>0</v>
      </c>
      <c r="I201" s="188">
        <v>0</v>
      </c>
      <c r="J201" s="188">
        <v>0</v>
      </c>
      <c r="K201" s="188">
        <v>0</v>
      </c>
      <c r="L201" s="188">
        <v>0</v>
      </c>
      <c r="M201" s="188">
        <v>0</v>
      </c>
      <c r="N201" s="28"/>
    </row>
    <row r="202" spans="1:14" ht="13.4" customHeight="1">
      <c r="A202" s="5" t="s">
        <v>182</v>
      </c>
      <c r="B202" s="131"/>
      <c r="C202" s="30" t="s">
        <v>175</v>
      </c>
      <c r="D202" s="183">
        <f t="shared" ref="D202:M202" si="121">D197+D198-D200-D201</f>
        <v>0</v>
      </c>
      <c r="E202" s="183">
        <f t="shared" si="121"/>
        <v>0</v>
      </c>
      <c r="F202" s="183">
        <f t="shared" si="121"/>
        <v>0</v>
      </c>
      <c r="G202" s="183">
        <f t="shared" si="121"/>
        <v>0</v>
      </c>
      <c r="H202" s="183">
        <f t="shared" si="121"/>
        <v>0</v>
      </c>
      <c r="I202" s="183">
        <f t="shared" si="121"/>
        <v>0</v>
      </c>
      <c r="J202" s="183">
        <f t="shared" si="121"/>
        <v>0</v>
      </c>
      <c r="K202" s="183">
        <f t="shared" si="121"/>
        <v>0</v>
      </c>
      <c r="L202" s="183">
        <f t="shared" si="121"/>
        <v>0</v>
      </c>
      <c r="M202" s="183">
        <f t="shared" si="121"/>
        <v>0</v>
      </c>
      <c r="N202" s="28"/>
    </row>
    <row r="203" spans="1:14" ht="13" hidden="1" customHeight="1">
      <c r="A203" s="5"/>
      <c r="B203" s="138"/>
      <c r="C203" s="5" t="s">
        <v>769</v>
      </c>
      <c r="D203" s="183" t="e">
        <f t="shared" ref="D203:M203" si="122">PPMT(D196/$B200,1,ROUND(($B198-(D$5-YEAR($B196))+MONTH($B196)/12)*$B200,0),D197)</f>
        <v>#NUM!</v>
      </c>
      <c r="E203" s="183" t="e">
        <f t="shared" si="122"/>
        <v>#NUM!</v>
      </c>
      <c r="F203" s="183" t="e">
        <f t="shared" si="122"/>
        <v>#NUM!</v>
      </c>
      <c r="G203" s="183" t="e">
        <f t="shared" si="122"/>
        <v>#NUM!</v>
      </c>
      <c r="H203" s="183" t="e">
        <f t="shared" si="122"/>
        <v>#NUM!</v>
      </c>
      <c r="I203" s="183" t="e">
        <f t="shared" si="122"/>
        <v>#NUM!</v>
      </c>
      <c r="J203" s="183" t="e">
        <f t="shared" si="122"/>
        <v>#NUM!</v>
      </c>
      <c r="K203" s="183" t="e">
        <f t="shared" si="122"/>
        <v>#NUM!</v>
      </c>
      <c r="L203" s="183" t="e">
        <f t="shared" si="122"/>
        <v>#NUM!</v>
      </c>
      <c r="M203" s="183" t="e">
        <f t="shared" si="122"/>
        <v>#NUM!</v>
      </c>
      <c r="N203" s="139"/>
    </row>
    <row r="204" spans="1:14" ht="13" hidden="1" customHeight="1">
      <c r="A204" s="5"/>
      <c r="B204" s="5"/>
      <c r="C204" s="5" t="s">
        <v>770</v>
      </c>
      <c r="D204" s="183">
        <f t="shared" ref="D204:M204" si="123">IF(YEAR($B196)+$B198&gt;D$5,D197/(YEAR($B196)+$B198-D$5+MONTH($B196)/12),D197)</f>
        <v>0</v>
      </c>
      <c r="E204" s="183">
        <f t="shared" si="123"/>
        <v>0</v>
      </c>
      <c r="F204" s="183">
        <f t="shared" si="123"/>
        <v>0</v>
      </c>
      <c r="G204" s="183">
        <f t="shared" si="123"/>
        <v>0</v>
      </c>
      <c r="H204" s="183">
        <f t="shared" si="123"/>
        <v>0</v>
      </c>
      <c r="I204" s="183">
        <f t="shared" si="123"/>
        <v>0</v>
      </c>
      <c r="J204" s="183">
        <f t="shared" si="123"/>
        <v>0</v>
      </c>
      <c r="K204" s="183">
        <f t="shared" si="123"/>
        <v>0</v>
      </c>
      <c r="L204" s="183">
        <f t="shared" si="123"/>
        <v>0</v>
      </c>
      <c r="M204" s="183">
        <f t="shared" si="123"/>
        <v>0</v>
      </c>
      <c r="N204" s="139"/>
    </row>
    <row r="205" spans="1:14" ht="13.4" customHeight="1">
      <c r="A205" s="5"/>
      <c r="B205" s="5"/>
      <c r="C205" s="5"/>
      <c r="D205" s="183"/>
      <c r="E205" s="183"/>
      <c r="F205" s="183"/>
      <c r="G205" s="183"/>
      <c r="H205" s="183"/>
      <c r="I205" s="183"/>
      <c r="J205" s="183"/>
      <c r="K205" s="183"/>
      <c r="L205" s="183"/>
      <c r="M205" s="183"/>
      <c r="N205" s="46"/>
    </row>
    <row r="206" spans="1:14" ht="13.4" customHeight="1">
      <c r="A206" s="30" t="s">
        <v>875</v>
      </c>
      <c r="B206" s="99"/>
      <c r="C206" t="s">
        <v>800</v>
      </c>
      <c r="D206" s="179" t="s">
        <v>801</v>
      </c>
      <c r="E206" s="1"/>
      <c r="N206" s="28"/>
    </row>
    <row r="207" spans="1:14" ht="13.4" customHeight="1">
      <c r="A207" s="26" t="s">
        <v>677</v>
      </c>
      <c r="B207" s="133">
        <v>29373</v>
      </c>
      <c r="C207" s="5" t="s">
        <v>639</v>
      </c>
      <c r="D207" s="180">
        <f>IF($D206="V",Input!G$68,IF(AND($B213=D$5,Input!G$63&gt;0),Input!G$63,$B210))</f>
        <v>0.05</v>
      </c>
      <c r="E207" s="180">
        <f>IF($D206="V",Input!H$68,IF(AND($B213=E$5,Input!H$63&gt;0),Input!H$63,D207))</f>
        <v>0.05</v>
      </c>
      <c r="F207" s="180">
        <f>IF($D206="V",Input!I$68,IF(AND($B213=F$5,Input!I$63&gt;0),Input!I$63,E207))</f>
        <v>0.05</v>
      </c>
      <c r="G207" s="180">
        <f>IF($D206="V",Input!J$68,IF(AND($B213=G$5,Input!J$63&gt;0),Input!J$63,F207))</f>
        <v>0.05</v>
      </c>
      <c r="H207" s="180">
        <f>IF($D206="V",Input!K$68,IF(AND($B213=H$5,Input!K$63&gt;0),Input!K$63,G207))</f>
        <v>0.05</v>
      </c>
      <c r="I207" s="180">
        <f>IF($D206="V",Input!L$68,IF(AND($B213=I$5,Input!L$63&gt;0),Input!L$63,H207))</f>
        <v>0.05</v>
      </c>
      <c r="J207" s="180">
        <f>IF($D206="V",Input!M$68,IF(AND($B213=J$5,Input!M$63&gt;0),Input!M$63,I207))</f>
        <v>0.05</v>
      </c>
      <c r="K207" s="180">
        <f>IF($D206="V",Input!N$68,IF(AND($B213=K$5,Input!N$63&gt;0),Input!N$63,J207))</f>
        <v>0.05</v>
      </c>
      <c r="L207" s="180">
        <f>IF($D206="V",Input!O$68,IF(AND($B213=L$5,Input!O$63&gt;0),Input!O$63,K207))</f>
        <v>0.05</v>
      </c>
      <c r="M207" s="180">
        <f>IF($D206="V",Input!P$68,IF(AND($B213=M$5,Input!P$63&gt;0),Input!P$63,L207))</f>
        <v>0.05</v>
      </c>
      <c r="N207" s="5"/>
    </row>
    <row r="208" spans="1:14" ht="13.4" customHeight="1">
      <c r="A208" s="5" t="s">
        <v>361</v>
      </c>
      <c r="B208" s="181">
        <v>0</v>
      </c>
      <c r="C208" s="27" t="s">
        <v>173</v>
      </c>
      <c r="D208" s="188">
        <v>0</v>
      </c>
      <c r="E208" s="183">
        <f t="shared" ref="E208:M208" si="124">D213</f>
        <v>0</v>
      </c>
      <c r="F208" s="183">
        <f t="shared" si="124"/>
        <v>0</v>
      </c>
      <c r="G208" s="183">
        <f t="shared" si="124"/>
        <v>0</v>
      </c>
      <c r="H208" s="183">
        <f t="shared" si="124"/>
        <v>0</v>
      </c>
      <c r="I208" s="183">
        <f t="shared" si="124"/>
        <v>0</v>
      </c>
      <c r="J208" s="183">
        <f t="shared" si="124"/>
        <v>0</v>
      </c>
      <c r="K208" s="183">
        <f t="shared" si="124"/>
        <v>0</v>
      </c>
      <c r="L208" s="183">
        <f t="shared" si="124"/>
        <v>0</v>
      </c>
      <c r="M208" s="183">
        <f t="shared" si="124"/>
        <v>0</v>
      </c>
      <c r="N208" s="28"/>
    </row>
    <row r="209" spans="1:14" ht="13.4" customHeight="1">
      <c r="A209" s="26" t="s">
        <v>170</v>
      </c>
      <c r="B209" s="131">
        <v>35</v>
      </c>
      <c r="C209" s="184" t="s">
        <v>169</v>
      </c>
      <c r="D209" s="183">
        <f t="shared" ref="D209:M209" si="125">D211-D210</f>
        <v>0</v>
      </c>
      <c r="E209" s="183">
        <f t="shared" si="125"/>
        <v>0</v>
      </c>
      <c r="F209" s="183">
        <f t="shared" si="125"/>
        <v>0</v>
      </c>
      <c r="G209" s="183">
        <f t="shared" si="125"/>
        <v>0</v>
      </c>
      <c r="H209" s="183">
        <f t="shared" si="125"/>
        <v>0</v>
      </c>
      <c r="I209" s="183">
        <f t="shared" si="125"/>
        <v>0</v>
      </c>
      <c r="J209" s="183">
        <f t="shared" si="125"/>
        <v>0</v>
      </c>
      <c r="K209" s="183">
        <f t="shared" si="125"/>
        <v>0</v>
      </c>
      <c r="L209" s="183">
        <f t="shared" si="125"/>
        <v>0</v>
      </c>
      <c r="M209" s="183">
        <f t="shared" si="125"/>
        <v>0</v>
      </c>
      <c r="N209" s="28"/>
    </row>
    <row r="210" spans="1:14" ht="13.4" customHeight="1">
      <c r="A210" s="5" t="s">
        <v>172</v>
      </c>
      <c r="B210" s="185">
        <f>B199</f>
        <v>0.05</v>
      </c>
      <c r="C210" s="5" t="s">
        <v>174</v>
      </c>
      <c r="D210" s="183">
        <f t="shared" ref="D210:M210" si="126">IF(AND($B212="Y",YEAR($B207)+$B209&gt;D$5),D215,IF((YEAR($B207)+$B209)&gt;D$5,FV(D207/$B211,$B211,D214),D208))</f>
        <v>0</v>
      </c>
      <c r="E210" s="183">
        <f t="shared" si="126"/>
        <v>0</v>
      </c>
      <c r="F210" s="183">
        <f t="shared" si="126"/>
        <v>0</v>
      </c>
      <c r="G210" s="183">
        <f t="shared" si="126"/>
        <v>0</v>
      </c>
      <c r="H210" s="183">
        <f t="shared" si="126"/>
        <v>0</v>
      </c>
      <c r="I210" s="183">
        <f t="shared" si="126"/>
        <v>0</v>
      </c>
      <c r="J210" s="183">
        <f t="shared" si="126"/>
        <v>0</v>
      </c>
      <c r="K210" s="183">
        <f t="shared" si="126"/>
        <v>0</v>
      </c>
      <c r="L210" s="183">
        <f t="shared" si="126"/>
        <v>0</v>
      </c>
      <c r="M210" s="183">
        <f t="shared" si="126"/>
        <v>0</v>
      </c>
      <c r="N210" s="28"/>
    </row>
    <row r="211" spans="1:14" ht="13.4" customHeight="1">
      <c r="A211" s="5" t="s">
        <v>171</v>
      </c>
      <c r="B211" s="131">
        <v>12</v>
      </c>
      <c r="C211" s="186" t="s">
        <v>640</v>
      </c>
      <c r="D211" s="183">
        <f t="shared" ref="D211:M211" si="127">IF(AND($B212="Y",YEAR($B207)+$B209&gt;D$5),D215+D207*(D208-D215*0.5),IF((YEAR($B207)+$B209)&gt;D$5,(D208*D207/$B211-D214)*$B211,(D208*(1+D207*MONTH($B207)/12))))</f>
        <v>0</v>
      </c>
      <c r="E211" s="183">
        <f t="shared" si="127"/>
        <v>0</v>
      </c>
      <c r="F211" s="183">
        <f t="shared" si="127"/>
        <v>0</v>
      </c>
      <c r="G211" s="183">
        <f t="shared" si="127"/>
        <v>0</v>
      </c>
      <c r="H211" s="183">
        <f t="shared" si="127"/>
        <v>0</v>
      </c>
      <c r="I211" s="183">
        <f t="shared" si="127"/>
        <v>0</v>
      </c>
      <c r="J211" s="183">
        <f t="shared" si="127"/>
        <v>0</v>
      </c>
      <c r="K211" s="183">
        <f t="shared" si="127"/>
        <v>0</v>
      </c>
      <c r="L211" s="183">
        <f t="shared" si="127"/>
        <v>0</v>
      </c>
      <c r="M211" s="183">
        <f t="shared" si="127"/>
        <v>0</v>
      </c>
      <c r="N211" s="28"/>
    </row>
    <row r="212" spans="1:14" ht="13.4" customHeight="1">
      <c r="A212" s="5" t="s">
        <v>767</v>
      </c>
      <c r="B212" s="131" t="s">
        <v>719</v>
      </c>
      <c r="C212" s="187" t="s">
        <v>768</v>
      </c>
      <c r="D212" s="188">
        <v>0</v>
      </c>
      <c r="E212" s="188">
        <v>0</v>
      </c>
      <c r="F212" s="188">
        <v>0</v>
      </c>
      <c r="G212" s="188">
        <v>0</v>
      </c>
      <c r="H212" s="188">
        <v>0</v>
      </c>
      <c r="I212" s="188">
        <v>0</v>
      </c>
      <c r="J212" s="188">
        <v>0</v>
      </c>
      <c r="K212" s="188">
        <v>0</v>
      </c>
      <c r="L212" s="188">
        <v>0</v>
      </c>
      <c r="M212" s="188">
        <v>0</v>
      </c>
      <c r="N212" s="28"/>
    </row>
    <row r="213" spans="1:14" ht="13.4" customHeight="1">
      <c r="A213" s="5" t="s">
        <v>182</v>
      </c>
      <c r="B213" s="131"/>
      <c r="C213" s="30" t="s">
        <v>175</v>
      </c>
      <c r="D213" s="183">
        <f t="shared" ref="D213:M213" si="128">D208+D209-D211-D212</f>
        <v>0</v>
      </c>
      <c r="E213" s="183">
        <f t="shared" si="128"/>
        <v>0</v>
      </c>
      <c r="F213" s="183">
        <f t="shared" si="128"/>
        <v>0</v>
      </c>
      <c r="G213" s="183">
        <f t="shared" si="128"/>
        <v>0</v>
      </c>
      <c r="H213" s="183">
        <f t="shared" si="128"/>
        <v>0</v>
      </c>
      <c r="I213" s="183">
        <f t="shared" si="128"/>
        <v>0</v>
      </c>
      <c r="J213" s="183">
        <f t="shared" si="128"/>
        <v>0</v>
      </c>
      <c r="K213" s="183">
        <f t="shared" si="128"/>
        <v>0</v>
      </c>
      <c r="L213" s="183">
        <f t="shared" si="128"/>
        <v>0</v>
      </c>
      <c r="M213" s="183">
        <f t="shared" si="128"/>
        <v>0</v>
      </c>
      <c r="N213" s="28"/>
    </row>
    <row r="214" spans="1:14" ht="13" hidden="1" customHeight="1">
      <c r="A214" s="5"/>
      <c r="B214" s="138"/>
      <c r="C214" s="5" t="s">
        <v>769</v>
      </c>
      <c r="D214" s="183" t="e">
        <f t="shared" ref="D214:M214" si="129">PPMT(D207/$B211,1,ROUND(($B209-(D$5-YEAR($B207))+MONTH($B207)/12)*$B211,0),D208)</f>
        <v>#NUM!</v>
      </c>
      <c r="E214" s="183" t="e">
        <f t="shared" si="129"/>
        <v>#NUM!</v>
      </c>
      <c r="F214" s="183" t="e">
        <f t="shared" si="129"/>
        <v>#NUM!</v>
      </c>
      <c r="G214" s="183" t="e">
        <f t="shared" si="129"/>
        <v>#NUM!</v>
      </c>
      <c r="H214" s="183" t="e">
        <f t="shared" si="129"/>
        <v>#NUM!</v>
      </c>
      <c r="I214" s="183" t="e">
        <f t="shared" si="129"/>
        <v>#NUM!</v>
      </c>
      <c r="J214" s="183" t="e">
        <f t="shared" si="129"/>
        <v>#NUM!</v>
      </c>
      <c r="K214" s="183" t="e">
        <f t="shared" si="129"/>
        <v>#NUM!</v>
      </c>
      <c r="L214" s="183" t="e">
        <f t="shared" si="129"/>
        <v>#NUM!</v>
      </c>
      <c r="M214" s="183" t="e">
        <f t="shared" si="129"/>
        <v>#NUM!</v>
      </c>
      <c r="N214" s="139"/>
    </row>
    <row r="215" spans="1:14" ht="13" hidden="1" customHeight="1">
      <c r="A215" s="5"/>
      <c r="B215" s="5"/>
      <c r="C215" s="5" t="s">
        <v>770</v>
      </c>
      <c r="D215" s="183">
        <f t="shared" ref="D215:M215" si="130">IF(YEAR($B207)+$B209&gt;D$5,D208/(YEAR($B207)+$B209-D$5+MONTH($B207)/12),D208)</f>
        <v>0</v>
      </c>
      <c r="E215" s="183">
        <f t="shared" si="130"/>
        <v>0</v>
      </c>
      <c r="F215" s="183">
        <f t="shared" si="130"/>
        <v>0</v>
      </c>
      <c r="G215" s="183">
        <f t="shared" si="130"/>
        <v>0</v>
      </c>
      <c r="H215" s="183">
        <f t="shared" si="130"/>
        <v>0</v>
      </c>
      <c r="I215" s="183">
        <f t="shared" si="130"/>
        <v>0</v>
      </c>
      <c r="J215" s="183">
        <f t="shared" si="130"/>
        <v>0</v>
      </c>
      <c r="K215" s="183">
        <f t="shared" si="130"/>
        <v>0</v>
      </c>
      <c r="L215" s="183">
        <f t="shared" si="130"/>
        <v>0</v>
      </c>
      <c r="M215" s="183">
        <f t="shared" si="130"/>
        <v>0</v>
      </c>
      <c r="N215" s="139"/>
    </row>
    <row r="216" spans="1:14" ht="13.4" customHeight="1">
      <c r="A216" s="5"/>
      <c r="B216" s="5"/>
      <c r="C216" s="5"/>
      <c r="D216" s="183"/>
      <c r="E216" s="183"/>
      <c r="F216" s="183"/>
      <c r="G216" s="183"/>
      <c r="H216" s="183"/>
      <c r="I216" s="183"/>
      <c r="J216" s="183"/>
      <c r="K216" s="183"/>
      <c r="L216" s="183"/>
      <c r="M216" s="183"/>
      <c r="N216" s="46"/>
    </row>
    <row r="217" spans="1:14" ht="13.4" customHeight="1">
      <c r="A217" s="30" t="s">
        <v>876</v>
      </c>
      <c r="B217" s="99"/>
      <c r="C217" t="s">
        <v>800</v>
      </c>
      <c r="D217" s="179" t="s">
        <v>801</v>
      </c>
      <c r="E217" s="1"/>
    </row>
    <row r="218" spans="1:14" ht="13.4" customHeight="1">
      <c r="A218" s="26" t="s">
        <v>677</v>
      </c>
      <c r="B218" s="133">
        <v>29373</v>
      </c>
      <c r="C218" s="5" t="s">
        <v>639</v>
      </c>
      <c r="D218" s="180">
        <f>IF($D217="V",Input!G$68,IF(AND($B224=D$5,Input!G$63&gt;0),Input!G$63,$B221))</f>
        <v>0.05</v>
      </c>
      <c r="E218" s="180">
        <f>IF($D217="V",Input!H$68,IF(AND($B224=E$5,Input!H$63&gt;0),Input!H$63,D218))</f>
        <v>0.05</v>
      </c>
      <c r="F218" s="180">
        <f>IF($D217="V",Input!I$68,IF(AND($B224=F$5,Input!I$63&gt;0),Input!I$63,E218))</f>
        <v>0.05</v>
      </c>
      <c r="G218" s="180">
        <f>IF($D217="V",Input!J$68,IF(AND($B224=G$5,Input!J$63&gt;0),Input!J$63,F218))</f>
        <v>0.05</v>
      </c>
      <c r="H218" s="180">
        <f>IF($D217="V",Input!K$68,IF(AND($B224=H$5,Input!K$63&gt;0),Input!K$63,G218))</f>
        <v>0.05</v>
      </c>
      <c r="I218" s="180">
        <f>IF($D217="V",Input!L$68,IF(AND($B224=I$5,Input!L$63&gt;0),Input!L$63,H218))</f>
        <v>0.05</v>
      </c>
      <c r="J218" s="180">
        <f>IF($D217="V",Input!M$68,IF(AND($B224=J$5,Input!M$63&gt;0),Input!M$63,I218))</f>
        <v>0.05</v>
      </c>
      <c r="K218" s="180">
        <f>IF($D217="V",Input!N$68,IF(AND($B224=K$5,Input!N$63&gt;0),Input!N$63,J218))</f>
        <v>0.05</v>
      </c>
      <c r="L218" s="180">
        <f>IF($D217="V",Input!O$68,IF(AND($B224=L$5,Input!O$63&gt;0),Input!O$63,K218))</f>
        <v>0.05</v>
      </c>
      <c r="M218" s="180">
        <f>IF($D217="V",Input!P$68,IF(AND($B224=M$5,Input!P$63&gt;0),Input!P$63,L218))</f>
        <v>0.05</v>
      </c>
      <c r="N218" s="5"/>
    </row>
    <row r="219" spans="1:14" ht="13.4" customHeight="1">
      <c r="A219" s="5" t="s">
        <v>361</v>
      </c>
      <c r="B219" s="181">
        <v>0</v>
      </c>
      <c r="C219" s="27" t="s">
        <v>173</v>
      </c>
      <c r="D219" s="188">
        <v>0</v>
      </c>
      <c r="E219" s="183">
        <f t="shared" ref="E219:M219" si="131">D224</f>
        <v>0</v>
      </c>
      <c r="F219" s="183">
        <f t="shared" si="131"/>
        <v>0</v>
      </c>
      <c r="G219" s="183">
        <f t="shared" si="131"/>
        <v>0</v>
      </c>
      <c r="H219" s="183">
        <f t="shared" si="131"/>
        <v>0</v>
      </c>
      <c r="I219" s="183">
        <f t="shared" si="131"/>
        <v>0</v>
      </c>
      <c r="J219" s="183">
        <f t="shared" si="131"/>
        <v>0</v>
      </c>
      <c r="K219" s="183">
        <f t="shared" si="131"/>
        <v>0</v>
      </c>
      <c r="L219" s="183">
        <f t="shared" si="131"/>
        <v>0</v>
      </c>
      <c r="M219" s="183">
        <f t="shared" si="131"/>
        <v>0</v>
      </c>
      <c r="N219" s="28"/>
    </row>
    <row r="220" spans="1:14" ht="13.4" customHeight="1">
      <c r="A220" s="26" t="s">
        <v>170</v>
      </c>
      <c r="B220" s="131">
        <v>35</v>
      </c>
      <c r="C220" s="184" t="s">
        <v>169</v>
      </c>
      <c r="D220" s="183">
        <f t="shared" ref="D220:M220" si="132">D222-D221</f>
        <v>0</v>
      </c>
      <c r="E220" s="183">
        <f t="shared" si="132"/>
        <v>0</v>
      </c>
      <c r="F220" s="183">
        <f t="shared" si="132"/>
        <v>0</v>
      </c>
      <c r="G220" s="183">
        <f t="shared" si="132"/>
        <v>0</v>
      </c>
      <c r="H220" s="183">
        <f t="shared" si="132"/>
        <v>0</v>
      </c>
      <c r="I220" s="183">
        <f t="shared" si="132"/>
        <v>0</v>
      </c>
      <c r="J220" s="183">
        <f t="shared" si="132"/>
        <v>0</v>
      </c>
      <c r="K220" s="183">
        <f t="shared" si="132"/>
        <v>0</v>
      </c>
      <c r="L220" s="183">
        <f t="shared" si="132"/>
        <v>0</v>
      </c>
      <c r="M220" s="183">
        <f t="shared" si="132"/>
        <v>0</v>
      </c>
      <c r="N220" s="28"/>
    </row>
    <row r="221" spans="1:14" ht="13.4" customHeight="1">
      <c r="A221" s="5" t="s">
        <v>172</v>
      </c>
      <c r="B221" s="185">
        <f>B210</f>
        <v>0.05</v>
      </c>
      <c r="C221" s="5" t="s">
        <v>174</v>
      </c>
      <c r="D221" s="183">
        <f t="shared" ref="D221:M221" si="133">IF(AND($B223="Y",YEAR($B218)+$B220&gt;D$5),D226,IF((YEAR($B218)+$B220)&gt;D$5,FV(D218/$B222,$B222,D225),D219))</f>
        <v>0</v>
      </c>
      <c r="E221" s="183">
        <f t="shared" si="133"/>
        <v>0</v>
      </c>
      <c r="F221" s="183">
        <f t="shared" si="133"/>
        <v>0</v>
      </c>
      <c r="G221" s="183">
        <f t="shared" si="133"/>
        <v>0</v>
      </c>
      <c r="H221" s="183">
        <f t="shared" si="133"/>
        <v>0</v>
      </c>
      <c r="I221" s="183">
        <f t="shared" si="133"/>
        <v>0</v>
      </c>
      <c r="J221" s="183">
        <f t="shared" si="133"/>
        <v>0</v>
      </c>
      <c r="K221" s="183">
        <f t="shared" si="133"/>
        <v>0</v>
      </c>
      <c r="L221" s="183">
        <f t="shared" si="133"/>
        <v>0</v>
      </c>
      <c r="M221" s="183">
        <f t="shared" si="133"/>
        <v>0</v>
      </c>
      <c r="N221" s="28"/>
    </row>
    <row r="222" spans="1:14" ht="13.4" customHeight="1">
      <c r="A222" s="5" t="s">
        <v>171</v>
      </c>
      <c r="B222" s="131">
        <v>12</v>
      </c>
      <c r="C222" s="186" t="s">
        <v>640</v>
      </c>
      <c r="D222" s="183">
        <f t="shared" ref="D222:M222" si="134">IF(AND($B223="Y",YEAR($B218)+$B220&gt;D$5),D226+D218*(D219-D226*0.5),IF((YEAR($B218)+$B220)&gt;D$5,(D219*D218/$B222-D225)*$B222,(D219*(1+D218*MONTH($B218)/12))))</f>
        <v>0</v>
      </c>
      <c r="E222" s="183">
        <f t="shared" si="134"/>
        <v>0</v>
      </c>
      <c r="F222" s="183">
        <f t="shared" si="134"/>
        <v>0</v>
      </c>
      <c r="G222" s="183">
        <f t="shared" si="134"/>
        <v>0</v>
      </c>
      <c r="H222" s="183">
        <f t="shared" si="134"/>
        <v>0</v>
      </c>
      <c r="I222" s="183">
        <f t="shared" si="134"/>
        <v>0</v>
      </c>
      <c r="J222" s="183">
        <f t="shared" si="134"/>
        <v>0</v>
      </c>
      <c r="K222" s="183">
        <f t="shared" si="134"/>
        <v>0</v>
      </c>
      <c r="L222" s="183">
        <f t="shared" si="134"/>
        <v>0</v>
      </c>
      <c r="M222" s="183">
        <f t="shared" si="134"/>
        <v>0</v>
      </c>
      <c r="N222" s="28"/>
    </row>
    <row r="223" spans="1:14" ht="13.4" customHeight="1">
      <c r="A223" s="5" t="s">
        <v>767</v>
      </c>
      <c r="B223" s="131" t="s">
        <v>719</v>
      </c>
      <c r="C223" s="187" t="s">
        <v>768</v>
      </c>
      <c r="D223" s="188">
        <v>0</v>
      </c>
      <c r="E223" s="188">
        <v>0</v>
      </c>
      <c r="F223" s="188">
        <v>0</v>
      </c>
      <c r="G223" s="188">
        <v>0</v>
      </c>
      <c r="H223" s="188">
        <v>0</v>
      </c>
      <c r="I223" s="188">
        <v>0</v>
      </c>
      <c r="J223" s="188">
        <v>0</v>
      </c>
      <c r="K223" s="188">
        <v>0</v>
      </c>
      <c r="L223" s="188">
        <v>0</v>
      </c>
      <c r="M223" s="188">
        <v>0</v>
      </c>
      <c r="N223" s="28"/>
    </row>
    <row r="224" spans="1:14" ht="13.4" customHeight="1">
      <c r="A224" s="5" t="s">
        <v>182</v>
      </c>
      <c r="B224" s="131"/>
      <c r="C224" s="30" t="s">
        <v>175</v>
      </c>
      <c r="D224" s="183">
        <f t="shared" ref="D224:M224" si="135">D219+D220-D222-D223</f>
        <v>0</v>
      </c>
      <c r="E224" s="183">
        <f t="shared" si="135"/>
        <v>0</v>
      </c>
      <c r="F224" s="183">
        <f t="shared" si="135"/>
        <v>0</v>
      </c>
      <c r="G224" s="183">
        <f t="shared" si="135"/>
        <v>0</v>
      </c>
      <c r="H224" s="183">
        <f t="shared" si="135"/>
        <v>0</v>
      </c>
      <c r="I224" s="183">
        <f t="shared" si="135"/>
        <v>0</v>
      </c>
      <c r="J224" s="183">
        <f t="shared" si="135"/>
        <v>0</v>
      </c>
      <c r="K224" s="183">
        <f t="shared" si="135"/>
        <v>0</v>
      </c>
      <c r="L224" s="183">
        <f t="shared" si="135"/>
        <v>0</v>
      </c>
      <c r="M224" s="183">
        <f t="shared" si="135"/>
        <v>0</v>
      </c>
      <c r="N224" s="28"/>
    </row>
    <row r="225" spans="1:14" ht="13" hidden="1" customHeight="1">
      <c r="A225" s="5"/>
      <c r="B225" s="138"/>
      <c r="C225" s="5" t="s">
        <v>769</v>
      </c>
      <c r="D225" s="183" t="e">
        <f t="shared" ref="D225:M225" si="136">PPMT(D218/$B222,1,ROUND(($B220-(D$5-YEAR($B218))+MONTH($B218)/12)*$B222,0),D219)</f>
        <v>#NUM!</v>
      </c>
      <c r="E225" s="183" t="e">
        <f t="shared" si="136"/>
        <v>#NUM!</v>
      </c>
      <c r="F225" s="183" t="e">
        <f t="shared" si="136"/>
        <v>#NUM!</v>
      </c>
      <c r="G225" s="183" t="e">
        <f t="shared" si="136"/>
        <v>#NUM!</v>
      </c>
      <c r="H225" s="183" t="e">
        <f t="shared" si="136"/>
        <v>#NUM!</v>
      </c>
      <c r="I225" s="183" t="e">
        <f t="shared" si="136"/>
        <v>#NUM!</v>
      </c>
      <c r="J225" s="183" t="e">
        <f t="shared" si="136"/>
        <v>#NUM!</v>
      </c>
      <c r="K225" s="183" t="e">
        <f t="shared" si="136"/>
        <v>#NUM!</v>
      </c>
      <c r="L225" s="183" t="e">
        <f t="shared" si="136"/>
        <v>#NUM!</v>
      </c>
      <c r="M225" s="183" t="e">
        <f t="shared" si="136"/>
        <v>#NUM!</v>
      </c>
      <c r="N225" s="139"/>
    </row>
    <row r="226" spans="1:14" ht="13" hidden="1" customHeight="1">
      <c r="A226" s="5"/>
      <c r="B226" s="5"/>
      <c r="C226" s="5" t="s">
        <v>770</v>
      </c>
      <c r="D226" s="183">
        <f t="shared" ref="D226:M226" si="137">IF(YEAR($B218)+$B220&gt;D$5,D219/(YEAR($B218)+$B220-D$5+MONTH($B218)/12),D219)</f>
        <v>0</v>
      </c>
      <c r="E226" s="183">
        <f t="shared" si="137"/>
        <v>0</v>
      </c>
      <c r="F226" s="183">
        <f t="shared" si="137"/>
        <v>0</v>
      </c>
      <c r="G226" s="183">
        <f t="shared" si="137"/>
        <v>0</v>
      </c>
      <c r="H226" s="183">
        <f t="shared" si="137"/>
        <v>0</v>
      </c>
      <c r="I226" s="183">
        <f t="shared" si="137"/>
        <v>0</v>
      </c>
      <c r="J226" s="183">
        <f t="shared" si="137"/>
        <v>0</v>
      </c>
      <c r="K226" s="183">
        <f t="shared" si="137"/>
        <v>0</v>
      </c>
      <c r="L226" s="183">
        <f t="shared" si="137"/>
        <v>0</v>
      </c>
      <c r="M226" s="183">
        <f t="shared" si="137"/>
        <v>0</v>
      </c>
      <c r="N226" s="139"/>
    </row>
    <row r="227" spans="1:14" ht="13.4" customHeight="1">
      <c r="A227" s="5"/>
      <c r="B227" s="5"/>
      <c r="C227" s="5"/>
      <c r="D227" s="183"/>
      <c r="E227" s="183"/>
      <c r="F227" s="183"/>
      <c r="G227" s="183"/>
      <c r="H227" s="183"/>
      <c r="I227" s="183"/>
      <c r="J227" s="183"/>
      <c r="K227" s="183"/>
      <c r="L227" s="183"/>
      <c r="M227" s="183"/>
      <c r="N227" s="28"/>
    </row>
    <row r="228" spans="1:14" ht="13.4" customHeight="1">
      <c r="A228" s="30" t="s">
        <v>877</v>
      </c>
      <c r="B228" s="99"/>
      <c r="C228" t="s">
        <v>800</v>
      </c>
      <c r="D228" s="179" t="s">
        <v>801</v>
      </c>
      <c r="E228" s="1"/>
      <c r="N228" s="28"/>
    </row>
    <row r="229" spans="1:14" ht="13.4" customHeight="1">
      <c r="A229" s="26" t="s">
        <v>677</v>
      </c>
      <c r="B229" s="133">
        <v>29373</v>
      </c>
      <c r="C229" s="5" t="s">
        <v>639</v>
      </c>
      <c r="D229" s="180">
        <f>IF($D228="V",Input!G$68,IF(AND($B235=D$5,Input!G$63&gt;0),Input!G$63,$B232))</f>
        <v>0.05</v>
      </c>
      <c r="E229" s="180">
        <f>IF($D228="V",Input!H$68,IF(AND($B235=E$5,Input!H$63&gt;0),Input!H$63,D229))</f>
        <v>0.05</v>
      </c>
      <c r="F229" s="180">
        <f>IF($D228="V",Input!I$68,IF(AND($B235=F$5,Input!I$63&gt;0),Input!I$63,E229))</f>
        <v>0.05</v>
      </c>
      <c r="G229" s="180">
        <f>IF($D228="V",Input!J$68,IF(AND($B235=G$5,Input!J$63&gt;0),Input!J$63,F229))</f>
        <v>0.05</v>
      </c>
      <c r="H229" s="180">
        <f>IF($D228="V",Input!K$68,IF(AND($B235=H$5,Input!K$63&gt;0),Input!K$63,G229))</f>
        <v>0.05</v>
      </c>
      <c r="I229" s="180">
        <f>IF($D228="V",Input!L$68,IF(AND($B235=I$5,Input!L$63&gt;0),Input!L$63,H229))</f>
        <v>0.05</v>
      </c>
      <c r="J229" s="180">
        <f>IF($D228="V",Input!M$68,IF(AND($B235=J$5,Input!M$63&gt;0),Input!M$63,I229))</f>
        <v>0.05</v>
      </c>
      <c r="K229" s="180">
        <f>IF($D228="V",Input!N$68,IF(AND($B235=K$5,Input!N$63&gt;0),Input!N$63,J229))</f>
        <v>0.05</v>
      </c>
      <c r="L229" s="180">
        <f>IF($D228="V",Input!O$68,IF(AND($B235=L$5,Input!O$63&gt;0),Input!O$63,K229))</f>
        <v>0.05</v>
      </c>
      <c r="M229" s="180">
        <f>IF($D228="V",Input!P$68,IF(AND($B235=M$5,Input!P$63&gt;0),Input!P$63,L229))</f>
        <v>0.05</v>
      </c>
      <c r="N229" s="5"/>
    </row>
    <row r="230" spans="1:14" ht="13.4" customHeight="1">
      <c r="A230" s="5" t="s">
        <v>361</v>
      </c>
      <c r="B230" s="181">
        <v>0</v>
      </c>
      <c r="C230" s="27" t="s">
        <v>173</v>
      </c>
      <c r="D230" s="188">
        <v>0</v>
      </c>
      <c r="E230" s="183">
        <f t="shared" ref="E230:M230" si="138">D235</f>
        <v>0</v>
      </c>
      <c r="F230" s="183">
        <f t="shared" si="138"/>
        <v>0</v>
      </c>
      <c r="G230" s="183">
        <f t="shared" si="138"/>
        <v>0</v>
      </c>
      <c r="H230" s="183">
        <f t="shared" si="138"/>
        <v>0</v>
      </c>
      <c r="I230" s="183">
        <f t="shared" si="138"/>
        <v>0</v>
      </c>
      <c r="J230" s="183">
        <f t="shared" si="138"/>
        <v>0</v>
      </c>
      <c r="K230" s="183">
        <f t="shared" si="138"/>
        <v>0</v>
      </c>
      <c r="L230" s="183">
        <f t="shared" si="138"/>
        <v>0</v>
      </c>
      <c r="M230" s="183">
        <f t="shared" si="138"/>
        <v>0</v>
      </c>
      <c r="N230" s="28"/>
    </row>
    <row r="231" spans="1:14" ht="13.4" customHeight="1">
      <c r="A231" s="26" t="s">
        <v>170</v>
      </c>
      <c r="B231" s="131">
        <v>35</v>
      </c>
      <c r="C231" s="184" t="s">
        <v>169</v>
      </c>
      <c r="D231" s="183">
        <f t="shared" ref="D231:M231" si="139">D233-D232</f>
        <v>0</v>
      </c>
      <c r="E231" s="183">
        <f t="shared" si="139"/>
        <v>0</v>
      </c>
      <c r="F231" s="183">
        <f t="shared" si="139"/>
        <v>0</v>
      </c>
      <c r="G231" s="183">
        <f t="shared" si="139"/>
        <v>0</v>
      </c>
      <c r="H231" s="183">
        <f t="shared" si="139"/>
        <v>0</v>
      </c>
      <c r="I231" s="183">
        <f t="shared" si="139"/>
        <v>0</v>
      </c>
      <c r="J231" s="183">
        <f t="shared" si="139"/>
        <v>0</v>
      </c>
      <c r="K231" s="183">
        <f t="shared" si="139"/>
        <v>0</v>
      </c>
      <c r="L231" s="183">
        <f t="shared" si="139"/>
        <v>0</v>
      </c>
      <c r="M231" s="183">
        <f t="shared" si="139"/>
        <v>0</v>
      </c>
      <c r="N231" s="28"/>
    </row>
    <row r="232" spans="1:14" ht="13.4" customHeight="1">
      <c r="A232" s="5" t="s">
        <v>172</v>
      </c>
      <c r="B232" s="185">
        <f>B221</f>
        <v>0.05</v>
      </c>
      <c r="C232" s="5" t="s">
        <v>174</v>
      </c>
      <c r="D232" s="183">
        <f t="shared" ref="D232:M232" si="140">IF(AND($B234="Y",YEAR($B229)+$B231&gt;D$5),D237,IF((YEAR($B229)+$B231)&gt;D$5,FV(D229/$B233,$B233,D236),D230))</f>
        <v>0</v>
      </c>
      <c r="E232" s="183">
        <f t="shared" si="140"/>
        <v>0</v>
      </c>
      <c r="F232" s="183">
        <f t="shared" si="140"/>
        <v>0</v>
      </c>
      <c r="G232" s="183">
        <f t="shared" si="140"/>
        <v>0</v>
      </c>
      <c r="H232" s="183">
        <f t="shared" si="140"/>
        <v>0</v>
      </c>
      <c r="I232" s="183">
        <f t="shared" si="140"/>
        <v>0</v>
      </c>
      <c r="J232" s="183">
        <f t="shared" si="140"/>
        <v>0</v>
      </c>
      <c r="K232" s="183">
        <f t="shared" si="140"/>
        <v>0</v>
      </c>
      <c r="L232" s="183">
        <f t="shared" si="140"/>
        <v>0</v>
      </c>
      <c r="M232" s="183">
        <f t="shared" si="140"/>
        <v>0</v>
      </c>
      <c r="N232" s="28"/>
    </row>
    <row r="233" spans="1:14" ht="13.4" customHeight="1">
      <c r="A233" s="5" t="s">
        <v>171</v>
      </c>
      <c r="B233" s="131">
        <v>12</v>
      </c>
      <c r="C233" s="186" t="s">
        <v>640</v>
      </c>
      <c r="D233" s="183">
        <f t="shared" ref="D233:M233" si="141">IF(AND($B234="Y",YEAR($B229)+$B231&gt;D$5),D237+D229*(D230-D237*0.5),IF((YEAR($B229)+$B231)&gt;D$5,(D230*D229/$B233-D236)*$B233,(D230*(1+D229*MONTH($B229)/12))))</f>
        <v>0</v>
      </c>
      <c r="E233" s="183">
        <f t="shared" si="141"/>
        <v>0</v>
      </c>
      <c r="F233" s="183">
        <f t="shared" si="141"/>
        <v>0</v>
      </c>
      <c r="G233" s="183">
        <f t="shared" si="141"/>
        <v>0</v>
      </c>
      <c r="H233" s="183">
        <f t="shared" si="141"/>
        <v>0</v>
      </c>
      <c r="I233" s="183">
        <f t="shared" si="141"/>
        <v>0</v>
      </c>
      <c r="J233" s="183">
        <f t="shared" si="141"/>
        <v>0</v>
      </c>
      <c r="K233" s="183">
        <f t="shared" si="141"/>
        <v>0</v>
      </c>
      <c r="L233" s="183">
        <f t="shared" si="141"/>
        <v>0</v>
      </c>
      <c r="M233" s="183">
        <f t="shared" si="141"/>
        <v>0</v>
      </c>
      <c r="N233" s="28"/>
    </row>
    <row r="234" spans="1:14" ht="13.4" customHeight="1">
      <c r="A234" s="5" t="s">
        <v>767</v>
      </c>
      <c r="B234" s="131" t="s">
        <v>719</v>
      </c>
      <c r="C234" s="187" t="s">
        <v>768</v>
      </c>
      <c r="D234" s="188">
        <v>0</v>
      </c>
      <c r="E234" s="188">
        <v>0</v>
      </c>
      <c r="F234" s="188">
        <v>0</v>
      </c>
      <c r="G234" s="188">
        <v>0</v>
      </c>
      <c r="H234" s="188">
        <v>0</v>
      </c>
      <c r="I234" s="188">
        <v>0</v>
      </c>
      <c r="J234" s="188">
        <v>0</v>
      </c>
      <c r="K234" s="188">
        <v>0</v>
      </c>
      <c r="L234" s="188">
        <v>0</v>
      </c>
      <c r="M234" s="188">
        <v>0</v>
      </c>
      <c r="N234" s="28"/>
    </row>
    <row r="235" spans="1:14" ht="13.4" customHeight="1">
      <c r="A235" s="5" t="s">
        <v>182</v>
      </c>
      <c r="B235" s="131"/>
      <c r="C235" s="30" t="s">
        <v>175</v>
      </c>
      <c r="D235" s="183">
        <f t="shared" ref="D235:M235" si="142">D230+D231-D233-D234</f>
        <v>0</v>
      </c>
      <c r="E235" s="183">
        <f t="shared" si="142"/>
        <v>0</v>
      </c>
      <c r="F235" s="183">
        <f t="shared" si="142"/>
        <v>0</v>
      </c>
      <c r="G235" s="183">
        <f t="shared" si="142"/>
        <v>0</v>
      </c>
      <c r="H235" s="183">
        <f t="shared" si="142"/>
        <v>0</v>
      </c>
      <c r="I235" s="183">
        <f t="shared" si="142"/>
        <v>0</v>
      </c>
      <c r="J235" s="183">
        <f t="shared" si="142"/>
        <v>0</v>
      </c>
      <c r="K235" s="183">
        <f t="shared" si="142"/>
        <v>0</v>
      </c>
      <c r="L235" s="183">
        <f t="shared" si="142"/>
        <v>0</v>
      </c>
      <c r="M235" s="183">
        <f t="shared" si="142"/>
        <v>0</v>
      </c>
      <c r="N235" s="28"/>
    </row>
    <row r="236" spans="1:14" ht="13" hidden="1" customHeight="1">
      <c r="A236" s="5"/>
      <c r="B236" s="138"/>
      <c r="C236" s="5" t="s">
        <v>769</v>
      </c>
      <c r="D236" s="183" t="e">
        <f t="shared" ref="D236:M236" si="143">PPMT(D229/$B233,1,ROUND(($B231-(D$5-YEAR($B229))+MONTH($B229)/12)*$B233,0),D230)</f>
        <v>#NUM!</v>
      </c>
      <c r="E236" s="183" t="e">
        <f t="shared" si="143"/>
        <v>#NUM!</v>
      </c>
      <c r="F236" s="183" t="e">
        <f t="shared" si="143"/>
        <v>#NUM!</v>
      </c>
      <c r="G236" s="183" t="e">
        <f t="shared" si="143"/>
        <v>#NUM!</v>
      </c>
      <c r="H236" s="183" t="e">
        <f t="shared" si="143"/>
        <v>#NUM!</v>
      </c>
      <c r="I236" s="183" t="e">
        <f t="shared" si="143"/>
        <v>#NUM!</v>
      </c>
      <c r="J236" s="183" t="e">
        <f t="shared" si="143"/>
        <v>#NUM!</v>
      </c>
      <c r="K236" s="183" t="e">
        <f t="shared" si="143"/>
        <v>#NUM!</v>
      </c>
      <c r="L236" s="183" t="e">
        <f t="shared" si="143"/>
        <v>#NUM!</v>
      </c>
      <c r="M236" s="183" t="e">
        <f t="shared" si="143"/>
        <v>#NUM!</v>
      </c>
      <c r="N236" s="139"/>
    </row>
    <row r="237" spans="1:14" ht="13" hidden="1" customHeight="1">
      <c r="A237" s="5"/>
      <c r="B237" s="5"/>
      <c r="C237" s="5" t="s">
        <v>770</v>
      </c>
      <c r="D237" s="183">
        <f t="shared" ref="D237:M237" si="144">IF(YEAR($B229)+$B231&gt;D$5,D230/(YEAR($B229)+$B231-D$5+MONTH($B229)/12),D230)</f>
        <v>0</v>
      </c>
      <c r="E237" s="183">
        <f t="shared" si="144"/>
        <v>0</v>
      </c>
      <c r="F237" s="183">
        <f t="shared" si="144"/>
        <v>0</v>
      </c>
      <c r="G237" s="183">
        <f t="shared" si="144"/>
        <v>0</v>
      </c>
      <c r="H237" s="183">
        <f t="shared" si="144"/>
        <v>0</v>
      </c>
      <c r="I237" s="183">
        <f t="shared" si="144"/>
        <v>0</v>
      </c>
      <c r="J237" s="183">
        <f t="shared" si="144"/>
        <v>0</v>
      </c>
      <c r="K237" s="183">
        <f t="shared" si="144"/>
        <v>0</v>
      </c>
      <c r="L237" s="183">
        <f t="shared" si="144"/>
        <v>0</v>
      </c>
      <c r="M237" s="183">
        <f t="shared" si="144"/>
        <v>0</v>
      </c>
      <c r="N237" s="139"/>
    </row>
    <row r="238" spans="1:14" ht="13.4" customHeight="1">
      <c r="A238" s="5"/>
      <c r="B238" s="5"/>
      <c r="C238" s="5"/>
      <c r="D238" s="183"/>
      <c r="E238" s="183"/>
      <c r="F238" s="183"/>
      <c r="G238" s="183"/>
      <c r="H238" s="183"/>
      <c r="I238" s="183"/>
      <c r="J238" s="183"/>
      <c r="K238" s="183"/>
      <c r="L238" s="183"/>
      <c r="M238" s="183"/>
      <c r="N238" s="28"/>
    </row>
    <row r="239" spans="1:14" ht="13.4" customHeight="1">
      <c r="A239" s="5"/>
      <c r="B239" s="5"/>
      <c r="C239" s="5"/>
      <c r="D239" s="183"/>
      <c r="E239" s="183"/>
      <c r="F239" s="183"/>
      <c r="G239" s="183"/>
      <c r="H239" s="183"/>
      <c r="I239" s="183"/>
      <c r="J239" s="183"/>
      <c r="K239" s="183"/>
      <c r="L239" s="183"/>
      <c r="M239" s="183"/>
      <c r="N239" s="28"/>
    </row>
    <row r="240" spans="1:14" ht="13.4" customHeight="1">
      <c r="A240" s="5"/>
      <c r="B240" s="5"/>
      <c r="C240" s="5"/>
      <c r="D240" s="183"/>
      <c r="E240" s="183"/>
      <c r="F240" s="183"/>
      <c r="G240" s="183"/>
      <c r="H240" s="183"/>
      <c r="I240" s="183"/>
      <c r="J240" s="183"/>
      <c r="K240" s="183"/>
      <c r="L240" s="183"/>
      <c r="M240" s="183"/>
      <c r="N240" s="28"/>
    </row>
    <row r="241" spans="1:14" ht="13.4" customHeight="1">
      <c r="A241" s="5" t="s">
        <v>886</v>
      </c>
      <c r="B241" s="5"/>
      <c r="C241" s="5"/>
      <c r="D241" s="189">
        <f t="shared" ref="D241:M241" si="145">+D5</f>
        <v>2024</v>
      </c>
      <c r="E241" s="189">
        <f t="shared" si="145"/>
        <v>2025</v>
      </c>
      <c r="F241" s="189">
        <f t="shared" si="145"/>
        <v>2026</v>
      </c>
      <c r="G241" s="189">
        <f t="shared" si="145"/>
        <v>2027</v>
      </c>
      <c r="H241" s="189">
        <f t="shared" si="145"/>
        <v>2028</v>
      </c>
      <c r="I241" s="189">
        <f t="shared" si="145"/>
        <v>2029</v>
      </c>
      <c r="J241" s="189">
        <f t="shared" si="145"/>
        <v>2030</v>
      </c>
      <c r="K241" s="189">
        <f t="shared" si="145"/>
        <v>2031</v>
      </c>
      <c r="L241" s="189">
        <f t="shared" si="145"/>
        <v>2032</v>
      </c>
      <c r="M241" s="189">
        <f t="shared" si="145"/>
        <v>2033</v>
      </c>
      <c r="N241" s="28"/>
    </row>
    <row r="242" spans="1:14" ht="13.4" customHeight="1">
      <c r="A242" s="5"/>
      <c r="B242" s="5"/>
      <c r="C242" s="5"/>
      <c r="D242" s="190" t="str">
        <f t="shared" ref="D242:M242" si="146">+D6</f>
        <v xml:space="preserve">  -----------</v>
      </c>
      <c r="E242" s="190" t="str">
        <f t="shared" si="146"/>
        <v xml:space="preserve">  -----------</v>
      </c>
      <c r="F242" s="190" t="str">
        <f t="shared" si="146"/>
        <v xml:space="preserve">  -----------</v>
      </c>
      <c r="G242" s="190" t="str">
        <f t="shared" si="146"/>
        <v xml:space="preserve">  -----------</v>
      </c>
      <c r="H242" s="190" t="str">
        <f t="shared" si="146"/>
        <v xml:space="preserve">  -----------</v>
      </c>
      <c r="I242" s="190" t="str">
        <f t="shared" si="146"/>
        <v xml:space="preserve">  -----------</v>
      </c>
      <c r="J242" s="190" t="str">
        <f t="shared" si="146"/>
        <v xml:space="preserve">  -----------</v>
      </c>
      <c r="K242" s="190" t="str">
        <f t="shared" si="146"/>
        <v xml:space="preserve">  -----------</v>
      </c>
      <c r="L242" s="190" t="str">
        <f t="shared" si="146"/>
        <v xml:space="preserve">  -----------</v>
      </c>
      <c r="M242" s="190" t="str">
        <f t="shared" si="146"/>
        <v xml:space="preserve">  -----------</v>
      </c>
      <c r="N242" s="28"/>
    </row>
    <row r="243" spans="1:14" ht="13.4" customHeight="1">
      <c r="A243" s="30" t="s">
        <v>878</v>
      </c>
      <c r="B243" s="99"/>
      <c r="C243" t="s">
        <v>800</v>
      </c>
      <c r="D243" s="179" t="s">
        <v>801</v>
      </c>
      <c r="E243" s="1"/>
      <c r="N243" s="28"/>
    </row>
    <row r="244" spans="1:14" ht="13.4" customHeight="1">
      <c r="A244" s="26" t="s">
        <v>677</v>
      </c>
      <c r="B244" s="133">
        <v>29373</v>
      </c>
      <c r="C244" s="5" t="s">
        <v>639</v>
      </c>
      <c r="D244" s="180">
        <f>IF($D243="V",Input!G$68,IF(AND($B250=D$5,Input!G$63&gt;0),Input!G$63,$B247))</f>
        <v>0.05</v>
      </c>
      <c r="E244" s="180">
        <f>IF($D243="V",Input!H$68,IF(AND($B250=E$5,Input!H$63&gt;0),Input!H$63,D244))</f>
        <v>0.05</v>
      </c>
      <c r="F244" s="180">
        <f>IF($D243="V",Input!I$68,IF(AND($B250=F$5,Input!I$63&gt;0),Input!I$63,E244))</f>
        <v>0.05</v>
      </c>
      <c r="G244" s="180">
        <f>IF($D243="V",Input!J$68,IF(AND($B250=G$5,Input!J$63&gt;0),Input!J$63,F244))</f>
        <v>0.05</v>
      </c>
      <c r="H244" s="180">
        <f>IF($D243="V",Input!K$68,IF(AND($B250=H$5,Input!K$63&gt;0),Input!K$63,G244))</f>
        <v>0.05</v>
      </c>
      <c r="I244" s="180">
        <f>IF($D243="V",Input!L$68,IF(AND($B250=I$5,Input!L$63&gt;0),Input!L$63,H244))</f>
        <v>0.05</v>
      </c>
      <c r="J244" s="180">
        <f>IF($D243="V",Input!M$68,IF(AND($B250=J$5,Input!M$63&gt;0),Input!M$63,I244))</f>
        <v>0.05</v>
      </c>
      <c r="K244" s="180">
        <f>IF($D243="V",Input!N$68,IF(AND($B250=K$5,Input!N$63&gt;0),Input!N$63,J244))</f>
        <v>0.05</v>
      </c>
      <c r="L244" s="180">
        <f>IF($D243="V",Input!O$68,IF(AND($B250=L$5,Input!O$63&gt;0),Input!O$63,K244))</f>
        <v>0.05</v>
      </c>
      <c r="M244" s="180">
        <f>IF($D243="V",Input!P$68,IF(AND($B250=M$5,Input!P$63&gt;0),Input!P$63,L244))</f>
        <v>0.05</v>
      </c>
      <c r="N244" s="5"/>
    </row>
    <row r="245" spans="1:14" ht="13.4" customHeight="1">
      <c r="A245" s="5" t="s">
        <v>361</v>
      </c>
      <c r="B245" s="181">
        <v>0</v>
      </c>
      <c r="C245" s="27" t="s">
        <v>173</v>
      </c>
      <c r="D245" s="188">
        <v>0</v>
      </c>
      <c r="E245" s="183">
        <f t="shared" ref="E245:M245" si="147">D250</f>
        <v>0</v>
      </c>
      <c r="F245" s="183">
        <f t="shared" si="147"/>
        <v>0</v>
      </c>
      <c r="G245" s="183">
        <f t="shared" si="147"/>
        <v>0</v>
      </c>
      <c r="H245" s="183">
        <f t="shared" si="147"/>
        <v>0</v>
      </c>
      <c r="I245" s="183">
        <f t="shared" si="147"/>
        <v>0</v>
      </c>
      <c r="J245" s="183">
        <f t="shared" si="147"/>
        <v>0</v>
      </c>
      <c r="K245" s="183">
        <f t="shared" si="147"/>
        <v>0</v>
      </c>
      <c r="L245" s="183">
        <f t="shared" si="147"/>
        <v>0</v>
      </c>
      <c r="M245" s="183">
        <f t="shared" si="147"/>
        <v>0</v>
      </c>
      <c r="N245" s="28"/>
    </row>
    <row r="246" spans="1:14" ht="13.4" customHeight="1">
      <c r="A246" s="26" t="s">
        <v>170</v>
      </c>
      <c r="B246" s="131">
        <v>35</v>
      </c>
      <c r="C246" s="184" t="s">
        <v>169</v>
      </c>
      <c r="D246" s="183">
        <f t="shared" ref="D246:M246" si="148">D248-D247</f>
        <v>0</v>
      </c>
      <c r="E246" s="183">
        <f t="shared" si="148"/>
        <v>0</v>
      </c>
      <c r="F246" s="183">
        <f t="shared" si="148"/>
        <v>0</v>
      </c>
      <c r="G246" s="183">
        <f t="shared" si="148"/>
        <v>0</v>
      </c>
      <c r="H246" s="183">
        <f t="shared" si="148"/>
        <v>0</v>
      </c>
      <c r="I246" s="183">
        <f t="shared" si="148"/>
        <v>0</v>
      </c>
      <c r="J246" s="183">
        <f t="shared" si="148"/>
        <v>0</v>
      </c>
      <c r="K246" s="183">
        <f t="shared" si="148"/>
        <v>0</v>
      </c>
      <c r="L246" s="183">
        <f t="shared" si="148"/>
        <v>0</v>
      </c>
      <c r="M246" s="183">
        <f t="shared" si="148"/>
        <v>0</v>
      </c>
      <c r="N246" s="28"/>
    </row>
    <row r="247" spans="1:14" ht="13.4" customHeight="1">
      <c r="A247" s="5" t="s">
        <v>172</v>
      </c>
      <c r="B247" s="185">
        <f>B232</f>
        <v>0.05</v>
      </c>
      <c r="C247" s="5" t="s">
        <v>174</v>
      </c>
      <c r="D247" s="183">
        <f t="shared" ref="D247:M247" si="149">IF(AND($B249="Y",YEAR($B244)+$B246&gt;D$5),D252,IF((YEAR($B244)+$B246)&gt;D$5,FV(D244/$B248,$B248,D251),D245))</f>
        <v>0</v>
      </c>
      <c r="E247" s="183">
        <f t="shared" si="149"/>
        <v>0</v>
      </c>
      <c r="F247" s="183">
        <f t="shared" si="149"/>
        <v>0</v>
      </c>
      <c r="G247" s="183">
        <f t="shared" si="149"/>
        <v>0</v>
      </c>
      <c r="H247" s="183">
        <f t="shared" si="149"/>
        <v>0</v>
      </c>
      <c r="I247" s="183">
        <f t="shared" si="149"/>
        <v>0</v>
      </c>
      <c r="J247" s="183">
        <f t="shared" si="149"/>
        <v>0</v>
      </c>
      <c r="K247" s="183">
        <f t="shared" si="149"/>
        <v>0</v>
      </c>
      <c r="L247" s="183">
        <f t="shared" si="149"/>
        <v>0</v>
      </c>
      <c r="M247" s="183">
        <f t="shared" si="149"/>
        <v>0</v>
      </c>
      <c r="N247" s="28"/>
    </row>
    <row r="248" spans="1:14" ht="13.4" customHeight="1">
      <c r="A248" s="5" t="s">
        <v>171</v>
      </c>
      <c r="B248" s="131">
        <v>12</v>
      </c>
      <c r="C248" s="186" t="s">
        <v>640</v>
      </c>
      <c r="D248" s="183">
        <f t="shared" ref="D248:M248" si="150">IF(AND($B249="Y",YEAR($B244)+$B246&gt;D$5),D252+D244*(D245-D252*0.5),IF((YEAR($B244)+$B246)&gt;D$5,(D245*D244/$B248-D251)*$B248,(D245*(1+D244*MONTH($B244)/12))))</f>
        <v>0</v>
      </c>
      <c r="E248" s="183">
        <f t="shared" si="150"/>
        <v>0</v>
      </c>
      <c r="F248" s="183">
        <f t="shared" si="150"/>
        <v>0</v>
      </c>
      <c r="G248" s="183">
        <f t="shared" si="150"/>
        <v>0</v>
      </c>
      <c r="H248" s="183">
        <f t="shared" si="150"/>
        <v>0</v>
      </c>
      <c r="I248" s="183">
        <f t="shared" si="150"/>
        <v>0</v>
      </c>
      <c r="J248" s="183">
        <f t="shared" si="150"/>
        <v>0</v>
      </c>
      <c r="K248" s="183">
        <f t="shared" si="150"/>
        <v>0</v>
      </c>
      <c r="L248" s="183">
        <f t="shared" si="150"/>
        <v>0</v>
      </c>
      <c r="M248" s="183">
        <f t="shared" si="150"/>
        <v>0</v>
      </c>
      <c r="N248" s="28"/>
    </row>
    <row r="249" spans="1:14" ht="13.4" customHeight="1">
      <c r="A249" s="5" t="s">
        <v>767</v>
      </c>
      <c r="B249" s="131" t="s">
        <v>719</v>
      </c>
      <c r="C249" s="187" t="s">
        <v>768</v>
      </c>
      <c r="D249" s="188">
        <v>0</v>
      </c>
      <c r="E249" s="188">
        <v>0</v>
      </c>
      <c r="F249" s="188">
        <v>0</v>
      </c>
      <c r="G249" s="188">
        <v>0</v>
      </c>
      <c r="H249" s="188">
        <v>0</v>
      </c>
      <c r="I249" s="188">
        <v>0</v>
      </c>
      <c r="J249" s="188">
        <v>0</v>
      </c>
      <c r="K249" s="188">
        <v>0</v>
      </c>
      <c r="L249" s="188">
        <v>0</v>
      </c>
      <c r="M249" s="188">
        <v>0</v>
      </c>
      <c r="N249" s="28"/>
    </row>
    <row r="250" spans="1:14" ht="13.4" customHeight="1">
      <c r="A250" s="5" t="s">
        <v>182</v>
      </c>
      <c r="B250" s="131"/>
      <c r="C250" s="30" t="s">
        <v>175</v>
      </c>
      <c r="D250" s="183">
        <f t="shared" ref="D250:M250" si="151">D245+D246-D248-D249</f>
        <v>0</v>
      </c>
      <c r="E250" s="183">
        <f t="shared" si="151"/>
        <v>0</v>
      </c>
      <c r="F250" s="183">
        <f t="shared" si="151"/>
        <v>0</v>
      </c>
      <c r="G250" s="183">
        <f t="shared" si="151"/>
        <v>0</v>
      </c>
      <c r="H250" s="183">
        <f t="shared" si="151"/>
        <v>0</v>
      </c>
      <c r="I250" s="183">
        <f t="shared" si="151"/>
        <v>0</v>
      </c>
      <c r="J250" s="183">
        <f t="shared" si="151"/>
        <v>0</v>
      </c>
      <c r="K250" s="183">
        <f t="shared" si="151"/>
        <v>0</v>
      </c>
      <c r="L250" s="183">
        <f t="shared" si="151"/>
        <v>0</v>
      </c>
      <c r="M250" s="183">
        <f t="shared" si="151"/>
        <v>0</v>
      </c>
      <c r="N250" s="28"/>
    </row>
    <row r="251" spans="1:14" ht="13" hidden="1" customHeight="1">
      <c r="A251" s="5"/>
      <c r="B251" s="138"/>
      <c r="C251" s="5" t="s">
        <v>769</v>
      </c>
      <c r="D251" s="183" t="e">
        <f t="shared" ref="D251:M251" si="152">PPMT(D244/$B248,1,ROUND(($B246-(D$5-YEAR($B244))+MONTH($B244)/12)*$B248,0),D245)</f>
        <v>#NUM!</v>
      </c>
      <c r="E251" s="183" t="e">
        <f t="shared" si="152"/>
        <v>#NUM!</v>
      </c>
      <c r="F251" s="183" t="e">
        <f t="shared" si="152"/>
        <v>#NUM!</v>
      </c>
      <c r="G251" s="183" t="e">
        <f t="shared" si="152"/>
        <v>#NUM!</v>
      </c>
      <c r="H251" s="183" t="e">
        <f t="shared" si="152"/>
        <v>#NUM!</v>
      </c>
      <c r="I251" s="183" t="e">
        <f t="shared" si="152"/>
        <v>#NUM!</v>
      </c>
      <c r="J251" s="183" t="e">
        <f t="shared" si="152"/>
        <v>#NUM!</v>
      </c>
      <c r="K251" s="183" t="e">
        <f t="shared" si="152"/>
        <v>#NUM!</v>
      </c>
      <c r="L251" s="183" t="e">
        <f t="shared" si="152"/>
        <v>#NUM!</v>
      </c>
      <c r="M251" s="183" t="e">
        <f t="shared" si="152"/>
        <v>#NUM!</v>
      </c>
      <c r="N251" s="139"/>
    </row>
    <row r="252" spans="1:14" ht="13" hidden="1" customHeight="1">
      <c r="A252" s="5"/>
      <c r="B252" s="5"/>
      <c r="C252" s="5" t="s">
        <v>770</v>
      </c>
      <c r="D252" s="183">
        <f t="shared" ref="D252:M252" si="153">IF(YEAR($B244)+$B246&gt;D$5,D245/(YEAR($B244)+$B246-D$5+MONTH($B244)/12),D245)</f>
        <v>0</v>
      </c>
      <c r="E252" s="183">
        <f t="shared" si="153"/>
        <v>0</v>
      </c>
      <c r="F252" s="183">
        <f t="shared" si="153"/>
        <v>0</v>
      </c>
      <c r="G252" s="183">
        <f t="shared" si="153"/>
        <v>0</v>
      </c>
      <c r="H252" s="183">
        <f t="shared" si="153"/>
        <v>0</v>
      </c>
      <c r="I252" s="183">
        <f t="shared" si="153"/>
        <v>0</v>
      </c>
      <c r="J252" s="183">
        <f t="shared" si="153"/>
        <v>0</v>
      </c>
      <c r="K252" s="183">
        <f t="shared" si="153"/>
        <v>0</v>
      </c>
      <c r="L252" s="183">
        <f t="shared" si="153"/>
        <v>0</v>
      </c>
      <c r="M252" s="183">
        <f t="shared" si="153"/>
        <v>0</v>
      </c>
      <c r="N252" s="139"/>
    </row>
    <row r="253" spans="1:14" ht="13.4" customHeight="1">
      <c r="C253" s="5"/>
      <c r="D253" s="183"/>
      <c r="E253" s="183"/>
      <c r="F253" s="183"/>
      <c r="G253" s="183"/>
      <c r="H253" s="183"/>
      <c r="I253" s="183"/>
      <c r="J253" s="183"/>
      <c r="K253" s="183"/>
      <c r="L253" s="183"/>
      <c r="M253" s="183"/>
      <c r="N253" s="46"/>
    </row>
    <row r="254" spans="1:14" ht="13.4" customHeight="1">
      <c r="A254" s="30" t="s">
        <v>879</v>
      </c>
      <c r="B254" s="99"/>
      <c r="C254" t="s">
        <v>800</v>
      </c>
      <c r="D254" s="179" t="s">
        <v>801</v>
      </c>
      <c r="E254" s="1"/>
      <c r="N254" s="28"/>
    </row>
    <row r="255" spans="1:14" ht="13.4" customHeight="1">
      <c r="A255" s="26" t="s">
        <v>677</v>
      </c>
      <c r="B255" s="133">
        <v>29373</v>
      </c>
      <c r="C255" s="5" t="s">
        <v>639</v>
      </c>
      <c r="D255" s="180">
        <f>IF($D254="V",Input!G$68,IF(AND($B261=D$5,Input!G$63&gt;0),Input!G$63,$B258))</f>
        <v>0.05</v>
      </c>
      <c r="E255" s="180">
        <f>IF($D254="V",Input!H$68,IF(AND($B261=E$5,Input!H$63&gt;0),Input!H$63,D255))</f>
        <v>0.05</v>
      </c>
      <c r="F255" s="180">
        <f>IF($D254="V",Input!I$68,IF(AND($B261=F$5,Input!I$63&gt;0),Input!I$63,E255))</f>
        <v>0.05</v>
      </c>
      <c r="G255" s="180">
        <f>IF($D254="V",Input!J$68,IF(AND($B261=G$5,Input!J$63&gt;0),Input!J$63,F255))</f>
        <v>0.05</v>
      </c>
      <c r="H255" s="180">
        <f>IF($D254="V",Input!K$68,IF(AND($B261=H$5,Input!K$63&gt;0),Input!K$63,G255))</f>
        <v>0.05</v>
      </c>
      <c r="I255" s="180">
        <f>IF($D254="V",Input!L$68,IF(AND($B261=I$5,Input!L$63&gt;0),Input!L$63,H255))</f>
        <v>0.05</v>
      </c>
      <c r="J255" s="180">
        <f>IF($D254="V",Input!M$68,IF(AND($B261=J$5,Input!M$63&gt;0),Input!M$63,I255))</f>
        <v>0.05</v>
      </c>
      <c r="K255" s="180">
        <f>IF($D254="V",Input!N$68,IF(AND($B261=K$5,Input!N$63&gt;0),Input!N$63,J255))</f>
        <v>0.05</v>
      </c>
      <c r="L255" s="180">
        <f>IF($D254="V",Input!O$68,IF(AND($B261=L$5,Input!O$63&gt;0),Input!O$63,K255))</f>
        <v>0.05</v>
      </c>
      <c r="M255" s="180">
        <f>IF($D254="V",Input!P$68,IF(AND($B261=M$5,Input!P$63&gt;0),Input!P$63,L255))</f>
        <v>0.05</v>
      </c>
      <c r="N255" s="5"/>
    </row>
    <row r="256" spans="1:14" ht="13.4" customHeight="1">
      <c r="A256" s="5" t="s">
        <v>361</v>
      </c>
      <c r="B256" s="181">
        <v>0</v>
      </c>
      <c r="C256" s="27" t="s">
        <v>173</v>
      </c>
      <c r="D256" s="188">
        <v>0</v>
      </c>
      <c r="E256" s="183">
        <f t="shared" ref="E256:M256" si="154">D261</f>
        <v>0</v>
      </c>
      <c r="F256" s="183">
        <f t="shared" si="154"/>
        <v>0</v>
      </c>
      <c r="G256" s="183">
        <f t="shared" si="154"/>
        <v>0</v>
      </c>
      <c r="H256" s="183">
        <f t="shared" si="154"/>
        <v>0</v>
      </c>
      <c r="I256" s="183">
        <f t="shared" si="154"/>
        <v>0</v>
      </c>
      <c r="J256" s="183">
        <f t="shared" si="154"/>
        <v>0</v>
      </c>
      <c r="K256" s="183">
        <f t="shared" si="154"/>
        <v>0</v>
      </c>
      <c r="L256" s="183">
        <f t="shared" si="154"/>
        <v>0</v>
      </c>
      <c r="M256" s="183">
        <f t="shared" si="154"/>
        <v>0</v>
      </c>
      <c r="N256" s="28"/>
    </row>
    <row r="257" spans="1:14" ht="13.4" customHeight="1">
      <c r="A257" s="26" t="s">
        <v>170</v>
      </c>
      <c r="B257" s="131">
        <v>35</v>
      </c>
      <c r="C257" s="184" t="s">
        <v>169</v>
      </c>
      <c r="D257" s="183">
        <f t="shared" ref="D257:M257" si="155">D259-D258</f>
        <v>0</v>
      </c>
      <c r="E257" s="183">
        <f t="shared" si="155"/>
        <v>0</v>
      </c>
      <c r="F257" s="183">
        <f t="shared" si="155"/>
        <v>0</v>
      </c>
      <c r="G257" s="183">
        <f t="shared" si="155"/>
        <v>0</v>
      </c>
      <c r="H257" s="183">
        <f t="shared" si="155"/>
        <v>0</v>
      </c>
      <c r="I257" s="183">
        <f t="shared" si="155"/>
        <v>0</v>
      </c>
      <c r="J257" s="183">
        <f t="shared" si="155"/>
        <v>0</v>
      </c>
      <c r="K257" s="183">
        <f t="shared" si="155"/>
        <v>0</v>
      </c>
      <c r="L257" s="183">
        <f t="shared" si="155"/>
        <v>0</v>
      </c>
      <c r="M257" s="183">
        <f t="shared" si="155"/>
        <v>0</v>
      </c>
      <c r="N257" s="28"/>
    </row>
    <row r="258" spans="1:14" ht="13.4" customHeight="1">
      <c r="A258" s="5" t="s">
        <v>172</v>
      </c>
      <c r="B258" s="185">
        <f>B247</f>
        <v>0.05</v>
      </c>
      <c r="C258" s="5" t="s">
        <v>174</v>
      </c>
      <c r="D258" s="183">
        <f t="shared" ref="D258:M258" si="156">IF(AND($B260="Y",YEAR($B255)+$B257&gt;D$5),D263,IF((YEAR($B255)+$B257)&gt;D$5,FV(D255/$B259,$B259,D262),D256))</f>
        <v>0</v>
      </c>
      <c r="E258" s="183">
        <f t="shared" si="156"/>
        <v>0</v>
      </c>
      <c r="F258" s="183">
        <f t="shared" si="156"/>
        <v>0</v>
      </c>
      <c r="G258" s="183">
        <f t="shared" si="156"/>
        <v>0</v>
      </c>
      <c r="H258" s="183">
        <f t="shared" si="156"/>
        <v>0</v>
      </c>
      <c r="I258" s="183">
        <f t="shared" si="156"/>
        <v>0</v>
      </c>
      <c r="J258" s="183">
        <f t="shared" si="156"/>
        <v>0</v>
      </c>
      <c r="K258" s="183">
        <f t="shared" si="156"/>
        <v>0</v>
      </c>
      <c r="L258" s="183">
        <f t="shared" si="156"/>
        <v>0</v>
      </c>
      <c r="M258" s="183">
        <f t="shared" si="156"/>
        <v>0</v>
      </c>
      <c r="N258" s="28"/>
    </row>
    <row r="259" spans="1:14" ht="13.4" customHeight="1">
      <c r="A259" s="5" t="s">
        <v>171</v>
      </c>
      <c r="B259" s="131">
        <v>12</v>
      </c>
      <c r="C259" s="186" t="s">
        <v>640</v>
      </c>
      <c r="D259" s="183">
        <f t="shared" ref="D259:M259" si="157">IF(AND($B260="Y",YEAR($B255)+$B257&gt;D$5),D263+D255*(D256-D263*0.5),IF((YEAR($B255)+$B257)&gt;D$5,(D256*D255/$B259-D262)*$B259,(D256*(1+D255*MONTH($B255)/12))))</f>
        <v>0</v>
      </c>
      <c r="E259" s="183">
        <f t="shared" si="157"/>
        <v>0</v>
      </c>
      <c r="F259" s="183">
        <f t="shared" si="157"/>
        <v>0</v>
      </c>
      <c r="G259" s="183">
        <f t="shared" si="157"/>
        <v>0</v>
      </c>
      <c r="H259" s="183">
        <f t="shared" si="157"/>
        <v>0</v>
      </c>
      <c r="I259" s="183">
        <f t="shared" si="157"/>
        <v>0</v>
      </c>
      <c r="J259" s="183">
        <f t="shared" si="157"/>
        <v>0</v>
      </c>
      <c r="K259" s="183">
        <f t="shared" si="157"/>
        <v>0</v>
      </c>
      <c r="L259" s="183">
        <f t="shared" si="157"/>
        <v>0</v>
      </c>
      <c r="M259" s="183">
        <f t="shared" si="157"/>
        <v>0</v>
      </c>
      <c r="N259" s="28"/>
    </row>
    <row r="260" spans="1:14" ht="13.4" customHeight="1">
      <c r="A260" s="5" t="s">
        <v>767</v>
      </c>
      <c r="B260" s="131" t="s">
        <v>719</v>
      </c>
      <c r="C260" s="187" t="s">
        <v>768</v>
      </c>
      <c r="D260" s="188">
        <v>0</v>
      </c>
      <c r="E260" s="188">
        <v>0</v>
      </c>
      <c r="F260" s="188">
        <v>0</v>
      </c>
      <c r="G260" s="188">
        <v>0</v>
      </c>
      <c r="H260" s="188">
        <v>0</v>
      </c>
      <c r="I260" s="188">
        <v>0</v>
      </c>
      <c r="J260" s="188">
        <v>0</v>
      </c>
      <c r="K260" s="188">
        <v>0</v>
      </c>
      <c r="L260" s="188">
        <v>0</v>
      </c>
      <c r="M260" s="188">
        <v>0</v>
      </c>
      <c r="N260" s="28"/>
    </row>
    <row r="261" spans="1:14" ht="13.4" customHeight="1">
      <c r="A261" s="5" t="s">
        <v>182</v>
      </c>
      <c r="B261" s="131"/>
      <c r="C261" s="30" t="s">
        <v>175</v>
      </c>
      <c r="D261" s="183">
        <f t="shared" ref="D261:M261" si="158">D256+D257-D259-D260</f>
        <v>0</v>
      </c>
      <c r="E261" s="183">
        <f t="shared" si="158"/>
        <v>0</v>
      </c>
      <c r="F261" s="183">
        <f t="shared" si="158"/>
        <v>0</v>
      </c>
      <c r="G261" s="183">
        <f t="shared" si="158"/>
        <v>0</v>
      </c>
      <c r="H261" s="183">
        <f t="shared" si="158"/>
        <v>0</v>
      </c>
      <c r="I261" s="183">
        <f t="shared" si="158"/>
        <v>0</v>
      </c>
      <c r="J261" s="183">
        <f t="shared" si="158"/>
        <v>0</v>
      </c>
      <c r="K261" s="183">
        <f t="shared" si="158"/>
        <v>0</v>
      </c>
      <c r="L261" s="183">
        <f t="shared" si="158"/>
        <v>0</v>
      </c>
      <c r="M261" s="183">
        <f t="shared" si="158"/>
        <v>0</v>
      </c>
      <c r="N261" s="28"/>
    </row>
    <row r="262" spans="1:14" ht="13" hidden="1" customHeight="1">
      <c r="A262" s="5"/>
      <c r="B262" s="138"/>
      <c r="C262" s="5" t="s">
        <v>769</v>
      </c>
      <c r="D262" s="183" t="e">
        <f t="shared" ref="D262:M262" si="159">PPMT(D255/$B259,1,ROUND(($B257-(D$5-YEAR($B255))+MONTH($B255)/12)*$B259,0),D256)</f>
        <v>#NUM!</v>
      </c>
      <c r="E262" s="183" t="e">
        <f t="shared" si="159"/>
        <v>#NUM!</v>
      </c>
      <c r="F262" s="183" t="e">
        <f t="shared" si="159"/>
        <v>#NUM!</v>
      </c>
      <c r="G262" s="183" t="e">
        <f t="shared" si="159"/>
        <v>#NUM!</v>
      </c>
      <c r="H262" s="183" t="e">
        <f t="shared" si="159"/>
        <v>#NUM!</v>
      </c>
      <c r="I262" s="183" t="e">
        <f t="shared" si="159"/>
        <v>#NUM!</v>
      </c>
      <c r="J262" s="183" t="e">
        <f t="shared" si="159"/>
        <v>#NUM!</v>
      </c>
      <c r="K262" s="183" t="e">
        <f t="shared" si="159"/>
        <v>#NUM!</v>
      </c>
      <c r="L262" s="183" t="e">
        <f t="shared" si="159"/>
        <v>#NUM!</v>
      </c>
      <c r="M262" s="183" t="e">
        <f t="shared" si="159"/>
        <v>#NUM!</v>
      </c>
      <c r="N262" s="139"/>
    </row>
    <row r="263" spans="1:14" ht="13" hidden="1" customHeight="1">
      <c r="A263" s="5"/>
      <c r="B263" s="5"/>
      <c r="C263" s="5" t="s">
        <v>770</v>
      </c>
      <c r="D263" s="183">
        <f t="shared" ref="D263:M263" si="160">IF(YEAR($B255)+$B257&gt;D$5,D256/(YEAR($B255)+$B257-D$5+MONTH($B255)/12),D256)</f>
        <v>0</v>
      </c>
      <c r="E263" s="183">
        <f t="shared" si="160"/>
        <v>0</v>
      </c>
      <c r="F263" s="183">
        <f t="shared" si="160"/>
        <v>0</v>
      </c>
      <c r="G263" s="183">
        <f t="shared" si="160"/>
        <v>0</v>
      </c>
      <c r="H263" s="183">
        <f t="shared" si="160"/>
        <v>0</v>
      </c>
      <c r="I263" s="183">
        <f t="shared" si="160"/>
        <v>0</v>
      </c>
      <c r="J263" s="183">
        <f t="shared" si="160"/>
        <v>0</v>
      </c>
      <c r="K263" s="183">
        <f t="shared" si="160"/>
        <v>0</v>
      </c>
      <c r="L263" s="183">
        <f t="shared" si="160"/>
        <v>0</v>
      </c>
      <c r="M263" s="183">
        <f t="shared" si="160"/>
        <v>0</v>
      </c>
      <c r="N263" s="139"/>
    </row>
    <row r="264" spans="1:14" ht="13.4" customHeight="1">
      <c r="A264" s="5"/>
      <c r="B264" s="5"/>
      <c r="C264" s="5"/>
      <c r="D264" s="183"/>
      <c r="E264" s="183"/>
      <c r="F264" s="183"/>
      <c r="G264" s="183"/>
      <c r="H264" s="183"/>
      <c r="I264" s="183"/>
      <c r="J264" s="183"/>
      <c r="K264" s="183"/>
      <c r="L264" s="183"/>
      <c r="M264" s="183"/>
      <c r="N264" s="46"/>
    </row>
    <row r="265" spans="1:14" ht="13.4" customHeight="1">
      <c r="A265" s="30" t="s">
        <v>880</v>
      </c>
      <c r="B265" s="99"/>
      <c r="C265" t="s">
        <v>800</v>
      </c>
      <c r="D265" s="179" t="s">
        <v>801</v>
      </c>
      <c r="E265" s="1"/>
      <c r="N265" s="28"/>
    </row>
    <row r="266" spans="1:14" ht="13.4" customHeight="1">
      <c r="A266" s="26" t="s">
        <v>677</v>
      </c>
      <c r="B266" s="133">
        <v>29373</v>
      </c>
      <c r="C266" s="5" t="s">
        <v>639</v>
      </c>
      <c r="D266" s="180">
        <f>IF($D265="V",Input!G$68,IF(AND($B272=D$5,Input!G$63&gt;0),Input!G$63,$B269))</f>
        <v>0.05</v>
      </c>
      <c r="E266" s="180">
        <f>IF($D265="V",Input!H$68,IF(AND($B272=E$5,Input!H$63&gt;0),Input!H$63,D266))</f>
        <v>0.05</v>
      </c>
      <c r="F266" s="180">
        <f>IF($D265="V",Input!I$68,IF(AND($B272=F$5,Input!I$63&gt;0),Input!I$63,E266))</f>
        <v>0.05</v>
      </c>
      <c r="G266" s="180">
        <f>IF($D265="V",Input!J$68,IF(AND($B272=G$5,Input!J$63&gt;0),Input!J$63,F266))</f>
        <v>0.05</v>
      </c>
      <c r="H266" s="180">
        <f>IF($D265="V",Input!K$68,IF(AND($B272=H$5,Input!K$63&gt;0),Input!K$63,G266))</f>
        <v>0.05</v>
      </c>
      <c r="I266" s="180">
        <f>IF($D265="V",Input!L$68,IF(AND($B272=I$5,Input!L$63&gt;0),Input!L$63,H266))</f>
        <v>0.05</v>
      </c>
      <c r="J266" s="180">
        <f>IF($D265="V",Input!M$68,IF(AND($B272=J$5,Input!M$63&gt;0),Input!M$63,I266))</f>
        <v>0.05</v>
      </c>
      <c r="K266" s="180">
        <f>IF($D265="V",Input!N$68,IF(AND($B272=K$5,Input!N$63&gt;0),Input!N$63,J266))</f>
        <v>0.05</v>
      </c>
      <c r="L266" s="180">
        <f>IF($D265="V",Input!O$68,IF(AND($B272=L$5,Input!O$63&gt;0),Input!O$63,K266))</f>
        <v>0.05</v>
      </c>
      <c r="M266" s="180">
        <f>IF($D265="V",Input!P$68,IF(AND($B272=M$5,Input!P$63&gt;0),Input!P$63,L266))</f>
        <v>0.05</v>
      </c>
      <c r="N266" s="5"/>
    </row>
    <row r="267" spans="1:14" ht="13.4" customHeight="1">
      <c r="A267" s="5" t="s">
        <v>361</v>
      </c>
      <c r="B267" s="181">
        <v>0</v>
      </c>
      <c r="C267" s="27" t="s">
        <v>173</v>
      </c>
      <c r="D267" s="188">
        <v>0</v>
      </c>
      <c r="E267" s="183">
        <f t="shared" ref="E267:M267" si="161">D272</f>
        <v>0</v>
      </c>
      <c r="F267" s="183">
        <f t="shared" si="161"/>
        <v>0</v>
      </c>
      <c r="G267" s="183">
        <f t="shared" si="161"/>
        <v>0</v>
      </c>
      <c r="H267" s="183">
        <f t="shared" si="161"/>
        <v>0</v>
      </c>
      <c r="I267" s="183">
        <f t="shared" si="161"/>
        <v>0</v>
      </c>
      <c r="J267" s="183">
        <f t="shared" si="161"/>
        <v>0</v>
      </c>
      <c r="K267" s="183">
        <f t="shared" si="161"/>
        <v>0</v>
      </c>
      <c r="L267" s="183">
        <f t="shared" si="161"/>
        <v>0</v>
      </c>
      <c r="M267" s="183">
        <f t="shared" si="161"/>
        <v>0</v>
      </c>
      <c r="N267" s="28"/>
    </row>
    <row r="268" spans="1:14" ht="13.4" customHeight="1">
      <c r="A268" s="26" t="s">
        <v>170</v>
      </c>
      <c r="B268" s="131">
        <v>35</v>
      </c>
      <c r="C268" s="184" t="s">
        <v>169</v>
      </c>
      <c r="D268" s="183">
        <f t="shared" ref="D268:M268" si="162">D270-D269</f>
        <v>0</v>
      </c>
      <c r="E268" s="183">
        <f t="shared" si="162"/>
        <v>0</v>
      </c>
      <c r="F268" s="183">
        <f t="shared" si="162"/>
        <v>0</v>
      </c>
      <c r="G268" s="183">
        <f t="shared" si="162"/>
        <v>0</v>
      </c>
      <c r="H268" s="183">
        <f t="shared" si="162"/>
        <v>0</v>
      </c>
      <c r="I268" s="183">
        <f t="shared" si="162"/>
        <v>0</v>
      </c>
      <c r="J268" s="183">
        <f t="shared" si="162"/>
        <v>0</v>
      </c>
      <c r="K268" s="183">
        <f t="shared" si="162"/>
        <v>0</v>
      </c>
      <c r="L268" s="183">
        <f t="shared" si="162"/>
        <v>0</v>
      </c>
      <c r="M268" s="183">
        <f t="shared" si="162"/>
        <v>0</v>
      </c>
      <c r="N268" s="28"/>
    </row>
    <row r="269" spans="1:14" ht="13.4" customHeight="1">
      <c r="A269" s="5" t="s">
        <v>172</v>
      </c>
      <c r="B269" s="185">
        <f>B258</f>
        <v>0.05</v>
      </c>
      <c r="C269" s="5" t="s">
        <v>174</v>
      </c>
      <c r="D269" s="183">
        <f t="shared" ref="D269:M269" si="163">IF(AND($B271="Y",YEAR($B266)+$B268&gt;D$5),D274,IF((YEAR($B266)+$B268)&gt;D$5,FV(D266/$B270,$B270,D273),D267))</f>
        <v>0</v>
      </c>
      <c r="E269" s="183">
        <f t="shared" si="163"/>
        <v>0</v>
      </c>
      <c r="F269" s="183">
        <f t="shared" si="163"/>
        <v>0</v>
      </c>
      <c r="G269" s="183">
        <f t="shared" si="163"/>
        <v>0</v>
      </c>
      <c r="H269" s="183">
        <f t="shared" si="163"/>
        <v>0</v>
      </c>
      <c r="I269" s="183">
        <f t="shared" si="163"/>
        <v>0</v>
      </c>
      <c r="J269" s="183">
        <f t="shared" si="163"/>
        <v>0</v>
      </c>
      <c r="K269" s="183">
        <f t="shared" si="163"/>
        <v>0</v>
      </c>
      <c r="L269" s="183">
        <f t="shared" si="163"/>
        <v>0</v>
      </c>
      <c r="M269" s="183">
        <f t="shared" si="163"/>
        <v>0</v>
      </c>
      <c r="N269" s="28"/>
    </row>
    <row r="270" spans="1:14" ht="13.4" customHeight="1">
      <c r="A270" s="5" t="s">
        <v>171</v>
      </c>
      <c r="B270" s="131">
        <v>12</v>
      </c>
      <c r="C270" s="186" t="s">
        <v>640</v>
      </c>
      <c r="D270" s="183">
        <f t="shared" ref="D270:M270" si="164">IF(AND($B271="Y",YEAR($B266)+$B268&gt;D$5),D274+D266*(D267-D274*0.5),IF((YEAR($B266)+$B268)&gt;D$5,(D267*D266/$B270-D273)*$B270,(D267*(1+D266*MONTH($B266)/12))))</f>
        <v>0</v>
      </c>
      <c r="E270" s="183">
        <f t="shared" si="164"/>
        <v>0</v>
      </c>
      <c r="F270" s="183">
        <f t="shared" si="164"/>
        <v>0</v>
      </c>
      <c r="G270" s="183">
        <f t="shared" si="164"/>
        <v>0</v>
      </c>
      <c r="H270" s="183">
        <f t="shared" si="164"/>
        <v>0</v>
      </c>
      <c r="I270" s="183">
        <f t="shared" si="164"/>
        <v>0</v>
      </c>
      <c r="J270" s="183">
        <f t="shared" si="164"/>
        <v>0</v>
      </c>
      <c r="K270" s="183">
        <f t="shared" si="164"/>
        <v>0</v>
      </c>
      <c r="L270" s="183">
        <f t="shared" si="164"/>
        <v>0</v>
      </c>
      <c r="M270" s="183">
        <f t="shared" si="164"/>
        <v>0</v>
      </c>
      <c r="N270" s="28"/>
    </row>
    <row r="271" spans="1:14" ht="13.4" customHeight="1">
      <c r="A271" s="5" t="s">
        <v>767</v>
      </c>
      <c r="B271" s="131" t="s">
        <v>719</v>
      </c>
      <c r="C271" s="187" t="s">
        <v>768</v>
      </c>
      <c r="D271" s="188">
        <v>0</v>
      </c>
      <c r="E271" s="188">
        <v>0</v>
      </c>
      <c r="F271" s="188">
        <v>0</v>
      </c>
      <c r="G271" s="188">
        <v>0</v>
      </c>
      <c r="H271" s="188">
        <v>0</v>
      </c>
      <c r="I271" s="188">
        <v>0</v>
      </c>
      <c r="J271" s="188">
        <v>0</v>
      </c>
      <c r="K271" s="188">
        <v>0</v>
      </c>
      <c r="L271" s="188">
        <v>0</v>
      </c>
      <c r="M271" s="188">
        <v>0</v>
      </c>
      <c r="N271" s="28"/>
    </row>
    <row r="272" spans="1:14" ht="13.4" customHeight="1">
      <c r="A272" s="5" t="s">
        <v>182</v>
      </c>
      <c r="B272" s="131"/>
      <c r="C272" s="30" t="s">
        <v>175</v>
      </c>
      <c r="D272" s="183">
        <f t="shared" ref="D272:M272" si="165">D267+D268-D270-D271</f>
        <v>0</v>
      </c>
      <c r="E272" s="183">
        <f t="shared" si="165"/>
        <v>0</v>
      </c>
      <c r="F272" s="183">
        <f t="shared" si="165"/>
        <v>0</v>
      </c>
      <c r="G272" s="183">
        <f t="shared" si="165"/>
        <v>0</v>
      </c>
      <c r="H272" s="183">
        <f t="shared" si="165"/>
        <v>0</v>
      </c>
      <c r="I272" s="183">
        <f t="shared" si="165"/>
        <v>0</v>
      </c>
      <c r="J272" s="183">
        <f t="shared" si="165"/>
        <v>0</v>
      </c>
      <c r="K272" s="183">
        <f t="shared" si="165"/>
        <v>0</v>
      </c>
      <c r="L272" s="183">
        <f t="shared" si="165"/>
        <v>0</v>
      </c>
      <c r="M272" s="183">
        <f t="shared" si="165"/>
        <v>0</v>
      </c>
      <c r="N272" s="28"/>
    </row>
    <row r="273" spans="1:14" ht="13" hidden="1" customHeight="1">
      <c r="A273" s="5"/>
      <c r="B273" s="138"/>
      <c r="C273" s="5" t="s">
        <v>769</v>
      </c>
      <c r="D273" s="183" t="e">
        <f t="shared" ref="D273:M273" si="166">PPMT(D266/$B270,1,ROUND(($B268-(D$5-YEAR($B266))+MONTH($B266)/12)*$B270,0),D267)</f>
        <v>#NUM!</v>
      </c>
      <c r="E273" s="183" t="e">
        <f t="shared" si="166"/>
        <v>#NUM!</v>
      </c>
      <c r="F273" s="183" t="e">
        <f t="shared" si="166"/>
        <v>#NUM!</v>
      </c>
      <c r="G273" s="183" t="e">
        <f t="shared" si="166"/>
        <v>#NUM!</v>
      </c>
      <c r="H273" s="183" t="e">
        <f t="shared" si="166"/>
        <v>#NUM!</v>
      </c>
      <c r="I273" s="183" t="e">
        <f t="shared" si="166"/>
        <v>#NUM!</v>
      </c>
      <c r="J273" s="183" t="e">
        <f t="shared" si="166"/>
        <v>#NUM!</v>
      </c>
      <c r="K273" s="183" t="e">
        <f t="shared" si="166"/>
        <v>#NUM!</v>
      </c>
      <c r="L273" s="183" t="e">
        <f t="shared" si="166"/>
        <v>#NUM!</v>
      </c>
      <c r="M273" s="183" t="e">
        <f t="shared" si="166"/>
        <v>#NUM!</v>
      </c>
      <c r="N273" s="139"/>
    </row>
    <row r="274" spans="1:14" ht="13" hidden="1" customHeight="1">
      <c r="A274" s="5"/>
      <c r="B274" s="5"/>
      <c r="C274" s="5" t="s">
        <v>770</v>
      </c>
      <c r="D274" s="183">
        <f t="shared" ref="D274:M274" si="167">IF(YEAR($B266)+$B268&gt;D$5,D267/(YEAR($B266)+$B268-D$5+MONTH($B266)/12),D267)</f>
        <v>0</v>
      </c>
      <c r="E274" s="183">
        <f t="shared" si="167"/>
        <v>0</v>
      </c>
      <c r="F274" s="183">
        <f t="shared" si="167"/>
        <v>0</v>
      </c>
      <c r="G274" s="183">
        <f t="shared" si="167"/>
        <v>0</v>
      </c>
      <c r="H274" s="183">
        <f t="shared" si="167"/>
        <v>0</v>
      </c>
      <c r="I274" s="183">
        <f t="shared" si="167"/>
        <v>0</v>
      </c>
      <c r="J274" s="183">
        <f t="shared" si="167"/>
        <v>0</v>
      </c>
      <c r="K274" s="183">
        <f t="shared" si="167"/>
        <v>0</v>
      </c>
      <c r="L274" s="183">
        <f t="shared" si="167"/>
        <v>0</v>
      </c>
      <c r="M274" s="183">
        <f t="shared" si="167"/>
        <v>0</v>
      </c>
      <c r="N274" s="139"/>
    </row>
    <row r="275" spans="1:14" ht="13.4" customHeight="1">
      <c r="A275" s="5"/>
      <c r="B275" s="5"/>
      <c r="C275" s="5"/>
      <c r="D275" s="183"/>
      <c r="E275" s="183"/>
      <c r="F275" s="183"/>
      <c r="G275" s="183"/>
      <c r="H275" s="183"/>
      <c r="I275" s="183"/>
      <c r="J275" s="183"/>
      <c r="K275" s="183"/>
      <c r="L275" s="183"/>
      <c r="M275" s="183"/>
      <c r="N275" s="46"/>
    </row>
    <row r="276" spans="1:14" ht="13.4" customHeight="1">
      <c r="A276" s="30" t="s">
        <v>881</v>
      </c>
      <c r="B276" s="99"/>
      <c r="C276" t="s">
        <v>800</v>
      </c>
      <c r="D276" s="179" t="s">
        <v>801</v>
      </c>
      <c r="E276" s="1"/>
      <c r="N276" s="28"/>
    </row>
    <row r="277" spans="1:14" ht="13.4" customHeight="1">
      <c r="A277" s="26" t="s">
        <v>677</v>
      </c>
      <c r="B277" s="133">
        <v>29373</v>
      </c>
      <c r="C277" s="5" t="s">
        <v>639</v>
      </c>
      <c r="D277" s="180">
        <f>IF($D276="V",Input!G$68,IF(AND($B283=D$5,Input!G$63&gt;0),Input!G$63,$B280))</f>
        <v>0.05</v>
      </c>
      <c r="E277" s="180">
        <f>IF($D276="V",Input!H$68,IF(AND($B283=E$5,Input!H$63&gt;0),Input!H$63,D277))</f>
        <v>0.05</v>
      </c>
      <c r="F277" s="180">
        <f>IF($D276="V",Input!I$68,IF(AND($B283=F$5,Input!I$63&gt;0),Input!I$63,E277))</f>
        <v>0.05</v>
      </c>
      <c r="G277" s="180">
        <f>IF($D276="V",Input!J$68,IF(AND($B283=G$5,Input!J$63&gt;0),Input!J$63,F277))</f>
        <v>0.05</v>
      </c>
      <c r="H277" s="180">
        <f>IF($D276="V",Input!K$68,IF(AND($B283=H$5,Input!K$63&gt;0),Input!K$63,G277))</f>
        <v>0.05</v>
      </c>
      <c r="I277" s="180">
        <f>IF($D276="V",Input!L$68,IF(AND($B283=I$5,Input!L$63&gt;0),Input!L$63,H277))</f>
        <v>0.05</v>
      </c>
      <c r="J277" s="180">
        <f>IF($D276="V",Input!M$68,IF(AND($B283=J$5,Input!M$63&gt;0),Input!M$63,I277))</f>
        <v>0.05</v>
      </c>
      <c r="K277" s="180">
        <f>IF($D276="V",Input!N$68,IF(AND($B283=K$5,Input!N$63&gt;0),Input!N$63,J277))</f>
        <v>0.05</v>
      </c>
      <c r="L277" s="180">
        <f>IF($D276="V",Input!O$68,IF(AND($B283=L$5,Input!O$63&gt;0),Input!O$63,K277))</f>
        <v>0.05</v>
      </c>
      <c r="M277" s="180">
        <f>IF($D276="V",Input!P$68,IF(AND($B283=M$5,Input!P$63&gt;0),Input!P$63,L277))</f>
        <v>0.05</v>
      </c>
      <c r="N277" s="5"/>
    </row>
    <row r="278" spans="1:14" ht="13.4" customHeight="1">
      <c r="A278" s="5" t="s">
        <v>361</v>
      </c>
      <c r="B278" s="181">
        <v>0</v>
      </c>
      <c r="C278" s="27" t="s">
        <v>173</v>
      </c>
      <c r="D278" s="188">
        <v>0</v>
      </c>
      <c r="E278" s="183">
        <f t="shared" ref="E278:M278" si="168">D283</f>
        <v>0</v>
      </c>
      <c r="F278" s="183">
        <f t="shared" si="168"/>
        <v>0</v>
      </c>
      <c r="G278" s="183">
        <f t="shared" si="168"/>
        <v>0</v>
      </c>
      <c r="H278" s="183">
        <f t="shared" si="168"/>
        <v>0</v>
      </c>
      <c r="I278" s="183">
        <f t="shared" si="168"/>
        <v>0</v>
      </c>
      <c r="J278" s="183">
        <f t="shared" si="168"/>
        <v>0</v>
      </c>
      <c r="K278" s="183">
        <f t="shared" si="168"/>
        <v>0</v>
      </c>
      <c r="L278" s="183">
        <f t="shared" si="168"/>
        <v>0</v>
      </c>
      <c r="M278" s="183">
        <f t="shared" si="168"/>
        <v>0</v>
      </c>
      <c r="N278" s="28"/>
    </row>
    <row r="279" spans="1:14" ht="13.4" customHeight="1">
      <c r="A279" s="26" t="s">
        <v>170</v>
      </c>
      <c r="B279" s="131">
        <v>35</v>
      </c>
      <c r="C279" s="184" t="s">
        <v>169</v>
      </c>
      <c r="D279" s="183">
        <f t="shared" ref="D279:M279" si="169">D281-D280</f>
        <v>0</v>
      </c>
      <c r="E279" s="183">
        <f t="shared" si="169"/>
        <v>0</v>
      </c>
      <c r="F279" s="183">
        <f t="shared" si="169"/>
        <v>0</v>
      </c>
      <c r="G279" s="183">
        <f t="shared" si="169"/>
        <v>0</v>
      </c>
      <c r="H279" s="183">
        <f t="shared" si="169"/>
        <v>0</v>
      </c>
      <c r="I279" s="183">
        <f t="shared" si="169"/>
        <v>0</v>
      </c>
      <c r="J279" s="183">
        <f t="shared" si="169"/>
        <v>0</v>
      </c>
      <c r="K279" s="183">
        <f t="shared" si="169"/>
        <v>0</v>
      </c>
      <c r="L279" s="183">
        <f t="shared" si="169"/>
        <v>0</v>
      </c>
      <c r="M279" s="183">
        <f t="shared" si="169"/>
        <v>0</v>
      </c>
      <c r="N279" s="28"/>
    </row>
    <row r="280" spans="1:14" ht="13.4" customHeight="1">
      <c r="A280" s="5" t="s">
        <v>172</v>
      </c>
      <c r="B280" s="185">
        <f>B269</f>
        <v>0.05</v>
      </c>
      <c r="C280" s="5" t="s">
        <v>174</v>
      </c>
      <c r="D280" s="183">
        <f t="shared" ref="D280:M280" si="170">IF(AND($B282="Y",YEAR($B277)+$B279&gt;D$5),D285,IF((YEAR($B277)+$B279)&gt;D$5,FV(D277/$B281,$B281,D284),D278))</f>
        <v>0</v>
      </c>
      <c r="E280" s="183">
        <f t="shared" si="170"/>
        <v>0</v>
      </c>
      <c r="F280" s="183">
        <f t="shared" si="170"/>
        <v>0</v>
      </c>
      <c r="G280" s="183">
        <f t="shared" si="170"/>
        <v>0</v>
      </c>
      <c r="H280" s="183">
        <f t="shared" si="170"/>
        <v>0</v>
      </c>
      <c r="I280" s="183">
        <f t="shared" si="170"/>
        <v>0</v>
      </c>
      <c r="J280" s="183">
        <f t="shared" si="170"/>
        <v>0</v>
      </c>
      <c r="K280" s="183">
        <f t="shared" si="170"/>
        <v>0</v>
      </c>
      <c r="L280" s="183">
        <f t="shared" si="170"/>
        <v>0</v>
      </c>
      <c r="M280" s="183">
        <f t="shared" si="170"/>
        <v>0</v>
      </c>
      <c r="N280" s="28"/>
    </row>
    <row r="281" spans="1:14" ht="13.4" customHeight="1">
      <c r="A281" s="5" t="s">
        <v>171</v>
      </c>
      <c r="B281" s="131">
        <v>12</v>
      </c>
      <c r="C281" s="186" t="s">
        <v>640</v>
      </c>
      <c r="D281" s="183">
        <f t="shared" ref="D281:M281" si="171">IF(AND($B282="Y",YEAR($B277)+$B279&gt;D$5),D285+D277*(D278-D285*0.5),IF((YEAR($B277)+$B279)&gt;D$5,(D278*D277/$B281-D284)*$B281,(D278*(1+D277*MONTH($B277)/12))))</f>
        <v>0</v>
      </c>
      <c r="E281" s="183">
        <f t="shared" si="171"/>
        <v>0</v>
      </c>
      <c r="F281" s="183">
        <f t="shared" si="171"/>
        <v>0</v>
      </c>
      <c r="G281" s="183">
        <f t="shared" si="171"/>
        <v>0</v>
      </c>
      <c r="H281" s="183">
        <f t="shared" si="171"/>
        <v>0</v>
      </c>
      <c r="I281" s="183">
        <f t="shared" si="171"/>
        <v>0</v>
      </c>
      <c r="J281" s="183">
        <f t="shared" si="171"/>
        <v>0</v>
      </c>
      <c r="K281" s="183">
        <f t="shared" si="171"/>
        <v>0</v>
      </c>
      <c r="L281" s="183">
        <f t="shared" si="171"/>
        <v>0</v>
      </c>
      <c r="M281" s="183">
        <f t="shared" si="171"/>
        <v>0</v>
      </c>
      <c r="N281" s="28"/>
    </row>
    <row r="282" spans="1:14" ht="13.4" customHeight="1">
      <c r="A282" s="5" t="s">
        <v>767</v>
      </c>
      <c r="B282" s="131" t="s">
        <v>719</v>
      </c>
      <c r="C282" s="187" t="s">
        <v>768</v>
      </c>
      <c r="D282" s="188">
        <v>0</v>
      </c>
      <c r="E282" s="188">
        <v>0</v>
      </c>
      <c r="F282" s="188">
        <v>0</v>
      </c>
      <c r="G282" s="188">
        <v>0</v>
      </c>
      <c r="H282" s="188">
        <v>0</v>
      </c>
      <c r="I282" s="188">
        <v>0</v>
      </c>
      <c r="J282" s="188">
        <v>0</v>
      </c>
      <c r="K282" s="188">
        <v>0</v>
      </c>
      <c r="L282" s="188">
        <v>0</v>
      </c>
      <c r="M282" s="188">
        <v>0</v>
      </c>
      <c r="N282" s="28"/>
    </row>
    <row r="283" spans="1:14" ht="13.4" customHeight="1">
      <c r="A283" s="5" t="s">
        <v>182</v>
      </c>
      <c r="B283" s="131"/>
      <c r="C283" s="30" t="s">
        <v>175</v>
      </c>
      <c r="D283" s="183">
        <f t="shared" ref="D283:M283" si="172">D278+D279-D281-D282</f>
        <v>0</v>
      </c>
      <c r="E283" s="183">
        <f t="shared" si="172"/>
        <v>0</v>
      </c>
      <c r="F283" s="183">
        <f t="shared" si="172"/>
        <v>0</v>
      </c>
      <c r="G283" s="183">
        <f t="shared" si="172"/>
        <v>0</v>
      </c>
      <c r="H283" s="183">
        <f t="shared" si="172"/>
        <v>0</v>
      </c>
      <c r="I283" s="183">
        <f t="shared" si="172"/>
        <v>0</v>
      </c>
      <c r="J283" s="183">
        <f t="shared" si="172"/>
        <v>0</v>
      </c>
      <c r="K283" s="183">
        <f t="shared" si="172"/>
        <v>0</v>
      </c>
      <c r="L283" s="183">
        <f t="shared" si="172"/>
        <v>0</v>
      </c>
      <c r="M283" s="183">
        <f t="shared" si="172"/>
        <v>0</v>
      </c>
      <c r="N283" s="28"/>
    </row>
    <row r="284" spans="1:14" ht="13" hidden="1" customHeight="1">
      <c r="A284" s="5"/>
      <c r="B284" s="138"/>
      <c r="C284" s="5" t="s">
        <v>769</v>
      </c>
      <c r="D284" s="183" t="e">
        <f t="shared" ref="D284:M284" si="173">PPMT(D277/$B281,1,ROUND(($B279-(D$5-YEAR($B277))+MONTH($B277)/12)*$B281,0),D278)</f>
        <v>#NUM!</v>
      </c>
      <c r="E284" s="183" t="e">
        <f t="shared" si="173"/>
        <v>#NUM!</v>
      </c>
      <c r="F284" s="183" t="e">
        <f t="shared" si="173"/>
        <v>#NUM!</v>
      </c>
      <c r="G284" s="183" t="e">
        <f t="shared" si="173"/>
        <v>#NUM!</v>
      </c>
      <c r="H284" s="183" t="e">
        <f t="shared" si="173"/>
        <v>#NUM!</v>
      </c>
      <c r="I284" s="183" t="e">
        <f t="shared" si="173"/>
        <v>#NUM!</v>
      </c>
      <c r="J284" s="183" t="e">
        <f t="shared" si="173"/>
        <v>#NUM!</v>
      </c>
      <c r="K284" s="183" t="e">
        <f t="shared" si="173"/>
        <v>#NUM!</v>
      </c>
      <c r="L284" s="183" t="e">
        <f t="shared" si="173"/>
        <v>#NUM!</v>
      </c>
      <c r="M284" s="183" t="e">
        <f t="shared" si="173"/>
        <v>#NUM!</v>
      </c>
      <c r="N284" s="139"/>
    </row>
    <row r="285" spans="1:14" ht="13" hidden="1" customHeight="1">
      <c r="A285" s="5"/>
      <c r="B285" s="5"/>
      <c r="C285" s="5" t="s">
        <v>770</v>
      </c>
      <c r="D285" s="183">
        <f t="shared" ref="D285:M285" si="174">IF(YEAR($B277)+$B279&gt;D$5,D278/(YEAR($B277)+$B279-D$5+MONTH($B277)/12),D278)</f>
        <v>0</v>
      </c>
      <c r="E285" s="183">
        <f t="shared" si="174"/>
        <v>0</v>
      </c>
      <c r="F285" s="183">
        <f t="shared" si="174"/>
        <v>0</v>
      </c>
      <c r="G285" s="183">
        <f t="shared" si="174"/>
        <v>0</v>
      </c>
      <c r="H285" s="183">
        <f t="shared" si="174"/>
        <v>0</v>
      </c>
      <c r="I285" s="183">
        <f t="shared" si="174"/>
        <v>0</v>
      </c>
      <c r="J285" s="183">
        <f t="shared" si="174"/>
        <v>0</v>
      </c>
      <c r="K285" s="183">
        <f t="shared" si="174"/>
        <v>0</v>
      </c>
      <c r="L285" s="183">
        <f t="shared" si="174"/>
        <v>0</v>
      </c>
      <c r="M285" s="183">
        <f t="shared" si="174"/>
        <v>0</v>
      </c>
      <c r="N285" s="139"/>
    </row>
    <row r="286" spans="1:14" ht="13.4" customHeight="1">
      <c r="A286" s="5"/>
      <c r="B286" s="5"/>
      <c r="C286" s="5"/>
      <c r="D286" s="183"/>
      <c r="E286" s="183"/>
      <c r="F286" s="183"/>
      <c r="G286" s="183"/>
      <c r="H286" s="183"/>
      <c r="I286" s="183"/>
      <c r="J286" s="183"/>
      <c r="K286" s="183"/>
      <c r="L286" s="183"/>
      <c r="M286" s="183"/>
      <c r="N286" s="46"/>
    </row>
    <row r="287" spans="1:14" ht="13.4" customHeight="1">
      <c r="A287" s="30" t="s">
        <v>882</v>
      </c>
      <c r="B287" s="99"/>
      <c r="C287" t="s">
        <v>800</v>
      </c>
      <c r="D287" s="179" t="s">
        <v>801</v>
      </c>
      <c r="E287" s="1"/>
      <c r="N287" s="28"/>
    </row>
    <row r="288" spans="1:14" ht="13.4" customHeight="1">
      <c r="A288" s="26" t="s">
        <v>677</v>
      </c>
      <c r="B288" s="133">
        <v>29373</v>
      </c>
      <c r="C288" s="5" t="s">
        <v>639</v>
      </c>
      <c r="D288" s="180">
        <f>IF($D287="V",Input!G$68,IF(AND($B294=D$5,Input!G$63&gt;0),Input!G$63,$B291))</f>
        <v>0.05</v>
      </c>
      <c r="E288" s="180">
        <f>IF($D287="V",Input!H$68,IF(AND($B294=E$5,Input!H$63&gt;0),Input!H$63,D288))</f>
        <v>0.05</v>
      </c>
      <c r="F288" s="180">
        <f>IF($D287="V",Input!I$68,IF(AND($B294=F$5,Input!I$63&gt;0),Input!I$63,E288))</f>
        <v>0.05</v>
      </c>
      <c r="G288" s="180">
        <f>IF($D287="V",Input!J$68,IF(AND($B294=G$5,Input!J$63&gt;0),Input!J$63,F288))</f>
        <v>0.05</v>
      </c>
      <c r="H288" s="180">
        <f>IF($D287="V",Input!K$68,IF(AND($B294=H$5,Input!K$63&gt;0),Input!K$63,G288))</f>
        <v>0.05</v>
      </c>
      <c r="I288" s="180">
        <f>IF($D287="V",Input!L$68,IF(AND($B294=I$5,Input!L$63&gt;0),Input!L$63,H288))</f>
        <v>0.05</v>
      </c>
      <c r="J288" s="180">
        <f>IF($D287="V",Input!M$68,IF(AND($B294=J$5,Input!M$63&gt;0),Input!M$63,I288))</f>
        <v>0.05</v>
      </c>
      <c r="K288" s="180">
        <f>IF($D287="V",Input!N$68,IF(AND($B294=K$5,Input!N$63&gt;0),Input!N$63,J288))</f>
        <v>0.05</v>
      </c>
      <c r="L288" s="180">
        <f>IF($D287="V",Input!O$68,IF(AND($B294=L$5,Input!O$63&gt;0),Input!O$63,K288))</f>
        <v>0.05</v>
      </c>
      <c r="M288" s="180">
        <f>IF($D287="V",Input!P$68,IF(AND($B294=M$5,Input!P$63&gt;0),Input!P$63,L288))</f>
        <v>0.05</v>
      </c>
      <c r="N288" s="5"/>
    </row>
    <row r="289" spans="1:14" ht="13.4" customHeight="1">
      <c r="A289" s="5" t="s">
        <v>361</v>
      </c>
      <c r="B289" s="181">
        <v>0</v>
      </c>
      <c r="C289" s="27" t="s">
        <v>173</v>
      </c>
      <c r="D289" s="188">
        <v>0</v>
      </c>
      <c r="E289" s="183">
        <f t="shared" ref="E289:M289" si="175">D294</f>
        <v>0</v>
      </c>
      <c r="F289" s="183">
        <f t="shared" si="175"/>
        <v>0</v>
      </c>
      <c r="G289" s="183">
        <f t="shared" si="175"/>
        <v>0</v>
      </c>
      <c r="H289" s="183">
        <f t="shared" si="175"/>
        <v>0</v>
      </c>
      <c r="I289" s="183">
        <f t="shared" si="175"/>
        <v>0</v>
      </c>
      <c r="J289" s="183">
        <f t="shared" si="175"/>
        <v>0</v>
      </c>
      <c r="K289" s="183">
        <f t="shared" si="175"/>
        <v>0</v>
      </c>
      <c r="L289" s="183">
        <f t="shared" si="175"/>
        <v>0</v>
      </c>
      <c r="M289" s="183">
        <f t="shared" si="175"/>
        <v>0</v>
      </c>
      <c r="N289" s="28"/>
    </row>
    <row r="290" spans="1:14" ht="13.4" customHeight="1">
      <c r="A290" s="26" t="s">
        <v>170</v>
      </c>
      <c r="B290" s="131">
        <v>35</v>
      </c>
      <c r="C290" s="184" t="s">
        <v>169</v>
      </c>
      <c r="D290" s="183">
        <f t="shared" ref="D290:M290" si="176">D292-D291</f>
        <v>0</v>
      </c>
      <c r="E290" s="183">
        <f t="shared" si="176"/>
        <v>0</v>
      </c>
      <c r="F290" s="183">
        <f t="shared" si="176"/>
        <v>0</v>
      </c>
      <c r="G290" s="183">
        <f t="shared" si="176"/>
        <v>0</v>
      </c>
      <c r="H290" s="183">
        <f t="shared" si="176"/>
        <v>0</v>
      </c>
      <c r="I290" s="183">
        <f t="shared" si="176"/>
        <v>0</v>
      </c>
      <c r="J290" s="183">
        <f t="shared" si="176"/>
        <v>0</v>
      </c>
      <c r="K290" s="183">
        <f t="shared" si="176"/>
        <v>0</v>
      </c>
      <c r="L290" s="183">
        <f t="shared" si="176"/>
        <v>0</v>
      </c>
      <c r="M290" s="183">
        <f t="shared" si="176"/>
        <v>0</v>
      </c>
      <c r="N290" s="28"/>
    </row>
    <row r="291" spans="1:14" ht="13.4" customHeight="1">
      <c r="A291" s="5" t="s">
        <v>172</v>
      </c>
      <c r="B291" s="185">
        <f>B280</f>
        <v>0.05</v>
      </c>
      <c r="C291" s="5" t="s">
        <v>174</v>
      </c>
      <c r="D291" s="183">
        <f t="shared" ref="D291:M291" si="177">IF(AND($B293="Y",YEAR($B288)+$B290&gt;D$5),D296,IF((YEAR($B288)+$B290)&gt;D$5,FV(D288/$B292,$B292,D295),D289))</f>
        <v>0</v>
      </c>
      <c r="E291" s="183">
        <f t="shared" si="177"/>
        <v>0</v>
      </c>
      <c r="F291" s="183">
        <f t="shared" si="177"/>
        <v>0</v>
      </c>
      <c r="G291" s="183">
        <f t="shared" si="177"/>
        <v>0</v>
      </c>
      <c r="H291" s="183">
        <f t="shared" si="177"/>
        <v>0</v>
      </c>
      <c r="I291" s="183">
        <f t="shared" si="177"/>
        <v>0</v>
      </c>
      <c r="J291" s="183">
        <f t="shared" si="177"/>
        <v>0</v>
      </c>
      <c r="K291" s="183">
        <f t="shared" si="177"/>
        <v>0</v>
      </c>
      <c r="L291" s="183">
        <f t="shared" si="177"/>
        <v>0</v>
      </c>
      <c r="M291" s="183">
        <f t="shared" si="177"/>
        <v>0</v>
      </c>
      <c r="N291" s="28"/>
    </row>
    <row r="292" spans="1:14" ht="13.4" customHeight="1">
      <c r="A292" s="5" t="s">
        <v>171</v>
      </c>
      <c r="B292" s="131">
        <v>12</v>
      </c>
      <c r="C292" s="186" t="s">
        <v>640</v>
      </c>
      <c r="D292" s="183">
        <f t="shared" ref="D292:M292" si="178">IF(AND($B293="Y",YEAR($B288)+$B290&gt;D$5),D296+D288*(D289-D296*0.5),IF((YEAR($B288)+$B290)&gt;D$5,(D289*D288/$B292-D295)*$B292,(D289*(1+D288*MONTH($B288)/12))))</f>
        <v>0</v>
      </c>
      <c r="E292" s="183">
        <f t="shared" si="178"/>
        <v>0</v>
      </c>
      <c r="F292" s="183">
        <f t="shared" si="178"/>
        <v>0</v>
      </c>
      <c r="G292" s="183">
        <f t="shared" si="178"/>
        <v>0</v>
      </c>
      <c r="H292" s="183">
        <f t="shared" si="178"/>
        <v>0</v>
      </c>
      <c r="I292" s="183">
        <f t="shared" si="178"/>
        <v>0</v>
      </c>
      <c r="J292" s="183">
        <f t="shared" si="178"/>
        <v>0</v>
      </c>
      <c r="K292" s="183">
        <f t="shared" si="178"/>
        <v>0</v>
      </c>
      <c r="L292" s="183">
        <f t="shared" si="178"/>
        <v>0</v>
      </c>
      <c r="M292" s="183">
        <f t="shared" si="178"/>
        <v>0</v>
      </c>
      <c r="N292" s="28"/>
    </row>
    <row r="293" spans="1:14" ht="13.4" customHeight="1">
      <c r="A293" s="5" t="s">
        <v>767</v>
      </c>
      <c r="B293" s="131" t="s">
        <v>719</v>
      </c>
      <c r="C293" s="187" t="s">
        <v>768</v>
      </c>
      <c r="D293" s="188">
        <v>0</v>
      </c>
      <c r="E293" s="188">
        <v>0</v>
      </c>
      <c r="F293" s="188">
        <v>0</v>
      </c>
      <c r="G293" s="188">
        <v>0</v>
      </c>
      <c r="H293" s="188">
        <v>0</v>
      </c>
      <c r="I293" s="188">
        <v>0</v>
      </c>
      <c r="J293" s="188">
        <v>0</v>
      </c>
      <c r="K293" s="188">
        <v>0</v>
      </c>
      <c r="L293" s="188">
        <v>0</v>
      </c>
      <c r="M293" s="188">
        <v>0</v>
      </c>
      <c r="N293" s="28"/>
    </row>
    <row r="294" spans="1:14" ht="13.4" customHeight="1">
      <c r="A294" s="5" t="s">
        <v>182</v>
      </c>
      <c r="B294" s="131"/>
      <c r="C294" s="30" t="s">
        <v>175</v>
      </c>
      <c r="D294" s="183">
        <f t="shared" ref="D294:M294" si="179">D289+D290-D292-D293</f>
        <v>0</v>
      </c>
      <c r="E294" s="183">
        <f t="shared" si="179"/>
        <v>0</v>
      </c>
      <c r="F294" s="183">
        <f t="shared" si="179"/>
        <v>0</v>
      </c>
      <c r="G294" s="183">
        <f t="shared" si="179"/>
        <v>0</v>
      </c>
      <c r="H294" s="183">
        <f t="shared" si="179"/>
        <v>0</v>
      </c>
      <c r="I294" s="183">
        <f t="shared" si="179"/>
        <v>0</v>
      </c>
      <c r="J294" s="183">
        <f t="shared" si="179"/>
        <v>0</v>
      </c>
      <c r="K294" s="183">
        <f t="shared" si="179"/>
        <v>0</v>
      </c>
      <c r="L294" s="183">
        <f t="shared" si="179"/>
        <v>0</v>
      </c>
      <c r="M294" s="183">
        <f t="shared" si="179"/>
        <v>0</v>
      </c>
      <c r="N294" s="28"/>
    </row>
    <row r="295" spans="1:14" ht="13" hidden="1" customHeight="1">
      <c r="A295" s="5"/>
      <c r="B295" s="138"/>
      <c r="C295" s="5" t="s">
        <v>769</v>
      </c>
      <c r="D295" s="183" t="e">
        <f t="shared" ref="D295:M295" si="180">PPMT(D288/$B292,1,ROUND(($B290-(D$5-YEAR($B288))+MONTH($B288)/12)*$B292,0),D289)</f>
        <v>#NUM!</v>
      </c>
      <c r="E295" s="183" t="e">
        <f t="shared" si="180"/>
        <v>#NUM!</v>
      </c>
      <c r="F295" s="183" t="e">
        <f t="shared" si="180"/>
        <v>#NUM!</v>
      </c>
      <c r="G295" s="183" t="e">
        <f t="shared" si="180"/>
        <v>#NUM!</v>
      </c>
      <c r="H295" s="183" t="e">
        <f t="shared" si="180"/>
        <v>#NUM!</v>
      </c>
      <c r="I295" s="183" t="e">
        <f t="shared" si="180"/>
        <v>#NUM!</v>
      </c>
      <c r="J295" s="183" t="e">
        <f t="shared" si="180"/>
        <v>#NUM!</v>
      </c>
      <c r="K295" s="183" t="e">
        <f t="shared" si="180"/>
        <v>#NUM!</v>
      </c>
      <c r="L295" s="183" t="e">
        <f t="shared" si="180"/>
        <v>#NUM!</v>
      </c>
      <c r="M295" s="183" t="e">
        <f t="shared" si="180"/>
        <v>#NUM!</v>
      </c>
      <c r="N295" s="139"/>
    </row>
    <row r="296" spans="1:14" ht="13" hidden="1" customHeight="1">
      <c r="A296" s="5"/>
      <c r="B296" s="5"/>
      <c r="C296" s="5" t="s">
        <v>770</v>
      </c>
      <c r="D296" s="183">
        <f t="shared" ref="D296:M296" si="181">IF(YEAR($B288)+$B290&gt;D$5,D289/(YEAR($B288)+$B290-D$5+MONTH($B288)/12),D289)</f>
        <v>0</v>
      </c>
      <c r="E296" s="183">
        <f t="shared" si="181"/>
        <v>0</v>
      </c>
      <c r="F296" s="183">
        <f t="shared" si="181"/>
        <v>0</v>
      </c>
      <c r="G296" s="183">
        <f t="shared" si="181"/>
        <v>0</v>
      </c>
      <c r="H296" s="183">
        <f t="shared" si="181"/>
        <v>0</v>
      </c>
      <c r="I296" s="183">
        <f t="shared" si="181"/>
        <v>0</v>
      </c>
      <c r="J296" s="183">
        <f t="shared" si="181"/>
        <v>0</v>
      </c>
      <c r="K296" s="183">
        <f t="shared" si="181"/>
        <v>0</v>
      </c>
      <c r="L296" s="183">
        <f t="shared" si="181"/>
        <v>0</v>
      </c>
      <c r="M296" s="183">
        <f t="shared" si="181"/>
        <v>0</v>
      </c>
      <c r="N296" s="139"/>
    </row>
    <row r="297" spans="1:14" ht="13.4" customHeight="1">
      <c r="A297" s="5"/>
      <c r="B297" s="5"/>
      <c r="C297" s="5"/>
      <c r="D297" s="183"/>
      <c r="E297" s="183"/>
      <c r="F297" s="183"/>
      <c r="G297" s="183"/>
      <c r="H297" s="183"/>
      <c r="I297" s="183"/>
      <c r="J297" s="183"/>
      <c r="K297" s="183"/>
      <c r="L297" s="183"/>
      <c r="M297" s="183"/>
      <c r="N297" s="139"/>
    </row>
    <row r="298" spans="1:14" ht="13.4" customHeight="1">
      <c r="A298" s="5"/>
      <c r="B298" s="5"/>
      <c r="C298" s="5"/>
      <c r="D298" s="183"/>
      <c r="E298" s="183"/>
      <c r="F298" s="183"/>
      <c r="G298" s="183"/>
      <c r="H298" s="183"/>
      <c r="I298" s="183"/>
      <c r="J298" s="183"/>
      <c r="K298" s="183"/>
      <c r="L298" s="183"/>
      <c r="M298" s="183"/>
      <c r="N298" s="139"/>
    </row>
    <row r="299" spans="1:14" ht="13.4" customHeight="1">
      <c r="A299" s="5"/>
      <c r="B299" s="5"/>
      <c r="C299" s="5"/>
      <c r="D299" s="183"/>
      <c r="E299" s="183"/>
      <c r="F299" s="183"/>
      <c r="G299" s="183"/>
      <c r="H299" s="183"/>
      <c r="I299" s="183"/>
      <c r="J299" s="183"/>
      <c r="K299" s="183"/>
      <c r="L299" s="183"/>
      <c r="M299" s="183"/>
      <c r="N299" s="46"/>
    </row>
    <row r="300" spans="1:14" ht="13.4" customHeight="1">
      <c r="A300" s="5" t="s">
        <v>176</v>
      </c>
      <c r="B300" s="30" t="s">
        <v>181</v>
      </c>
      <c r="C300" s="5"/>
      <c r="D300" s="191">
        <f>'h2(a) - Debt RUS'!D300+D289+D278+D267+D256+D245+D230+D219+D208+D197+D186+D175+D164+D150+D139+D128+D117+D106+D95+D84+D69+D57+D45+D33+D21+D9</f>
        <v>0</v>
      </c>
      <c r="E300" s="191">
        <f>'h2(a) - Debt RUS'!E300+E289+E278+E267+E256+E245+E230+E219+E208+E197+E186+E175+E164+E150+E139+E128+E117+E106+E95+E84+E69+E57+E45+E33+E21+E9</f>
        <v>0</v>
      </c>
      <c r="F300" s="191">
        <f>'h2(a) - Debt RUS'!F300+F289+F278+F267+F256+F245+F230+F219+F208+F197+F186+F175+F164+F150+F139+F128+F117+F106+F95+F84+F69+F57+F45+F33+F21+F9</f>
        <v>0</v>
      </c>
      <c r="G300" s="191">
        <f>'h2(a) - Debt RUS'!G300+G289+G278+G267+G256+G245+G230+G219+G208+G197+G186+G175+G164+G150+G139+G128+G117+G106+G95+G84+G69+G57+G45+G33+G21+G9</f>
        <v>0</v>
      </c>
      <c r="H300" s="191">
        <f>'h2(a) - Debt RUS'!H300+H289+H278+H267+H256+H245+H230+H219+H208+H197+H186+H175+H164+H150+H139+H128+H117+H106+H95+H84+H69+H57+H45+H33+H21+H9</f>
        <v>0</v>
      </c>
      <c r="I300" s="191">
        <f>'h2(a) - Debt RUS'!I300+I289+I278+I267+I256+I245+I230+I219+I208+I197+I186+I175+I164+I150+I139+I128+I117+I106+I95+I84+I69+I57+I45+I33+I21+I9</f>
        <v>0</v>
      </c>
      <c r="J300" s="191">
        <f>'h2(a) - Debt RUS'!J300+J289+J278+J267+J256+J245+J230+J219+J208+J197+J186+J175+J164+J150+J139+J128+J117+J106+J95+J84+J69+J57+J45+J33+J21+J9</f>
        <v>0</v>
      </c>
      <c r="K300" s="191">
        <f>'h2(a) - Debt RUS'!K300+K289+K278+K267+K256+K245+K230+K219+K208+K197+K186+K175+K164+K150+K139+K128+K117+K106+K95+K84+K69+K57+K45+K33+K21+K9</f>
        <v>0</v>
      </c>
      <c r="L300" s="191">
        <f>'h2(a) - Debt RUS'!L300+L289+L278+L267+L256+L245+L230+L219+L208+L197+L186+L175+L164+L150+L139+L128+L117+L106+L95+L84+L69+L57+L45+L33+L21+L9</f>
        <v>0</v>
      </c>
      <c r="M300" s="191">
        <f>'h2(a) - Debt RUS'!M300+M289+M278+M267+M256+M245+M230+M219+M208+M197+M186+M175+M164+M150+M139+M128+M117+M106+M95+M84+M69+M57+M45+M33+M21+M9</f>
        <v>0</v>
      </c>
      <c r="N300" s="46"/>
    </row>
    <row r="301" spans="1:14" ht="13.4" customHeight="1">
      <c r="B301" t="s">
        <v>177</v>
      </c>
      <c r="D301" s="191">
        <f>+'h2(a) - Debt RUS'!D301+D290+D279+D268+D257+D246+D231+D220+D209+D198+D187+D176+D165+D151+D140+D129+D118+D107+D96+D85+D70+D58+D46+D34+D22+D10</f>
        <v>0</v>
      </c>
      <c r="E301" s="191">
        <f>+'h2(a) - Debt RUS'!E301+E290+E279+E268+E257+E246+E231+E220+E209+E198+E187+E176+E165+E151+E140+E129+E118+E107+E96+E85+E70+E58+E46+E34+E22+E10</f>
        <v>0</v>
      </c>
      <c r="F301" s="191">
        <f>+'h2(a) - Debt RUS'!F301+F290+F279+F268+F257+F246+F231+F220+F209+F198+F187+F176+F165+F151+F140+F129+F118+F107+F96+F85+F70+F58+F46+F34+F22+F10</f>
        <v>0</v>
      </c>
      <c r="G301" s="191">
        <f>+'h2(a) - Debt RUS'!G301+G290+G279+G268+G257+G246+G231+G220+G209+G198+G187+G176+G165+G151+G140+G129+G118+G107+G96+G85+G70+G58+G46+G34+G22+G10</f>
        <v>0</v>
      </c>
      <c r="H301" s="191">
        <f>+'h2(a) - Debt RUS'!H301+H290+H279+H268+H257+H246+H231+H220+H209+H198+H187+H176+H165+H151+H140+H129+H118+H107+H96+H85+H70+H58+H46+H34+H22+H10</f>
        <v>0</v>
      </c>
      <c r="I301" s="191">
        <f>+'h2(a) - Debt RUS'!I301+I290+I279+I268+I257+I246+I231+I220+I209+I198+I187+I176+I165+I151+I140+I129+I118+I107+I96+I85+I70+I58+I46+I34+I22+I10</f>
        <v>0</v>
      </c>
      <c r="J301" s="191">
        <f>+'h2(a) - Debt RUS'!J301+J290+J279+J268+J257+J246+J231+J220+J209+J198+J187+J176+J165+J151+J140+J129+J118+J107+J96+J85+J70+J58+J46+J34+J22+J10</f>
        <v>0</v>
      </c>
      <c r="K301" s="191">
        <f>+'h2(a) - Debt RUS'!K301+K290+K279+K268+K257+K246+K231+K220+K209+K198+K187+K176+K165+K151+K140+K129+K118+K107+K96+K85+K70+K58+K46+K34+K22+K10</f>
        <v>0</v>
      </c>
      <c r="L301" s="191">
        <f>+'h2(a) - Debt RUS'!L301+L290+L279+L268+L257+L246+L231+L220+L209+L198+L187+L176+L165+L151+L140+L129+L118+L107+L96+L85+L70+L58+L46+L34+L22+L10</f>
        <v>0</v>
      </c>
      <c r="M301" s="191">
        <f>+'h2(a) - Debt RUS'!M301+M290+M279+M268+M257+M246+M231+M220+M209+M198+M187+M176+M165+M151+M140+M129+M118+M107+M96+M85+M70+M58+M46+M34+M22+M10</f>
        <v>0</v>
      </c>
      <c r="N301" s="28"/>
    </row>
    <row r="302" spans="1:14" ht="13.4" customHeight="1">
      <c r="A302" s="5"/>
      <c r="B302" s="5" t="s">
        <v>178</v>
      </c>
      <c r="C302" s="5"/>
      <c r="D302" s="191">
        <f>'h2(a) - Debt RUS'!D302+D291+D280+D269+D258+D247+D232+D221+D210+D199+D188+D177+D166+D152+D141+D130+D119+D108+D97+D86+D71+D59+D47+D35+D23+D11</f>
        <v>0</v>
      </c>
      <c r="E302" s="191">
        <f>'h2(a) - Debt RUS'!E302+E291+E280+E269+E258+E247+E232+E221+E210+E199+E188+E177+E166+E152+E141+E130+E119+E108+E97+E86+E71+E59+E47+E35+E23+E11</f>
        <v>0</v>
      </c>
      <c r="F302" s="191">
        <f>'h2(a) - Debt RUS'!F302+F291+F280+F269+F258+F247+F232+F221+F210+F199+F188+F177+F166+F152+F141+F130+F119+F108+F97+F86+F71+F59+F47+F35+F23+F11</f>
        <v>0</v>
      </c>
      <c r="G302" s="191">
        <f>'h2(a) - Debt RUS'!G302+G291+G280+G269+G258+G247+G232+G221+G210+G199+G188+G177+G166+G152+G141+G130+G119+G108+G97+G86+G71+G59+G47+G35+G23+G11</f>
        <v>0</v>
      </c>
      <c r="H302" s="191">
        <f>'h2(a) - Debt RUS'!H302+H291+H280+H269+H258+H247+H232+H221+H210+H199+H188+H177+H166+H152+H141+H130+H119+H108+H97+H86+H71+H59+H47+H35+H23+H11</f>
        <v>0</v>
      </c>
      <c r="I302" s="191">
        <f>'h2(a) - Debt RUS'!I302+I291+I280+I269+I258+I247+I232+I221+I210+I199+I188+I177+I166+I152+I141+I130+I119+I108+I97+I86+I71+I59+I47+I35+I23+I11</f>
        <v>0</v>
      </c>
      <c r="J302" s="191">
        <f>'h2(a) - Debt RUS'!J302+J291+J280+J269+J258+J247+J232+J221+J210+J199+J188+J177+J166+J152+J141+J130+J119+J108+J97+J86+J71+J59+J47+J35+J23+J11</f>
        <v>0</v>
      </c>
      <c r="K302" s="191">
        <f>'h2(a) - Debt RUS'!K302+K291+K280+K269+K258+K247+K232+K221+K210+K199+K188+K177+K166+K152+K141+K130+K119+K108+K97+K86+K71+K59+K47+K35+K23+K11</f>
        <v>0</v>
      </c>
      <c r="L302" s="191">
        <f>'h2(a) - Debt RUS'!L302+L291+L280+L269+L258+L247+L232+L221+L210+L199+L188+L177+L166+L152+L141+L130+L119+L108+L97+L86+L71+L59+L47+L35+L23+L11</f>
        <v>0</v>
      </c>
      <c r="M302" s="191">
        <f>'h2(a) - Debt RUS'!M302+M291+M280+M269+M258+M247+M232+M221+M210+M199+M188+M177+M166+M152+M141+M130+M119+M108+M97+M86+M71+M59+M47+M35+M23+M11</f>
        <v>0</v>
      </c>
    </row>
    <row r="303" spans="1:14" ht="13.4" customHeight="1">
      <c r="A303" s="26"/>
      <c r="B303" s="32" t="s">
        <v>179</v>
      </c>
      <c r="C303" s="27"/>
      <c r="D303" s="191">
        <f>'h2(a) - Debt RUS'!D303+D292+D281+D270+D259+D248+D233+D222+D211+D200+D189+D178+D167+D153+D142+D131+D120+D109+D98+D87+D72+D60+D48+D36+D24+D12</f>
        <v>0</v>
      </c>
      <c r="E303" s="191">
        <f>'h2(a) - Debt RUS'!E303+E292+E281+E270+E259+E248+E233+E222+E211+E200+E189+E178+E167+E153+E142+E131+E120+E109+E98+E87+E72+E60+E48+E36+E24+E12</f>
        <v>0</v>
      </c>
      <c r="F303" s="191">
        <f>'h2(a) - Debt RUS'!F303+F292+F281+F270+F259+F248+F233+F222+F211+F200+F189+F178+F167+F153+F142+F131+F120+F109+F98+F87+F72+F60+F48+F36+F24+F12</f>
        <v>0</v>
      </c>
      <c r="G303" s="191">
        <f>'h2(a) - Debt RUS'!G303+G292+G281+G270+G259+G248+G233+G222+G211+G200+G189+G178+G167+G153+G142+G131+G120+G109+G98+G87+G72+G60+G48+G36+G24+G12</f>
        <v>0</v>
      </c>
      <c r="H303" s="191">
        <f>'h2(a) - Debt RUS'!H303+H292+H281+H270+H259+H248+H233+H222+H211+H200+H189+H178+H167+H153+H142+H131+H120+H109+H98+H87+H72+H60+H48+H36+H24+H12</f>
        <v>0</v>
      </c>
      <c r="I303" s="191">
        <f>'h2(a) - Debt RUS'!I303+I292+I281+I270+I259+I248+I233+I222+I211+I200+I189+I178+I167+I153+I142+I131+I120+I109+I98+I87+I72+I60+I48+I36+I24+I12</f>
        <v>0</v>
      </c>
      <c r="J303" s="191">
        <f>'h2(a) - Debt RUS'!J303+J292+J281+J270+J259+J248+J233+J222+J211+J200+J189+J178+J167+J153+J142+J131+J120+J109+J98+J87+J72+J60+J48+J36+J24+J12</f>
        <v>0</v>
      </c>
      <c r="K303" s="191">
        <f>'h2(a) - Debt RUS'!K303+K292+K281+K270+K259+K248+K233+K222+K211+K200+K189+K178+K167+K153+K142+K131+K120+K109+K98+K87+K72+K60+K48+K36+K24+K12</f>
        <v>0</v>
      </c>
      <c r="L303" s="191">
        <f>'h2(a) - Debt RUS'!L303+L292+L281+L270+L259+L248+L233+L222+L211+L200+L189+L178+L167+L153+L142+L131+L120+L109+L98+L87+L72+L60+L48+L36+L24+L12</f>
        <v>0</v>
      </c>
      <c r="M303" s="191">
        <f>'h2(a) - Debt RUS'!M303+M292+M281+M270+M259+M248+M233+M222+M211+M200+M189+M178+M167+M153+M142+M131+M120+M109+M98+M87+M72+M60+M48+M36+M24+M12</f>
        <v>0</v>
      </c>
    </row>
    <row r="304" spans="1:14" ht="13.4" customHeight="1">
      <c r="A304" s="26"/>
      <c r="B304" s="137" t="s">
        <v>771</v>
      </c>
      <c r="C304" s="27"/>
      <c r="D304" s="191">
        <f>'h2(a) - Debt RUS'!D304+D293+D282+D271+D260+D249+D234+D223+D212+D201+D190+D179+D168+D154+D143+D132+D121+D110+D99+D88+D73+D61+D49+D37+D25+D13</f>
        <v>0</v>
      </c>
      <c r="E304" s="191">
        <f>'h2(a) - Debt RUS'!E304+E293+E282+E271+E260+E249+E234+E223+E212+E201+E190+E179+E168+E154+E143+E132+E121+E110+E99+E88+E73+E61+E49+E37+E25+E13</f>
        <v>0</v>
      </c>
      <c r="F304" s="191">
        <f>'h2(a) - Debt RUS'!F304+F293+F282+F271+F260+F249+F234+F223+F212+F201+F190+F179+F168+F154+F143+F132+F121+F110+F99+F88+F73+F61+F49+F37+F25+F13</f>
        <v>0</v>
      </c>
      <c r="G304" s="191">
        <f>'h2(a) - Debt RUS'!G304+G293+G282+G271+G260+G249+G234+G223+G212+G201+G190+G179+G168+G154+G143+G132+G121+G110+G99+G88+G73+G61+G49+G37+G25+G13</f>
        <v>0</v>
      </c>
      <c r="H304" s="191">
        <f>'h2(a) - Debt RUS'!H304+H293+H282+H271+H260+H249+H234+H223+H212+H201+H190+H179+H168+H154+H143+H132+H121+H110+H99+H88+H73+H61+H49+H37+H25+H13</f>
        <v>0</v>
      </c>
      <c r="I304" s="191">
        <f>'h2(a) - Debt RUS'!I304+I293+I282+I271+I260+I249+I234+I223+I212+I201+I190+I179+I168+I154+I143+I132+I121+I110+I99+I88+I73+I61+I49+I37+I25+I13</f>
        <v>0</v>
      </c>
      <c r="J304" s="191">
        <f>'h2(a) - Debt RUS'!J304+J293+J282+J271+J260+J249+J234+J223+J212+J201+J190+J179+J168+J154+J143+J132+J121+J110+J99+J88+J73+J61+J49+J37+J25+J13</f>
        <v>0</v>
      </c>
      <c r="K304" s="191">
        <f>'h2(a) - Debt RUS'!K304+K293+K282+K271+K260+K249+K234+K223+K212+K201+K190+K179+K168+K154+K143+K132+K121+K110+K99+K88+K73+K61+K49+K37+K25+K13</f>
        <v>0</v>
      </c>
      <c r="L304" s="191">
        <f>'h2(a) - Debt RUS'!L304+L293+L282+L271+L260+L249+L234+L223+L212+L201+L190+L179+L168+L154+L143+L132+L121+L110+L99+L88+L73+L61+L49+L37+L25+L13</f>
        <v>0</v>
      </c>
      <c r="M304" s="191">
        <f>'h2(a) - Debt RUS'!M304+M293+M282+M271+M260+M249+M234+M223+M212+M201+M190+M179+M168+M154+M143+M132+M121+M110+M99+M88+M73+M61+M49+M37+M25+M13</f>
        <v>0</v>
      </c>
    </row>
    <row r="305" spans="1:14" ht="13.4" customHeight="1">
      <c r="A305" s="5"/>
      <c r="B305" s="137" t="s">
        <v>180</v>
      </c>
      <c r="C305" s="184"/>
      <c r="D305" s="191">
        <f>'h2(a) - Debt RUS'!D305+D294+D283+D272+D261+D250+D235+D224+D213+D202+D191+D180+D169+D155+D144+D133+D122+D111+D100+D89+D74+D62+D50+D38+D26+D14</f>
        <v>0</v>
      </c>
      <c r="E305" s="191">
        <f>'h2(a) - Debt RUS'!E305+E294+E283+E272+E261+E250+E235+E224+E213+E202+E191+E180+E169+E155+E144+E133+E122+E111+E100+E89+E74+E62+E50+E38+E26+E14</f>
        <v>0</v>
      </c>
      <c r="F305" s="191">
        <f>'h2(a) - Debt RUS'!F305+F294+F283+F272+F261+F250+F235+F224+F213+F202+F191+F180+F169+F155+F144+F133+F122+F111+F100+F89+F74+F62+F50+F38+F26+F14</f>
        <v>0</v>
      </c>
      <c r="G305" s="191">
        <f>'h2(a) - Debt RUS'!G305+G294+G283+G272+G261+G250+G235+G224+G213+G202+G191+G180+G169+G155+G144+G133+G122+G111+G100+G89+G74+G62+G50+G38+G26+G14</f>
        <v>0</v>
      </c>
      <c r="H305" s="191">
        <f>'h2(a) - Debt RUS'!H305+H294+H283+H272+H261+H250+H235+H224+H213+H202+H191+H180+H169+H155+H144+H133+H122+H111+H100+H89+H74+H62+H50+H38+H26+H14</f>
        <v>0</v>
      </c>
      <c r="I305" s="191">
        <f>'h2(a) - Debt RUS'!I305+I294+I283+I272+I261+I250+I235+I224+I213+I202+I191+I180+I169+I155+I144+I133+I122+I111+I100+I89+I74+I62+I50+I38+I26+I14</f>
        <v>0</v>
      </c>
      <c r="J305" s="191">
        <f>'h2(a) - Debt RUS'!J305+J294+J283+J272+J261+J250+J235+J224+J213+J202+J191+J180+J169+J155+J144+J133+J122+J111+J100+J89+J74+J62+J50+J38+J26+J14</f>
        <v>0</v>
      </c>
      <c r="K305" s="191">
        <f>'h2(a) - Debt RUS'!K305+K294+K283+K272+K261+K250+K235+K224+K213+K202+K191+K180+K169+K155+K144+K133+K122+K111+K100+K89+K74+K62+K50+K38+K26+K14</f>
        <v>0</v>
      </c>
      <c r="L305" s="191">
        <f>'h2(a) - Debt RUS'!L305+L294+L283+L272+L261+L250+L235+L224+L213+L202+L191+L180+L169+L155+L144+L133+L122+L111+L100+L89+L74+L62+L50+L38+L26+L14</f>
        <v>0</v>
      </c>
      <c r="M305" s="191">
        <f>'h2(a) - Debt RUS'!M305+M294+M283+M272+M261+M250+M235+M224+M213+M202+M191+M180+M169+M155+M144+M133+M122+M111+M100+M89+M74+M62+M50+M38+M26+M14</f>
        <v>0</v>
      </c>
    </row>
    <row r="306" spans="1:14" ht="13.4" customHeight="1">
      <c r="A306" s="26"/>
      <c r="B306" s="5"/>
      <c r="C306" s="5"/>
      <c r="D306" s="28"/>
      <c r="E306" s="28"/>
      <c r="F306" s="28"/>
      <c r="G306" s="28"/>
      <c r="H306" s="28"/>
      <c r="I306" s="28"/>
      <c r="J306" s="28"/>
      <c r="K306" s="28"/>
      <c r="L306" s="28"/>
      <c r="M306" s="28"/>
      <c r="N306" s="46"/>
    </row>
    <row r="311" spans="1:14">
      <c r="D311" s="171">
        <f>+D305-'h2(a) - Debt RUS'!D305</f>
        <v>0</v>
      </c>
    </row>
  </sheetData>
  <sheetProtection sheet="1" objects="1" scenarios="1"/>
  <phoneticPr fontId="0" type="noConversion"/>
  <pageMargins left="0.39" right="0.39" top="0.39" bottom="0.35" header="0.25" footer="0.25"/>
  <pageSetup scale="64" fitToHeight="0" orientation="landscape" horizontalDpi="300" verticalDpi="300" r:id="rId1"/>
  <headerFooter alignWithMargins="0"/>
  <rowBreaks count="3" manualBreakCount="3">
    <brk id="79" max="12" man="1"/>
    <brk id="159" max="12" man="1"/>
    <brk id="239" max="12"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N327"/>
  <sheetViews>
    <sheetView showGridLines="0" zoomScale="83" zoomScaleNormal="83" workbookViewId="0">
      <pane xSplit="3" ySplit="6" topLeftCell="D7" activePane="bottomRight" state="frozen"/>
      <selection pane="topRight" activeCell="D1" sqref="D1"/>
      <selection pane="bottomLeft" activeCell="A5" sqref="A5"/>
      <selection pane="bottomRight" activeCell="B7" sqref="B7"/>
    </sheetView>
  </sheetViews>
  <sheetFormatPr defaultColWidth="0" defaultRowHeight="12.5" zeroHeight="1"/>
  <cols>
    <col min="1" max="1" width="20.54296875" customWidth="1"/>
    <col min="2" max="2" width="16.7265625" customWidth="1"/>
    <col min="3" max="3" width="21.7265625" customWidth="1"/>
    <col min="4" max="14" width="14.54296875" customWidth="1"/>
  </cols>
  <sheetData>
    <row r="1" spans="1:14" ht="16.5" customHeight="1"/>
    <row r="2" spans="1:14" ht="16.5" customHeight="1"/>
    <row r="3" spans="1:14" ht="16.5" customHeight="1">
      <c r="A3" s="24"/>
      <c r="B3" s="25"/>
      <c r="C3" s="25"/>
      <c r="F3" s="1" t="s">
        <v>42</v>
      </c>
      <c r="H3" s="24" t="s">
        <v>784</v>
      </c>
      <c r="M3" s="1"/>
    </row>
    <row r="4" spans="1:14" ht="16.5" customHeight="1">
      <c r="A4" s="24"/>
      <c r="D4" s="25"/>
      <c r="E4" s="1"/>
    </row>
    <row r="5" spans="1:14" ht="16.5" customHeight="1">
      <c r="A5" s="1"/>
      <c r="D5" s="2">
        <f>Input!G8</f>
        <v>2024</v>
      </c>
      <c r="E5" s="2">
        <f t="shared" ref="E5:M5" si="0">D5+1</f>
        <v>2025</v>
      </c>
      <c r="F5" s="2">
        <f t="shared" si="0"/>
        <v>2026</v>
      </c>
      <c r="G5" s="2">
        <f t="shared" si="0"/>
        <v>2027</v>
      </c>
      <c r="H5" s="2">
        <f t="shared" si="0"/>
        <v>2028</v>
      </c>
      <c r="I5" s="2">
        <f t="shared" si="0"/>
        <v>2029</v>
      </c>
      <c r="J5" s="2">
        <f t="shared" si="0"/>
        <v>2030</v>
      </c>
      <c r="K5" s="2">
        <f t="shared" si="0"/>
        <v>2031</v>
      </c>
      <c r="L5" s="2">
        <f t="shared" si="0"/>
        <v>2032</v>
      </c>
      <c r="M5" s="2">
        <f t="shared" si="0"/>
        <v>2033</v>
      </c>
    </row>
    <row r="6" spans="1:14" ht="16.5" customHeight="1">
      <c r="C6" s="1"/>
      <c r="D6" s="2" t="s">
        <v>46</v>
      </c>
      <c r="E6" s="2" t="s">
        <v>46</v>
      </c>
      <c r="F6" s="2" t="s">
        <v>46</v>
      </c>
      <c r="G6" s="2" t="s">
        <v>46</v>
      </c>
      <c r="H6" s="2" t="s">
        <v>46</v>
      </c>
      <c r="I6" s="2" t="s">
        <v>46</v>
      </c>
      <c r="J6" s="2" t="s">
        <v>46</v>
      </c>
      <c r="K6" s="2" t="s">
        <v>46</v>
      </c>
      <c r="L6" s="2" t="s">
        <v>46</v>
      </c>
      <c r="M6" s="2" t="s">
        <v>46</v>
      </c>
    </row>
    <row r="7" spans="1:14" ht="13" customHeight="1">
      <c r="A7" s="30" t="s">
        <v>641</v>
      </c>
      <c r="B7" s="99"/>
      <c r="C7" t="s">
        <v>800</v>
      </c>
      <c r="D7" s="161" t="s">
        <v>801</v>
      </c>
      <c r="E7" s="1"/>
    </row>
    <row r="8" spans="1:14" ht="13" customHeight="1">
      <c r="A8" s="26" t="s">
        <v>677</v>
      </c>
      <c r="B8" s="133">
        <v>29373</v>
      </c>
      <c r="C8" s="5" t="s">
        <v>639</v>
      </c>
      <c r="D8" s="75">
        <f>IF($D7="V",Input!G$69,IF(AND($B14=D$5,Input!G$64&gt;0),Input!G$64,$B11))</f>
        <v>5.2499999999999998E-2</v>
      </c>
      <c r="E8" s="75">
        <f>IF($D7="V",Input!H$69,IF(AND($B14=E$5,Input!H$64&gt;0),Input!H$64,D8))</f>
        <v>5.2499999999999998E-2</v>
      </c>
      <c r="F8" s="75">
        <f>IF($D7="V",Input!I$69,IF(AND($B14=F$5,Input!I$64&gt;0),Input!I$64,E8))</f>
        <v>5.2499999999999998E-2</v>
      </c>
      <c r="G8" s="75">
        <f>IF($D7="V",Input!J$69,IF(AND($B14=G$5,Input!J$64&gt;0),Input!J$64,F8))</f>
        <v>5.2499999999999998E-2</v>
      </c>
      <c r="H8" s="75">
        <f>IF($D7="V",Input!K$69,IF(AND($B14=H$5,Input!K$64&gt;0),Input!K$64,G8))</f>
        <v>5.2499999999999998E-2</v>
      </c>
      <c r="I8" s="75">
        <f>IF($D7="V",Input!L$69,IF(AND($B14=I$5,Input!L$64&gt;0),Input!L$64,H8))</f>
        <v>5.2499999999999998E-2</v>
      </c>
      <c r="J8" s="75">
        <f>IF($D7="V",Input!M$69,IF(AND($B14=J$5,Input!M$64&gt;0),Input!M$64,I8))</f>
        <v>5.2499999999999998E-2</v>
      </c>
      <c r="K8" s="75">
        <f>IF($D7="V",Input!N$69,IF(AND($B14=K$5,Input!N$64&gt;0),Input!N$64,J8))</f>
        <v>5.2499999999999998E-2</v>
      </c>
      <c r="L8" s="75">
        <f>IF($D7="V",Input!O$69,IF(AND($B14=L$5,Input!O$64&gt;0),Input!O$64,K8))</f>
        <v>5.2499999999999998E-2</v>
      </c>
      <c r="M8" s="75">
        <f>IF($D7="V",Input!P$69,IF(AND($B14=M$5,Input!P$64&gt;0),Input!P$64,L8))</f>
        <v>5.2499999999999998E-2</v>
      </c>
      <c r="N8" s="5"/>
    </row>
    <row r="9" spans="1:14" ht="13" customHeight="1">
      <c r="A9" s="5" t="s">
        <v>361</v>
      </c>
      <c r="B9" s="135">
        <v>0</v>
      </c>
      <c r="C9" s="27" t="s">
        <v>173</v>
      </c>
      <c r="D9" s="136">
        <v>0</v>
      </c>
      <c r="E9" s="28">
        <f t="shared" ref="E9:M9" si="1">D14</f>
        <v>0</v>
      </c>
      <c r="F9" s="28">
        <f t="shared" si="1"/>
        <v>0</v>
      </c>
      <c r="G9" s="28">
        <f t="shared" si="1"/>
        <v>0</v>
      </c>
      <c r="H9" s="28">
        <f t="shared" si="1"/>
        <v>0</v>
      </c>
      <c r="I9" s="28">
        <f t="shared" si="1"/>
        <v>0</v>
      </c>
      <c r="J9" s="28">
        <f t="shared" si="1"/>
        <v>0</v>
      </c>
      <c r="K9" s="28">
        <f t="shared" si="1"/>
        <v>0</v>
      </c>
      <c r="L9" s="28">
        <f t="shared" si="1"/>
        <v>0</v>
      </c>
      <c r="M9" s="28">
        <f t="shared" si="1"/>
        <v>0</v>
      </c>
      <c r="N9" s="28"/>
    </row>
    <row r="10" spans="1:14" ht="13" customHeight="1">
      <c r="A10" s="26" t="s">
        <v>170</v>
      </c>
      <c r="B10" s="131">
        <v>35</v>
      </c>
      <c r="C10" s="29" t="s">
        <v>169</v>
      </c>
      <c r="D10" s="28">
        <f>D12-D11</f>
        <v>0</v>
      </c>
      <c r="E10" s="28">
        <f>E12-E11</f>
        <v>0</v>
      </c>
      <c r="F10" s="28">
        <f t="shared" ref="F10:M10" si="2">F12-F11</f>
        <v>0</v>
      </c>
      <c r="G10" s="28">
        <f t="shared" si="2"/>
        <v>0</v>
      </c>
      <c r="H10" s="28">
        <f t="shared" si="2"/>
        <v>0</v>
      </c>
      <c r="I10" s="28">
        <f t="shared" si="2"/>
        <v>0</v>
      </c>
      <c r="J10" s="28">
        <f t="shared" si="2"/>
        <v>0</v>
      </c>
      <c r="K10" s="28">
        <f t="shared" si="2"/>
        <v>0</v>
      </c>
      <c r="L10" s="28">
        <f t="shared" si="2"/>
        <v>0</v>
      </c>
      <c r="M10" s="28">
        <f t="shared" si="2"/>
        <v>0</v>
      </c>
      <c r="N10" s="28"/>
    </row>
    <row r="11" spans="1:14" ht="13" customHeight="1">
      <c r="A11" s="5" t="s">
        <v>172</v>
      </c>
      <c r="B11" s="134">
        <v>5.2499999999999998E-2</v>
      </c>
      <c r="C11" s="5" t="s">
        <v>174</v>
      </c>
      <c r="D11" s="28">
        <f>IF(AND($B13="Y",YEAR($B8)+$B10&gt;D$5),D16,IF((YEAR($B8)+$B10)&gt;D$5,FV(D8/$B12,$B12,D15),D9))</f>
        <v>0</v>
      </c>
      <c r="E11" s="28">
        <f>IF(AND($B13="Y",YEAR($B8)+$B10&gt;E$5),E16,IF((YEAR($B8)+$B10)&gt;E$5,FV(E8/$B12,$B12,E15),E9))</f>
        <v>0</v>
      </c>
      <c r="F11" s="28">
        <f t="shared" ref="F11:M11" si="3">IF(AND($B13="Y",YEAR($B8)+$B10&gt;F$5),F16,IF((YEAR($B8)+$B10)&gt;F$5,FV(F8/$B12,$B12,F15),F9))</f>
        <v>0</v>
      </c>
      <c r="G11" s="28">
        <f t="shared" si="3"/>
        <v>0</v>
      </c>
      <c r="H11" s="28">
        <f t="shared" si="3"/>
        <v>0</v>
      </c>
      <c r="I11" s="28">
        <f t="shared" si="3"/>
        <v>0</v>
      </c>
      <c r="J11" s="28">
        <f t="shared" si="3"/>
        <v>0</v>
      </c>
      <c r="K11" s="28">
        <f t="shared" si="3"/>
        <v>0</v>
      </c>
      <c r="L11" s="28">
        <f t="shared" si="3"/>
        <v>0</v>
      </c>
      <c r="M11" s="28">
        <f t="shared" si="3"/>
        <v>0</v>
      </c>
      <c r="N11" s="28"/>
    </row>
    <row r="12" spans="1:14" ht="13" customHeight="1">
      <c r="A12" s="5" t="s">
        <v>171</v>
      </c>
      <c r="B12" s="131">
        <v>4</v>
      </c>
      <c r="C12" s="78" t="s">
        <v>640</v>
      </c>
      <c r="D12" s="28">
        <f>IF(AND($B13="Y",YEAR($B8)+$B10&gt;D$5),D16+D8*(D9-D16*0.5),IF((YEAR($B8)+$B10)&gt;D$5,(D9*D8/$B12-D15)*$B12,(D9*(1+D8*MONTH($B8)/12))))</f>
        <v>0</v>
      </c>
      <c r="E12" s="28">
        <f>IF(AND($B13="Y",YEAR($B8)+$B10&gt;E$5),E16+E8*(E9-E16*0.5),IF((YEAR($B8)+$B10)&gt;E$5,(E9*E8/$B12-E15)*$B12,(E9*(1+E8*MONTH($B8)/12))))</f>
        <v>0</v>
      </c>
      <c r="F12" s="28">
        <f t="shared" ref="F12:M12" si="4">IF(AND($B13="Y",YEAR($B8)+$B10&gt;F$5),F16+F8*(F9-F16*0.5),IF((YEAR($B8)+$B10)&gt;F$5,(F9*F8/$B12-F15)*$B12,(F9*(1+F8*MONTH($B8)/12))))</f>
        <v>0</v>
      </c>
      <c r="G12" s="28">
        <f t="shared" si="4"/>
        <v>0</v>
      </c>
      <c r="H12" s="28">
        <f t="shared" si="4"/>
        <v>0</v>
      </c>
      <c r="I12" s="28">
        <f t="shared" si="4"/>
        <v>0</v>
      </c>
      <c r="J12" s="28">
        <f t="shared" si="4"/>
        <v>0</v>
      </c>
      <c r="K12" s="28">
        <f t="shared" si="4"/>
        <v>0</v>
      </c>
      <c r="L12" s="28">
        <f t="shared" si="4"/>
        <v>0</v>
      </c>
      <c r="M12" s="28">
        <f t="shared" si="4"/>
        <v>0</v>
      </c>
      <c r="N12" s="28"/>
    </row>
    <row r="13" spans="1:14" ht="13" customHeight="1">
      <c r="A13" s="5" t="s">
        <v>767</v>
      </c>
      <c r="B13" s="131" t="s">
        <v>719</v>
      </c>
      <c r="C13" s="132" t="s">
        <v>768</v>
      </c>
      <c r="D13" s="140">
        <v>0</v>
      </c>
      <c r="E13" s="140">
        <v>0</v>
      </c>
      <c r="F13" s="140">
        <v>0</v>
      </c>
      <c r="G13" s="140">
        <v>0</v>
      </c>
      <c r="H13" s="140">
        <v>0</v>
      </c>
      <c r="I13" s="140">
        <v>0</v>
      </c>
      <c r="J13" s="140">
        <v>0</v>
      </c>
      <c r="K13" s="140">
        <v>0</v>
      </c>
      <c r="L13" s="140">
        <v>0</v>
      </c>
      <c r="M13" s="140">
        <v>0</v>
      </c>
      <c r="N13" s="28"/>
    </row>
    <row r="14" spans="1:14" ht="13" customHeight="1">
      <c r="A14" s="5" t="s">
        <v>182</v>
      </c>
      <c r="B14" s="131"/>
      <c r="C14" s="30" t="s">
        <v>175</v>
      </c>
      <c r="D14" s="28">
        <f t="shared" ref="D14:M14" si="5">D9+D10-D12-D13</f>
        <v>0</v>
      </c>
      <c r="E14" s="28">
        <f t="shared" si="5"/>
        <v>0</v>
      </c>
      <c r="F14" s="28">
        <f t="shared" si="5"/>
        <v>0</v>
      </c>
      <c r="G14" s="28">
        <f t="shared" si="5"/>
        <v>0</v>
      </c>
      <c r="H14" s="28">
        <f t="shared" si="5"/>
        <v>0</v>
      </c>
      <c r="I14" s="28">
        <f t="shared" si="5"/>
        <v>0</v>
      </c>
      <c r="J14" s="28">
        <f t="shared" si="5"/>
        <v>0</v>
      </c>
      <c r="K14" s="28">
        <f t="shared" si="5"/>
        <v>0</v>
      </c>
      <c r="L14" s="28">
        <f t="shared" si="5"/>
        <v>0</v>
      </c>
      <c r="M14" s="28">
        <f t="shared" si="5"/>
        <v>0</v>
      </c>
      <c r="N14" s="28"/>
    </row>
    <row r="15" spans="1:14" s="21" customFormat="1" ht="13" hidden="1" customHeight="1">
      <c r="A15" s="5"/>
      <c r="B15" s="138"/>
      <c r="C15" s="5" t="s">
        <v>769</v>
      </c>
      <c r="D15" s="28" t="e">
        <f>PPMT(D8/$B12,1,ROUND(($B10-(D$5-YEAR($B8))+MONTH($B8)/12)*$B12,0),D9)</f>
        <v>#NUM!</v>
      </c>
      <c r="E15" s="28" t="e">
        <f>PPMT(E8/$B12,1,ROUND(($B10-(E$5-YEAR($B8))+MONTH($B8)/12)*$B12,0),E9)</f>
        <v>#NUM!</v>
      </c>
      <c r="F15" s="28" t="e">
        <f t="shared" ref="F15:M15" si="6">PPMT(F8/$B12,1,ROUND(($B10-(F$5-YEAR($B8))+MONTH($B8)/12)*$B12,0),F9)</f>
        <v>#NUM!</v>
      </c>
      <c r="G15" s="28" t="e">
        <f t="shared" si="6"/>
        <v>#NUM!</v>
      </c>
      <c r="H15" s="28" t="e">
        <f t="shared" si="6"/>
        <v>#NUM!</v>
      </c>
      <c r="I15" s="28" t="e">
        <f t="shared" si="6"/>
        <v>#NUM!</v>
      </c>
      <c r="J15" s="28" t="e">
        <f t="shared" si="6"/>
        <v>#NUM!</v>
      </c>
      <c r="K15" s="28" t="e">
        <f t="shared" si="6"/>
        <v>#NUM!</v>
      </c>
      <c r="L15" s="28" t="e">
        <f t="shared" si="6"/>
        <v>#NUM!</v>
      </c>
      <c r="M15" s="28" t="e">
        <f t="shared" si="6"/>
        <v>#NUM!</v>
      </c>
      <c r="N15" s="28"/>
    </row>
    <row r="16" spans="1:14" s="21" customFormat="1" ht="13" hidden="1" customHeight="1">
      <c r="A16" s="5"/>
      <c r="B16" s="5"/>
      <c r="C16" s="5" t="s">
        <v>770</v>
      </c>
      <c r="D16" s="28">
        <f>IF(YEAR($B8)+$B10&gt;D$5,D9/(YEAR($B8)+$B10-D$5+MONTH($B8)/12),D9)</f>
        <v>0</v>
      </c>
      <c r="E16" s="28">
        <f t="shared" ref="E16:M16" si="7">IF(YEAR($B8)+$B10&gt;E$5,E9/(YEAR($B8)+$B10-E$5+MONTH($B8)/12),E9)</f>
        <v>0</v>
      </c>
      <c r="F16" s="28">
        <f t="shared" si="7"/>
        <v>0</v>
      </c>
      <c r="G16" s="28">
        <f t="shared" si="7"/>
        <v>0</v>
      </c>
      <c r="H16" s="28">
        <f t="shared" si="7"/>
        <v>0</v>
      </c>
      <c r="I16" s="28">
        <f t="shared" si="7"/>
        <v>0</v>
      </c>
      <c r="J16" s="28">
        <f t="shared" si="7"/>
        <v>0</v>
      </c>
      <c r="K16" s="28">
        <f t="shared" si="7"/>
        <v>0</v>
      </c>
      <c r="L16" s="28">
        <f t="shared" si="7"/>
        <v>0</v>
      </c>
      <c r="M16" s="28">
        <f t="shared" si="7"/>
        <v>0</v>
      </c>
      <c r="N16" s="28"/>
    </row>
    <row r="17" spans="1:14" s="21" customFormat="1" ht="13" customHeight="1">
      <c r="A17" s="5"/>
      <c r="B17" s="5"/>
      <c r="C17" s="5"/>
      <c r="D17" s="28"/>
      <c r="E17" s="28"/>
      <c r="F17" s="28"/>
      <c r="G17" s="28"/>
      <c r="H17" s="28"/>
      <c r="I17" s="28"/>
      <c r="J17" s="28"/>
      <c r="K17" s="28"/>
      <c r="L17" s="28"/>
      <c r="M17" s="28"/>
      <c r="N17" s="28"/>
    </row>
    <row r="18" spans="1:14" ht="13" customHeight="1">
      <c r="A18" s="5"/>
      <c r="B18" s="5"/>
      <c r="C18" s="5"/>
      <c r="D18" s="28"/>
      <c r="E18" s="28"/>
      <c r="F18" s="28"/>
      <c r="G18" s="28"/>
      <c r="H18" s="28"/>
      <c r="I18" s="28"/>
      <c r="J18" s="28"/>
      <c r="K18" s="28"/>
      <c r="L18" s="28"/>
      <c r="M18" s="28"/>
      <c r="N18" s="28"/>
    </row>
    <row r="19" spans="1:14" ht="13" customHeight="1">
      <c r="A19" s="30" t="s">
        <v>642</v>
      </c>
      <c r="B19" s="99"/>
      <c r="C19" t="s">
        <v>800</v>
      </c>
      <c r="D19" s="161" t="s">
        <v>801</v>
      </c>
      <c r="E19" s="1"/>
      <c r="N19" s="28"/>
    </row>
    <row r="20" spans="1:14" ht="13" customHeight="1">
      <c r="A20" s="26" t="s">
        <v>677</v>
      </c>
      <c r="B20" s="133">
        <v>29373</v>
      </c>
      <c r="C20" s="5" t="s">
        <v>639</v>
      </c>
      <c r="D20" s="75">
        <f>IF($D19="V",Input!G$69,IF(AND($B26=D$5,Input!G$64&gt;0),Input!G$64,$B23))</f>
        <v>5.2499999999999998E-2</v>
      </c>
      <c r="E20" s="75">
        <f>IF($D19="V",Input!H$69,IF(AND($B26=E$5,Input!H$64&gt;0),Input!H$64,D20))</f>
        <v>5.2499999999999998E-2</v>
      </c>
      <c r="F20" s="75">
        <f>IF($D19="V",Input!I$69,IF(AND($B26=F$5,Input!I$64&gt;0),Input!I$64,E20))</f>
        <v>5.2499999999999998E-2</v>
      </c>
      <c r="G20" s="75">
        <f>IF($D19="V",Input!J$69,IF(AND($B26=G$5,Input!J$64&gt;0),Input!J$64,F20))</f>
        <v>5.2499999999999998E-2</v>
      </c>
      <c r="H20" s="75">
        <f>IF($D19="V",Input!K$69,IF(AND($B26=H$5,Input!K$64&gt;0),Input!K$64,G20))</f>
        <v>5.2499999999999998E-2</v>
      </c>
      <c r="I20" s="75">
        <f>IF($D19="V",Input!L$69,IF(AND($B26=I$5,Input!L$64&gt;0),Input!L$64,H20))</f>
        <v>5.2499999999999998E-2</v>
      </c>
      <c r="J20" s="75">
        <f>IF($D19="V",Input!M$69,IF(AND($B26=J$5,Input!M$64&gt;0),Input!M$64,I20))</f>
        <v>5.2499999999999998E-2</v>
      </c>
      <c r="K20" s="75">
        <f>IF($D19="V",Input!N$69,IF(AND($B26=K$5,Input!N$64&gt;0),Input!N$64,J20))</f>
        <v>5.2499999999999998E-2</v>
      </c>
      <c r="L20" s="75">
        <f>IF($D19="V",Input!O$69,IF(AND($B26=L$5,Input!O$64&gt;0),Input!O$64,K20))</f>
        <v>5.2499999999999998E-2</v>
      </c>
      <c r="M20" s="75">
        <f>IF($D19="V",Input!P$69,IF(AND($B26=M$5,Input!P$64&gt;0),Input!P$64,L20))</f>
        <v>5.2499999999999998E-2</v>
      </c>
      <c r="N20" s="5"/>
    </row>
    <row r="21" spans="1:14" ht="13" customHeight="1">
      <c r="A21" s="5" t="s">
        <v>361</v>
      </c>
      <c r="B21" s="135">
        <v>0</v>
      </c>
      <c r="C21" s="27" t="s">
        <v>173</v>
      </c>
      <c r="D21" s="140">
        <v>0</v>
      </c>
      <c r="E21" s="28">
        <f t="shared" ref="E21:M21" si="8">D26</f>
        <v>0</v>
      </c>
      <c r="F21" s="28">
        <f t="shared" si="8"/>
        <v>0</v>
      </c>
      <c r="G21" s="28">
        <f t="shared" si="8"/>
        <v>0</v>
      </c>
      <c r="H21" s="28">
        <f t="shared" si="8"/>
        <v>0</v>
      </c>
      <c r="I21" s="28">
        <f t="shared" si="8"/>
        <v>0</v>
      </c>
      <c r="J21" s="28">
        <f t="shared" si="8"/>
        <v>0</v>
      </c>
      <c r="K21" s="28">
        <f t="shared" si="8"/>
        <v>0</v>
      </c>
      <c r="L21" s="28">
        <f t="shared" si="8"/>
        <v>0</v>
      </c>
      <c r="M21" s="28">
        <f t="shared" si="8"/>
        <v>0</v>
      </c>
      <c r="N21" s="28"/>
    </row>
    <row r="22" spans="1:14" ht="13" customHeight="1">
      <c r="A22" s="26" t="s">
        <v>170</v>
      </c>
      <c r="B22" s="131">
        <v>35</v>
      </c>
      <c r="C22" s="29" t="s">
        <v>169</v>
      </c>
      <c r="D22" s="28">
        <f>D24-D23</f>
        <v>0</v>
      </c>
      <c r="E22" s="28">
        <f>E24-E23</f>
        <v>0</v>
      </c>
      <c r="F22" s="28">
        <f>F24-F23</f>
        <v>0</v>
      </c>
      <c r="G22" s="28">
        <f>G24-G23</f>
        <v>0</v>
      </c>
      <c r="H22" s="28">
        <f t="shared" ref="H22:M22" si="9">H24-H23</f>
        <v>0</v>
      </c>
      <c r="I22" s="28">
        <f t="shared" si="9"/>
        <v>0</v>
      </c>
      <c r="J22" s="28">
        <f t="shared" si="9"/>
        <v>0</v>
      </c>
      <c r="K22" s="28">
        <f t="shared" si="9"/>
        <v>0</v>
      </c>
      <c r="L22" s="28">
        <f t="shared" si="9"/>
        <v>0</v>
      </c>
      <c r="M22" s="28">
        <f t="shared" si="9"/>
        <v>0</v>
      </c>
      <c r="N22" s="28"/>
    </row>
    <row r="23" spans="1:14" ht="13" customHeight="1">
      <c r="A23" s="5" t="s">
        <v>172</v>
      </c>
      <c r="B23" s="134">
        <f>B11</f>
        <v>5.2499999999999998E-2</v>
      </c>
      <c r="C23" s="5" t="s">
        <v>174</v>
      </c>
      <c r="D23" s="28">
        <f>IF(AND($B25="Y",YEAR($B20)+$B22&gt;D$5),D28,IF((YEAR($B20)+$B22)&gt;D$5,FV(D20/$B24,$B24,D27),D21))</f>
        <v>0</v>
      </c>
      <c r="E23" s="28">
        <f>IF(AND($B25="Y",YEAR($B20)+$B22&gt;E$5),E28,IF((YEAR($B20)+$B22)&gt;E$5,FV(E20/$B24,$B24,E27),E21))</f>
        <v>0</v>
      </c>
      <c r="F23" s="28">
        <f>IF(AND($B25="Y",YEAR($B20)+$B22&gt;F$5),F28,IF((YEAR($B20)+$B22)&gt;F$5,FV(F20/$B24,$B24,F27),F21))</f>
        <v>0</v>
      </c>
      <c r="G23" s="28">
        <f>IF(AND($B25="Y",YEAR($B20)+$B22&gt;G$5),G28,IF((YEAR($B20)+$B22)&gt;G$5,FV(G20/$B24,$B24,G27),G21))</f>
        <v>0</v>
      </c>
      <c r="H23" s="28">
        <f t="shared" ref="H23:M23" si="10">IF(AND($B25="Y",YEAR($B20)+$B22&gt;H$5),H28,IF((YEAR($B20)+$B22)&gt;H$5,FV(H20/$B24,$B24,H27),H21))</f>
        <v>0</v>
      </c>
      <c r="I23" s="28">
        <f t="shared" si="10"/>
        <v>0</v>
      </c>
      <c r="J23" s="28">
        <f t="shared" si="10"/>
        <v>0</v>
      </c>
      <c r="K23" s="28">
        <f t="shared" si="10"/>
        <v>0</v>
      </c>
      <c r="L23" s="28">
        <f t="shared" si="10"/>
        <v>0</v>
      </c>
      <c r="M23" s="28">
        <f t="shared" si="10"/>
        <v>0</v>
      </c>
      <c r="N23" s="28"/>
    </row>
    <row r="24" spans="1:14" ht="13" customHeight="1">
      <c r="A24" s="5" t="s">
        <v>171</v>
      </c>
      <c r="B24" s="131">
        <v>4</v>
      </c>
      <c r="C24" s="78" t="s">
        <v>640</v>
      </c>
      <c r="D24" s="28">
        <f>IF(AND($B25="Y",YEAR($B20)+$B22&gt;D$5),D28+D20*(D21-D28*0.5),IF((YEAR($B20)+$B22)&gt;D$5,(D21*D20/$B24-D27)*$B24,(D21*(1+D20*MONTH($B20)/12))))</f>
        <v>0</v>
      </c>
      <c r="E24" s="28">
        <f>IF(AND($B25="Y",YEAR($B20)+$B22&gt;E$5),E28+E20*(E21-E28*0.5),IF((YEAR($B20)+$B22)&gt;E$5,(E21*E20/$B24-E27)*$B24,(E21*(1+E20*MONTH($B20)/12))))</f>
        <v>0</v>
      </c>
      <c r="F24" s="28">
        <f>IF(AND($B25="Y",YEAR($B20)+$B22&gt;F$5),F28+F20*(F21-F28*0.5),IF((YEAR($B20)+$B22)&gt;F$5,(F21*F20/$B24-F27)*$B24,(F21*(1+F20*MONTH($B20)/12))))</f>
        <v>0</v>
      </c>
      <c r="G24" s="28">
        <f>IF(AND($B25="Y",YEAR($B20)+$B22&gt;G$5),G28+G20*(G21-G28*0.5),IF((YEAR($B20)+$B22)&gt;G$5,(G21*G20/$B24-G27)*$B24,(G21*(1+G20*MONTH($B20)/12))))</f>
        <v>0</v>
      </c>
      <c r="H24" s="28">
        <f t="shared" ref="H24:M24" si="11">IF(AND($B25="Y",YEAR($B20)+$B22&gt;H$5),H28+H20*(H21-H28*0.5),IF((YEAR($B20)+$B22)&gt;H$5,(H21*H20/$B24-H27)*$B24,(H21*(1+H20*MONTH($B20)/12))))</f>
        <v>0</v>
      </c>
      <c r="I24" s="28">
        <f t="shared" si="11"/>
        <v>0</v>
      </c>
      <c r="J24" s="28">
        <f t="shared" si="11"/>
        <v>0</v>
      </c>
      <c r="K24" s="28">
        <f t="shared" si="11"/>
        <v>0</v>
      </c>
      <c r="L24" s="28">
        <f t="shared" si="11"/>
        <v>0</v>
      </c>
      <c r="M24" s="28">
        <f t="shared" si="11"/>
        <v>0</v>
      </c>
      <c r="N24" s="28"/>
    </row>
    <row r="25" spans="1:14" ht="13" customHeight="1">
      <c r="A25" s="5" t="s">
        <v>767</v>
      </c>
      <c r="B25" s="131" t="s">
        <v>719</v>
      </c>
      <c r="C25" s="132" t="s">
        <v>768</v>
      </c>
      <c r="D25" s="140">
        <v>0</v>
      </c>
      <c r="E25" s="140">
        <v>0</v>
      </c>
      <c r="F25" s="140">
        <v>0</v>
      </c>
      <c r="G25" s="140">
        <v>0</v>
      </c>
      <c r="H25" s="140">
        <v>0</v>
      </c>
      <c r="I25" s="140">
        <v>0</v>
      </c>
      <c r="J25" s="140">
        <v>0</v>
      </c>
      <c r="K25" s="140">
        <v>0</v>
      </c>
      <c r="L25" s="140">
        <v>0</v>
      </c>
      <c r="M25" s="140">
        <v>0</v>
      </c>
      <c r="N25" s="28"/>
    </row>
    <row r="26" spans="1:14" ht="13" customHeight="1">
      <c r="A26" s="5" t="s">
        <v>182</v>
      </c>
      <c r="B26" s="131"/>
      <c r="C26" s="30" t="s">
        <v>175</v>
      </c>
      <c r="D26" s="28">
        <f t="shared" ref="D26:M26" si="12">D21+D22-D24-D25</f>
        <v>0</v>
      </c>
      <c r="E26" s="28">
        <f t="shared" si="12"/>
        <v>0</v>
      </c>
      <c r="F26" s="28">
        <f t="shared" si="12"/>
        <v>0</v>
      </c>
      <c r="G26" s="28">
        <f t="shared" si="12"/>
        <v>0</v>
      </c>
      <c r="H26" s="28">
        <f t="shared" si="12"/>
        <v>0</v>
      </c>
      <c r="I26" s="28">
        <f t="shared" si="12"/>
        <v>0</v>
      </c>
      <c r="J26" s="28">
        <f t="shared" si="12"/>
        <v>0</v>
      </c>
      <c r="K26" s="28">
        <f t="shared" si="12"/>
        <v>0</v>
      </c>
      <c r="L26" s="28">
        <f t="shared" si="12"/>
        <v>0</v>
      </c>
      <c r="M26" s="28">
        <f t="shared" si="12"/>
        <v>0</v>
      </c>
      <c r="N26" s="28"/>
    </row>
    <row r="27" spans="1:14" ht="13" hidden="1" customHeight="1">
      <c r="A27" s="5"/>
      <c r="B27" s="138"/>
      <c r="C27" s="5" t="s">
        <v>769</v>
      </c>
      <c r="D27" s="28" t="e">
        <f>PPMT(D20/$B24,1,ROUND(($B22-(D$5-YEAR($B20))+MONTH($B20)/12)*$B24,0),D21)</f>
        <v>#NUM!</v>
      </c>
      <c r="E27" s="28" t="e">
        <f>PPMT(E20/$B24,1,ROUND(($B22-(E$5-YEAR($B20))+MONTH($B20)/12)*$B24,0),E21)</f>
        <v>#NUM!</v>
      </c>
      <c r="F27" s="28" t="e">
        <f>PPMT(F20/$B24,1,ROUND(($B22-(F$5-YEAR($B20))+MONTH($B20)/12)*$B24,0),F21)</f>
        <v>#NUM!</v>
      </c>
      <c r="G27" s="28" t="e">
        <f>PPMT(G20/$B24,1,ROUND(($B22-(G$5-YEAR($B20))+MONTH($B20)/12)*$B24,0),G21)</f>
        <v>#NUM!</v>
      </c>
      <c r="H27" s="28" t="e">
        <f t="shared" ref="H27:M27" si="13">PPMT(H20/$B24,1,ROUND(($B22-(H$5-YEAR($B20))+MONTH($B20)/12)*$B24,0),H21)</f>
        <v>#NUM!</v>
      </c>
      <c r="I27" s="28" t="e">
        <f t="shared" si="13"/>
        <v>#NUM!</v>
      </c>
      <c r="J27" s="28" t="e">
        <f t="shared" si="13"/>
        <v>#NUM!</v>
      </c>
      <c r="K27" s="28" t="e">
        <f t="shared" si="13"/>
        <v>#NUM!</v>
      </c>
      <c r="L27" s="28" t="e">
        <f t="shared" si="13"/>
        <v>#NUM!</v>
      </c>
      <c r="M27" s="28" t="e">
        <f t="shared" si="13"/>
        <v>#NUM!</v>
      </c>
      <c r="N27" s="28"/>
    </row>
    <row r="28" spans="1:14" ht="13" hidden="1" customHeight="1">
      <c r="A28" s="5"/>
      <c r="B28" s="5"/>
      <c r="C28" s="5" t="s">
        <v>770</v>
      </c>
      <c r="D28" s="28">
        <f>IF(YEAR($B20)+$B22&gt;D$5,D21/(YEAR($B20)+$B22-D$5+MONTH($B20)/12),D21)</f>
        <v>0</v>
      </c>
      <c r="E28" s="28">
        <f>IF(YEAR($B20)+$B22&gt;E$5,E21/(YEAR($B20)+$B22-E$5+MONTH($B20)/12),E21)</f>
        <v>0</v>
      </c>
      <c r="F28" s="28">
        <f>IF(YEAR($B20)+$B22&gt;F$5,F21/(YEAR($B20)+$B22-F$5+MONTH($B20)/12),F21)</f>
        <v>0</v>
      </c>
      <c r="G28" s="28">
        <f t="shared" ref="G28:M28" si="14">IF(YEAR($B20)+$B22&gt;G$5,G21/(YEAR($B20)+$B22-G$5+MONTH($B20)/12),G21)</f>
        <v>0</v>
      </c>
      <c r="H28" s="28">
        <f t="shared" si="14"/>
        <v>0</v>
      </c>
      <c r="I28" s="28">
        <f t="shared" si="14"/>
        <v>0</v>
      </c>
      <c r="J28" s="28">
        <f t="shared" si="14"/>
        <v>0</v>
      </c>
      <c r="K28" s="28">
        <f t="shared" si="14"/>
        <v>0</v>
      </c>
      <c r="L28" s="28">
        <f t="shared" si="14"/>
        <v>0</v>
      </c>
      <c r="M28" s="28">
        <f t="shared" si="14"/>
        <v>0</v>
      </c>
      <c r="N28" s="28"/>
    </row>
    <row r="29" spans="1:14" ht="13" customHeight="1">
      <c r="A29" s="5"/>
      <c r="B29" s="5"/>
      <c r="C29" s="5"/>
      <c r="D29" s="28"/>
      <c r="E29" s="28"/>
      <c r="F29" s="28"/>
      <c r="G29" s="28"/>
      <c r="H29" s="28"/>
      <c r="I29" s="28"/>
      <c r="J29" s="28"/>
      <c r="K29" s="28"/>
      <c r="L29" s="28"/>
      <c r="M29" s="28"/>
      <c r="N29" s="28"/>
    </row>
    <row r="30" spans="1:14" ht="13" customHeight="1">
      <c r="A30" s="5"/>
      <c r="B30" s="5"/>
      <c r="C30" s="5"/>
      <c r="D30" s="28"/>
      <c r="E30" s="28"/>
      <c r="F30" s="28"/>
      <c r="G30" s="28"/>
      <c r="H30" s="28"/>
      <c r="I30" s="28"/>
      <c r="J30" s="28"/>
      <c r="K30" s="28"/>
      <c r="L30" s="28"/>
      <c r="M30" s="28"/>
      <c r="N30" s="28"/>
    </row>
    <row r="31" spans="1:14" ht="13" customHeight="1">
      <c r="A31" s="30" t="s">
        <v>643</v>
      </c>
      <c r="B31" s="99"/>
      <c r="C31" t="s">
        <v>800</v>
      </c>
      <c r="D31" s="161" t="s">
        <v>801</v>
      </c>
      <c r="E31" s="1"/>
      <c r="N31" s="28"/>
    </row>
    <row r="32" spans="1:14" ht="13" customHeight="1">
      <c r="A32" s="26" t="s">
        <v>677</v>
      </c>
      <c r="B32" s="133">
        <v>29373</v>
      </c>
      <c r="C32" s="5" t="s">
        <v>639</v>
      </c>
      <c r="D32" s="75">
        <f>IF($D31="V",Input!G$69,IF(AND($B38=D$5,Input!G$64&gt;0),Input!G$64,$B35))</f>
        <v>5.2499999999999998E-2</v>
      </c>
      <c r="E32" s="75">
        <f>IF($D31="V",Input!H$69,IF(AND($B38=E$5,Input!H$64&gt;0),Input!H$64,D32))</f>
        <v>5.2499999999999998E-2</v>
      </c>
      <c r="F32" s="75">
        <f>IF($D31="V",Input!I$69,IF(AND($B38=F$5,Input!I$64&gt;0),Input!I$64,E32))</f>
        <v>5.2499999999999998E-2</v>
      </c>
      <c r="G32" s="75">
        <f>IF($D31="V",Input!J$69,IF(AND($B38=G$5,Input!J$64&gt;0),Input!J$64,F32))</f>
        <v>5.2499999999999998E-2</v>
      </c>
      <c r="H32" s="75">
        <f>IF($D31="V",Input!K$69,IF(AND($B38=H$5,Input!K$64&gt;0),Input!K$64,G32))</f>
        <v>5.2499999999999998E-2</v>
      </c>
      <c r="I32" s="75">
        <f>IF($D31="V",Input!L$69,IF(AND($B38=I$5,Input!L$64&gt;0),Input!L$64,H32))</f>
        <v>5.2499999999999998E-2</v>
      </c>
      <c r="J32" s="75">
        <f>IF($D31="V",Input!M$69,IF(AND($B38=J$5,Input!M$64&gt;0),Input!M$64,I32))</f>
        <v>5.2499999999999998E-2</v>
      </c>
      <c r="K32" s="75">
        <f>IF($D31="V",Input!N$69,IF(AND($B38=K$5,Input!N$64&gt;0),Input!N$64,J32))</f>
        <v>5.2499999999999998E-2</v>
      </c>
      <c r="L32" s="75">
        <f>IF($D31="V",Input!O$69,IF(AND($B38=L$5,Input!O$64&gt;0),Input!O$64,K32))</f>
        <v>5.2499999999999998E-2</v>
      </c>
      <c r="M32" s="75">
        <f>IF($D31="V",Input!P$69,IF(AND($B38=M$5,Input!P$64&gt;0),Input!P$64,L32))</f>
        <v>5.2499999999999998E-2</v>
      </c>
    </row>
    <row r="33" spans="1:14" ht="13" customHeight="1">
      <c r="A33" s="5" t="s">
        <v>361</v>
      </c>
      <c r="B33" s="135">
        <v>0</v>
      </c>
      <c r="C33" s="27" t="s">
        <v>173</v>
      </c>
      <c r="D33" s="140">
        <v>0</v>
      </c>
      <c r="E33" s="28">
        <f t="shared" ref="E33:M33" si="15">D38</f>
        <v>0</v>
      </c>
      <c r="F33" s="28">
        <f t="shared" si="15"/>
        <v>0</v>
      </c>
      <c r="G33" s="28">
        <f t="shared" si="15"/>
        <v>0</v>
      </c>
      <c r="H33" s="28">
        <f t="shared" si="15"/>
        <v>0</v>
      </c>
      <c r="I33" s="28">
        <f t="shared" si="15"/>
        <v>0</v>
      </c>
      <c r="J33" s="28">
        <f t="shared" si="15"/>
        <v>0</v>
      </c>
      <c r="K33" s="28">
        <f t="shared" si="15"/>
        <v>0</v>
      </c>
      <c r="L33" s="28">
        <f t="shared" si="15"/>
        <v>0</v>
      </c>
      <c r="M33" s="28">
        <f t="shared" si="15"/>
        <v>0</v>
      </c>
    </row>
    <row r="34" spans="1:14" ht="13" customHeight="1">
      <c r="A34" s="26" t="s">
        <v>170</v>
      </c>
      <c r="B34" s="131">
        <v>35</v>
      </c>
      <c r="C34" s="29" t="s">
        <v>169</v>
      </c>
      <c r="D34" s="28">
        <f>D36-D35</f>
        <v>0</v>
      </c>
      <c r="E34" s="28">
        <f>E36-E35</f>
        <v>0</v>
      </c>
      <c r="F34" s="28">
        <f>F36-F35</f>
        <v>0</v>
      </c>
      <c r="G34" s="28">
        <f>G36-G35</f>
        <v>0</v>
      </c>
      <c r="H34" s="28">
        <f t="shared" ref="H34:M34" si="16">H36-H35</f>
        <v>0</v>
      </c>
      <c r="I34" s="28">
        <f t="shared" si="16"/>
        <v>0</v>
      </c>
      <c r="J34" s="28">
        <f t="shared" si="16"/>
        <v>0</v>
      </c>
      <c r="K34" s="28">
        <f t="shared" si="16"/>
        <v>0</v>
      </c>
      <c r="L34" s="28">
        <f t="shared" si="16"/>
        <v>0</v>
      </c>
      <c r="M34" s="28">
        <f t="shared" si="16"/>
        <v>0</v>
      </c>
    </row>
    <row r="35" spans="1:14" ht="13" customHeight="1">
      <c r="A35" s="5" t="s">
        <v>172</v>
      </c>
      <c r="B35" s="134">
        <f>B23</f>
        <v>5.2499999999999998E-2</v>
      </c>
      <c r="C35" s="5" t="s">
        <v>174</v>
      </c>
      <c r="D35" s="28">
        <f>IF(AND($B37="Y",YEAR($B32)+$B34&gt;D$5),D40,IF((YEAR($B32)+$B34)&gt;D$5,FV(D32/$B36,$B36,D39),D33))</f>
        <v>0</v>
      </c>
      <c r="E35" s="28">
        <f>IF(AND($B37="Y",YEAR($B32)+$B34&gt;E$5),E40,IF((YEAR($B32)+$B34)&gt;E$5,FV(E32/$B36,$B36,E39),E33))</f>
        <v>0</v>
      </c>
      <c r="F35" s="28">
        <f>IF(AND($B37="Y",YEAR($B32)+$B34&gt;F$5),F40,IF((YEAR($B32)+$B34)&gt;F$5,FV(F32/$B36,$B36,F39),F33))</f>
        <v>0</v>
      </c>
      <c r="G35" s="28">
        <f>IF(AND($B37="Y",YEAR($B32)+$B34&gt;G$5),G40,IF((YEAR($B32)+$B34)&gt;G$5,FV(G32/$B36,$B36,G39),G33))</f>
        <v>0</v>
      </c>
      <c r="H35" s="28">
        <f t="shared" ref="H35:M35" si="17">IF(AND($B37="Y",YEAR($B32)+$B34&gt;H$5),H40,IF((YEAR($B32)+$B34)&gt;H$5,FV(H32/$B36,$B36,H39),H33))</f>
        <v>0</v>
      </c>
      <c r="I35" s="28">
        <f t="shared" si="17"/>
        <v>0</v>
      </c>
      <c r="J35" s="28">
        <f t="shared" si="17"/>
        <v>0</v>
      </c>
      <c r="K35" s="28">
        <f t="shared" si="17"/>
        <v>0</v>
      </c>
      <c r="L35" s="28">
        <f t="shared" si="17"/>
        <v>0</v>
      </c>
      <c r="M35" s="28">
        <f t="shared" si="17"/>
        <v>0</v>
      </c>
      <c r="N35" s="46"/>
    </row>
    <row r="36" spans="1:14" ht="13" customHeight="1">
      <c r="A36" s="5" t="s">
        <v>171</v>
      </c>
      <c r="B36" s="131">
        <v>4</v>
      </c>
      <c r="C36" s="78" t="s">
        <v>640</v>
      </c>
      <c r="D36" s="28">
        <f>IF(AND($B37="Y",YEAR($B32)+$B34&gt;D$5),D40+D32*(D33-D40*0.5),IF((YEAR($B32)+$B34)&gt;D$5,(D33*D32/$B36-D39)*$B36,(D33*(1+D32*MONTH($B32)/12))))</f>
        <v>0</v>
      </c>
      <c r="E36" s="28">
        <f>IF(AND($B37="Y",YEAR($B32)+$B34&gt;E$5),E40+E32*(E33-E40*0.5),IF((YEAR($B32)+$B34)&gt;E$5,(E33*E32/$B36-E39)*$B36,(E33*(1+E32*MONTH($B32)/12))))</f>
        <v>0</v>
      </c>
      <c r="F36" s="28">
        <f>IF(AND($B37="Y",YEAR($B32)+$B34&gt;F$5),F40+F32*(F33-F40*0.5),IF((YEAR($B32)+$B34)&gt;F$5,(F33*F32/$B36-F39)*$B36,(F33*(1+F32*MONTH($B32)/12))))</f>
        <v>0</v>
      </c>
      <c r="G36" s="28">
        <f>IF(AND($B37="Y",YEAR($B32)+$B34&gt;G$5),G40+G32*(G33-G40*0.5),IF((YEAR($B32)+$B34)&gt;G$5,(G33*G32/$B36-G39)*$B36,(G33*(1+G32*MONTH($B32)/12))))</f>
        <v>0</v>
      </c>
      <c r="H36" s="28">
        <f t="shared" ref="H36:M36" si="18">IF(AND($B37="Y",YEAR($B32)+$B34&gt;H$5),H40+H32*(H33-H40*0.5),IF((YEAR($B32)+$B34)&gt;H$5,(H33*H32/$B36-H39)*$B36,(H33*(1+H32*MONTH($B32)/12))))</f>
        <v>0</v>
      </c>
      <c r="I36" s="28">
        <f t="shared" si="18"/>
        <v>0</v>
      </c>
      <c r="J36" s="28">
        <f t="shared" si="18"/>
        <v>0</v>
      </c>
      <c r="K36" s="28">
        <f t="shared" si="18"/>
        <v>0</v>
      </c>
      <c r="L36" s="28">
        <f t="shared" si="18"/>
        <v>0</v>
      </c>
      <c r="M36" s="28">
        <f t="shared" si="18"/>
        <v>0</v>
      </c>
      <c r="N36" s="46"/>
    </row>
    <row r="37" spans="1:14" ht="13" customHeight="1">
      <c r="A37" s="5" t="s">
        <v>767</v>
      </c>
      <c r="B37" s="131" t="s">
        <v>719</v>
      </c>
      <c r="C37" s="132" t="s">
        <v>768</v>
      </c>
      <c r="D37" s="140">
        <v>0</v>
      </c>
      <c r="E37" s="140">
        <v>0</v>
      </c>
      <c r="F37" s="140">
        <v>0</v>
      </c>
      <c r="G37" s="140">
        <v>0</v>
      </c>
      <c r="H37" s="140">
        <v>0</v>
      </c>
      <c r="I37" s="140">
        <v>0</v>
      </c>
      <c r="J37" s="140">
        <v>0</v>
      </c>
      <c r="K37" s="140">
        <v>0</v>
      </c>
      <c r="L37" s="140">
        <v>0</v>
      </c>
      <c r="M37" s="140">
        <v>0</v>
      </c>
      <c r="N37" s="46"/>
    </row>
    <row r="38" spans="1:14" ht="13" customHeight="1">
      <c r="A38" s="5" t="s">
        <v>182</v>
      </c>
      <c r="B38" s="131"/>
      <c r="C38" s="30" t="s">
        <v>175</v>
      </c>
      <c r="D38" s="28">
        <f t="shared" ref="D38:M38" si="19">D33+D34-D36-D37</f>
        <v>0</v>
      </c>
      <c r="E38" s="28">
        <f t="shared" si="19"/>
        <v>0</v>
      </c>
      <c r="F38" s="28">
        <f t="shared" si="19"/>
        <v>0</v>
      </c>
      <c r="G38" s="28">
        <f t="shared" si="19"/>
        <v>0</v>
      </c>
      <c r="H38" s="28">
        <f t="shared" si="19"/>
        <v>0</v>
      </c>
      <c r="I38" s="28">
        <f t="shared" si="19"/>
        <v>0</v>
      </c>
      <c r="J38" s="28">
        <f t="shared" si="19"/>
        <v>0</v>
      </c>
      <c r="K38" s="28">
        <f t="shared" si="19"/>
        <v>0</v>
      </c>
      <c r="L38" s="28">
        <f t="shared" si="19"/>
        <v>0</v>
      </c>
      <c r="M38" s="28">
        <f t="shared" si="19"/>
        <v>0</v>
      </c>
      <c r="N38" s="46"/>
    </row>
    <row r="39" spans="1:14" ht="13" hidden="1" customHeight="1">
      <c r="A39" s="5"/>
      <c r="B39" s="138"/>
      <c r="C39" s="5" t="s">
        <v>769</v>
      </c>
      <c r="D39" s="28" t="e">
        <f>PPMT(D32/$B36,1,ROUND(($B34-(D$5-YEAR($B32))+MONTH($B32)/12)*$B36,0),D33)</f>
        <v>#NUM!</v>
      </c>
      <c r="E39" s="28" t="e">
        <f>PPMT(E32/$B36,1,ROUND(($B34-(E$5-YEAR($B32))+MONTH($B32)/12)*$B36,0),E33)</f>
        <v>#NUM!</v>
      </c>
      <c r="F39" s="28" t="e">
        <f>PPMT(F32/$B36,1,ROUND(($B34-(F$5-YEAR($B32))+MONTH($B32)/12)*$B36,0),F33)</f>
        <v>#NUM!</v>
      </c>
      <c r="G39" s="28" t="e">
        <f>PPMT(G32/$B36,1,ROUND(($B34-(G$5-YEAR($B32))+MONTH($B32)/12)*$B36,0),G33)</f>
        <v>#NUM!</v>
      </c>
      <c r="H39" s="28" t="e">
        <f t="shared" ref="H39:M39" si="20">PPMT(H32/$B36,1,ROUND(($B34-(H$5-YEAR($B32))+MONTH($B32)/12)*$B36,0),H33)</f>
        <v>#NUM!</v>
      </c>
      <c r="I39" s="28" t="e">
        <f t="shared" si="20"/>
        <v>#NUM!</v>
      </c>
      <c r="J39" s="28" t="e">
        <f t="shared" si="20"/>
        <v>#NUM!</v>
      </c>
      <c r="K39" s="28" t="e">
        <f t="shared" si="20"/>
        <v>#NUM!</v>
      </c>
      <c r="L39" s="28" t="e">
        <f t="shared" si="20"/>
        <v>#NUM!</v>
      </c>
      <c r="M39" s="28" t="e">
        <f t="shared" si="20"/>
        <v>#NUM!</v>
      </c>
      <c r="N39" s="46"/>
    </row>
    <row r="40" spans="1:14" ht="13" hidden="1" customHeight="1">
      <c r="A40" s="5"/>
      <c r="B40" s="5"/>
      <c r="C40" s="5" t="s">
        <v>770</v>
      </c>
      <c r="D40" s="28">
        <f>IF(YEAR($B32)+$B34&gt;D$5,D33/(YEAR($B32)+$B34-D$5+MONTH($B32)/12),D33)</f>
        <v>0</v>
      </c>
      <c r="E40" s="28">
        <f>IF(YEAR($B32)+$B34&gt;E$5,E33/(YEAR($B32)+$B34-E$5+MONTH($B32)/12),E33)</f>
        <v>0</v>
      </c>
      <c r="F40" s="28">
        <f>IF(YEAR($B32)+$B34&gt;F$5,F33/(YEAR($B32)+$B34-F$5+MONTH($B32)/12),F33)</f>
        <v>0</v>
      </c>
      <c r="G40" s="28">
        <f t="shared" ref="G40:M40" si="21">IF(YEAR($B32)+$B34&gt;G$5,G33/(YEAR($B32)+$B34-G$5+MONTH($B32)/12),G33)</f>
        <v>0</v>
      </c>
      <c r="H40" s="28">
        <f t="shared" si="21"/>
        <v>0</v>
      </c>
      <c r="I40" s="28">
        <f t="shared" si="21"/>
        <v>0</v>
      </c>
      <c r="J40" s="28">
        <f t="shared" si="21"/>
        <v>0</v>
      </c>
      <c r="K40" s="28">
        <f t="shared" si="21"/>
        <v>0</v>
      </c>
      <c r="L40" s="28">
        <f t="shared" si="21"/>
        <v>0</v>
      </c>
      <c r="M40" s="28">
        <f t="shared" si="21"/>
        <v>0</v>
      </c>
      <c r="N40" s="46"/>
    </row>
    <row r="41" spans="1:14" ht="13" customHeight="1">
      <c r="A41" s="5"/>
      <c r="B41" s="5"/>
      <c r="C41" s="5"/>
      <c r="D41" s="25"/>
      <c r="E41" s="1"/>
      <c r="N41" s="28"/>
    </row>
    <row r="42" spans="1:14" ht="13" customHeight="1">
      <c r="A42" s="5"/>
      <c r="B42" s="5"/>
      <c r="C42" s="5"/>
      <c r="D42" s="75"/>
      <c r="E42" s="75"/>
      <c r="F42" s="75"/>
      <c r="G42" s="75"/>
      <c r="H42" s="75"/>
      <c r="I42" s="75"/>
      <c r="J42" s="75"/>
      <c r="K42" s="75"/>
      <c r="L42" s="75"/>
      <c r="M42" s="75"/>
    </row>
    <row r="43" spans="1:14" ht="13" customHeight="1">
      <c r="A43" s="30" t="s">
        <v>644</v>
      </c>
      <c r="B43" s="99"/>
      <c r="C43" t="s">
        <v>800</v>
      </c>
      <c r="D43" s="161" t="s">
        <v>801</v>
      </c>
      <c r="E43" s="1"/>
    </row>
    <row r="44" spans="1:14" ht="13" customHeight="1">
      <c r="A44" s="26" t="s">
        <v>677</v>
      </c>
      <c r="B44" s="133">
        <v>29373</v>
      </c>
      <c r="C44" s="5" t="s">
        <v>639</v>
      </c>
      <c r="D44" s="75">
        <f>IF($D43="V",Input!G$69,IF(AND($B50=D$5,Input!G$64&gt;0),Input!G$64,$B47))</f>
        <v>5.2499999999999998E-2</v>
      </c>
      <c r="E44" s="75">
        <f>IF($D43="V",Input!H$69,IF(AND($B50=E$5,Input!H$64&gt;0),Input!H$64,D44))</f>
        <v>5.2499999999999998E-2</v>
      </c>
      <c r="F44" s="75">
        <f>IF($D43="V",Input!I$69,IF(AND($B50=F$5,Input!I$64&gt;0),Input!I$64,E44))</f>
        <v>5.2499999999999998E-2</v>
      </c>
      <c r="G44" s="75">
        <f>IF($D43="V",Input!J$69,IF(AND($B50=G$5,Input!J$64&gt;0),Input!J$64,F44))</f>
        <v>5.2499999999999998E-2</v>
      </c>
      <c r="H44" s="75">
        <f>IF($D43="V",Input!K$69,IF(AND($B50=H$5,Input!K$64&gt;0),Input!K$64,G44))</f>
        <v>5.2499999999999998E-2</v>
      </c>
      <c r="I44" s="75">
        <f>IF($D43="V",Input!L$69,IF(AND($B50=I$5,Input!L$64&gt;0),Input!L$64,H44))</f>
        <v>5.2499999999999998E-2</v>
      </c>
      <c r="J44" s="75">
        <f>IF($D43="V",Input!M$69,IF(AND($B50=J$5,Input!M$64&gt;0),Input!M$64,I44))</f>
        <v>5.2499999999999998E-2</v>
      </c>
      <c r="K44" s="75">
        <f>IF($D43="V",Input!N$69,IF(AND($B50=K$5,Input!N$64&gt;0),Input!N$64,J44))</f>
        <v>5.2499999999999998E-2</v>
      </c>
      <c r="L44" s="75">
        <f>IF($D43="V",Input!O$69,IF(AND($B50=L$5,Input!O$64&gt;0),Input!O$64,K44))</f>
        <v>5.2499999999999998E-2</v>
      </c>
      <c r="M44" s="75">
        <f>IF($D43="V",Input!P$69,IF(AND($B50=M$5,Input!P$64&gt;0),Input!P$64,L44))</f>
        <v>5.2499999999999998E-2</v>
      </c>
    </row>
    <row r="45" spans="1:14" ht="13" customHeight="1">
      <c r="A45" s="5" t="s">
        <v>361</v>
      </c>
      <c r="B45" s="135">
        <v>0</v>
      </c>
      <c r="C45" s="27" t="s">
        <v>173</v>
      </c>
      <c r="D45" s="140">
        <v>0</v>
      </c>
      <c r="E45" s="28">
        <f t="shared" ref="E45:M45" si="22">D50</f>
        <v>0</v>
      </c>
      <c r="F45" s="28">
        <f t="shared" si="22"/>
        <v>0</v>
      </c>
      <c r="G45" s="28">
        <f t="shared" si="22"/>
        <v>0</v>
      </c>
      <c r="H45" s="28">
        <f t="shared" si="22"/>
        <v>0</v>
      </c>
      <c r="I45" s="28">
        <f t="shared" si="22"/>
        <v>0</v>
      </c>
      <c r="J45" s="28">
        <f t="shared" si="22"/>
        <v>0</v>
      </c>
      <c r="K45" s="28">
        <f t="shared" si="22"/>
        <v>0</v>
      </c>
      <c r="L45" s="28">
        <f t="shared" si="22"/>
        <v>0</v>
      </c>
      <c r="M45" s="28">
        <f t="shared" si="22"/>
        <v>0</v>
      </c>
      <c r="N45" s="46"/>
    </row>
    <row r="46" spans="1:14" ht="13" customHeight="1">
      <c r="A46" s="26" t="s">
        <v>170</v>
      </c>
      <c r="B46" s="131">
        <v>35</v>
      </c>
      <c r="C46" s="29" t="s">
        <v>169</v>
      </c>
      <c r="D46" s="28">
        <f>D48-D47</f>
        <v>0</v>
      </c>
      <c r="E46" s="28">
        <f>E48-E47</f>
        <v>0</v>
      </c>
      <c r="F46" s="28">
        <f>F48-F47</f>
        <v>0</v>
      </c>
      <c r="G46" s="28">
        <f>G48-G47</f>
        <v>0</v>
      </c>
      <c r="H46" s="28">
        <f t="shared" ref="H46:M46" si="23">H48-H47</f>
        <v>0</v>
      </c>
      <c r="I46" s="28">
        <f t="shared" si="23"/>
        <v>0</v>
      </c>
      <c r="J46" s="28">
        <f t="shared" si="23"/>
        <v>0</v>
      </c>
      <c r="K46" s="28">
        <f t="shared" si="23"/>
        <v>0</v>
      </c>
      <c r="L46" s="28">
        <f t="shared" si="23"/>
        <v>0</v>
      </c>
      <c r="M46" s="28">
        <f t="shared" si="23"/>
        <v>0</v>
      </c>
      <c r="N46" s="46"/>
    </row>
    <row r="47" spans="1:14" ht="13" customHeight="1">
      <c r="A47" s="5" t="s">
        <v>172</v>
      </c>
      <c r="B47" s="134">
        <f>B35</f>
        <v>5.2499999999999998E-2</v>
      </c>
      <c r="C47" s="5" t="s">
        <v>174</v>
      </c>
      <c r="D47" s="28">
        <f>IF(AND($B49="Y",YEAR($B44)+$B46&gt;D$5),D52,IF((YEAR($B44)+$B46)&gt;D$5,FV(D44/$B48,$B48,D51),D45))</f>
        <v>0</v>
      </c>
      <c r="E47" s="28">
        <f>IF(AND($B49="Y",YEAR($B44)+$B46&gt;E$5),E52,IF((YEAR($B44)+$B46)&gt;E$5,FV(E44/$B48,$B48,E51),E45))</f>
        <v>0</v>
      </c>
      <c r="F47" s="28">
        <f>IF(AND($B49="Y",YEAR($B44)+$B46&gt;F$5),F52,IF((YEAR($B44)+$B46)&gt;F$5,FV(F44/$B48,$B48,F51),F45))</f>
        <v>0</v>
      </c>
      <c r="G47" s="28">
        <f>IF(AND($B49="Y",YEAR($B44)+$B46&gt;G$5),G52,IF((YEAR($B44)+$B46)&gt;G$5,FV(G44/$B48,$B48,G51),G45))</f>
        <v>0</v>
      </c>
      <c r="H47" s="28">
        <f t="shared" ref="H47:M47" si="24">IF(AND($B49="Y",YEAR($B44)+$B46&gt;H$5),H52,IF((YEAR($B44)+$B46)&gt;H$5,FV(H44/$B48,$B48,H51),H45))</f>
        <v>0</v>
      </c>
      <c r="I47" s="28">
        <f t="shared" si="24"/>
        <v>0</v>
      </c>
      <c r="J47" s="28">
        <f t="shared" si="24"/>
        <v>0</v>
      </c>
      <c r="K47" s="28">
        <f t="shared" si="24"/>
        <v>0</v>
      </c>
      <c r="L47" s="28">
        <f t="shared" si="24"/>
        <v>0</v>
      </c>
      <c r="M47" s="28">
        <f t="shared" si="24"/>
        <v>0</v>
      </c>
      <c r="N47" s="46"/>
    </row>
    <row r="48" spans="1:14" ht="13" customHeight="1">
      <c r="A48" s="5" t="s">
        <v>171</v>
      </c>
      <c r="B48" s="131">
        <v>4</v>
      </c>
      <c r="C48" s="78" t="s">
        <v>640</v>
      </c>
      <c r="D48" s="28">
        <f>IF(AND($B49="Y",YEAR($B44)+$B46&gt;D$5),D52+D44*(D45-D52*0.5),IF((YEAR($B44)+$B46)&gt;D$5,(D45*D44/$B48-D51)*$B48,(D45*(1+D44*MONTH($B44)/12))))</f>
        <v>0</v>
      </c>
      <c r="E48" s="28">
        <f>IF(AND($B49="Y",YEAR($B44)+$B46&gt;E$5),E52+E44*(E45-E52*0.5),IF((YEAR($B44)+$B46)&gt;E$5,(E45*E44/$B48-E51)*$B48,(E45*(1+E44*MONTH($B44)/12))))</f>
        <v>0</v>
      </c>
      <c r="F48" s="28">
        <f>IF(AND($B49="Y",YEAR($B44)+$B46&gt;F$5),F52+F44*(F45-F52*0.5),IF((YEAR($B44)+$B46)&gt;F$5,(F45*F44/$B48-F51)*$B48,(F45*(1+F44*MONTH($B44)/12))))</f>
        <v>0</v>
      </c>
      <c r="G48" s="28">
        <f>IF(AND($B49="Y",YEAR($B44)+$B46&gt;G$5),G52+G44*(G45-G52*0.5),IF((YEAR($B44)+$B46)&gt;G$5,(G45*G44/$B48-G51)*$B48,(G45*(1+G44*MONTH($B44)/12))))</f>
        <v>0</v>
      </c>
      <c r="H48" s="28">
        <f t="shared" ref="H48:M48" si="25">IF(AND($B49="Y",YEAR($B44)+$B46&gt;H$5),H52+H44*(H45-H52*0.5),IF((YEAR($B44)+$B46)&gt;H$5,(H45*H44/$B48-H51)*$B48,(H45*(1+H44*MONTH($B44)/12))))</f>
        <v>0</v>
      </c>
      <c r="I48" s="28">
        <f t="shared" si="25"/>
        <v>0</v>
      </c>
      <c r="J48" s="28">
        <f t="shared" si="25"/>
        <v>0</v>
      </c>
      <c r="K48" s="28">
        <f t="shared" si="25"/>
        <v>0</v>
      </c>
      <c r="L48" s="28">
        <f t="shared" si="25"/>
        <v>0</v>
      </c>
      <c r="M48" s="28">
        <f t="shared" si="25"/>
        <v>0</v>
      </c>
      <c r="N48" s="46"/>
    </row>
    <row r="49" spans="1:14" ht="13" customHeight="1">
      <c r="A49" s="5" t="s">
        <v>767</v>
      </c>
      <c r="B49" s="131" t="s">
        <v>719</v>
      </c>
      <c r="C49" s="132" t="s">
        <v>768</v>
      </c>
      <c r="D49" s="140">
        <v>0</v>
      </c>
      <c r="E49" s="140">
        <v>0</v>
      </c>
      <c r="F49" s="140">
        <v>0</v>
      </c>
      <c r="G49" s="140">
        <v>0</v>
      </c>
      <c r="H49" s="140">
        <v>0</v>
      </c>
      <c r="I49" s="140">
        <v>0</v>
      </c>
      <c r="J49" s="140">
        <v>0</v>
      </c>
      <c r="K49" s="140">
        <v>0</v>
      </c>
      <c r="L49" s="140">
        <v>0</v>
      </c>
      <c r="M49" s="140">
        <v>0</v>
      </c>
      <c r="N49" s="46"/>
    </row>
    <row r="50" spans="1:14" ht="13" customHeight="1">
      <c r="A50" s="5" t="s">
        <v>182</v>
      </c>
      <c r="B50" s="131"/>
      <c r="C50" s="30" t="s">
        <v>175</v>
      </c>
      <c r="D50" s="28">
        <f t="shared" ref="D50:M50" si="26">D45+D46-D48-D49</f>
        <v>0</v>
      </c>
      <c r="E50" s="28">
        <f t="shared" si="26"/>
        <v>0</v>
      </c>
      <c r="F50" s="28">
        <f t="shared" si="26"/>
        <v>0</v>
      </c>
      <c r="G50" s="28">
        <f t="shared" si="26"/>
        <v>0</v>
      </c>
      <c r="H50" s="28">
        <f t="shared" si="26"/>
        <v>0</v>
      </c>
      <c r="I50" s="28">
        <f t="shared" si="26"/>
        <v>0</v>
      </c>
      <c r="J50" s="28">
        <f t="shared" si="26"/>
        <v>0</v>
      </c>
      <c r="K50" s="28">
        <f t="shared" si="26"/>
        <v>0</v>
      </c>
      <c r="L50" s="28">
        <f t="shared" si="26"/>
        <v>0</v>
      </c>
      <c r="M50" s="28">
        <f t="shared" si="26"/>
        <v>0</v>
      </c>
      <c r="N50" s="46"/>
    </row>
    <row r="51" spans="1:14" ht="13" hidden="1" customHeight="1">
      <c r="A51" s="5"/>
      <c r="B51" s="138"/>
      <c r="C51" s="5" t="s">
        <v>769</v>
      </c>
      <c r="D51" s="28" t="e">
        <f>PPMT(D44/$B48,1,ROUND(($B46-(D$5-YEAR($B44))+MONTH($B44)/12)*$B48,0),D45)</f>
        <v>#NUM!</v>
      </c>
      <c r="E51" s="28" t="e">
        <f>PPMT(E44/$B48,1,ROUND(($B46-(E$5-YEAR($B44))+MONTH($B44)/12)*$B48,0),E45)</f>
        <v>#NUM!</v>
      </c>
      <c r="F51" s="28" t="e">
        <f>PPMT(F44/$B48,1,ROUND(($B46-(F$5-YEAR($B44))+MONTH($B44)/12)*$B48,0),F45)</f>
        <v>#NUM!</v>
      </c>
      <c r="G51" s="28" t="e">
        <f>PPMT(G44/$B48,1,ROUND(($B46-(G$5-YEAR($B44))+MONTH($B44)/12)*$B48,0),G45)</f>
        <v>#NUM!</v>
      </c>
      <c r="H51" s="28" t="e">
        <f t="shared" ref="H51:M51" si="27">PPMT(H44/$B48,1,ROUND(($B46-(H$5-YEAR($B44))+MONTH($B44)/12)*$B48,0),H45)</f>
        <v>#NUM!</v>
      </c>
      <c r="I51" s="28" t="e">
        <f t="shared" si="27"/>
        <v>#NUM!</v>
      </c>
      <c r="J51" s="28" t="e">
        <f t="shared" si="27"/>
        <v>#NUM!</v>
      </c>
      <c r="K51" s="28" t="e">
        <f t="shared" si="27"/>
        <v>#NUM!</v>
      </c>
      <c r="L51" s="28" t="e">
        <f t="shared" si="27"/>
        <v>#NUM!</v>
      </c>
      <c r="M51" s="28" t="e">
        <f t="shared" si="27"/>
        <v>#NUM!</v>
      </c>
      <c r="N51" s="28"/>
    </row>
    <row r="52" spans="1:14" ht="13" hidden="1" customHeight="1">
      <c r="A52" s="5"/>
      <c r="B52" s="5"/>
      <c r="C52" s="5" t="s">
        <v>770</v>
      </c>
      <c r="D52" s="28">
        <f>IF(YEAR($B44)+$B46&gt;D$5,D45/(YEAR($B44)+$B46-D$5+MONTH($B44)/12),D45)</f>
        <v>0</v>
      </c>
      <c r="E52" s="28">
        <f>IF(YEAR($B44)+$B46&gt;E$5,E45/(YEAR($B44)+$B46-E$5+MONTH($B44)/12),E45)</f>
        <v>0</v>
      </c>
      <c r="F52" s="28">
        <f>IF(YEAR($B44)+$B46&gt;F$5,F45/(YEAR($B44)+$B46-F$5+MONTH($B44)/12),F45)</f>
        <v>0</v>
      </c>
      <c r="G52" s="28">
        <f t="shared" ref="G52:M52" si="28">IF(YEAR($B44)+$B46&gt;G$5,G45/(YEAR($B44)+$B46-G$5+MONTH($B44)/12),G45)</f>
        <v>0</v>
      </c>
      <c r="H52" s="28">
        <f t="shared" si="28"/>
        <v>0</v>
      </c>
      <c r="I52" s="28">
        <f t="shared" si="28"/>
        <v>0</v>
      </c>
      <c r="J52" s="28">
        <f t="shared" si="28"/>
        <v>0</v>
      </c>
      <c r="K52" s="28">
        <f t="shared" si="28"/>
        <v>0</v>
      </c>
      <c r="L52" s="28">
        <f t="shared" si="28"/>
        <v>0</v>
      </c>
      <c r="M52" s="28">
        <f t="shared" si="28"/>
        <v>0</v>
      </c>
    </row>
    <row r="53" spans="1:14" ht="13" customHeight="1">
      <c r="A53" s="5"/>
      <c r="B53" s="5"/>
      <c r="C53" s="5"/>
      <c r="D53" s="33"/>
      <c r="E53" s="28"/>
      <c r="F53" s="28"/>
      <c r="G53" s="28"/>
      <c r="H53" s="28"/>
      <c r="I53" s="28"/>
      <c r="J53" s="28"/>
      <c r="K53" s="28"/>
      <c r="L53" s="28"/>
      <c r="M53" s="28"/>
    </row>
    <row r="54" spans="1:14" ht="13" customHeight="1">
      <c r="A54" s="5"/>
      <c r="B54" s="5"/>
      <c r="C54" s="5"/>
      <c r="D54" s="28"/>
      <c r="E54" s="28"/>
      <c r="F54" s="28"/>
      <c r="G54" s="28"/>
      <c r="H54" s="28"/>
      <c r="I54" s="28"/>
      <c r="J54" s="28"/>
      <c r="K54" s="28"/>
      <c r="L54" s="28"/>
      <c r="M54" s="28"/>
    </row>
    <row r="55" spans="1:14" ht="13" customHeight="1">
      <c r="A55" s="30" t="s">
        <v>645</v>
      </c>
      <c r="B55" s="99"/>
      <c r="C55" t="s">
        <v>800</v>
      </c>
      <c r="D55" s="161" t="s">
        <v>801</v>
      </c>
      <c r="E55" s="1"/>
      <c r="N55" s="46"/>
    </row>
    <row r="56" spans="1:14" ht="13" customHeight="1">
      <c r="A56" s="26" t="s">
        <v>677</v>
      </c>
      <c r="B56" s="133">
        <v>29373</v>
      </c>
      <c r="C56" s="5" t="s">
        <v>639</v>
      </c>
      <c r="D56" s="75">
        <f>IF($D55="V",Input!G$69,IF(AND($B62=D$5,Input!G$64&gt;0),Input!G$64,$B59))</f>
        <v>5.2499999999999998E-2</v>
      </c>
      <c r="E56" s="75">
        <f>IF($D55="V",Input!H$69,IF(AND($B62=E$5,Input!H$64&gt;0),Input!H$64,D56))</f>
        <v>5.2499999999999998E-2</v>
      </c>
      <c r="F56" s="75">
        <f>IF($D55="V",Input!I$69,IF(AND($B62=F$5,Input!I$64&gt;0),Input!I$64,E56))</f>
        <v>5.2499999999999998E-2</v>
      </c>
      <c r="G56" s="75">
        <f>IF($D55="V",Input!J$69,IF(AND($B62=G$5,Input!J$64&gt;0),Input!J$64,F56))</f>
        <v>5.2499999999999998E-2</v>
      </c>
      <c r="H56" s="75">
        <f>IF($D55="V",Input!K$69,IF(AND($B62=H$5,Input!K$64&gt;0),Input!K$64,G56))</f>
        <v>5.2499999999999998E-2</v>
      </c>
      <c r="I56" s="75">
        <f>IF($D55="V",Input!L$69,IF(AND($B62=I$5,Input!L$64&gt;0),Input!L$64,H56))</f>
        <v>5.2499999999999998E-2</v>
      </c>
      <c r="J56" s="75">
        <f>IF($D55="V",Input!M$69,IF(AND($B62=J$5,Input!M$64&gt;0),Input!M$64,I56))</f>
        <v>5.2499999999999998E-2</v>
      </c>
      <c r="K56" s="75">
        <f>IF($D55="V",Input!N$69,IF(AND($B62=K$5,Input!N$64&gt;0),Input!N$64,J56))</f>
        <v>5.2499999999999998E-2</v>
      </c>
      <c r="L56" s="75">
        <f>IF($D55="V",Input!O$69,IF(AND($B62=L$5,Input!O$64&gt;0),Input!O$64,K56))</f>
        <v>5.2499999999999998E-2</v>
      </c>
      <c r="M56" s="75">
        <f>IF($D55="V",Input!P$69,IF(AND($B62=M$5,Input!P$64&gt;0),Input!P$64,L56))</f>
        <v>5.2499999999999998E-2</v>
      </c>
      <c r="N56" s="46"/>
    </row>
    <row r="57" spans="1:14" ht="13" customHeight="1">
      <c r="A57" s="5" t="s">
        <v>361</v>
      </c>
      <c r="B57" s="135">
        <v>0</v>
      </c>
      <c r="C57" s="27" t="s">
        <v>173</v>
      </c>
      <c r="D57" s="140">
        <v>0</v>
      </c>
      <c r="E57" s="28">
        <f t="shared" ref="E57:M57" si="29">D62</f>
        <v>0</v>
      </c>
      <c r="F57" s="28">
        <f t="shared" si="29"/>
        <v>0</v>
      </c>
      <c r="G57" s="28">
        <f t="shared" si="29"/>
        <v>0</v>
      </c>
      <c r="H57" s="28">
        <f t="shared" si="29"/>
        <v>0</v>
      </c>
      <c r="I57" s="28">
        <f t="shared" si="29"/>
        <v>0</v>
      </c>
      <c r="J57" s="28">
        <f t="shared" si="29"/>
        <v>0</v>
      </c>
      <c r="K57" s="28">
        <f t="shared" si="29"/>
        <v>0</v>
      </c>
      <c r="L57" s="28">
        <f t="shared" si="29"/>
        <v>0</v>
      </c>
      <c r="M57" s="28">
        <f t="shared" si="29"/>
        <v>0</v>
      </c>
      <c r="N57" s="46"/>
    </row>
    <row r="58" spans="1:14" ht="13" customHeight="1">
      <c r="A58" s="26" t="s">
        <v>170</v>
      </c>
      <c r="B58" s="131">
        <v>35</v>
      </c>
      <c r="C58" s="29" t="s">
        <v>169</v>
      </c>
      <c r="D58" s="28">
        <f>D60-D59</f>
        <v>0</v>
      </c>
      <c r="E58" s="28">
        <f>E60-E59</f>
        <v>0</v>
      </c>
      <c r="F58" s="28">
        <f>F60-F59</f>
        <v>0</v>
      </c>
      <c r="G58" s="28">
        <f>G60-G59</f>
        <v>0</v>
      </c>
      <c r="H58" s="28">
        <f t="shared" ref="H58:M58" si="30">H60-H59</f>
        <v>0</v>
      </c>
      <c r="I58" s="28">
        <f t="shared" si="30"/>
        <v>0</v>
      </c>
      <c r="J58" s="28">
        <f t="shared" si="30"/>
        <v>0</v>
      </c>
      <c r="K58" s="28">
        <f t="shared" si="30"/>
        <v>0</v>
      </c>
      <c r="L58" s="28">
        <f t="shared" si="30"/>
        <v>0</v>
      </c>
      <c r="M58" s="28">
        <f t="shared" si="30"/>
        <v>0</v>
      </c>
      <c r="N58" s="46"/>
    </row>
    <row r="59" spans="1:14" ht="13" customHeight="1">
      <c r="A59" s="5" t="s">
        <v>172</v>
      </c>
      <c r="B59" s="134">
        <f>B47</f>
        <v>5.2499999999999998E-2</v>
      </c>
      <c r="C59" s="5" t="s">
        <v>174</v>
      </c>
      <c r="D59" s="28">
        <f>IF(AND($B61="Y",YEAR($B56)+$B58&gt;D$5),D64,IF((YEAR($B56)+$B58)&gt;D$5,FV(D56/$B60,$B60,D63),D57))</f>
        <v>0</v>
      </c>
      <c r="E59" s="28">
        <f>IF(AND($B61="Y",YEAR($B56)+$B58&gt;E$5),E64,IF((YEAR($B56)+$B58)&gt;E$5,FV(E56/$B60,$B60,E63),E57))</f>
        <v>0</v>
      </c>
      <c r="F59" s="28">
        <f>IF(AND($B61="Y",YEAR($B56)+$B58&gt;F$5),F64,IF((YEAR($B56)+$B58)&gt;F$5,FV(F56/$B60,$B60,F63),F57))</f>
        <v>0</v>
      </c>
      <c r="G59" s="28">
        <f>IF(AND($B61="Y",YEAR($B56)+$B58&gt;G$5),G64,IF((YEAR($B56)+$B58)&gt;G$5,FV(G56/$B60,$B60,G63),G57))</f>
        <v>0</v>
      </c>
      <c r="H59" s="28">
        <f t="shared" ref="H59:M59" si="31">IF(AND($B61="Y",YEAR($B56)+$B58&gt;H$5),H64,IF((YEAR($B56)+$B58)&gt;H$5,FV(H56/$B60,$B60,H63),H57))</f>
        <v>0</v>
      </c>
      <c r="I59" s="28">
        <f t="shared" si="31"/>
        <v>0</v>
      </c>
      <c r="J59" s="28">
        <f t="shared" si="31"/>
        <v>0</v>
      </c>
      <c r="K59" s="28">
        <f t="shared" si="31"/>
        <v>0</v>
      </c>
      <c r="L59" s="28">
        <f t="shared" si="31"/>
        <v>0</v>
      </c>
      <c r="M59" s="28">
        <f t="shared" si="31"/>
        <v>0</v>
      </c>
      <c r="N59" s="46"/>
    </row>
    <row r="60" spans="1:14" ht="13" customHeight="1">
      <c r="A60" s="5" t="s">
        <v>171</v>
      </c>
      <c r="B60" s="131">
        <v>4</v>
      </c>
      <c r="C60" s="78" t="s">
        <v>640</v>
      </c>
      <c r="D60" s="28">
        <f>IF(AND($B61="Y",YEAR($B56)+$B58&gt;D$5),D64+D56*(D57-D64*0.5),IF((YEAR($B56)+$B58)&gt;D$5,(D57*D56/$B60-D63)*$B60,(D57*(1+D56*MONTH($B56)/12))))</f>
        <v>0</v>
      </c>
      <c r="E60" s="28">
        <f>IF(AND($B61="Y",YEAR($B56)+$B58&gt;E$5),E64+E56*(E57-E64*0.5),IF((YEAR($B56)+$B58)&gt;E$5,(E57*E56/$B60-E63)*$B60,(E57*(1+E56*MONTH($B56)/12))))</f>
        <v>0</v>
      </c>
      <c r="F60" s="28">
        <f>IF(AND($B61="Y",YEAR($B56)+$B58&gt;F$5),F64+F56*(F57-F64*0.5),IF((YEAR($B56)+$B58)&gt;F$5,(F57*F56/$B60-F63)*$B60,(F57*(1+F56*MONTH($B56)/12))))</f>
        <v>0</v>
      </c>
      <c r="G60" s="28">
        <f>IF(AND($B61="Y",YEAR($B56)+$B58&gt;G$5),G64+G56*(G57-G64*0.5),IF((YEAR($B56)+$B58)&gt;G$5,(G57*G56/$B60-G63)*$B60,(G57*(1+G56*MONTH($B56)/12))))</f>
        <v>0</v>
      </c>
      <c r="H60" s="28">
        <f t="shared" ref="H60:M60" si="32">IF(AND($B61="Y",YEAR($B56)+$B58&gt;H$5),H64+H56*(H57-H64*0.5),IF((YEAR($B56)+$B58)&gt;H$5,(H57*H56/$B60-H63)*$B60,(H57*(1+H56*MONTH($B56)/12))))</f>
        <v>0</v>
      </c>
      <c r="I60" s="28">
        <f t="shared" si="32"/>
        <v>0</v>
      </c>
      <c r="J60" s="28">
        <f t="shared" si="32"/>
        <v>0</v>
      </c>
      <c r="K60" s="28">
        <f t="shared" si="32"/>
        <v>0</v>
      </c>
      <c r="L60" s="28">
        <f t="shared" si="32"/>
        <v>0</v>
      </c>
      <c r="M60" s="28">
        <f t="shared" si="32"/>
        <v>0</v>
      </c>
      <c r="N60" s="46"/>
    </row>
    <row r="61" spans="1:14" ht="13" customHeight="1">
      <c r="A61" s="5" t="s">
        <v>767</v>
      </c>
      <c r="B61" s="131" t="s">
        <v>719</v>
      </c>
      <c r="C61" s="132" t="s">
        <v>768</v>
      </c>
      <c r="D61" s="140">
        <v>0</v>
      </c>
      <c r="E61" s="140">
        <v>0</v>
      </c>
      <c r="F61" s="140">
        <v>0</v>
      </c>
      <c r="G61" s="140">
        <v>0</v>
      </c>
      <c r="H61" s="140">
        <v>0</v>
      </c>
      <c r="I61" s="140">
        <v>0</v>
      </c>
      <c r="J61" s="140">
        <v>0</v>
      </c>
      <c r="K61" s="140">
        <v>0</v>
      </c>
      <c r="L61" s="140">
        <v>0</v>
      </c>
      <c r="M61" s="140">
        <v>0</v>
      </c>
      <c r="N61" s="28"/>
    </row>
    <row r="62" spans="1:14" ht="13" customHeight="1">
      <c r="A62" s="5" t="s">
        <v>182</v>
      </c>
      <c r="B62" s="131"/>
      <c r="C62" s="30" t="s">
        <v>175</v>
      </c>
      <c r="D62" s="28">
        <f t="shared" ref="D62:M62" si="33">D57+D58-D60-D61</f>
        <v>0</v>
      </c>
      <c r="E62" s="28">
        <f t="shared" si="33"/>
        <v>0</v>
      </c>
      <c r="F62" s="28">
        <f t="shared" si="33"/>
        <v>0</v>
      </c>
      <c r="G62" s="28">
        <f t="shared" si="33"/>
        <v>0</v>
      </c>
      <c r="H62" s="28">
        <f t="shared" si="33"/>
        <v>0</v>
      </c>
      <c r="I62" s="28">
        <f t="shared" si="33"/>
        <v>0</v>
      </c>
      <c r="J62" s="28">
        <f t="shared" si="33"/>
        <v>0</v>
      </c>
      <c r="K62" s="28">
        <f t="shared" si="33"/>
        <v>0</v>
      </c>
      <c r="L62" s="28">
        <f t="shared" si="33"/>
        <v>0</v>
      </c>
      <c r="M62" s="28">
        <f t="shared" si="33"/>
        <v>0</v>
      </c>
    </row>
    <row r="63" spans="1:14" ht="13" hidden="1" customHeight="1">
      <c r="A63" s="5"/>
      <c r="B63" s="138"/>
      <c r="C63" s="5" t="s">
        <v>769</v>
      </c>
      <c r="D63" s="28" t="e">
        <f>PPMT(D56/$B60,1,ROUND(($B58-(D$5-YEAR($B56))+MONTH($B56)/12)*$B60,0),D57)</f>
        <v>#NUM!</v>
      </c>
      <c r="E63" s="28" t="e">
        <f>PPMT(E56/$B60,1,ROUND(($B58-(E$5-YEAR($B56))+MONTH($B56)/12)*$B60,0),E57)</f>
        <v>#NUM!</v>
      </c>
      <c r="F63" s="28" t="e">
        <f>PPMT(F56/$B60,1,ROUND(($B58-(F$5-YEAR($B56))+MONTH($B56)/12)*$B60,0),F57)</f>
        <v>#NUM!</v>
      </c>
      <c r="G63" s="28" t="e">
        <f>PPMT(G56/$B60,1,ROUND(($B58-(G$5-YEAR($B56))+MONTH($B56)/12)*$B60,0),G57)</f>
        <v>#NUM!</v>
      </c>
      <c r="H63" s="28" t="e">
        <f t="shared" ref="H63:M63" si="34">PPMT(H56/$B60,1,ROUND(($B58-(H$5-YEAR($B56))+MONTH($B56)/12)*$B60,0),H57)</f>
        <v>#NUM!</v>
      </c>
      <c r="I63" s="28" t="e">
        <f t="shared" si="34"/>
        <v>#NUM!</v>
      </c>
      <c r="J63" s="28" t="e">
        <f t="shared" si="34"/>
        <v>#NUM!</v>
      </c>
      <c r="K63" s="28" t="e">
        <f t="shared" si="34"/>
        <v>#NUM!</v>
      </c>
      <c r="L63" s="28" t="e">
        <f t="shared" si="34"/>
        <v>#NUM!</v>
      </c>
      <c r="M63" s="28" t="e">
        <f t="shared" si="34"/>
        <v>#NUM!</v>
      </c>
    </row>
    <row r="64" spans="1:14" ht="13" hidden="1" customHeight="1">
      <c r="A64" s="5"/>
      <c r="B64" s="5"/>
      <c r="C64" s="5" t="s">
        <v>770</v>
      </c>
      <c r="D64" s="28">
        <f>IF(YEAR($B56)+$B58&gt;D$5,D57/(YEAR($B56)+$B58-D$5+MONTH($B56)/12),D57)</f>
        <v>0</v>
      </c>
      <c r="E64" s="28">
        <f>IF(YEAR($B56)+$B58&gt;E$5,E57/(YEAR($B56)+$B58-E$5+MONTH($B56)/12),E57)</f>
        <v>0</v>
      </c>
      <c r="F64" s="28">
        <f>IF(YEAR($B56)+$B58&gt;F$5,F57/(YEAR($B56)+$B58-F$5+MONTH($B56)/12),F57)</f>
        <v>0</v>
      </c>
      <c r="G64" s="28">
        <f t="shared" ref="G64:M64" si="35">IF(YEAR($B56)+$B58&gt;G$5,G57/(YEAR($B56)+$B58-G$5+MONTH($B56)/12),G57)</f>
        <v>0</v>
      </c>
      <c r="H64" s="28">
        <f t="shared" si="35"/>
        <v>0</v>
      </c>
      <c r="I64" s="28">
        <f t="shared" si="35"/>
        <v>0</v>
      </c>
      <c r="J64" s="28">
        <f t="shared" si="35"/>
        <v>0</v>
      </c>
      <c r="K64" s="28">
        <f t="shared" si="35"/>
        <v>0</v>
      </c>
      <c r="L64" s="28">
        <f t="shared" si="35"/>
        <v>0</v>
      </c>
      <c r="M64" s="28">
        <f t="shared" si="35"/>
        <v>0</v>
      </c>
    </row>
    <row r="65" spans="1:14" ht="13" customHeight="1">
      <c r="A65" s="5"/>
      <c r="B65" s="5"/>
      <c r="C65" s="5"/>
      <c r="D65" s="28"/>
      <c r="E65" s="28"/>
      <c r="F65" s="28"/>
      <c r="G65" s="28"/>
      <c r="H65" s="28"/>
      <c r="I65" s="28"/>
      <c r="J65" s="28"/>
      <c r="K65" s="28"/>
      <c r="L65" s="28"/>
      <c r="M65" s="28"/>
      <c r="N65" s="46"/>
    </row>
    <row r="66" spans="1:14" ht="13" customHeight="1">
      <c r="A66" s="5"/>
      <c r="B66" s="5"/>
      <c r="C66" s="5"/>
      <c r="D66" s="28"/>
      <c r="E66" s="28"/>
      <c r="F66" s="28"/>
      <c r="G66" s="28"/>
      <c r="H66" s="28"/>
      <c r="I66" s="28"/>
      <c r="J66" s="28"/>
      <c r="K66" s="28"/>
      <c r="L66" s="28"/>
      <c r="M66" s="28"/>
      <c r="N66" s="46"/>
    </row>
    <row r="67" spans="1:14" ht="13" customHeight="1">
      <c r="A67" s="30" t="s">
        <v>646</v>
      </c>
      <c r="B67" s="99"/>
      <c r="C67" t="s">
        <v>800</v>
      </c>
      <c r="D67" s="161" t="s">
        <v>801</v>
      </c>
      <c r="E67" s="1"/>
      <c r="N67" s="46"/>
    </row>
    <row r="68" spans="1:14" ht="13" customHeight="1">
      <c r="A68" s="26" t="s">
        <v>677</v>
      </c>
      <c r="B68" s="133">
        <v>29373</v>
      </c>
      <c r="C68" s="5" t="s">
        <v>639</v>
      </c>
      <c r="D68" s="75">
        <f>IF($D67="V",Input!G$69,IF(AND($B74=D$5,Input!G$64&gt;0),Input!G$64,$B71))</f>
        <v>5.2499999999999998E-2</v>
      </c>
      <c r="E68" s="75">
        <f>IF($D67="V",Input!H$69,IF(AND($B74=E$5,Input!H$64&gt;0),Input!H$64,D68))</f>
        <v>5.2499999999999998E-2</v>
      </c>
      <c r="F68" s="75">
        <f>IF($D67="V",Input!I$69,IF(AND($B74=F$5,Input!I$64&gt;0),Input!I$64,E68))</f>
        <v>5.2499999999999998E-2</v>
      </c>
      <c r="G68" s="75">
        <f>IF($D67="V",Input!J$69,IF(AND($B74=G$5,Input!J$64&gt;0),Input!J$64,F68))</f>
        <v>5.2499999999999998E-2</v>
      </c>
      <c r="H68" s="75">
        <f>IF($D67="V",Input!K$69,IF(AND($B74=H$5,Input!K$64&gt;0),Input!K$64,G68))</f>
        <v>5.2499999999999998E-2</v>
      </c>
      <c r="I68" s="75">
        <f>IF($D67="V",Input!L$69,IF(AND($B74=I$5,Input!L$64&gt;0),Input!L$64,H68))</f>
        <v>5.2499999999999998E-2</v>
      </c>
      <c r="J68" s="75">
        <f>IF($D67="V",Input!M$69,IF(AND($B74=J$5,Input!M$64&gt;0),Input!M$64,I68))</f>
        <v>5.2499999999999998E-2</v>
      </c>
      <c r="K68" s="75">
        <f>IF($D67="V",Input!N$69,IF(AND($B74=K$5,Input!N$64&gt;0),Input!N$64,J68))</f>
        <v>5.2499999999999998E-2</v>
      </c>
      <c r="L68" s="75">
        <f>IF($D67="V",Input!O$69,IF(AND($B74=L$5,Input!O$64&gt;0),Input!O$64,K68))</f>
        <v>5.2499999999999998E-2</v>
      </c>
      <c r="M68" s="75">
        <f>IF($D67="V",Input!P$69,IF(AND($B74=M$5,Input!P$64&gt;0),Input!P$64,L68))</f>
        <v>5.2499999999999998E-2</v>
      </c>
      <c r="N68" s="46"/>
    </row>
    <row r="69" spans="1:14" ht="13" customHeight="1">
      <c r="A69" s="5" t="s">
        <v>361</v>
      </c>
      <c r="B69" s="135">
        <v>0</v>
      </c>
      <c r="C69" s="27" t="s">
        <v>173</v>
      </c>
      <c r="D69" s="140">
        <v>0</v>
      </c>
      <c r="E69" s="28">
        <f t="shared" ref="E69:M69" si="36">D74</f>
        <v>0</v>
      </c>
      <c r="F69" s="28">
        <f t="shared" si="36"/>
        <v>0</v>
      </c>
      <c r="G69" s="28">
        <f t="shared" si="36"/>
        <v>0</v>
      </c>
      <c r="H69" s="28">
        <f t="shared" si="36"/>
        <v>0</v>
      </c>
      <c r="I69" s="28">
        <f t="shared" si="36"/>
        <v>0</v>
      </c>
      <c r="J69" s="28">
        <f t="shared" si="36"/>
        <v>0</v>
      </c>
      <c r="K69" s="28">
        <f t="shared" si="36"/>
        <v>0</v>
      </c>
      <c r="L69" s="28">
        <f t="shared" si="36"/>
        <v>0</v>
      </c>
      <c r="M69" s="28">
        <f t="shared" si="36"/>
        <v>0</v>
      </c>
      <c r="N69" s="46"/>
    </row>
    <row r="70" spans="1:14" ht="13" customHeight="1">
      <c r="A70" s="26" t="s">
        <v>170</v>
      </c>
      <c r="B70" s="131">
        <v>35</v>
      </c>
      <c r="C70" s="29" t="s">
        <v>169</v>
      </c>
      <c r="D70" s="28">
        <f>D72-D71</f>
        <v>0</v>
      </c>
      <c r="E70" s="28">
        <f>E72-E71</f>
        <v>0</v>
      </c>
      <c r="F70" s="28">
        <f>F72-F71</f>
        <v>0</v>
      </c>
      <c r="G70" s="28">
        <f>G72-G71</f>
        <v>0</v>
      </c>
      <c r="H70" s="28">
        <f t="shared" ref="H70:M70" si="37">H72-H71</f>
        <v>0</v>
      </c>
      <c r="I70" s="28">
        <f t="shared" si="37"/>
        <v>0</v>
      </c>
      <c r="J70" s="28">
        <f t="shared" si="37"/>
        <v>0</v>
      </c>
      <c r="K70" s="28">
        <f t="shared" si="37"/>
        <v>0</v>
      </c>
      <c r="L70" s="28">
        <f t="shared" si="37"/>
        <v>0</v>
      </c>
      <c r="M70" s="28">
        <f t="shared" si="37"/>
        <v>0</v>
      </c>
      <c r="N70" s="46"/>
    </row>
    <row r="71" spans="1:14" ht="13" customHeight="1">
      <c r="A71" s="5" t="s">
        <v>172</v>
      </c>
      <c r="B71" s="134">
        <f>B59</f>
        <v>5.2499999999999998E-2</v>
      </c>
      <c r="C71" s="5" t="s">
        <v>174</v>
      </c>
      <c r="D71" s="28">
        <f>IF(AND($B73="Y",YEAR($B68)+$B70&gt;D$5),D76,IF((YEAR($B68)+$B70)&gt;D$5,FV(D68/$B72,$B72,D75),D69))</f>
        <v>0</v>
      </c>
      <c r="E71" s="28">
        <f>IF(AND($B73="Y",YEAR($B68)+$B70&gt;E$5),E76,IF((YEAR($B68)+$B70)&gt;E$5,FV(E68/$B72,$B72,E75),E69))</f>
        <v>0</v>
      </c>
      <c r="F71" s="28">
        <f>IF(AND($B73="Y",YEAR($B68)+$B70&gt;F$5),F76,IF((YEAR($B68)+$B70)&gt;F$5,FV(F68/$B72,$B72,F75),F69))</f>
        <v>0</v>
      </c>
      <c r="G71" s="28">
        <f>IF(AND($B73="Y",YEAR($B68)+$B70&gt;G$5),G76,IF((YEAR($B68)+$B70)&gt;G$5,FV(G68/$B72,$B72,G75),G69))</f>
        <v>0</v>
      </c>
      <c r="H71" s="28">
        <f t="shared" ref="H71:M71" si="38">IF(AND($B73="Y",YEAR($B68)+$B70&gt;H$5),H76,IF((YEAR($B68)+$B70)&gt;H$5,FV(H68/$B72,$B72,H75),H69))</f>
        <v>0</v>
      </c>
      <c r="I71" s="28">
        <f t="shared" si="38"/>
        <v>0</v>
      </c>
      <c r="J71" s="28">
        <f t="shared" si="38"/>
        <v>0</v>
      </c>
      <c r="K71" s="28">
        <f t="shared" si="38"/>
        <v>0</v>
      </c>
      <c r="L71" s="28">
        <f t="shared" si="38"/>
        <v>0</v>
      </c>
      <c r="M71" s="28">
        <f t="shared" si="38"/>
        <v>0</v>
      </c>
      <c r="N71" s="46"/>
    </row>
    <row r="72" spans="1:14" ht="13" customHeight="1">
      <c r="A72" s="5" t="s">
        <v>171</v>
      </c>
      <c r="B72" s="131">
        <v>4</v>
      </c>
      <c r="C72" s="78" t="s">
        <v>640</v>
      </c>
      <c r="D72" s="28">
        <f>IF(AND($B73="Y",YEAR($B68)+$B70&gt;D$5),D76+D68*(D69-D76*0.5),IF((YEAR($B68)+$B70)&gt;D$5,(D69*D68/$B72-D75)*$B72,(D69*(1+D68*MONTH($B68)/12))))</f>
        <v>0</v>
      </c>
      <c r="E72" s="28">
        <f>IF(AND($B73="Y",YEAR($B68)+$B70&gt;E$5),E76+E68*(E69-E76*0.5),IF((YEAR($B68)+$B70)&gt;E$5,(E69*E68/$B72-E75)*$B72,(E69*(1+E68*MONTH($B68)/12))))</f>
        <v>0</v>
      </c>
      <c r="F72" s="28">
        <f>IF(AND($B73="Y",YEAR($B68)+$B70&gt;F$5),F76+F68*(F69-F76*0.5),IF((YEAR($B68)+$B70)&gt;F$5,(F69*F68/$B72-F75)*$B72,(F69*(1+F68*MONTH($B68)/12))))</f>
        <v>0</v>
      </c>
      <c r="G72" s="28">
        <f>IF(AND($B73="Y",YEAR($B68)+$B70&gt;G$5),G76+G68*(G69-G76*0.5),IF((YEAR($B68)+$B70)&gt;G$5,(G69*G68/$B72-G75)*$B72,(G69*(1+G68*MONTH($B68)/12))))</f>
        <v>0</v>
      </c>
      <c r="H72" s="28">
        <f t="shared" ref="H72:M72" si="39">IF(AND($B73="Y",YEAR($B68)+$B70&gt;H$5),H76+H68*(H69-H76*0.5),IF((YEAR($B68)+$B70)&gt;H$5,(H69*H68/$B72-H75)*$B72,(H69*(1+H68*MONTH($B68)/12))))</f>
        <v>0</v>
      </c>
      <c r="I72" s="28">
        <f t="shared" si="39"/>
        <v>0</v>
      </c>
      <c r="J72" s="28">
        <f t="shared" si="39"/>
        <v>0</v>
      </c>
      <c r="K72" s="28">
        <f t="shared" si="39"/>
        <v>0</v>
      </c>
      <c r="L72" s="28">
        <f t="shared" si="39"/>
        <v>0</v>
      </c>
      <c r="M72" s="28">
        <f t="shared" si="39"/>
        <v>0</v>
      </c>
      <c r="N72" s="46"/>
    </row>
    <row r="73" spans="1:14" ht="13" customHeight="1">
      <c r="A73" s="5" t="s">
        <v>767</v>
      </c>
      <c r="B73" s="131" t="s">
        <v>719</v>
      </c>
      <c r="C73" s="132" t="s">
        <v>768</v>
      </c>
      <c r="D73" s="140">
        <v>0</v>
      </c>
      <c r="E73" s="140">
        <v>0</v>
      </c>
      <c r="F73" s="140">
        <v>0</v>
      </c>
      <c r="G73" s="140">
        <v>0</v>
      </c>
      <c r="H73" s="140">
        <v>0</v>
      </c>
      <c r="I73" s="140">
        <v>0</v>
      </c>
      <c r="J73" s="140">
        <v>0</v>
      </c>
      <c r="K73" s="140">
        <v>0</v>
      </c>
      <c r="L73" s="140">
        <v>0</v>
      </c>
      <c r="M73" s="140">
        <v>0</v>
      </c>
      <c r="N73" s="46"/>
    </row>
    <row r="74" spans="1:14" ht="13" customHeight="1">
      <c r="A74" s="5" t="s">
        <v>182</v>
      </c>
      <c r="B74" s="131"/>
      <c r="C74" s="30" t="s">
        <v>175</v>
      </c>
      <c r="D74" s="28">
        <f t="shared" ref="D74:M74" si="40">D69+D70-D72-D73</f>
        <v>0</v>
      </c>
      <c r="E74" s="28">
        <f t="shared" si="40"/>
        <v>0</v>
      </c>
      <c r="F74" s="28">
        <f t="shared" si="40"/>
        <v>0</v>
      </c>
      <c r="G74" s="28">
        <f t="shared" si="40"/>
        <v>0</v>
      </c>
      <c r="H74" s="28">
        <f t="shared" si="40"/>
        <v>0</v>
      </c>
      <c r="I74" s="28">
        <f t="shared" si="40"/>
        <v>0</v>
      </c>
      <c r="J74" s="28">
        <f t="shared" si="40"/>
        <v>0</v>
      </c>
      <c r="K74" s="28">
        <f t="shared" si="40"/>
        <v>0</v>
      </c>
      <c r="L74" s="28">
        <f t="shared" si="40"/>
        <v>0</v>
      </c>
      <c r="M74" s="28">
        <f t="shared" si="40"/>
        <v>0</v>
      </c>
      <c r="N74" s="46"/>
    </row>
    <row r="75" spans="1:14" ht="13" hidden="1" customHeight="1">
      <c r="A75" s="5"/>
      <c r="B75" s="138"/>
      <c r="C75" s="5" t="s">
        <v>769</v>
      </c>
      <c r="D75" s="28" t="e">
        <f>PPMT(D68/$B72,1,ROUND(($B70-(D$5-YEAR($B68))+MONTH($B68)/12)*$B72,0),D69)</f>
        <v>#NUM!</v>
      </c>
      <c r="E75" s="28" t="e">
        <f>PPMT(E68/$B72,1,ROUND(($B70-(E$5-YEAR($B68))+MONTH($B68)/12)*$B72,0),E69)</f>
        <v>#NUM!</v>
      </c>
      <c r="F75" s="28" t="e">
        <f>PPMT(F68/$B72,1,ROUND(($B70-(F$5-YEAR($B68))+MONTH($B68)/12)*$B72,0),F69)</f>
        <v>#NUM!</v>
      </c>
      <c r="G75" s="28" t="e">
        <f>PPMT(G68/$B72,1,ROUND(($B70-(G$5-YEAR($B68))+MONTH($B68)/12)*$B72,0),G69)</f>
        <v>#NUM!</v>
      </c>
      <c r="H75" s="28" t="e">
        <f t="shared" ref="H75:M75" si="41">PPMT(H68/$B72,1,ROUND(($B70-(H$5-YEAR($B68))+MONTH($B68)/12)*$B72,0),H69)</f>
        <v>#NUM!</v>
      </c>
      <c r="I75" s="28" t="e">
        <f t="shared" si="41"/>
        <v>#NUM!</v>
      </c>
      <c r="J75" s="28" t="e">
        <f t="shared" si="41"/>
        <v>#NUM!</v>
      </c>
      <c r="K75" s="28" t="e">
        <f t="shared" si="41"/>
        <v>#NUM!</v>
      </c>
      <c r="L75" s="28" t="e">
        <f t="shared" si="41"/>
        <v>#NUM!</v>
      </c>
      <c r="M75" s="28" t="e">
        <f t="shared" si="41"/>
        <v>#NUM!</v>
      </c>
    </row>
    <row r="76" spans="1:14" ht="13" hidden="1" customHeight="1">
      <c r="A76" s="5"/>
      <c r="B76" s="5"/>
      <c r="C76" s="5" t="s">
        <v>770</v>
      </c>
      <c r="D76" s="28">
        <f>IF(YEAR($B68)+$B70&gt;D$5,D69/(YEAR($B68)+$B70-D$5+MONTH($B68)/12),D69)</f>
        <v>0</v>
      </c>
      <c r="E76" s="28">
        <f>IF(YEAR($B68)+$B70&gt;E$5,E69/(YEAR($B68)+$B70-E$5+MONTH($B68)/12),E69)</f>
        <v>0</v>
      </c>
      <c r="F76" s="28">
        <f>IF(YEAR($B68)+$B70&gt;F$5,F69/(YEAR($B68)+$B70-F$5+MONTH($B68)/12),F69)</f>
        <v>0</v>
      </c>
      <c r="G76" s="28">
        <f t="shared" ref="G76:M76" si="42">IF(YEAR($B68)+$B70&gt;G$5,G69/(YEAR($B68)+$B70-G$5+MONTH($B68)/12),G69)</f>
        <v>0</v>
      </c>
      <c r="H76" s="28">
        <f t="shared" si="42"/>
        <v>0</v>
      </c>
      <c r="I76" s="28">
        <f t="shared" si="42"/>
        <v>0</v>
      </c>
      <c r="J76" s="28">
        <f t="shared" si="42"/>
        <v>0</v>
      </c>
      <c r="K76" s="28">
        <f t="shared" si="42"/>
        <v>0</v>
      </c>
      <c r="L76" s="28">
        <f t="shared" si="42"/>
        <v>0</v>
      </c>
      <c r="M76" s="28">
        <f t="shared" si="42"/>
        <v>0</v>
      </c>
      <c r="N76" s="5"/>
    </row>
    <row r="77" spans="1:14" ht="13" customHeight="1">
      <c r="A77" s="5"/>
      <c r="B77" s="5"/>
      <c r="C77" s="5"/>
      <c r="D77" s="33"/>
      <c r="E77" s="28"/>
      <c r="F77" s="28"/>
      <c r="G77" s="28"/>
      <c r="H77" s="28"/>
      <c r="I77" s="28"/>
      <c r="J77" s="28"/>
      <c r="K77" s="28"/>
      <c r="L77" s="28"/>
      <c r="M77" s="28"/>
      <c r="N77" s="28"/>
    </row>
    <row r="78" spans="1:14" ht="13" customHeight="1">
      <c r="A78" s="5"/>
      <c r="B78" s="5"/>
      <c r="C78" s="5"/>
      <c r="D78" s="28"/>
      <c r="E78" s="28"/>
      <c r="F78" s="28"/>
      <c r="G78" s="28"/>
      <c r="H78" s="28"/>
      <c r="I78" s="28"/>
      <c r="J78" s="28"/>
      <c r="K78" s="28"/>
      <c r="L78" s="28"/>
      <c r="M78" s="28"/>
      <c r="N78" s="28"/>
    </row>
    <row r="79" spans="1:14" ht="13" customHeight="1">
      <c r="A79" s="5"/>
      <c r="B79" s="5"/>
      <c r="C79" s="5"/>
      <c r="D79" s="28"/>
      <c r="E79" s="28"/>
      <c r="F79" s="28"/>
      <c r="G79" s="28"/>
      <c r="H79" s="28"/>
      <c r="I79" s="28"/>
      <c r="J79" s="28"/>
      <c r="K79" s="28"/>
      <c r="L79" s="28"/>
      <c r="M79" s="28"/>
      <c r="N79" s="28"/>
    </row>
    <row r="80" spans="1:14" ht="13" customHeight="1">
      <c r="A80" s="5" t="s">
        <v>785</v>
      </c>
      <c r="B80" s="5"/>
      <c r="C80" s="5"/>
      <c r="D80" s="155">
        <f>+D5</f>
        <v>2024</v>
      </c>
      <c r="E80" s="155">
        <f t="shared" ref="E80:M80" si="43">+E5</f>
        <v>2025</v>
      </c>
      <c r="F80" s="155">
        <f t="shared" si="43"/>
        <v>2026</v>
      </c>
      <c r="G80" s="155">
        <f t="shared" si="43"/>
        <v>2027</v>
      </c>
      <c r="H80" s="155">
        <f t="shared" si="43"/>
        <v>2028</v>
      </c>
      <c r="I80" s="155">
        <f t="shared" si="43"/>
        <v>2029</v>
      </c>
      <c r="J80" s="155">
        <f t="shared" si="43"/>
        <v>2030</v>
      </c>
      <c r="K80" s="155">
        <f t="shared" si="43"/>
        <v>2031</v>
      </c>
      <c r="L80" s="155">
        <f t="shared" si="43"/>
        <v>2032</v>
      </c>
      <c r="M80" s="155">
        <f t="shared" si="43"/>
        <v>2033</v>
      </c>
      <c r="N80" s="28"/>
    </row>
    <row r="81" spans="1:14" ht="13" customHeight="1">
      <c r="A81" s="5"/>
      <c r="B81" s="5"/>
      <c r="C81" s="5"/>
      <c r="D81" s="155" t="str">
        <f>+D6</f>
        <v xml:space="preserve">  -----------</v>
      </c>
      <c r="E81" s="155" t="str">
        <f t="shared" ref="E81:M81" si="44">+E6</f>
        <v xml:space="preserve">  -----------</v>
      </c>
      <c r="F81" s="155" t="str">
        <f t="shared" si="44"/>
        <v xml:space="preserve">  -----------</v>
      </c>
      <c r="G81" s="155" t="str">
        <f t="shared" si="44"/>
        <v xml:space="preserve">  -----------</v>
      </c>
      <c r="H81" s="155" t="str">
        <f t="shared" si="44"/>
        <v xml:space="preserve">  -----------</v>
      </c>
      <c r="I81" s="155" t="str">
        <f t="shared" si="44"/>
        <v xml:space="preserve">  -----------</v>
      </c>
      <c r="J81" s="155" t="str">
        <f t="shared" si="44"/>
        <v xml:space="preserve">  -----------</v>
      </c>
      <c r="K81" s="155" t="str">
        <f t="shared" si="44"/>
        <v xml:space="preserve">  -----------</v>
      </c>
      <c r="L81" s="155" t="str">
        <f t="shared" si="44"/>
        <v xml:space="preserve">  -----------</v>
      </c>
      <c r="M81" s="155" t="str">
        <f t="shared" si="44"/>
        <v xml:space="preserve">  -----------</v>
      </c>
      <c r="N81" s="28"/>
    </row>
    <row r="82" spans="1:14" ht="13" customHeight="1">
      <c r="A82" s="30" t="s">
        <v>647</v>
      </c>
      <c r="B82" s="99"/>
      <c r="C82" t="s">
        <v>800</v>
      </c>
      <c r="D82" s="161" t="s">
        <v>801</v>
      </c>
      <c r="E82" s="1"/>
      <c r="N82" s="28"/>
    </row>
    <row r="83" spans="1:14" ht="13" customHeight="1">
      <c r="A83" s="26" t="s">
        <v>677</v>
      </c>
      <c r="B83" s="133">
        <v>29373</v>
      </c>
      <c r="C83" s="5" t="s">
        <v>639</v>
      </c>
      <c r="D83" s="75">
        <f>IF($D82="V",Input!G$69,IF(AND($B89=D$5,Input!G$64&gt;0),Input!G$64,$B86))</f>
        <v>5.2499999999999998E-2</v>
      </c>
      <c r="E83" s="75">
        <f>IF($D82="V",Input!H$69,IF(AND($B89=E$5,Input!H$64&gt;0),Input!H$64,D83))</f>
        <v>5.2499999999999998E-2</v>
      </c>
      <c r="F83" s="75">
        <f>IF($D82="V",Input!I$69,IF(AND($B89=F$5,Input!I$64&gt;0),Input!I$64,E83))</f>
        <v>5.2499999999999998E-2</v>
      </c>
      <c r="G83" s="75">
        <f>IF($D82="V",Input!J$69,IF(AND($B89=G$5,Input!J$64&gt;0),Input!J$64,F83))</f>
        <v>5.2499999999999998E-2</v>
      </c>
      <c r="H83" s="75">
        <f>IF($D82="V",Input!K$69,IF(AND($B89=H$5,Input!K$64&gt;0),Input!K$64,G83))</f>
        <v>5.2499999999999998E-2</v>
      </c>
      <c r="I83" s="75">
        <f>IF($D82="V",Input!L$69,IF(AND($B89=I$5,Input!L$64&gt;0),Input!L$64,H83))</f>
        <v>5.2499999999999998E-2</v>
      </c>
      <c r="J83" s="75">
        <f>IF($D82="V",Input!M$69,IF(AND($B89=J$5,Input!M$64&gt;0),Input!M$64,I83))</f>
        <v>5.2499999999999998E-2</v>
      </c>
      <c r="K83" s="75">
        <f>IF($D82="V",Input!N$69,IF(AND($B89=K$5,Input!N$64&gt;0),Input!N$64,J83))</f>
        <v>5.2499999999999998E-2</v>
      </c>
      <c r="L83" s="75">
        <f>IF($D82="V",Input!O$69,IF(AND($B89=L$5,Input!O$64&gt;0),Input!O$64,K83))</f>
        <v>5.2499999999999998E-2</v>
      </c>
      <c r="M83" s="75">
        <f>IF($D82="V",Input!P$69,IF(AND($B89=M$5,Input!P$64&gt;0),Input!P$64,L83))</f>
        <v>5.2499999999999998E-2</v>
      </c>
      <c r="N83" s="28"/>
    </row>
    <row r="84" spans="1:14" ht="13" customHeight="1">
      <c r="A84" s="5" t="s">
        <v>361</v>
      </c>
      <c r="B84" s="135">
        <v>0</v>
      </c>
      <c r="C84" s="27" t="s">
        <v>173</v>
      </c>
      <c r="D84" s="140">
        <v>0</v>
      </c>
      <c r="E84" s="28">
        <f t="shared" ref="E84:M84" si="45">D89</f>
        <v>0</v>
      </c>
      <c r="F84" s="28">
        <f t="shared" si="45"/>
        <v>0</v>
      </c>
      <c r="G84" s="28">
        <f t="shared" si="45"/>
        <v>0</v>
      </c>
      <c r="H84" s="28">
        <f t="shared" si="45"/>
        <v>0</v>
      </c>
      <c r="I84" s="28">
        <f t="shared" si="45"/>
        <v>0</v>
      </c>
      <c r="J84" s="28">
        <f t="shared" si="45"/>
        <v>0</v>
      </c>
      <c r="K84" s="28">
        <f t="shared" si="45"/>
        <v>0</v>
      </c>
      <c r="L84" s="28">
        <f t="shared" si="45"/>
        <v>0</v>
      </c>
      <c r="M84" s="28">
        <f t="shared" si="45"/>
        <v>0</v>
      </c>
      <c r="N84" s="28"/>
    </row>
    <row r="85" spans="1:14" ht="13" customHeight="1">
      <c r="A85" s="26" t="s">
        <v>170</v>
      </c>
      <c r="B85" s="131">
        <v>35</v>
      </c>
      <c r="C85" s="29" t="s">
        <v>169</v>
      </c>
      <c r="D85" s="28">
        <f>D87-D86</f>
        <v>0</v>
      </c>
      <c r="E85" s="28">
        <f>E87-E86</f>
        <v>0</v>
      </c>
      <c r="F85" s="28">
        <f>F87-F86</f>
        <v>0</v>
      </c>
      <c r="G85" s="28">
        <f>G87-G86</f>
        <v>0</v>
      </c>
      <c r="H85" s="28">
        <f t="shared" ref="H85:M85" si="46">H87-H86</f>
        <v>0</v>
      </c>
      <c r="I85" s="28">
        <f t="shared" si="46"/>
        <v>0</v>
      </c>
      <c r="J85" s="28">
        <f t="shared" si="46"/>
        <v>0</v>
      </c>
      <c r="K85" s="28">
        <f t="shared" si="46"/>
        <v>0</v>
      </c>
      <c r="L85" s="28">
        <f t="shared" si="46"/>
        <v>0</v>
      </c>
      <c r="M85" s="28">
        <f t="shared" si="46"/>
        <v>0</v>
      </c>
      <c r="N85" s="5"/>
    </row>
    <row r="86" spans="1:14" ht="13" customHeight="1">
      <c r="A86" s="5" t="s">
        <v>172</v>
      </c>
      <c r="B86" s="134">
        <f>B71</f>
        <v>5.2499999999999998E-2</v>
      </c>
      <c r="C86" s="5" t="s">
        <v>174</v>
      </c>
      <c r="D86" s="28">
        <f>IF(AND($B88="Y",YEAR($B83)+$B85&gt;D$5),D91,IF((YEAR($B83)+$B85)&gt;D$5,FV(D83/$B87,$B87,D90),D84))</f>
        <v>0</v>
      </c>
      <c r="E86" s="28">
        <f>IF(AND($B88="Y",YEAR($B83)+$B85&gt;E$5),E91,IF((YEAR($B83)+$B85)&gt;E$5,FV(E83/$B87,$B87,E90),E84))</f>
        <v>0</v>
      </c>
      <c r="F86" s="28">
        <f>IF(AND($B88="Y",YEAR($B83)+$B85&gt;F$5),F91,IF((YEAR($B83)+$B85)&gt;F$5,FV(F83/$B87,$B87,F90),F84))</f>
        <v>0</v>
      </c>
      <c r="G86" s="28">
        <f>IF(AND($B88="Y",YEAR($B83)+$B85&gt;G$5),G91,IF((YEAR($B83)+$B85)&gt;G$5,FV(G83/$B87,$B87,G90),G84))</f>
        <v>0</v>
      </c>
      <c r="H86" s="28">
        <f t="shared" ref="H86:M86" si="47">IF(AND($B88="Y",YEAR($B83)+$B85&gt;H$5),H91,IF((YEAR($B83)+$B85)&gt;H$5,FV(H83/$B87,$B87,H90),H84))</f>
        <v>0</v>
      </c>
      <c r="I86" s="28">
        <f t="shared" si="47"/>
        <v>0</v>
      </c>
      <c r="J86" s="28">
        <f t="shared" si="47"/>
        <v>0</v>
      </c>
      <c r="K86" s="28">
        <f t="shared" si="47"/>
        <v>0</v>
      </c>
      <c r="L86" s="28">
        <f t="shared" si="47"/>
        <v>0</v>
      </c>
      <c r="M86" s="28">
        <f t="shared" si="47"/>
        <v>0</v>
      </c>
      <c r="N86" s="28"/>
    </row>
    <row r="87" spans="1:14" ht="13" customHeight="1">
      <c r="A87" s="5" t="s">
        <v>171</v>
      </c>
      <c r="B87" s="131">
        <v>4</v>
      </c>
      <c r="C87" s="78" t="s">
        <v>640</v>
      </c>
      <c r="D87" s="28">
        <f>IF(AND($B88="Y",YEAR($B83)+$B85&gt;D$5),D91+D83*(D84-D91*0.5),IF((YEAR($B83)+$B85)&gt;D$5,(D84*D83/$B87-D90)*$B87,(D84*(1+D83*MONTH($B83)/12))))</f>
        <v>0</v>
      </c>
      <c r="E87" s="28">
        <f>IF(AND($B88="Y",YEAR($B83)+$B85&gt;E$5),E91+E83*(E84-E91*0.5),IF((YEAR($B83)+$B85)&gt;E$5,(E84*E83/$B87-E90)*$B87,(E84*(1+E83*MONTH($B83)/12))))</f>
        <v>0</v>
      </c>
      <c r="F87" s="28">
        <f>IF(AND($B88="Y",YEAR($B83)+$B85&gt;F$5),F91+F83*(F84-F91*0.5),IF((YEAR($B83)+$B85)&gt;F$5,(F84*F83/$B87-F90)*$B87,(F84*(1+F83*MONTH($B83)/12))))</f>
        <v>0</v>
      </c>
      <c r="G87" s="28">
        <f>IF(AND($B88="Y",YEAR($B83)+$B85&gt;G$5),G91+G83*(G84-G91*0.5),IF((YEAR($B83)+$B85)&gt;G$5,(G84*G83/$B87-G90)*$B87,(G84*(1+G83*MONTH($B83)/12))))</f>
        <v>0</v>
      </c>
      <c r="H87" s="28">
        <f t="shared" ref="H87:M87" si="48">IF(AND($B88="Y",YEAR($B83)+$B85&gt;H$5),H91+H83*(H84-H91*0.5),IF((YEAR($B83)+$B85)&gt;H$5,(H84*H83/$B87-H90)*$B87,(H84*(1+H83*MONTH($B83)/12))))</f>
        <v>0</v>
      </c>
      <c r="I87" s="28">
        <f t="shared" si="48"/>
        <v>0</v>
      </c>
      <c r="J87" s="28">
        <f t="shared" si="48"/>
        <v>0</v>
      </c>
      <c r="K87" s="28">
        <f t="shared" si="48"/>
        <v>0</v>
      </c>
      <c r="L87" s="28">
        <f t="shared" si="48"/>
        <v>0</v>
      </c>
      <c r="M87" s="28">
        <f t="shared" si="48"/>
        <v>0</v>
      </c>
      <c r="N87" s="28"/>
    </row>
    <row r="88" spans="1:14" ht="13" customHeight="1">
      <c r="A88" s="5" t="s">
        <v>767</v>
      </c>
      <c r="B88" s="131" t="s">
        <v>719</v>
      </c>
      <c r="C88" s="132" t="s">
        <v>768</v>
      </c>
      <c r="D88" s="140">
        <v>0</v>
      </c>
      <c r="E88" s="140">
        <v>0</v>
      </c>
      <c r="F88" s="140">
        <v>0</v>
      </c>
      <c r="G88" s="140">
        <v>0</v>
      </c>
      <c r="H88" s="140">
        <v>0</v>
      </c>
      <c r="I88" s="140">
        <v>0</v>
      </c>
      <c r="J88" s="140">
        <v>0</v>
      </c>
      <c r="K88" s="140">
        <v>0</v>
      </c>
      <c r="L88" s="140">
        <v>0</v>
      </c>
      <c r="M88" s="140">
        <v>0</v>
      </c>
      <c r="N88" s="28"/>
    </row>
    <row r="89" spans="1:14" ht="13" customHeight="1">
      <c r="A89" s="5" t="s">
        <v>182</v>
      </c>
      <c r="B89" s="131"/>
      <c r="C89" s="30" t="s">
        <v>175</v>
      </c>
      <c r="D89" s="28">
        <f t="shared" ref="D89:M89" si="49">D84+D85-D87-D88</f>
        <v>0</v>
      </c>
      <c r="E89" s="28">
        <f t="shared" si="49"/>
        <v>0</v>
      </c>
      <c r="F89" s="28">
        <f t="shared" si="49"/>
        <v>0</v>
      </c>
      <c r="G89" s="28">
        <f t="shared" si="49"/>
        <v>0</v>
      </c>
      <c r="H89" s="28">
        <f t="shared" si="49"/>
        <v>0</v>
      </c>
      <c r="I89" s="28">
        <f t="shared" si="49"/>
        <v>0</v>
      </c>
      <c r="J89" s="28">
        <f t="shared" si="49"/>
        <v>0</v>
      </c>
      <c r="K89" s="28">
        <f t="shared" si="49"/>
        <v>0</v>
      </c>
      <c r="L89" s="28">
        <f t="shared" si="49"/>
        <v>0</v>
      </c>
      <c r="M89" s="28">
        <f t="shared" si="49"/>
        <v>0</v>
      </c>
      <c r="N89" s="28"/>
    </row>
    <row r="90" spans="1:14" ht="13" hidden="1" customHeight="1">
      <c r="A90" s="5"/>
      <c r="B90" s="138"/>
      <c r="C90" s="5" t="s">
        <v>769</v>
      </c>
      <c r="D90" s="28" t="e">
        <f>PPMT(D83/$B87,1,ROUND(($B85-(D$5-YEAR($B83))+MONTH($B83)/12)*$B87,0),D84)</f>
        <v>#NUM!</v>
      </c>
      <c r="E90" s="28" t="e">
        <f>PPMT(E83/$B87,1,ROUND(($B85-(E$5-YEAR($B83))+MONTH($B83)/12)*$B87,0),E84)</f>
        <v>#NUM!</v>
      </c>
      <c r="F90" s="28" t="e">
        <f>PPMT(F83/$B87,1,ROUND(($B85-(F$5-YEAR($B83))+MONTH($B83)/12)*$B87,0),F84)</f>
        <v>#NUM!</v>
      </c>
      <c r="G90" s="28" t="e">
        <f>PPMT(G83/$B87,1,ROUND(($B85-(G$5-YEAR($B83))+MONTH($B83)/12)*$B87,0),G84)</f>
        <v>#NUM!</v>
      </c>
      <c r="H90" s="28" t="e">
        <f t="shared" ref="H90:M90" si="50">PPMT(H83/$B87,1,ROUND(($B85-(H$5-YEAR($B83))+MONTH($B83)/12)*$B87,0),H84)</f>
        <v>#NUM!</v>
      </c>
      <c r="I90" s="28" t="e">
        <f t="shared" si="50"/>
        <v>#NUM!</v>
      </c>
      <c r="J90" s="28" t="e">
        <f t="shared" si="50"/>
        <v>#NUM!</v>
      </c>
      <c r="K90" s="28" t="e">
        <f t="shared" si="50"/>
        <v>#NUM!</v>
      </c>
      <c r="L90" s="28" t="e">
        <f t="shared" si="50"/>
        <v>#NUM!</v>
      </c>
      <c r="M90" s="28" t="e">
        <f t="shared" si="50"/>
        <v>#NUM!</v>
      </c>
      <c r="N90" s="28"/>
    </row>
    <row r="91" spans="1:14" ht="12.75" hidden="1" customHeight="1">
      <c r="A91" s="5"/>
      <c r="B91" s="5"/>
      <c r="C91" s="5" t="s">
        <v>770</v>
      </c>
      <c r="D91" s="28">
        <f>IF(YEAR($B83)+$B85&gt;D$5,D84/(YEAR($B83)+$B85-D$5+MONTH($B83)/12),D84)</f>
        <v>0</v>
      </c>
      <c r="E91" s="28">
        <f>IF(YEAR($B83)+$B85&gt;E$5,E84/(YEAR($B83)+$B85-E$5+MONTH($B83)/12),E84)</f>
        <v>0</v>
      </c>
      <c r="F91" s="28">
        <f>IF(YEAR($B83)+$B85&gt;F$5,F84/(YEAR($B83)+$B85-F$5+MONTH($B83)/12),F84)</f>
        <v>0</v>
      </c>
      <c r="G91" s="28">
        <f t="shared" ref="G91:M91" si="51">IF(YEAR($B83)+$B85&gt;G$5,G84/(YEAR($B83)+$B85-G$5+MONTH($B83)/12),G84)</f>
        <v>0</v>
      </c>
      <c r="H91" s="28">
        <f t="shared" si="51"/>
        <v>0</v>
      </c>
      <c r="I91" s="28">
        <f t="shared" si="51"/>
        <v>0</v>
      </c>
      <c r="J91" s="28">
        <f t="shared" si="51"/>
        <v>0</v>
      </c>
      <c r="K91" s="28">
        <f t="shared" si="51"/>
        <v>0</v>
      </c>
      <c r="L91" s="28">
        <f t="shared" si="51"/>
        <v>0</v>
      </c>
      <c r="M91" s="28">
        <f t="shared" si="51"/>
        <v>0</v>
      </c>
      <c r="N91" s="28"/>
    </row>
    <row r="92" spans="1:14" ht="13" customHeight="1">
      <c r="C92" s="5"/>
      <c r="N92" s="28"/>
    </row>
    <row r="93" spans="1:14" ht="13" customHeight="1">
      <c r="A93" s="30" t="s">
        <v>648</v>
      </c>
      <c r="B93" s="99"/>
      <c r="C93" t="s">
        <v>800</v>
      </c>
      <c r="D93" s="161" t="s">
        <v>801</v>
      </c>
      <c r="E93" s="1"/>
      <c r="N93" s="28"/>
    </row>
    <row r="94" spans="1:14" ht="13" customHeight="1">
      <c r="A94" s="26" t="s">
        <v>677</v>
      </c>
      <c r="B94" s="133">
        <v>29373</v>
      </c>
      <c r="C94" s="5" t="s">
        <v>639</v>
      </c>
      <c r="D94" s="75">
        <f>IF($D93="V",Input!G$69,IF(AND($B100=D$5,Input!G$64&gt;0),Input!G$64,$B97))</f>
        <v>5.2499999999999998E-2</v>
      </c>
      <c r="E94" s="75">
        <f>IF($D93="V",Input!H$69,IF(AND($B100=E$5,Input!H$64&gt;0),Input!H$64,D94))</f>
        <v>5.2499999999999998E-2</v>
      </c>
      <c r="F94" s="75">
        <f>IF($D93="V",Input!I$69,IF(AND($B100=F$5,Input!I$64&gt;0),Input!I$64,E94))</f>
        <v>5.2499999999999998E-2</v>
      </c>
      <c r="G94" s="75">
        <f>IF($D93="V",Input!J$69,IF(AND($B100=G$5,Input!J$64&gt;0),Input!J$64,F94))</f>
        <v>5.2499999999999998E-2</v>
      </c>
      <c r="H94" s="75">
        <f>IF($D93="V",Input!K$69,IF(AND($B100=H$5,Input!K$64&gt;0),Input!K$64,G94))</f>
        <v>5.2499999999999998E-2</v>
      </c>
      <c r="I94" s="75">
        <f>IF($D93="V",Input!L$69,IF(AND($B100=I$5,Input!L$64&gt;0),Input!L$64,H94))</f>
        <v>5.2499999999999998E-2</v>
      </c>
      <c r="J94" s="75">
        <f>IF($D93="V",Input!M$69,IF(AND($B100=J$5,Input!M$64&gt;0),Input!M$64,I94))</f>
        <v>5.2499999999999998E-2</v>
      </c>
      <c r="K94" s="75">
        <f>IF($D93="V",Input!N$69,IF(AND($B100=K$5,Input!N$64&gt;0),Input!N$64,J94))</f>
        <v>5.2499999999999998E-2</v>
      </c>
      <c r="L94" s="75">
        <f>IF($D93="V",Input!O$69,IF(AND($B100=L$5,Input!O$64&gt;0),Input!O$64,K94))</f>
        <v>5.2499999999999998E-2</v>
      </c>
      <c r="M94" s="75">
        <f>IF($D93="V",Input!P$69,IF(AND($B100=M$5,Input!P$64&gt;0),Input!P$64,L94))</f>
        <v>5.2499999999999998E-2</v>
      </c>
    </row>
    <row r="95" spans="1:14" ht="13" customHeight="1">
      <c r="A95" s="5" t="s">
        <v>361</v>
      </c>
      <c r="B95" s="135">
        <v>0</v>
      </c>
      <c r="C95" s="27" t="s">
        <v>173</v>
      </c>
      <c r="D95" s="140">
        <v>0</v>
      </c>
      <c r="E95" s="28">
        <f t="shared" ref="E95:M95" si="52">D100</f>
        <v>0</v>
      </c>
      <c r="F95" s="28">
        <f t="shared" si="52"/>
        <v>0</v>
      </c>
      <c r="G95" s="28">
        <f t="shared" si="52"/>
        <v>0</v>
      </c>
      <c r="H95" s="28">
        <f t="shared" si="52"/>
        <v>0</v>
      </c>
      <c r="I95" s="28">
        <f t="shared" si="52"/>
        <v>0</v>
      </c>
      <c r="J95" s="28">
        <f t="shared" si="52"/>
        <v>0</v>
      </c>
      <c r="K95" s="28">
        <f t="shared" si="52"/>
        <v>0</v>
      </c>
      <c r="L95" s="28">
        <f t="shared" si="52"/>
        <v>0</v>
      </c>
      <c r="M95" s="28">
        <f t="shared" si="52"/>
        <v>0</v>
      </c>
    </row>
    <row r="96" spans="1:14" ht="13" customHeight="1">
      <c r="A96" s="26" t="s">
        <v>170</v>
      </c>
      <c r="B96" s="131">
        <v>35</v>
      </c>
      <c r="C96" s="29" t="s">
        <v>169</v>
      </c>
      <c r="D96" s="28">
        <f>D98-D97</f>
        <v>0</v>
      </c>
      <c r="E96" s="28">
        <f>E98-E97</f>
        <v>0</v>
      </c>
      <c r="F96" s="28">
        <f>F98-F97</f>
        <v>0</v>
      </c>
      <c r="G96" s="28">
        <f>G98-G97</f>
        <v>0</v>
      </c>
      <c r="H96" s="28">
        <f t="shared" ref="H96:M96" si="53">H98-H97</f>
        <v>0</v>
      </c>
      <c r="I96" s="28">
        <f t="shared" si="53"/>
        <v>0</v>
      </c>
      <c r="J96" s="28">
        <f t="shared" si="53"/>
        <v>0</v>
      </c>
      <c r="K96" s="28">
        <f t="shared" si="53"/>
        <v>0</v>
      </c>
      <c r="L96" s="28">
        <f t="shared" si="53"/>
        <v>0</v>
      </c>
      <c r="M96" s="28">
        <f t="shared" si="53"/>
        <v>0</v>
      </c>
    </row>
    <row r="97" spans="1:14" ht="13" customHeight="1">
      <c r="A97" s="5" t="s">
        <v>172</v>
      </c>
      <c r="B97" s="134">
        <f>B86</f>
        <v>5.2499999999999998E-2</v>
      </c>
      <c r="C97" s="5" t="s">
        <v>174</v>
      </c>
      <c r="D97" s="28">
        <f>IF(AND($B99="Y",YEAR($B94)+$B96&gt;D$5),D102,IF((YEAR($B94)+$B96)&gt;D$5,FV(D94/$B98,$B98,D101),D95))</f>
        <v>0</v>
      </c>
      <c r="E97" s="28">
        <f>IF(AND($B99="Y",YEAR($B94)+$B96&gt;E$5),E102,IF((YEAR($B94)+$B96)&gt;E$5,FV(E94/$B98,$B98,E101),E95))</f>
        <v>0</v>
      </c>
      <c r="F97" s="28">
        <f>IF(AND($B99="Y",YEAR($B94)+$B96&gt;F$5),F102,IF((YEAR($B94)+$B96)&gt;F$5,FV(F94/$B98,$B98,F101),F95))</f>
        <v>0</v>
      </c>
      <c r="G97" s="28">
        <f>IF(AND($B99="Y",YEAR($B94)+$B96&gt;G$5),G102,IF((YEAR($B94)+$B96)&gt;G$5,FV(G94/$B98,$B98,G101),G95))</f>
        <v>0</v>
      </c>
      <c r="H97" s="28">
        <f t="shared" ref="H97:M97" si="54">IF(AND($B99="Y",YEAR($B94)+$B96&gt;H$5),H102,IF((YEAR($B94)+$B96)&gt;H$5,FV(H94/$B98,$B98,H101),H95))</f>
        <v>0</v>
      </c>
      <c r="I97" s="28">
        <f t="shared" si="54"/>
        <v>0</v>
      </c>
      <c r="J97" s="28">
        <f t="shared" si="54"/>
        <v>0</v>
      </c>
      <c r="K97" s="28">
        <f t="shared" si="54"/>
        <v>0</v>
      </c>
      <c r="L97" s="28">
        <f t="shared" si="54"/>
        <v>0</v>
      </c>
      <c r="M97" s="28">
        <f t="shared" si="54"/>
        <v>0</v>
      </c>
      <c r="N97" s="46"/>
    </row>
    <row r="98" spans="1:14" ht="13" customHeight="1">
      <c r="A98" s="5" t="s">
        <v>171</v>
      </c>
      <c r="B98" s="131">
        <v>4</v>
      </c>
      <c r="C98" s="78" t="s">
        <v>640</v>
      </c>
      <c r="D98" s="28">
        <f>IF(AND($B99="Y",YEAR($B94)+$B96&gt;D$5),D102+D94*(D95-D102*0.5),IF((YEAR($B94)+$B96)&gt;D$5,(D95*D94/$B98-D101)*$B98,(D95*(1+D94*MONTH($B94)/12))))</f>
        <v>0</v>
      </c>
      <c r="E98" s="28">
        <f>IF(AND($B99="Y",YEAR($B94)+$B96&gt;E$5),E102+E94*(E95-E102*0.5),IF((YEAR($B94)+$B96)&gt;E$5,(E95*E94/$B98-E101)*$B98,(E95*(1+E94*MONTH($B94)/12))))</f>
        <v>0</v>
      </c>
      <c r="F98" s="28">
        <f>IF(AND($B99="Y",YEAR($B94)+$B96&gt;F$5),F102+F94*(F95-F102*0.5),IF((YEAR($B94)+$B96)&gt;F$5,(F95*F94/$B98-F101)*$B98,(F95*(1+F94*MONTH($B94)/12))))</f>
        <v>0</v>
      </c>
      <c r="G98" s="28">
        <f>IF(AND($B99="Y",YEAR($B94)+$B96&gt;G$5),G102+G94*(G95-G102*0.5),IF((YEAR($B94)+$B96)&gt;G$5,(G95*G94/$B98-G101)*$B98,(G95*(1+G94*MONTH($B94)/12))))</f>
        <v>0</v>
      </c>
      <c r="H98" s="28">
        <f t="shared" ref="H98:M98" si="55">IF(AND($B99="Y",YEAR($B94)+$B96&gt;H$5),H102+H94*(H95-H102*0.5),IF((YEAR($B94)+$B96)&gt;H$5,(H95*H94/$B98-H101)*$B98,(H95*(1+H94*MONTH($B94)/12))))</f>
        <v>0</v>
      </c>
      <c r="I98" s="28">
        <f t="shared" si="55"/>
        <v>0</v>
      </c>
      <c r="J98" s="28">
        <f t="shared" si="55"/>
        <v>0</v>
      </c>
      <c r="K98" s="28">
        <f t="shared" si="55"/>
        <v>0</v>
      </c>
      <c r="L98" s="28">
        <f t="shared" si="55"/>
        <v>0</v>
      </c>
      <c r="M98" s="28">
        <f t="shared" si="55"/>
        <v>0</v>
      </c>
      <c r="N98" s="46"/>
    </row>
    <row r="99" spans="1:14" ht="13" customHeight="1">
      <c r="A99" s="5" t="s">
        <v>767</v>
      </c>
      <c r="B99" s="131" t="s">
        <v>719</v>
      </c>
      <c r="C99" s="132" t="s">
        <v>768</v>
      </c>
      <c r="D99" s="140">
        <v>0</v>
      </c>
      <c r="E99" s="140">
        <v>0</v>
      </c>
      <c r="F99" s="140">
        <v>0</v>
      </c>
      <c r="G99" s="140">
        <v>0</v>
      </c>
      <c r="H99" s="140">
        <v>0</v>
      </c>
      <c r="I99" s="140">
        <v>0</v>
      </c>
      <c r="J99" s="140">
        <v>0</v>
      </c>
      <c r="K99" s="140">
        <v>0</v>
      </c>
      <c r="L99" s="140">
        <v>0</v>
      </c>
      <c r="M99" s="140">
        <v>0</v>
      </c>
      <c r="N99" s="46"/>
    </row>
    <row r="100" spans="1:14" ht="13" customHeight="1">
      <c r="A100" s="5" t="s">
        <v>182</v>
      </c>
      <c r="B100" s="131"/>
      <c r="C100" s="30" t="s">
        <v>175</v>
      </c>
      <c r="D100" s="28">
        <f t="shared" ref="D100:M100" si="56">D95+D96-D98-D99</f>
        <v>0</v>
      </c>
      <c r="E100" s="28">
        <f t="shared" si="56"/>
        <v>0</v>
      </c>
      <c r="F100" s="28">
        <f t="shared" si="56"/>
        <v>0</v>
      </c>
      <c r="G100" s="28">
        <f t="shared" si="56"/>
        <v>0</v>
      </c>
      <c r="H100" s="28">
        <f t="shared" si="56"/>
        <v>0</v>
      </c>
      <c r="I100" s="28">
        <f t="shared" si="56"/>
        <v>0</v>
      </c>
      <c r="J100" s="28">
        <f t="shared" si="56"/>
        <v>0</v>
      </c>
      <c r="K100" s="28">
        <f t="shared" si="56"/>
        <v>0</v>
      </c>
      <c r="L100" s="28">
        <f t="shared" si="56"/>
        <v>0</v>
      </c>
      <c r="M100" s="28">
        <f t="shared" si="56"/>
        <v>0</v>
      </c>
      <c r="N100" s="46"/>
    </row>
    <row r="101" spans="1:14" ht="13" hidden="1" customHeight="1">
      <c r="A101" s="5"/>
      <c r="B101" s="138"/>
      <c r="C101" s="5" t="s">
        <v>769</v>
      </c>
      <c r="D101" s="28" t="e">
        <f>PPMT(D94/$B98,1,ROUND(($B96-(D$5-YEAR($B94))+MONTH($B94)/12)*$B98,0),D95)</f>
        <v>#NUM!</v>
      </c>
      <c r="E101" s="28" t="e">
        <f>PPMT(E94/$B98,1,ROUND(($B96-(E$5-YEAR($B94))+MONTH($B94)/12)*$B98,0),E95)</f>
        <v>#NUM!</v>
      </c>
      <c r="F101" s="28" t="e">
        <f>PPMT(F94/$B98,1,ROUND(($B96-(F$5-YEAR($B94))+MONTH($B94)/12)*$B98,0),F95)</f>
        <v>#NUM!</v>
      </c>
      <c r="G101" s="28" t="e">
        <f>PPMT(G94/$B98,1,ROUND(($B96-(G$5-YEAR($B94))+MONTH($B94)/12)*$B98,0),G95)</f>
        <v>#NUM!</v>
      </c>
      <c r="H101" s="28" t="e">
        <f t="shared" ref="H101:M101" si="57">PPMT(H94/$B98,1,ROUND(($B96-(H$5-YEAR($B94))+MONTH($B94)/12)*$B98,0),H95)</f>
        <v>#NUM!</v>
      </c>
      <c r="I101" s="28" t="e">
        <f t="shared" si="57"/>
        <v>#NUM!</v>
      </c>
      <c r="J101" s="28" t="e">
        <f t="shared" si="57"/>
        <v>#NUM!</v>
      </c>
      <c r="K101" s="28" t="e">
        <f t="shared" si="57"/>
        <v>#NUM!</v>
      </c>
      <c r="L101" s="28" t="e">
        <f t="shared" si="57"/>
        <v>#NUM!</v>
      </c>
      <c r="M101" s="28" t="e">
        <f t="shared" si="57"/>
        <v>#NUM!</v>
      </c>
      <c r="N101" s="46"/>
    </row>
    <row r="102" spans="1:14" ht="13" hidden="1" customHeight="1">
      <c r="A102" s="5"/>
      <c r="B102" s="5"/>
      <c r="C102" s="5" t="s">
        <v>770</v>
      </c>
      <c r="D102" s="28">
        <f>IF(YEAR($B94)+$B96&gt;D$5,D95/(YEAR($B94)+$B96-D$5+MONTH($B94)/12),D95)</f>
        <v>0</v>
      </c>
      <c r="E102" s="28">
        <f>IF(YEAR($B94)+$B96&gt;E$5,E95/(YEAR($B94)+$B96-E$5+MONTH($B94)/12),E95)</f>
        <v>0</v>
      </c>
      <c r="F102" s="28">
        <f>IF(YEAR($B94)+$B96&gt;F$5,F95/(YEAR($B94)+$B96-F$5+MONTH($B94)/12),F95)</f>
        <v>0</v>
      </c>
      <c r="G102" s="28">
        <f t="shared" ref="G102:M102" si="58">IF(YEAR($B94)+$B96&gt;G$5,G95/(YEAR($B94)+$B96-G$5+MONTH($B94)/12),G95)</f>
        <v>0</v>
      </c>
      <c r="H102" s="28">
        <f t="shared" si="58"/>
        <v>0</v>
      </c>
      <c r="I102" s="28">
        <f t="shared" si="58"/>
        <v>0</v>
      </c>
      <c r="J102" s="28">
        <f t="shared" si="58"/>
        <v>0</v>
      </c>
      <c r="K102" s="28">
        <f t="shared" si="58"/>
        <v>0</v>
      </c>
      <c r="L102" s="28">
        <f t="shared" si="58"/>
        <v>0</v>
      </c>
      <c r="M102" s="28">
        <f t="shared" si="58"/>
        <v>0</v>
      </c>
      <c r="N102" s="28"/>
    </row>
    <row r="103" spans="1:14" ht="13" customHeight="1">
      <c r="C103" s="5"/>
      <c r="D103" s="75"/>
      <c r="E103" s="75"/>
      <c r="F103" s="75"/>
      <c r="G103" s="75"/>
      <c r="H103" s="75"/>
      <c r="I103" s="75"/>
      <c r="J103" s="75"/>
      <c r="K103" s="75"/>
      <c r="L103" s="75"/>
      <c r="M103" s="75"/>
    </row>
    <row r="104" spans="1:14" ht="13" customHeight="1">
      <c r="A104" s="30" t="s">
        <v>649</v>
      </c>
      <c r="B104" s="99"/>
      <c r="C104" t="s">
        <v>800</v>
      </c>
      <c r="D104" s="161" t="s">
        <v>801</v>
      </c>
      <c r="E104" s="1"/>
    </row>
    <row r="105" spans="1:14" ht="13" customHeight="1">
      <c r="A105" s="26" t="s">
        <v>677</v>
      </c>
      <c r="B105" s="133">
        <v>29373</v>
      </c>
      <c r="C105" s="5" t="s">
        <v>639</v>
      </c>
      <c r="D105" s="75">
        <f>IF($D104="V",Input!G$69,IF(AND($B111=D$5,Input!G$64&gt;0),Input!G$64,$B108))</f>
        <v>5.2499999999999998E-2</v>
      </c>
      <c r="E105" s="75">
        <f>IF($D104="V",Input!H$69,IF(AND($B111=E$5,Input!H$64&gt;0),Input!H$64,D105))</f>
        <v>5.2499999999999998E-2</v>
      </c>
      <c r="F105" s="75">
        <f>IF($D104="V",Input!I$69,IF(AND($B111=F$5,Input!I$64&gt;0),Input!I$64,E105))</f>
        <v>5.2499999999999998E-2</v>
      </c>
      <c r="G105" s="75">
        <f>IF($D104="V",Input!J$69,IF(AND($B111=G$5,Input!J$64&gt;0),Input!J$64,F105))</f>
        <v>5.2499999999999998E-2</v>
      </c>
      <c r="H105" s="75">
        <f>IF($D104="V",Input!K$69,IF(AND($B111=H$5,Input!K$64&gt;0),Input!K$64,G105))</f>
        <v>5.2499999999999998E-2</v>
      </c>
      <c r="I105" s="75">
        <f>IF($D104="V",Input!L$69,IF(AND($B111=I$5,Input!L$64&gt;0),Input!L$64,H105))</f>
        <v>5.2499999999999998E-2</v>
      </c>
      <c r="J105" s="75">
        <f>IF($D104="V",Input!M$69,IF(AND($B111=J$5,Input!M$64&gt;0),Input!M$64,I105))</f>
        <v>5.2499999999999998E-2</v>
      </c>
      <c r="K105" s="75">
        <f>IF($D104="V",Input!N$69,IF(AND($B111=K$5,Input!N$64&gt;0),Input!N$64,J105))</f>
        <v>5.2499999999999998E-2</v>
      </c>
      <c r="L105" s="75">
        <f>IF($D104="V",Input!O$69,IF(AND($B111=L$5,Input!O$64&gt;0),Input!O$64,K105))</f>
        <v>5.2499999999999998E-2</v>
      </c>
      <c r="M105" s="75">
        <f>IF($D104="V",Input!P$69,IF(AND($B111=M$5,Input!P$64&gt;0),Input!P$64,L105))</f>
        <v>5.2499999999999998E-2</v>
      </c>
    </row>
    <row r="106" spans="1:14" ht="13" customHeight="1">
      <c r="A106" s="5" t="s">
        <v>361</v>
      </c>
      <c r="B106" s="135">
        <v>0</v>
      </c>
      <c r="C106" s="27" t="s">
        <v>173</v>
      </c>
      <c r="D106" s="140">
        <v>0</v>
      </c>
      <c r="E106" s="28">
        <f t="shared" ref="E106:M106" si="59">D111</f>
        <v>0</v>
      </c>
      <c r="F106" s="28">
        <f t="shared" si="59"/>
        <v>0</v>
      </c>
      <c r="G106" s="28">
        <f t="shared" si="59"/>
        <v>0</v>
      </c>
      <c r="H106" s="28">
        <f t="shared" si="59"/>
        <v>0</v>
      </c>
      <c r="I106" s="28">
        <f t="shared" si="59"/>
        <v>0</v>
      </c>
      <c r="J106" s="28">
        <f t="shared" si="59"/>
        <v>0</v>
      </c>
      <c r="K106" s="28">
        <f t="shared" si="59"/>
        <v>0</v>
      </c>
      <c r="L106" s="28">
        <f t="shared" si="59"/>
        <v>0</v>
      </c>
      <c r="M106" s="28">
        <f t="shared" si="59"/>
        <v>0</v>
      </c>
      <c r="N106" s="46"/>
    </row>
    <row r="107" spans="1:14" ht="13" customHeight="1">
      <c r="A107" s="26" t="s">
        <v>170</v>
      </c>
      <c r="B107" s="131">
        <v>35</v>
      </c>
      <c r="C107" s="29" t="s">
        <v>169</v>
      </c>
      <c r="D107" s="28">
        <f>D109-D108</f>
        <v>0</v>
      </c>
      <c r="E107" s="28">
        <f>E109-E108</f>
        <v>0</v>
      </c>
      <c r="F107" s="28">
        <f>F109-F108</f>
        <v>0</v>
      </c>
      <c r="G107" s="28">
        <f>G109-G108</f>
        <v>0</v>
      </c>
      <c r="H107" s="28">
        <f t="shared" ref="H107:M107" si="60">H109-H108</f>
        <v>0</v>
      </c>
      <c r="I107" s="28">
        <f t="shared" si="60"/>
        <v>0</v>
      </c>
      <c r="J107" s="28">
        <f t="shared" si="60"/>
        <v>0</v>
      </c>
      <c r="K107" s="28">
        <f t="shared" si="60"/>
        <v>0</v>
      </c>
      <c r="L107" s="28">
        <f t="shared" si="60"/>
        <v>0</v>
      </c>
      <c r="M107" s="28">
        <f t="shared" si="60"/>
        <v>0</v>
      </c>
      <c r="N107" s="46"/>
    </row>
    <row r="108" spans="1:14" ht="13" customHeight="1">
      <c r="A108" s="5" t="s">
        <v>172</v>
      </c>
      <c r="B108" s="134">
        <f>B97</f>
        <v>5.2499999999999998E-2</v>
      </c>
      <c r="C108" s="5" t="s">
        <v>174</v>
      </c>
      <c r="D108" s="28">
        <f>IF(AND($B110="Y",YEAR($B105)+$B107&gt;D$5),D113,IF((YEAR($B105)+$B107)&gt;D$5,FV(D105/$B109,$B109,D112),D106))</f>
        <v>0</v>
      </c>
      <c r="E108" s="28">
        <f>IF(AND($B110="Y",YEAR($B105)+$B107&gt;E$5),E113,IF((YEAR($B105)+$B107)&gt;E$5,FV(E105/$B109,$B109,E112),E106))</f>
        <v>0</v>
      </c>
      <c r="F108" s="28">
        <f>IF(AND($B110="Y",YEAR($B105)+$B107&gt;F$5),F113,IF((YEAR($B105)+$B107)&gt;F$5,FV(F105/$B109,$B109,F112),F106))</f>
        <v>0</v>
      </c>
      <c r="G108" s="28">
        <f>IF(AND($B110="Y",YEAR($B105)+$B107&gt;G$5),G113,IF((YEAR($B105)+$B107)&gt;G$5,FV(G105/$B109,$B109,G112),G106))</f>
        <v>0</v>
      </c>
      <c r="H108" s="28">
        <f t="shared" ref="H108:M108" si="61">IF(AND($B110="Y",YEAR($B105)+$B107&gt;H$5),H113,IF((YEAR($B105)+$B107)&gt;H$5,FV(H105/$B109,$B109,H112),H106))</f>
        <v>0</v>
      </c>
      <c r="I108" s="28">
        <f t="shared" si="61"/>
        <v>0</v>
      </c>
      <c r="J108" s="28">
        <f t="shared" si="61"/>
        <v>0</v>
      </c>
      <c r="K108" s="28">
        <f t="shared" si="61"/>
        <v>0</v>
      </c>
      <c r="L108" s="28">
        <f t="shared" si="61"/>
        <v>0</v>
      </c>
      <c r="M108" s="28">
        <f t="shared" si="61"/>
        <v>0</v>
      </c>
      <c r="N108" s="46"/>
    </row>
    <row r="109" spans="1:14" ht="13" customHeight="1">
      <c r="A109" s="5" t="s">
        <v>171</v>
      </c>
      <c r="B109" s="131">
        <v>4</v>
      </c>
      <c r="C109" s="78" t="s">
        <v>640</v>
      </c>
      <c r="D109" s="28">
        <f>IF(AND($B110="Y",YEAR($B105)+$B107&gt;D$5),D113+D105*(D106-D113*0.5),IF((YEAR($B105)+$B107)&gt;D$5,(D106*D105/$B109-D112)*$B109,(D106*(1+D105*MONTH($B105)/12))))</f>
        <v>0</v>
      </c>
      <c r="E109" s="28">
        <f>IF(AND($B110="Y",YEAR($B105)+$B107&gt;E$5),E113+E105*(E106-E113*0.5),IF((YEAR($B105)+$B107)&gt;E$5,(E106*E105/$B109-E112)*$B109,(E106*(1+E105*MONTH($B105)/12))))</f>
        <v>0</v>
      </c>
      <c r="F109" s="28">
        <f>IF(AND($B110="Y",YEAR($B105)+$B107&gt;F$5),F113+F105*(F106-F113*0.5),IF((YEAR($B105)+$B107)&gt;F$5,(F106*F105/$B109-F112)*$B109,(F106*(1+F105*MONTH($B105)/12))))</f>
        <v>0</v>
      </c>
      <c r="G109" s="28">
        <f>IF(AND($B110="Y",YEAR($B105)+$B107&gt;G$5),G113+G105*(G106-G113*0.5),IF((YEAR($B105)+$B107)&gt;G$5,(G106*G105/$B109-G112)*$B109,(G106*(1+G105*MONTH($B105)/12))))</f>
        <v>0</v>
      </c>
      <c r="H109" s="28">
        <f t="shared" ref="H109:M109" si="62">IF(AND($B110="Y",YEAR($B105)+$B107&gt;H$5),H113+H105*(H106-H113*0.5),IF((YEAR($B105)+$B107)&gt;H$5,(H106*H105/$B109-H112)*$B109,(H106*(1+H105*MONTH($B105)/12))))</f>
        <v>0</v>
      </c>
      <c r="I109" s="28">
        <f t="shared" si="62"/>
        <v>0</v>
      </c>
      <c r="J109" s="28">
        <f t="shared" si="62"/>
        <v>0</v>
      </c>
      <c r="K109" s="28">
        <f t="shared" si="62"/>
        <v>0</v>
      </c>
      <c r="L109" s="28">
        <f t="shared" si="62"/>
        <v>0</v>
      </c>
      <c r="M109" s="28">
        <f t="shared" si="62"/>
        <v>0</v>
      </c>
      <c r="N109" s="46"/>
    </row>
    <row r="110" spans="1:14" ht="13" customHeight="1">
      <c r="A110" s="5" t="s">
        <v>767</v>
      </c>
      <c r="B110" s="131" t="s">
        <v>719</v>
      </c>
      <c r="C110" s="132" t="s">
        <v>768</v>
      </c>
      <c r="D110" s="140">
        <v>0</v>
      </c>
      <c r="E110" s="140">
        <v>0</v>
      </c>
      <c r="F110" s="140">
        <v>0</v>
      </c>
      <c r="G110" s="140">
        <v>0</v>
      </c>
      <c r="H110" s="140">
        <v>0</v>
      </c>
      <c r="I110" s="140">
        <v>0</v>
      </c>
      <c r="J110" s="140">
        <v>0</v>
      </c>
      <c r="K110" s="140">
        <v>0</v>
      </c>
      <c r="L110" s="140">
        <v>0</v>
      </c>
      <c r="M110" s="140">
        <v>0</v>
      </c>
      <c r="N110" s="46"/>
    </row>
    <row r="111" spans="1:14" ht="13" customHeight="1">
      <c r="A111" s="5" t="s">
        <v>182</v>
      </c>
      <c r="B111" s="131"/>
      <c r="C111" s="30" t="s">
        <v>175</v>
      </c>
      <c r="D111" s="28">
        <f t="shared" ref="D111:M111" si="63">D106+D107-D109-D110</f>
        <v>0</v>
      </c>
      <c r="E111" s="28">
        <f t="shared" si="63"/>
        <v>0</v>
      </c>
      <c r="F111" s="28">
        <f t="shared" si="63"/>
        <v>0</v>
      </c>
      <c r="G111" s="28">
        <f t="shared" si="63"/>
        <v>0</v>
      </c>
      <c r="H111" s="28">
        <f t="shared" si="63"/>
        <v>0</v>
      </c>
      <c r="I111" s="28">
        <f t="shared" si="63"/>
        <v>0</v>
      </c>
      <c r="J111" s="28">
        <f t="shared" si="63"/>
        <v>0</v>
      </c>
      <c r="K111" s="28">
        <f t="shared" si="63"/>
        <v>0</v>
      </c>
      <c r="L111" s="28">
        <f t="shared" si="63"/>
        <v>0</v>
      </c>
      <c r="M111" s="28">
        <f t="shared" si="63"/>
        <v>0</v>
      </c>
      <c r="N111" s="28"/>
    </row>
    <row r="112" spans="1:14" ht="13" hidden="1" customHeight="1">
      <c r="A112" s="5"/>
      <c r="B112" s="138"/>
      <c r="C112" s="5" t="s">
        <v>769</v>
      </c>
      <c r="D112" s="28" t="e">
        <f>PPMT(D105/$B109,1,ROUND(($B107-(D$5-YEAR($B105))+MONTH($B105)/12)*$B109,0),D106)</f>
        <v>#NUM!</v>
      </c>
      <c r="E112" s="28" t="e">
        <f>PPMT(E105/$B109,1,ROUND(($B107-(E$5-YEAR($B105))+MONTH($B105)/12)*$B109,0),E106)</f>
        <v>#NUM!</v>
      </c>
      <c r="F112" s="28" t="e">
        <f>PPMT(F105/$B109,1,ROUND(($B107-(F$5-YEAR($B105))+MONTH($B105)/12)*$B109,0),F106)</f>
        <v>#NUM!</v>
      </c>
      <c r="G112" s="28" t="e">
        <f>PPMT(G105/$B109,1,ROUND(($B107-(G$5-YEAR($B105))+MONTH($B105)/12)*$B109,0),G106)</f>
        <v>#NUM!</v>
      </c>
      <c r="H112" s="28" t="e">
        <f t="shared" ref="H112:M112" si="64">PPMT(H105/$B109,1,ROUND(($B107-(H$5-YEAR($B105))+MONTH($B105)/12)*$B109,0),H106)</f>
        <v>#NUM!</v>
      </c>
      <c r="I112" s="28" t="e">
        <f t="shared" si="64"/>
        <v>#NUM!</v>
      </c>
      <c r="J112" s="28" t="e">
        <f t="shared" si="64"/>
        <v>#NUM!</v>
      </c>
      <c r="K112" s="28" t="e">
        <f t="shared" si="64"/>
        <v>#NUM!</v>
      </c>
      <c r="L112" s="28" t="e">
        <f t="shared" si="64"/>
        <v>#NUM!</v>
      </c>
      <c r="M112" s="28" t="e">
        <f t="shared" si="64"/>
        <v>#NUM!</v>
      </c>
    </row>
    <row r="113" spans="1:14" ht="13" hidden="1" customHeight="1">
      <c r="A113" s="5"/>
      <c r="B113" s="5"/>
      <c r="C113" s="5" t="s">
        <v>770</v>
      </c>
      <c r="D113" s="28">
        <f>IF(YEAR($B105)+$B107&gt;D$5,D106/(YEAR($B105)+$B107-D$5+MONTH($B105)/12),D106)</f>
        <v>0</v>
      </c>
      <c r="E113" s="28">
        <f>IF(YEAR($B105)+$B107&gt;E$5,E106/(YEAR($B105)+$B107-E$5+MONTH($B105)/12),E106)</f>
        <v>0</v>
      </c>
      <c r="F113" s="28">
        <f>IF(YEAR($B105)+$B107&gt;F$5,F106/(YEAR($B105)+$B107-F$5+MONTH($B105)/12),F106)</f>
        <v>0</v>
      </c>
      <c r="G113" s="28">
        <f t="shared" ref="G113:M113" si="65">IF(YEAR($B105)+$B107&gt;G$5,G106/(YEAR($B105)+$B107-G$5+MONTH($B105)/12),G106)</f>
        <v>0</v>
      </c>
      <c r="H113" s="28">
        <f t="shared" si="65"/>
        <v>0</v>
      </c>
      <c r="I113" s="28">
        <f t="shared" si="65"/>
        <v>0</v>
      </c>
      <c r="J113" s="28">
        <f t="shared" si="65"/>
        <v>0</v>
      </c>
      <c r="K113" s="28">
        <f t="shared" si="65"/>
        <v>0</v>
      </c>
      <c r="L113" s="28">
        <f t="shared" si="65"/>
        <v>0</v>
      </c>
      <c r="M113" s="28">
        <f t="shared" si="65"/>
        <v>0</v>
      </c>
    </row>
    <row r="114" spans="1:14" ht="13" customHeight="1">
      <c r="C114" s="5"/>
      <c r="D114" s="28"/>
      <c r="E114" s="28"/>
      <c r="F114" s="28"/>
      <c r="G114" s="28"/>
      <c r="H114" s="28"/>
      <c r="I114" s="28"/>
      <c r="J114" s="28"/>
      <c r="K114" s="28"/>
      <c r="L114" s="28"/>
      <c r="M114" s="28"/>
    </row>
    <row r="115" spans="1:14" ht="13" customHeight="1">
      <c r="A115" s="30" t="s">
        <v>650</v>
      </c>
      <c r="B115" s="99"/>
      <c r="C115" t="s">
        <v>800</v>
      </c>
      <c r="D115" s="161" t="s">
        <v>801</v>
      </c>
      <c r="E115" s="1"/>
      <c r="N115" s="46"/>
    </row>
    <row r="116" spans="1:14" ht="13" customHeight="1">
      <c r="A116" s="26" t="s">
        <v>677</v>
      </c>
      <c r="B116" s="133">
        <v>29373</v>
      </c>
      <c r="C116" s="5" t="s">
        <v>639</v>
      </c>
      <c r="D116" s="75">
        <f>IF($D115="V",Input!G$69,IF(AND($B122=D$5,Input!G$64&gt;0),Input!G$64,$B119))</f>
        <v>5.2499999999999998E-2</v>
      </c>
      <c r="E116" s="75">
        <f>IF($D115="V",Input!H$69,IF(AND($B122=E$5,Input!H$64&gt;0),Input!H$64,D116))</f>
        <v>5.2499999999999998E-2</v>
      </c>
      <c r="F116" s="75">
        <f>IF($D115="V",Input!I$69,IF(AND($B122=F$5,Input!I$64&gt;0),Input!I$64,E116))</f>
        <v>5.2499999999999998E-2</v>
      </c>
      <c r="G116" s="75">
        <f>IF($D115="V",Input!J$69,IF(AND($B122=G$5,Input!J$64&gt;0),Input!J$64,F116))</f>
        <v>5.2499999999999998E-2</v>
      </c>
      <c r="H116" s="75">
        <f>IF($D115="V",Input!K$69,IF(AND($B122=H$5,Input!K$64&gt;0),Input!K$64,G116))</f>
        <v>5.2499999999999998E-2</v>
      </c>
      <c r="I116" s="75">
        <f>IF($D115="V",Input!L$69,IF(AND($B122=I$5,Input!L$64&gt;0),Input!L$64,H116))</f>
        <v>5.2499999999999998E-2</v>
      </c>
      <c r="J116" s="75">
        <f>IF($D115="V",Input!M$69,IF(AND($B122=J$5,Input!M$64&gt;0),Input!M$64,I116))</f>
        <v>5.2499999999999998E-2</v>
      </c>
      <c r="K116" s="75">
        <f>IF($D115="V",Input!N$69,IF(AND($B122=K$5,Input!N$64&gt;0),Input!N$64,J116))</f>
        <v>5.2499999999999998E-2</v>
      </c>
      <c r="L116" s="75">
        <f>IF($D115="V",Input!O$69,IF(AND($B122=L$5,Input!O$64&gt;0),Input!O$64,K116))</f>
        <v>5.2499999999999998E-2</v>
      </c>
      <c r="M116" s="75">
        <f>IF($D115="V",Input!P$69,IF(AND($B122=M$5,Input!P$64&gt;0),Input!P$64,L116))</f>
        <v>5.2499999999999998E-2</v>
      </c>
      <c r="N116" s="46"/>
    </row>
    <row r="117" spans="1:14" ht="13" customHeight="1">
      <c r="A117" s="5" t="s">
        <v>361</v>
      </c>
      <c r="B117" s="135">
        <v>0</v>
      </c>
      <c r="C117" s="27" t="s">
        <v>173</v>
      </c>
      <c r="D117" s="140">
        <v>0</v>
      </c>
      <c r="E117" s="28">
        <f t="shared" ref="E117:M117" si="66">D122</f>
        <v>0</v>
      </c>
      <c r="F117" s="28">
        <f t="shared" si="66"/>
        <v>0</v>
      </c>
      <c r="G117" s="28">
        <f t="shared" si="66"/>
        <v>0</v>
      </c>
      <c r="H117" s="28">
        <f t="shared" si="66"/>
        <v>0</v>
      </c>
      <c r="I117" s="28">
        <f t="shared" si="66"/>
        <v>0</v>
      </c>
      <c r="J117" s="28">
        <f t="shared" si="66"/>
        <v>0</v>
      </c>
      <c r="K117" s="28">
        <f t="shared" si="66"/>
        <v>0</v>
      </c>
      <c r="L117" s="28">
        <f t="shared" si="66"/>
        <v>0</v>
      </c>
      <c r="M117" s="28">
        <f t="shared" si="66"/>
        <v>0</v>
      </c>
      <c r="N117" s="46"/>
    </row>
    <row r="118" spans="1:14" ht="13" customHeight="1">
      <c r="A118" s="26" t="s">
        <v>170</v>
      </c>
      <c r="B118" s="131">
        <v>35</v>
      </c>
      <c r="C118" s="29" t="s">
        <v>169</v>
      </c>
      <c r="D118" s="28">
        <f>D120-D119</f>
        <v>0</v>
      </c>
      <c r="E118" s="28">
        <f>E120-E119</f>
        <v>0</v>
      </c>
      <c r="F118" s="28">
        <f>F120-F119</f>
        <v>0</v>
      </c>
      <c r="G118" s="28">
        <f>G120-G119</f>
        <v>0</v>
      </c>
      <c r="H118" s="28">
        <f t="shared" ref="H118:M118" si="67">H120-H119</f>
        <v>0</v>
      </c>
      <c r="I118" s="28">
        <f t="shared" si="67"/>
        <v>0</v>
      </c>
      <c r="J118" s="28">
        <f t="shared" si="67"/>
        <v>0</v>
      </c>
      <c r="K118" s="28">
        <f t="shared" si="67"/>
        <v>0</v>
      </c>
      <c r="L118" s="28">
        <f t="shared" si="67"/>
        <v>0</v>
      </c>
      <c r="M118" s="28">
        <f t="shared" si="67"/>
        <v>0</v>
      </c>
      <c r="N118" s="46"/>
    </row>
    <row r="119" spans="1:14" ht="13" customHeight="1">
      <c r="A119" s="5" t="s">
        <v>172</v>
      </c>
      <c r="B119" s="134">
        <f>B108</f>
        <v>5.2499999999999998E-2</v>
      </c>
      <c r="C119" s="5" t="s">
        <v>174</v>
      </c>
      <c r="D119" s="28">
        <f>IF(AND($B121="Y",YEAR($B116)+$B118&gt;D$5),D124,IF((YEAR($B116)+$B118)&gt;D$5,FV(D116/$B120,$B120,D123),D117))</f>
        <v>0</v>
      </c>
      <c r="E119" s="28">
        <f>IF(AND($B121="Y",YEAR($B116)+$B118&gt;E$5),E124,IF((YEAR($B116)+$B118)&gt;E$5,FV(E116/$B120,$B120,E123),E117))</f>
        <v>0</v>
      </c>
      <c r="F119" s="28">
        <f>IF(AND($B121="Y",YEAR($B116)+$B118&gt;F$5),F124,IF((YEAR($B116)+$B118)&gt;F$5,FV(F116/$B120,$B120,F123),F117))</f>
        <v>0</v>
      </c>
      <c r="G119" s="28">
        <f>IF(AND($B121="Y",YEAR($B116)+$B118&gt;G$5),G124,IF((YEAR($B116)+$B118)&gt;G$5,FV(G116/$B120,$B120,G123),G117))</f>
        <v>0</v>
      </c>
      <c r="H119" s="28">
        <f t="shared" ref="H119:M119" si="68">IF(AND($B121="Y",YEAR($B116)+$B118&gt;H$5),H124,IF((YEAR($B116)+$B118)&gt;H$5,FV(H116/$B120,$B120,H123),H117))</f>
        <v>0</v>
      </c>
      <c r="I119" s="28">
        <f t="shared" si="68"/>
        <v>0</v>
      </c>
      <c r="J119" s="28">
        <f t="shared" si="68"/>
        <v>0</v>
      </c>
      <c r="K119" s="28">
        <f t="shared" si="68"/>
        <v>0</v>
      </c>
      <c r="L119" s="28">
        <f t="shared" si="68"/>
        <v>0</v>
      </c>
      <c r="M119" s="28">
        <f t="shared" si="68"/>
        <v>0</v>
      </c>
      <c r="N119" s="46"/>
    </row>
    <row r="120" spans="1:14" ht="13" customHeight="1">
      <c r="A120" s="5" t="s">
        <v>171</v>
      </c>
      <c r="B120" s="131">
        <v>4</v>
      </c>
      <c r="C120" s="78" t="s">
        <v>640</v>
      </c>
      <c r="D120" s="28">
        <f>IF(AND($B121="Y",YEAR($B116)+$B118&gt;D$5),D124+D116*(D117-D124*0.5),IF((YEAR($B116)+$B118)&gt;D$5,(D117*D116/$B120-D123)*$B120,(D117*(1+D116*MONTH($B116)/12))))</f>
        <v>0</v>
      </c>
      <c r="E120" s="28">
        <f>IF(AND($B121="Y",YEAR($B116)+$B118&gt;E$5),E124+E116*(E117-E124*0.5),IF((YEAR($B116)+$B118)&gt;E$5,(E117*E116/$B120-E123)*$B120,(E117*(1+E116*MONTH($B116)/12))))</f>
        <v>0</v>
      </c>
      <c r="F120" s="28">
        <f>IF(AND($B121="Y",YEAR($B116)+$B118&gt;F$5),F124+F116*(F117-F124*0.5),IF((YEAR($B116)+$B118)&gt;F$5,(F117*F116/$B120-F123)*$B120,(F117*(1+F116*MONTH($B116)/12))))</f>
        <v>0</v>
      </c>
      <c r="G120" s="28">
        <f>IF(AND($B121="Y",YEAR($B116)+$B118&gt;G$5),G124+G116*(G117-G124*0.5),IF((YEAR($B116)+$B118)&gt;G$5,(G117*G116/$B120-G123)*$B120,(G117*(1+G116*MONTH($B116)/12))))</f>
        <v>0</v>
      </c>
      <c r="H120" s="28">
        <f t="shared" ref="H120:M120" si="69">IF(AND($B121="Y",YEAR($B116)+$B118&gt;H$5),H124+H116*(H117-H124*0.5),IF((YEAR($B116)+$B118)&gt;H$5,(H117*H116/$B120-H123)*$B120,(H117*(1+H116*MONTH($B116)/12))))</f>
        <v>0</v>
      </c>
      <c r="I120" s="28">
        <f t="shared" si="69"/>
        <v>0</v>
      </c>
      <c r="J120" s="28">
        <f t="shared" si="69"/>
        <v>0</v>
      </c>
      <c r="K120" s="28">
        <f t="shared" si="69"/>
        <v>0</v>
      </c>
      <c r="L120" s="28">
        <f t="shared" si="69"/>
        <v>0</v>
      </c>
      <c r="M120" s="28">
        <f t="shared" si="69"/>
        <v>0</v>
      </c>
      <c r="N120" s="28"/>
    </row>
    <row r="121" spans="1:14" ht="13" customHeight="1">
      <c r="A121" s="5" t="s">
        <v>767</v>
      </c>
      <c r="B121" s="131" t="s">
        <v>719</v>
      </c>
      <c r="C121" s="132" t="s">
        <v>768</v>
      </c>
      <c r="D121" s="140">
        <v>0</v>
      </c>
      <c r="E121" s="140">
        <v>0</v>
      </c>
      <c r="F121" s="140">
        <v>0</v>
      </c>
      <c r="G121" s="140">
        <v>0</v>
      </c>
      <c r="H121" s="140">
        <v>0</v>
      </c>
      <c r="I121" s="140">
        <v>0</v>
      </c>
      <c r="J121" s="140">
        <v>0</v>
      </c>
      <c r="K121" s="140">
        <v>0</v>
      </c>
      <c r="L121" s="140">
        <v>0</v>
      </c>
      <c r="M121" s="140">
        <v>0</v>
      </c>
    </row>
    <row r="122" spans="1:14" ht="13" customHeight="1">
      <c r="A122" s="5" t="s">
        <v>182</v>
      </c>
      <c r="B122" s="131"/>
      <c r="C122" s="30" t="s">
        <v>175</v>
      </c>
      <c r="D122" s="28">
        <f t="shared" ref="D122:M122" si="70">D117+D118-D120-D121</f>
        <v>0</v>
      </c>
      <c r="E122" s="28">
        <f t="shared" si="70"/>
        <v>0</v>
      </c>
      <c r="F122" s="28">
        <f t="shared" si="70"/>
        <v>0</v>
      </c>
      <c r="G122" s="28">
        <f t="shared" si="70"/>
        <v>0</v>
      </c>
      <c r="H122" s="28">
        <f t="shared" si="70"/>
        <v>0</v>
      </c>
      <c r="I122" s="28">
        <f t="shared" si="70"/>
        <v>0</v>
      </c>
      <c r="J122" s="28">
        <f t="shared" si="70"/>
        <v>0</v>
      </c>
      <c r="K122" s="28">
        <f t="shared" si="70"/>
        <v>0</v>
      </c>
      <c r="L122" s="28">
        <f t="shared" si="70"/>
        <v>0</v>
      </c>
      <c r="M122" s="28">
        <f t="shared" si="70"/>
        <v>0</v>
      </c>
    </row>
    <row r="123" spans="1:14" ht="13" hidden="1" customHeight="1">
      <c r="A123" s="5"/>
      <c r="B123" s="138"/>
      <c r="C123" s="5" t="s">
        <v>769</v>
      </c>
      <c r="D123" s="28" t="e">
        <f>PPMT(D116/$B120,1,ROUND(($B118-(D$5-YEAR($B116))+MONTH($B116)/12)*$B120,0),D117)</f>
        <v>#NUM!</v>
      </c>
      <c r="E123" s="28" t="e">
        <f>PPMT(E116/$B120,1,ROUND(($B118-(E$5-YEAR($B116))+MONTH($B116)/12)*$B120,0),E117)</f>
        <v>#NUM!</v>
      </c>
      <c r="F123" s="28" t="e">
        <f>PPMT(F116/$B120,1,ROUND(($B118-(F$5-YEAR($B116))+MONTH($B116)/12)*$B120,0),F117)</f>
        <v>#NUM!</v>
      </c>
      <c r="G123" s="28" t="e">
        <f>PPMT(G116/$B120,1,ROUND(($B118-(G$5-YEAR($B116))+MONTH($B116)/12)*$B120,0),G117)</f>
        <v>#NUM!</v>
      </c>
      <c r="H123" s="28" t="e">
        <f t="shared" ref="H123:M123" si="71">PPMT(H116/$B120,1,ROUND(($B118-(H$5-YEAR($B116))+MONTH($B116)/12)*$B120,0),H117)</f>
        <v>#NUM!</v>
      </c>
      <c r="I123" s="28" t="e">
        <f t="shared" si="71"/>
        <v>#NUM!</v>
      </c>
      <c r="J123" s="28" t="e">
        <f t="shared" si="71"/>
        <v>#NUM!</v>
      </c>
      <c r="K123" s="28" t="e">
        <f t="shared" si="71"/>
        <v>#NUM!</v>
      </c>
      <c r="L123" s="28" t="e">
        <f t="shared" si="71"/>
        <v>#NUM!</v>
      </c>
      <c r="M123" s="28" t="e">
        <f t="shared" si="71"/>
        <v>#NUM!</v>
      </c>
    </row>
    <row r="124" spans="1:14" ht="13" hidden="1" customHeight="1">
      <c r="A124" s="5"/>
      <c r="B124" s="5"/>
      <c r="C124" s="5" t="s">
        <v>770</v>
      </c>
      <c r="D124" s="28">
        <f>IF(YEAR($B116)+$B118&gt;D$5,D117/(YEAR($B116)+$B118-D$5+MONTH($B116)/12),D117)</f>
        <v>0</v>
      </c>
      <c r="E124" s="28">
        <f>IF(YEAR($B116)+$B118&gt;E$5,E117/(YEAR($B116)+$B118-E$5+MONTH($B116)/12),E117)</f>
        <v>0</v>
      </c>
      <c r="F124" s="28">
        <f>IF(YEAR($B116)+$B118&gt;F$5,F117/(YEAR($B116)+$B118-F$5+MONTH($B116)/12),F117)</f>
        <v>0</v>
      </c>
      <c r="G124" s="28">
        <f t="shared" ref="G124:M124" si="72">IF(YEAR($B116)+$B118&gt;G$5,G117/(YEAR($B116)+$B118-G$5+MONTH($B116)/12),G117)</f>
        <v>0</v>
      </c>
      <c r="H124" s="28">
        <f t="shared" si="72"/>
        <v>0</v>
      </c>
      <c r="I124" s="28">
        <f t="shared" si="72"/>
        <v>0</v>
      </c>
      <c r="J124" s="28">
        <f t="shared" si="72"/>
        <v>0</v>
      </c>
      <c r="K124" s="28">
        <f t="shared" si="72"/>
        <v>0</v>
      </c>
      <c r="L124" s="28">
        <f t="shared" si="72"/>
        <v>0</v>
      </c>
      <c r="M124" s="28">
        <f t="shared" si="72"/>
        <v>0</v>
      </c>
      <c r="N124" s="46"/>
    </row>
    <row r="125" spans="1:14" ht="13" customHeight="1">
      <c r="C125" s="5"/>
      <c r="D125" s="28"/>
      <c r="E125" s="28"/>
      <c r="F125" s="28"/>
      <c r="G125" s="28"/>
      <c r="H125" s="28"/>
      <c r="I125" s="28"/>
      <c r="J125" s="28"/>
      <c r="K125" s="28"/>
      <c r="L125" s="28"/>
      <c r="M125" s="28"/>
      <c r="N125" s="46"/>
    </row>
    <row r="126" spans="1:14" ht="13" customHeight="1">
      <c r="A126" s="30" t="s">
        <v>651</v>
      </c>
      <c r="B126" s="99"/>
      <c r="C126" t="s">
        <v>800</v>
      </c>
      <c r="D126" s="161" t="s">
        <v>801</v>
      </c>
      <c r="E126" s="1"/>
      <c r="N126" s="46"/>
    </row>
    <row r="127" spans="1:14" ht="13" customHeight="1">
      <c r="A127" s="26" t="s">
        <v>677</v>
      </c>
      <c r="B127" s="133">
        <v>29373</v>
      </c>
      <c r="C127" s="5" t="s">
        <v>639</v>
      </c>
      <c r="D127" s="75">
        <f>IF($D126="V",Input!G$69,IF(AND($B133=D$5,Input!G$64&gt;0),Input!G$64,$B130))</f>
        <v>5.2499999999999998E-2</v>
      </c>
      <c r="E127" s="75">
        <f>IF($D126="V",Input!H$69,IF(AND($B133=E$5,Input!H$64&gt;0),Input!H$64,D127))</f>
        <v>5.2499999999999998E-2</v>
      </c>
      <c r="F127" s="75">
        <f>IF($D126="V",Input!I$69,IF(AND($B133=F$5,Input!I$64&gt;0),Input!I$64,E127))</f>
        <v>5.2499999999999998E-2</v>
      </c>
      <c r="G127" s="75">
        <f>IF($D126="V",Input!J$69,IF(AND($B133=G$5,Input!J$64&gt;0),Input!J$64,F127))</f>
        <v>5.2499999999999998E-2</v>
      </c>
      <c r="H127" s="75">
        <f>IF($D126="V",Input!K$69,IF(AND($B133=H$5,Input!K$64&gt;0),Input!K$64,G127))</f>
        <v>5.2499999999999998E-2</v>
      </c>
      <c r="I127" s="75">
        <f>IF($D126="V",Input!L$69,IF(AND($B133=I$5,Input!L$64&gt;0),Input!L$64,H127))</f>
        <v>5.2499999999999998E-2</v>
      </c>
      <c r="J127" s="75">
        <f>IF($D126="V",Input!M$69,IF(AND($B133=J$5,Input!M$64&gt;0),Input!M$64,I127))</f>
        <v>5.2499999999999998E-2</v>
      </c>
      <c r="K127" s="75">
        <f>IF($D126="V",Input!N$69,IF(AND($B133=K$5,Input!N$64&gt;0),Input!N$64,J127))</f>
        <v>5.2499999999999998E-2</v>
      </c>
      <c r="L127" s="75">
        <f>IF($D126="V",Input!O$69,IF(AND($B133=L$5,Input!O$64&gt;0),Input!O$64,K127))</f>
        <v>5.2499999999999998E-2</v>
      </c>
      <c r="M127" s="75">
        <f>IF($D126="V",Input!P$69,IF(AND($B133=M$5,Input!P$64&gt;0),Input!P$64,L127))</f>
        <v>5.2499999999999998E-2</v>
      </c>
      <c r="N127" s="46"/>
    </row>
    <row r="128" spans="1:14" ht="13" customHeight="1">
      <c r="A128" s="5" t="s">
        <v>361</v>
      </c>
      <c r="B128" s="135">
        <v>0</v>
      </c>
      <c r="C128" s="27" t="s">
        <v>173</v>
      </c>
      <c r="D128" s="140">
        <v>0</v>
      </c>
      <c r="E128" s="28">
        <f t="shared" ref="E128:M128" si="73">D133</f>
        <v>0</v>
      </c>
      <c r="F128" s="28">
        <f t="shared" si="73"/>
        <v>0</v>
      </c>
      <c r="G128" s="28">
        <f t="shared" si="73"/>
        <v>0</v>
      </c>
      <c r="H128" s="28">
        <f t="shared" si="73"/>
        <v>0</v>
      </c>
      <c r="I128" s="28">
        <f t="shared" si="73"/>
        <v>0</v>
      </c>
      <c r="J128" s="28">
        <f t="shared" si="73"/>
        <v>0</v>
      </c>
      <c r="K128" s="28">
        <f t="shared" si="73"/>
        <v>0</v>
      </c>
      <c r="L128" s="28">
        <f t="shared" si="73"/>
        <v>0</v>
      </c>
      <c r="M128" s="28">
        <f t="shared" si="73"/>
        <v>0</v>
      </c>
      <c r="N128" s="46"/>
    </row>
    <row r="129" spans="1:14" ht="13" customHeight="1">
      <c r="A129" s="26" t="s">
        <v>170</v>
      </c>
      <c r="B129" s="131">
        <v>35</v>
      </c>
      <c r="C129" s="29" t="s">
        <v>169</v>
      </c>
      <c r="D129" s="28">
        <f>D131-D130</f>
        <v>0</v>
      </c>
      <c r="E129" s="28">
        <f>E131-E130</f>
        <v>0</v>
      </c>
      <c r="F129" s="28">
        <f>F131-F130</f>
        <v>0</v>
      </c>
      <c r="G129" s="28">
        <f>G131-G130</f>
        <v>0</v>
      </c>
      <c r="H129" s="28">
        <f t="shared" ref="H129:M129" si="74">H131-H130</f>
        <v>0</v>
      </c>
      <c r="I129" s="28">
        <f t="shared" si="74"/>
        <v>0</v>
      </c>
      <c r="J129" s="28">
        <f t="shared" si="74"/>
        <v>0</v>
      </c>
      <c r="K129" s="28">
        <f t="shared" si="74"/>
        <v>0</v>
      </c>
      <c r="L129" s="28">
        <f t="shared" si="74"/>
        <v>0</v>
      </c>
      <c r="M129" s="28">
        <f t="shared" si="74"/>
        <v>0</v>
      </c>
      <c r="N129" s="46"/>
    </row>
    <row r="130" spans="1:14" ht="13" customHeight="1">
      <c r="A130" s="5" t="s">
        <v>172</v>
      </c>
      <c r="B130" s="134">
        <f>B119</f>
        <v>5.2499999999999998E-2</v>
      </c>
      <c r="C130" s="5" t="s">
        <v>174</v>
      </c>
      <c r="D130" s="28">
        <f>IF(AND($B132="Y",YEAR($B127)+$B129&gt;D$5),D135,IF((YEAR($B127)+$B129)&gt;D$5,FV(D127/$B131,$B131,D134),D128))</f>
        <v>0</v>
      </c>
      <c r="E130" s="28">
        <f>IF(AND($B132="Y",YEAR($B127)+$B129&gt;E$5),E135,IF((YEAR($B127)+$B129)&gt;E$5,FV(E127/$B131,$B131,E134),E128))</f>
        <v>0</v>
      </c>
      <c r="F130" s="28">
        <f>IF(AND($B132="Y",YEAR($B127)+$B129&gt;F$5),F135,IF((YEAR($B127)+$B129)&gt;F$5,FV(F127/$B131,$B131,F134),F128))</f>
        <v>0</v>
      </c>
      <c r="G130" s="28">
        <f>IF(AND($B132="Y",YEAR($B127)+$B129&gt;G$5),G135,IF((YEAR($B127)+$B129)&gt;G$5,FV(G127/$B131,$B131,G134),G128))</f>
        <v>0</v>
      </c>
      <c r="H130" s="28">
        <f t="shared" ref="H130:M130" si="75">IF(AND($B132="Y",YEAR($B127)+$B129&gt;H$5),H135,IF((YEAR($B127)+$B129)&gt;H$5,FV(H127/$B131,$B131,H134),H128))</f>
        <v>0</v>
      </c>
      <c r="I130" s="28">
        <f t="shared" si="75"/>
        <v>0</v>
      </c>
      <c r="J130" s="28">
        <f t="shared" si="75"/>
        <v>0</v>
      </c>
      <c r="K130" s="28">
        <f t="shared" si="75"/>
        <v>0</v>
      </c>
      <c r="L130" s="28">
        <f t="shared" si="75"/>
        <v>0</v>
      </c>
      <c r="M130" s="28">
        <f t="shared" si="75"/>
        <v>0</v>
      </c>
      <c r="N130" s="46"/>
    </row>
    <row r="131" spans="1:14" ht="13" customHeight="1">
      <c r="A131" s="5" t="s">
        <v>171</v>
      </c>
      <c r="B131" s="131">
        <v>4</v>
      </c>
      <c r="C131" s="78" t="s">
        <v>640</v>
      </c>
      <c r="D131" s="28">
        <f>IF(AND($B132="Y",YEAR($B127)+$B129&gt;D$5),D135+D127*(D128-D135*0.5),IF((YEAR($B127)+$B129)&gt;D$5,(D128*D127/$B131-D134)*$B131,(D128*(1+D127*MONTH($B127)/12))))</f>
        <v>0</v>
      </c>
      <c r="E131" s="28">
        <f>IF(AND($B132="Y",YEAR($B127)+$B129&gt;E$5),E135+E127*(E128-E135*0.5),IF((YEAR($B127)+$B129)&gt;E$5,(E128*E127/$B131-E134)*$B131,(E128*(1+E127*MONTH($B127)/12))))</f>
        <v>0</v>
      </c>
      <c r="F131" s="28">
        <f>IF(AND($B132="Y",YEAR($B127)+$B129&gt;F$5),F135+F127*(F128-F135*0.5),IF((YEAR($B127)+$B129)&gt;F$5,(F128*F127/$B131-F134)*$B131,(F128*(1+F127*MONTH($B127)/12))))</f>
        <v>0</v>
      </c>
      <c r="G131" s="28">
        <f>IF(AND($B132="Y",YEAR($B127)+$B129&gt;G$5),G135+G127*(G128-G135*0.5),IF((YEAR($B127)+$B129)&gt;G$5,(G128*G127/$B131-G134)*$B131,(G128*(1+G127*MONTH($B127)/12))))</f>
        <v>0</v>
      </c>
      <c r="H131" s="28">
        <f t="shared" ref="H131:M131" si="76">IF(AND($B132="Y",YEAR($B127)+$B129&gt;H$5),H135+H127*(H128-H135*0.5),IF((YEAR($B127)+$B129)&gt;H$5,(H128*H127/$B131-H134)*$B131,(H128*(1+H127*MONTH($B127)/12))))</f>
        <v>0</v>
      </c>
      <c r="I131" s="28">
        <f t="shared" si="76"/>
        <v>0</v>
      </c>
      <c r="J131" s="28">
        <f t="shared" si="76"/>
        <v>0</v>
      </c>
      <c r="K131" s="28">
        <f t="shared" si="76"/>
        <v>0</v>
      </c>
      <c r="L131" s="28">
        <f t="shared" si="76"/>
        <v>0</v>
      </c>
      <c r="M131" s="28">
        <f t="shared" si="76"/>
        <v>0</v>
      </c>
      <c r="N131" s="46"/>
    </row>
    <row r="132" spans="1:14" ht="13" customHeight="1">
      <c r="A132" s="5" t="s">
        <v>767</v>
      </c>
      <c r="B132" s="131" t="s">
        <v>719</v>
      </c>
      <c r="C132" s="132" t="s">
        <v>768</v>
      </c>
      <c r="D132" s="140">
        <v>0</v>
      </c>
      <c r="E132" s="140">
        <v>0</v>
      </c>
      <c r="F132" s="140">
        <v>0</v>
      </c>
      <c r="G132" s="140">
        <v>0</v>
      </c>
      <c r="H132" s="140">
        <v>0</v>
      </c>
      <c r="I132" s="140">
        <v>0</v>
      </c>
      <c r="J132" s="140">
        <v>0</v>
      </c>
      <c r="K132" s="140">
        <v>0</v>
      </c>
      <c r="L132" s="140">
        <v>0</v>
      </c>
      <c r="M132" s="140">
        <v>0</v>
      </c>
      <c r="N132" s="28"/>
    </row>
    <row r="133" spans="1:14" ht="13" customHeight="1">
      <c r="A133" s="5" t="s">
        <v>182</v>
      </c>
      <c r="B133" s="131"/>
      <c r="C133" s="30" t="s">
        <v>175</v>
      </c>
      <c r="D133" s="28">
        <f t="shared" ref="D133:M133" si="77">D128+D129-D131-D132</f>
        <v>0</v>
      </c>
      <c r="E133" s="28">
        <f t="shared" si="77"/>
        <v>0</v>
      </c>
      <c r="F133" s="28">
        <f t="shared" si="77"/>
        <v>0</v>
      </c>
      <c r="G133" s="28">
        <f t="shared" si="77"/>
        <v>0</v>
      </c>
      <c r="H133" s="28">
        <f t="shared" si="77"/>
        <v>0</v>
      </c>
      <c r="I133" s="28">
        <f t="shared" si="77"/>
        <v>0</v>
      </c>
      <c r="J133" s="28">
        <f t="shared" si="77"/>
        <v>0</v>
      </c>
      <c r="K133" s="28">
        <f t="shared" si="77"/>
        <v>0</v>
      </c>
      <c r="L133" s="28">
        <f t="shared" si="77"/>
        <v>0</v>
      </c>
      <c r="M133" s="28">
        <f t="shared" si="77"/>
        <v>0</v>
      </c>
    </row>
    <row r="134" spans="1:14" ht="13" hidden="1" customHeight="1">
      <c r="A134" s="5"/>
      <c r="B134" s="138"/>
      <c r="C134" s="5" t="s">
        <v>769</v>
      </c>
      <c r="D134" s="28" t="e">
        <f>PPMT(D127/$B131,1,ROUND(($B129-(D$5-YEAR($B127))+MONTH($B127)/12)*$B131,0),D128)</f>
        <v>#NUM!</v>
      </c>
      <c r="E134" s="28" t="e">
        <f>PPMT(E127/$B131,1,ROUND(($B129-(E$5-YEAR($B127))+MONTH($B127)/12)*$B131,0),E128)</f>
        <v>#NUM!</v>
      </c>
      <c r="F134" s="28" t="e">
        <f>PPMT(F127/$B131,1,ROUND(($B129-(F$5-YEAR($B127))+MONTH($B127)/12)*$B131,0),F128)</f>
        <v>#NUM!</v>
      </c>
      <c r="G134" s="28" t="e">
        <f>PPMT(G127/$B131,1,ROUND(($B129-(G$5-YEAR($B127))+MONTH($B127)/12)*$B131,0),G128)</f>
        <v>#NUM!</v>
      </c>
      <c r="H134" s="28" t="e">
        <f t="shared" ref="H134:M134" si="78">PPMT(H127/$B131,1,ROUND(($B129-(H$5-YEAR($B127))+MONTH($B127)/12)*$B131,0),H128)</f>
        <v>#NUM!</v>
      </c>
      <c r="I134" s="28" t="e">
        <f t="shared" si="78"/>
        <v>#NUM!</v>
      </c>
      <c r="J134" s="28" t="e">
        <f t="shared" si="78"/>
        <v>#NUM!</v>
      </c>
      <c r="K134" s="28" t="e">
        <f t="shared" si="78"/>
        <v>#NUM!</v>
      </c>
      <c r="L134" s="28" t="e">
        <f t="shared" si="78"/>
        <v>#NUM!</v>
      </c>
      <c r="M134" s="28" t="e">
        <f t="shared" si="78"/>
        <v>#NUM!</v>
      </c>
    </row>
    <row r="135" spans="1:14" ht="13" hidden="1" customHeight="1">
      <c r="A135" s="5"/>
      <c r="B135" s="5"/>
      <c r="C135" s="5" t="s">
        <v>770</v>
      </c>
      <c r="D135" s="28">
        <f>IF(YEAR($B127)+$B129&gt;D$5,D128/(YEAR($B127)+$B129-D$5+MONTH($B127)/12),D128)</f>
        <v>0</v>
      </c>
      <c r="E135" s="28">
        <f>IF(YEAR($B127)+$B129&gt;E$5,E128/(YEAR($B127)+$B129-E$5+MONTH($B127)/12),E128)</f>
        <v>0</v>
      </c>
      <c r="F135" s="28">
        <f>IF(YEAR($B127)+$B129&gt;F$5,F128/(YEAR($B127)+$B129-F$5+MONTH($B127)/12),F128)</f>
        <v>0</v>
      </c>
      <c r="G135" s="28">
        <f t="shared" ref="G135:M135" si="79">IF(YEAR($B127)+$B129&gt;G$5,G128/(YEAR($B127)+$B129-G$5+MONTH($B127)/12),G128)</f>
        <v>0</v>
      </c>
      <c r="H135" s="28">
        <f t="shared" si="79"/>
        <v>0</v>
      </c>
      <c r="I135" s="28">
        <f t="shared" si="79"/>
        <v>0</v>
      </c>
      <c r="J135" s="28">
        <f t="shared" si="79"/>
        <v>0</v>
      </c>
      <c r="K135" s="28">
        <f t="shared" si="79"/>
        <v>0</v>
      </c>
      <c r="L135" s="28">
        <f t="shared" si="79"/>
        <v>0</v>
      </c>
      <c r="M135" s="28">
        <f t="shared" si="79"/>
        <v>0</v>
      </c>
    </row>
    <row r="136" spans="1:14" ht="13" customHeight="1">
      <c r="A136" s="5"/>
      <c r="B136" s="5"/>
      <c r="C136" s="5"/>
      <c r="D136" s="46"/>
      <c r="E136" s="46"/>
      <c r="F136" s="46"/>
      <c r="G136" s="46"/>
      <c r="H136" s="46"/>
      <c r="I136" s="46"/>
      <c r="J136" s="46"/>
      <c r="K136" s="46"/>
      <c r="L136" s="46"/>
      <c r="M136" s="46"/>
    </row>
    <row r="137" spans="1:14" ht="13" customHeight="1">
      <c r="A137" s="30" t="s">
        <v>652</v>
      </c>
      <c r="B137" s="99"/>
      <c r="C137" t="s">
        <v>800</v>
      </c>
      <c r="D137" s="161" t="s">
        <v>801</v>
      </c>
      <c r="E137" s="1"/>
    </row>
    <row r="138" spans="1:14" ht="13" customHeight="1">
      <c r="A138" s="26" t="s">
        <v>677</v>
      </c>
      <c r="B138" s="133">
        <v>29373</v>
      </c>
      <c r="C138" s="5" t="s">
        <v>639</v>
      </c>
      <c r="D138" s="75">
        <f>IF($D137="V",Input!G$69,IF(AND($B144=D$5,Input!G$64&gt;0),Input!G$64,$B141))</f>
        <v>5.2499999999999998E-2</v>
      </c>
      <c r="E138" s="75">
        <f>IF($D137="V",Input!H$69,IF(AND($B144=E$5,Input!H$64&gt;0),Input!H$64,D138))</f>
        <v>5.2499999999999998E-2</v>
      </c>
      <c r="F138" s="75">
        <f>IF($D137="V",Input!I$69,IF(AND($B144=F$5,Input!I$64&gt;0),Input!I$64,E138))</f>
        <v>5.2499999999999998E-2</v>
      </c>
      <c r="G138" s="75">
        <f>IF($D137="V",Input!J$69,IF(AND($B144=G$5,Input!J$64&gt;0),Input!J$64,F138))</f>
        <v>5.2499999999999998E-2</v>
      </c>
      <c r="H138" s="75">
        <f>IF($D137="V",Input!K$69,IF(AND($B144=H$5,Input!K$64&gt;0),Input!K$64,G138))</f>
        <v>5.2499999999999998E-2</v>
      </c>
      <c r="I138" s="75">
        <f>IF($D137="V",Input!L$69,IF(AND($B144=I$5,Input!L$64&gt;0),Input!L$64,H138))</f>
        <v>5.2499999999999998E-2</v>
      </c>
      <c r="J138" s="75">
        <f>IF($D137="V",Input!M$69,IF(AND($B144=J$5,Input!M$64&gt;0),Input!M$64,I138))</f>
        <v>5.2499999999999998E-2</v>
      </c>
      <c r="K138" s="75">
        <f>IF($D137="V",Input!N$69,IF(AND($B144=K$5,Input!N$64&gt;0),Input!N$64,J138))</f>
        <v>5.2499999999999998E-2</v>
      </c>
      <c r="L138" s="75">
        <f>IF($D137="V",Input!O$69,IF(AND($B144=L$5,Input!O$64&gt;0),Input!O$64,K138))</f>
        <v>5.2499999999999998E-2</v>
      </c>
      <c r="M138" s="75">
        <f>IF($D137="V",Input!P$69,IF(AND($B144=M$5,Input!P$64&gt;0),Input!P$64,L138))</f>
        <v>5.2499999999999998E-2</v>
      </c>
    </row>
    <row r="139" spans="1:14" ht="13" customHeight="1">
      <c r="A139" s="5" t="s">
        <v>361</v>
      </c>
      <c r="B139" s="135">
        <v>0</v>
      </c>
      <c r="C139" s="27" t="s">
        <v>173</v>
      </c>
      <c r="D139" s="140">
        <v>0</v>
      </c>
      <c r="E139" s="28">
        <f t="shared" ref="E139:M139" si="80">D144</f>
        <v>0</v>
      </c>
      <c r="F139" s="28">
        <f t="shared" si="80"/>
        <v>0</v>
      </c>
      <c r="G139" s="28">
        <f t="shared" si="80"/>
        <v>0</v>
      </c>
      <c r="H139" s="28">
        <f t="shared" si="80"/>
        <v>0</v>
      </c>
      <c r="I139" s="28">
        <f t="shared" si="80"/>
        <v>0</v>
      </c>
      <c r="J139" s="28">
        <f t="shared" si="80"/>
        <v>0</v>
      </c>
      <c r="K139" s="28">
        <f t="shared" si="80"/>
        <v>0</v>
      </c>
      <c r="L139" s="28">
        <f t="shared" si="80"/>
        <v>0</v>
      </c>
      <c r="M139" s="28">
        <f t="shared" si="80"/>
        <v>0</v>
      </c>
    </row>
    <row r="140" spans="1:14" ht="13" customHeight="1">
      <c r="A140" s="26" t="s">
        <v>170</v>
      </c>
      <c r="B140" s="131">
        <v>35</v>
      </c>
      <c r="C140" s="29" t="s">
        <v>169</v>
      </c>
      <c r="D140" s="28">
        <f>D142-D141</f>
        <v>0</v>
      </c>
      <c r="E140" s="28">
        <f>E142-E141</f>
        <v>0</v>
      </c>
      <c r="F140" s="28">
        <f>F142-F141</f>
        <v>0</v>
      </c>
      <c r="G140" s="28">
        <f>G142-G141</f>
        <v>0</v>
      </c>
      <c r="H140" s="28">
        <f t="shared" ref="H140:M140" si="81">H142-H141</f>
        <v>0</v>
      </c>
      <c r="I140" s="28">
        <f t="shared" si="81"/>
        <v>0</v>
      </c>
      <c r="J140" s="28">
        <f t="shared" si="81"/>
        <v>0</v>
      </c>
      <c r="K140" s="28">
        <f t="shared" si="81"/>
        <v>0</v>
      </c>
      <c r="L140" s="28">
        <f t="shared" si="81"/>
        <v>0</v>
      </c>
      <c r="M140" s="28">
        <f t="shared" si="81"/>
        <v>0</v>
      </c>
    </row>
    <row r="141" spans="1:14" ht="13" customHeight="1">
      <c r="A141" s="5" t="s">
        <v>172</v>
      </c>
      <c r="B141" s="134">
        <f>B130</f>
        <v>5.2499999999999998E-2</v>
      </c>
      <c r="C141" s="5" t="s">
        <v>174</v>
      </c>
      <c r="D141" s="28">
        <f>IF(AND($B143="Y",YEAR($B138)+$B140&gt;D$5),D146,IF((YEAR($B138)+$B140)&gt;D$5,FV(D138/$B142,$B142,D145),D139))</f>
        <v>0</v>
      </c>
      <c r="E141" s="28">
        <f>IF(AND($B143="Y",YEAR($B138)+$B140&gt;E$5),E146,IF((YEAR($B138)+$B140)&gt;E$5,FV(E138/$B142,$B142,E145),E139))</f>
        <v>0</v>
      </c>
      <c r="F141" s="28">
        <f>IF(AND($B143="Y",YEAR($B138)+$B140&gt;F$5),F146,IF((YEAR($B138)+$B140)&gt;F$5,FV(F138/$B142,$B142,F145),F139))</f>
        <v>0</v>
      </c>
      <c r="G141" s="28">
        <f>IF(AND($B143="Y",YEAR($B138)+$B140&gt;G$5),G146,IF((YEAR($B138)+$B140)&gt;G$5,FV(G138/$B142,$B142,G145),G139))</f>
        <v>0</v>
      </c>
      <c r="H141" s="28">
        <f t="shared" ref="H141:M141" si="82">IF(AND($B143="Y",YEAR($B138)+$B140&gt;H$5),H146,IF((YEAR($B138)+$B140)&gt;H$5,FV(H138/$B142,$B142,H145),H139))</f>
        <v>0</v>
      </c>
      <c r="I141" s="28">
        <f t="shared" si="82"/>
        <v>0</v>
      </c>
      <c r="J141" s="28">
        <f t="shared" si="82"/>
        <v>0</v>
      </c>
      <c r="K141" s="28">
        <f t="shared" si="82"/>
        <v>0</v>
      </c>
      <c r="L141" s="28">
        <f t="shared" si="82"/>
        <v>0</v>
      </c>
      <c r="M141" s="28">
        <f t="shared" si="82"/>
        <v>0</v>
      </c>
    </row>
    <row r="142" spans="1:14" ht="13" customHeight="1">
      <c r="A142" s="5" t="s">
        <v>171</v>
      </c>
      <c r="B142" s="131">
        <v>4</v>
      </c>
      <c r="C142" s="78" t="s">
        <v>640</v>
      </c>
      <c r="D142" s="28">
        <f>IF(AND($B143="Y",YEAR($B138)+$B140&gt;D$5),D146+D138*(D139-D146*0.5),IF((YEAR($B138)+$B140)&gt;D$5,(D139*D138/$B142-D145)*$B142,(D139*(1+D138*MONTH($B138)/12))))</f>
        <v>0</v>
      </c>
      <c r="E142" s="28">
        <f>IF(AND($B143="Y",YEAR($B138)+$B140&gt;E$5),E146+E138*(E139-E146*0.5),IF((YEAR($B138)+$B140)&gt;E$5,(E139*E138/$B142-E145)*$B142,(E139*(1+E138*MONTH($B138)/12))))</f>
        <v>0</v>
      </c>
      <c r="F142" s="28">
        <f>IF(AND($B143="Y",YEAR($B138)+$B140&gt;F$5),F146+F138*(F139-F146*0.5),IF((YEAR($B138)+$B140)&gt;F$5,(F139*F138/$B142-F145)*$B142,(F139*(1+F138*MONTH($B138)/12))))</f>
        <v>0</v>
      </c>
      <c r="G142" s="28">
        <f>IF(AND($B143="Y",YEAR($B138)+$B140&gt;G$5),G146+G138*(G139-G146*0.5),IF((YEAR($B138)+$B140)&gt;G$5,(G139*G138/$B142-G145)*$B142,(G139*(1+G138*MONTH($B138)/12))))</f>
        <v>0</v>
      </c>
      <c r="H142" s="28">
        <f t="shared" ref="H142:M142" si="83">IF(AND($B143="Y",YEAR($B138)+$B140&gt;H$5),H146+H138*(H139-H146*0.5),IF((YEAR($B138)+$B140)&gt;H$5,(H139*H138/$B142-H145)*$B142,(H139*(1+H138*MONTH($B138)/12))))</f>
        <v>0</v>
      </c>
      <c r="I142" s="28">
        <f t="shared" si="83"/>
        <v>0</v>
      </c>
      <c r="J142" s="28">
        <f t="shared" si="83"/>
        <v>0</v>
      </c>
      <c r="K142" s="28">
        <f t="shared" si="83"/>
        <v>0</v>
      </c>
      <c r="L142" s="28">
        <f t="shared" si="83"/>
        <v>0</v>
      </c>
      <c r="M142" s="28">
        <f t="shared" si="83"/>
        <v>0</v>
      </c>
    </row>
    <row r="143" spans="1:14" ht="13" customHeight="1">
      <c r="A143" s="5" t="s">
        <v>767</v>
      </c>
      <c r="B143" s="131" t="s">
        <v>719</v>
      </c>
      <c r="C143" s="132" t="s">
        <v>768</v>
      </c>
      <c r="D143" s="140">
        <v>0</v>
      </c>
      <c r="E143" s="140">
        <v>0</v>
      </c>
      <c r="F143" s="140">
        <v>0</v>
      </c>
      <c r="G143" s="140">
        <v>0</v>
      </c>
      <c r="H143" s="140">
        <v>0</v>
      </c>
      <c r="I143" s="140">
        <v>0</v>
      </c>
      <c r="J143" s="140">
        <v>0</v>
      </c>
      <c r="K143" s="140">
        <v>0</v>
      </c>
      <c r="L143" s="140">
        <v>0</v>
      </c>
      <c r="M143" s="140">
        <v>0</v>
      </c>
    </row>
    <row r="144" spans="1:14" ht="13" customHeight="1">
      <c r="A144" s="5" t="s">
        <v>182</v>
      </c>
      <c r="B144" s="131"/>
      <c r="C144" s="30" t="s">
        <v>175</v>
      </c>
      <c r="D144" s="28">
        <f t="shared" ref="D144:M144" si="84">D139+D140-D142-D143</f>
        <v>0</v>
      </c>
      <c r="E144" s="28">
        <f t="shared" si="84"/>
        <v>0</v>
      </c>
      <c r="F144" s="28">
        <f t="shared" si="84"/>
        <v>0</v>
      </c>
      <c r="G144" s="28">
        <f t="shared" si="84"/>
        <v>0</v>
      </c>
      <c r="H144" s="28">
        <f t="shared" si="84"/>
        <v>0</v>
      </c>
      <c r="I144" s="28">
        <f t="shared" si="84"/>
        <v>0</v>
      </c>
      <c r="J144" s="28">
        <f t="shared" si="84"/>
        <v>0</v>
      </c>
      <c r="K144" s="28">
        <f t="shared" si="84"/>
        <v>0</v>
      </c>
      <c r="L144" s="28">
        <f t="shared" si="84"/>
        <v>0</v>
      </c>
      <c r="M144" s="28">
        <f t="shared" si="84"/>
        <v>0</v>
      </c>
    </row>
    <row r="145" spans="1:13" ht="13" hidden="1" customHeight="1">
      <c r="A145" s="5"/>
      <c r="B145" s="138"/>
      <c r="C145" s="5" t="s">
        <v>769</v>
      </c>
      <c r="D145" s="28" t="e">
        <f>PPMT(D138/$B142,1,ROUND(($B140-(D$5-YEAR($B138))+MONTH($B138)/12)*$B142,0),D139)</f>
        <v>#NUM!</v>
      </c>
      <c r="E145" s="28" t="e">
        <f>PPMT(E138/$B142,1,ROUND(($B140-(E$5-YEAR($B138))+MONTH($B138)/12)*$B142,0),E139)</f>
        <v>#NUM!</v>
      </c>
      <c r="F145" s="28" t="e">
        <f>PPMT(F138/$B142,1,ROUND(($B140-(F$5-YEAR($B138))+MONTH($B138)/12)*$B142,0),F139)</f>
        <v>#NUM!</v>
      </c>
      <c r="G145" s="28" t="e">
        <f>PPMT(G138/$B142,1,ROUND(($B140-(G$5-YEAR($B138))+MONTH($B138)/12)*$B142,0),G139)</f>
        <v>#NUM!</v>
      </c>
      <c r="H145" s="28" t="e">
        <f t="shared" ref="H145:M145" si="85">PPMT(H138/$B142,1,ROUND(($B140-(H$5-YEAR($B138))+MONTH($B138)/12)*$B142,0),H139)</f>
        <v>#NUM!</v>
      </c>
      <c r="I145" s="28" t="e">
        <f t="shared" si="85"/>
        <v>#NUM!</v>
      </c>
      <c r="J145" s="28" t="e">
        <f t="shared" si="85"/>
        <v>#NUM!</v>
      </c>
      <c r="K145" s="28" t="e">
        <f t="shared" si="85"/>
        <v>#NUM!</v>
      </c>
      <c r="L145" s="28" t="e">
        <f t="shared" si="85"/>
        <v>#NUM!</v>
      </c>
      <c r="M145" s="28" t="e">
        <f t="shared" si="85"/>
        <v>#NUM!</v>
      </c>
    </row>
    <row r="146" spans="1:13" ht="12.75" hidden="1" customHeight="1">
      <c r="A146" s="5"/>
      <c r="B146" s="5"/>
      <c r="C146" s="5" t="s">
        <v>770</v>
      </c>
      <c r="D146" s="28">
        <f>IF(YEAR($B138)+$B140&gt;D$5,D139/(YEAR($B138)+$B140-D$5+MONTH($B138)/12),D139)</f>
        <v>0</v>
      </c>
      <c r="E146" s="28">
        <f>IF(YEAR($B138)+$B140&gt;E$5,E139/(YEAR($B138)+$B140-E$5+MONTH($B138)/12),E139)</f>
        <v>0</v>
      </c>
      <c r="F146" s="28">
        <f>IF(YEAR($B138)+$B140&gt;F$5,F139/(YEAR($B138)+$B140-F$5+MONTH($B138)/12),F139)</f>
        <v>0</v>
      </c>
      <c r="G146" s="28">
        <f t="shared" ref="G146:M146" si="86">IF(YEAR($B138)+$B140&gt;G$5,G139/(YEAR($B138)+$B140-G$5+MONTH($B138)/12),G139)</f>
        <v>0</v>
      </c>
      <c r="H146" s="28">
        <f t="shared" si="86"/>
        <v>0</v>
      </c>
      <c r="I146" s="28">
        <f t="shared" si="86"/>
        <v>0</v>
      </c>
      <c r="J146" s="28">
        <f t="shared" si="86"/>
        <v>0</v>
      </c>
      <c r="K146" s="28">
        <f t="shared" si="86"/>
        <v>0</v>
      </c>
      <c r="L146" s="28">
        <f t="shared" si="86"/>
        <v>0</v>
      </c>
      <c r="M146" s="28">
        <f t="shared" si="86"/>
        <v>0</v>
      </c>
    </row>
    <row r="147" spans="1:13" ht="13" customHeight="1">
      <c r="A147" s="5"/>
      <c r="B147" s="5"/>
      <c r="C147" s="5"/>
      <c r="D147" s="46"/>
      <c r="E147" s="46"/>
      <c r="F147" s="46"/>
      <c r="G147" s="46"/>
      <c r="H147" s="46"/>
      <c r="I147" s="46"/>
      <c r="J147" s="46"/>
      <c r="K147" s="46"/>
      <c r="L147" s="46"/>
      <c r="M147" s="46"/>
    </row>
    <row r="148" spans="1:13" ht="13" customHeight="1">
      <c r="A148" s="30" t="s">
        <v>653</v>
      </c>
      <c r="B148" s="99"/>
      <c r="C148" t="s">
        <v>800</v>
      </c>
      <c r="D148" s="161" t="s">
        <v>801</v>
      </c>
      <c r="E148" s="1"/>
    </row>
    <row r="149" spans="1:13" ht="13" customHeight="1">
      <c r="A149" s="26" t="s">
        <v>677</v>
      </c>
      <c r="B149" s="133">
        <v>29373</v>
      </c>
      <c r="C149" s="5" t="s">
        <v>639</v>
      </c>
      <c r="D149" s="75">
        <f>IF($D148="V",Input!G$69,IF(AND($B155=D$5,Input!G$64&gt;0),Input!G$64,$B152))</f>
        <v>5.2499999999999998E-2</v>
      </c>
      <c r="E149" s="75">
        <f>IF($D148="V",Input!H$69,IF(AND($B155=E$5,Input!H$64&gt;0),Input!H$64,D149))</f>
        <v>5.2499999999999998E-2</v>
      </c>
      <c r="F149" s="75">
        <f>IF($D148="V",Input!I$69,IF(AND($B155=F$5,Input!I$64&gt;0),Input!I$64,E149))</f>
        <v>5.2499999999999998E-2</v>
      </c>
      <c r="G149" s="75">
        <f>IF($D148="V",Input!J$69,IF(AND($B155=G$5,Input!J$64&gt;0),Input!J$64,F149))</f>
        <v>5.2499999999999998E-2</v>
      </c>
      <c r="H149" s="75">
        <f>IF($D148="V",Input!K$69,IF(AND($B155=H$5,Input!K$64&gt;0),Input!K$64,G149))</f>
        <v>5.2499999999999998E-2</v>
      </c>
      <c r="I149" s="75">
        <f>IF($D148="V",Input!L$69,IF(AND($B155=I$5,Input!L$64&gt;0),Input!L$64,H149))</f>
        <v>5.2499999999999998E-2</v>
      </c>
      <c r="J149" s="75">
        <f>IF($D148="V",Input!M$69,IF(AND($B155=J$5,Input!M$64&gt;0),Input!M$64,I149))</f>
        <v>5.2499999999999998E-2</v>
      </c>
      <c r="K149" s="75">
        <f>IF($D148="V",Input!N$69,IF(AND($B155=K$5,Input!N$64&gt;0),Input!N$64,J149))</f>
        <v>5.2499999999999998E-2</v>
      </c>
      <c r="L149" s="75">
        <f>IF($D148="V",Input!O$69,IF(AND($B155=L$5,Input!O$64&gt;0),Input!O$64,K149))</f>
        <v>5.2499999999999998E-2</v>
      </c>
      <c r="M149" s="75">
        <f>IF($D148="V",Input!P$69,IF(AND($B155=M$5,Input!P$64&gt;0),Input!P$64,L149))</f>
        <v>5.2499999999999998E-2</v>
      </c>
    </row>
    <row r="150" spans="1:13" ht="13" customHeight="1">
      <c r="A150" s="5" t="s">
        <v>361</v>
      </c>
      <c r="B150" s="135">
        <v>0</v>
      </c>
      <c r="C150" s="27" t="s">
        <v>173</v>
      </c>
      <c r="D150" s="140">
        <v>0</v>
      </c>
      <c r="E150" s="28">
        <f t="shared" ref="E150:M150" si="87">D155</f>
        <v>0</v>
      </c>
      <c r="F150" s="28">
        <f t="shared" si="87"/>
        <v>0</v>
      </c>
      <c r="G150" s="28">
        <f t="shared" si="87"/>
        <v>0</v>
      </c>
      <c r="H150" s="28">
        <f t="shared" si="87"/>
        <v>0</v>
      </c>
      <c r="I150" s="28">
        <f t="shared" si="87"/>
        <v>0</v>
      </c>
      <c r="J150" s="28">
        <f t="shared" si="87"/>
        <v>0</v>
      </c>
      <c r="K150" s="28">
        <f t="shared" si="87"/>
        <v>0</v>
      </c>
      <c r="L150" s="28">
        <f t="shared" si="87"/>
        <v>0</v>
      </c>
      <c r="M150" s="28">
        <f t="shared" si="87"/>
        <v>0</v>
      </c>
    </row>
    <row r="151" spans="1:13" ht="13" customHeight="1">
      <c r="A151" s="26" t="s">
        <v>170</v>
      </c>
      <c r="B151" s="131">
        <v>35</v>
      </c>
      <c r="C151" s="29" t="s">
        <v>169</v>
      </c>
      <c r="D151" s="28">
        <f>D153-D152</f>
        <v>0</v>
      </c>
      <c r="E151" s="28">
        <f>E153-E152</f>
        <v>0</v>
      </c>
      <c r="F151" s="28">
        <f>F153-F152</f>
        <v>0</v>
      </c>
      <c r="G151" s="28">
        <f>G153-G152</f>
        <v>0</v>
      </c>
      <c r="H151" s="28">
        <f t="shared" ref="H151:M151" si="88">H153-H152</f>
        <v>0</v>
      </c>
      <c r="I151" s="28">
        <f t="shared" si="88"/>
        <v>0</v>
      </c>
      <c r="J151" s="28">
        <f t="shared" si="88"/>
        <v>0</v>
      </c>
      <c r="K151" s="28">
        <f t="shared" si="88"/>
        <v>0</v>
      </c>
      <c r="L151" s="28">
        <f t="shared" si="88"/>
        <v>0</v>
      </c>
      <c r="M151" s="28">
        <f t="shared" si="88"/>
        <v>0</v>
      </c>
    </row>
    <row r="152" spans="1:13" ht="13" customHeight="1">
      <c r="A152" s="5" t="s">
        <v>172</v>
      </c>
      <c r="B152" s="134">
        <f>B141</f>
        <v>5.2499999999999998E-2</v>
      </c>
      <c r="C152" s="5" t="s">
        <v>174</v>
      </c>
      <c r="D152" s="28">
        <f>IF(AND($B154="Y",YEAR($B149)+$B151&gt;D$5),D157,IF((YEAR($B149)+$B151)&gt;D$5,FV(D149/$B153,$B153,D156),D150))</f>
        <v>0</v>
      </c>
      <c r="E152" s="28">
        <f>IF(AND($B154="Y",YEAR($B149)+$B151&gt;E$5),E157,IF((YEAR($B149)+$B151)&gt;E$5,FV(E149/$B153,$B153,E156),E150))</f>
        <v>0</v>
      </c>
      <c r="F152" s="28">
        <f>IF(AND($B154="Y",YEAR($B149)+$B151&gt;F$5),F157,IF((YEAR($B149)+$B151)&gt;F$5,FV(F149/$B153,$B153,F156),F150))</f>
        <v>0</v>
      </c>
      <c r="G152" s="28">
        <f>IF(AND($B154="Y",YEAR($B149)+$B151&gt;G$5),G157,IF((YEAR($B149)+$B151)&gt;G$5,FV(G149/$B153,$B153,G156),G150))</f>
        <v>0</v>
      </c>
      <c r="H152" s="28">
        <f t="shared" ref="H152:M152" si="89">IF(AND($B154="Y",YEAR($B149)+$B151&gt;H$5),H157,IF((YEAR($B149)+$B151)&gt;H$5,FV(H149/$B153,$B153,H156),H150))</f>
        <v>0</v>
      </c>
      <c r="I152" s="28">
        <f t="shared" si="89"/>
        <v>0</v>
      </c>
      <c r="J152" s="28">
        <f t="shared" si="89"/>
        <v>0</v>
      </c>
      <c r="K152" s="28">
        <f t="shared" si="89"/>
        <v>0</v>
      </c>
      <c r="L152" s="28">
        <f t="shared" si="89"/>
        <v>0</v>
      </c>
      <c r="M152" s="28">
        <f t="shared" si="89"/>
        <v>0</v>
      </c>
    </row>
    <row r="153" spans="1:13" ht="13" customHeight="1">
      <c r="A153" s="5" t="s">
        <v>171</v>
      </c>
      <c r="B153" s="131">
        <v>4</v>
      </c>
      <c r="C153" s="78" t="s">
        <v>640</v>
      </c>
      <c r="D153" s="28">
        <f>IF(AND($B154="Y",YEAR($B149)+$B151&gt;D$5),D157+D149*(D150-D157*0.5),IF((YEAR($B149)+$B151)&gt;D$5,(D150*D149/$B153-D156)*$B153,(D150*(1+D149*MONTH($B149)/12))))</f>
        <v>0</v>
      </c>
      <c r="E153" s="28">
        <f>IF(AND($B154="Y",YEAR($B149)+$B151&gt;E$5),E157+E149*(E150-E157*0.5),IF((YEAR($B149)+$B151)&gt;E$5,(E150*E149/$B153-E156)*$B153,(E150*(1+E149*MONTH($B149)/12))))</f>
        <v>0</v>
      </c>
      <c r="F153" s="28">
        <f>IF(AND($B154="Y",YEAR($B149)+$B151&gt;F$5),F157+F149*(F150-F157*0.5),IF((YEAR($B149)+$B151)&gt;F$5,(F150*F149/$B153-F156)*$B153,(F150*(1+F149*MONTH($B149)/12))))</f>
        <v>0</v>
      </c>
      <c r="G153" s="28">
        <f>IF(AND($B154="Y",YEAR($B149)+$B151&gt;G$5),G157+G149*(G150-G157*0.5),IF((YEAR($B149)+$B151)&gt;G$5,(G150*G149/$B153-G156)*$B153,(G150*(1+G149*MONTH($B149)/12))))</f>
        <v>0</v>
      </c>
      <c r="H153" s="28">
        <f t="shared" ref="H153:M153" si="90">IF(AND($B154="Y",YEAR($B149)+$B151&gt;H$5),H157+H149*(H150-H157*0.5),IF((YEAR($B149)+$B151)&gt;H$5,(H150*H149/$B153-H156)*$B153,(H150*(1+H149*MONTH($B149)/12))))</f>
        <v>0</v>
      </c>
      <c r="I153" s="28">
        <f t="shared" si="90"/>
        <v>0</v>
      </c>
      <c r="J153" s="28">
        <f t="shared" si="90"/>
        <v>0</v>
      </c>
      <c r="K153" s="28">
        <f t="shared" si="90"/>
        <v>0</v>
      </c>
      <c r="L153" s="28">
        <f t="shared" si="90"/>
        <v>0</v>
      </c>
      <c r="M153" s="28">
        <f t="shared" si="90"/>
        <v>0</v>
      </c>
    </row>
    <row r="154" spans="1:13" ht="13" customHeight="1">
      <c r="A154" s="5" t="s">
        <v>767</v>
      </c>
      <c r="B154" s="131" t="s">
        <v>719</v>
      </c>
      <c r="C154" s="132" t="s">
        <v>768</v>
      </c>
      <c r="D154" s="140">
        <v>0</v>
      </c>
      <c r="E154" s="140">
        <v>0</v>
      </c>
      <c r="F154" s="140">
        <v>0</v>
      </c>
      <c r="G154" s="140">
        <v>0</v>
      </c>
      <c r="H154" s="140">
        <v>0</v>
      </c>
      <c r="I154" s="140">
        <v>0</v>
      </c>
      <c r="J154" s="140">
        <v>0</v>
      </c>
      <c r="K154" s="140">
        <v>0</v>
      </c>
      <c r="L154" s="140">
        <v>0</v>
      </c>
      <c r="M154" s="140">
        <v>0</v>
      </c>
    </row>
    <row r="155" spans="1:13" ht="13" customHeight="1">
      <c r="A155" s="5" t="s">
        <v>182</v>
      </c>
      <c r="B155" s="131"/>
      <c r="C155" s="30" t="s">
        <v>175</v>
      </c>
      <c r="D155" s="28">
        <f t="shared" ref="D155:M155" si="91">D150+D151-D153-D154</f>
        <v>0</v>
      </c>
      <c r="E155" s="28">
        <f t="shared" si="91"/>
        <v>0</v>
      </c>
      <c r="F155" s="28">
        <f t="shared" si="91"/>
        <v>0</v>
      </c>
      <c r="G155" s="28">
        <f t="shared" si="91"/>
        <v>0</v>
      </c>
      <c r="H155" s="28">
        <f t="shared" si="91"/>
        <v>0</v>
      </c>
      <c r="I155" s="28">
        <f t="shared" si="91"/>
        <v>0</v>
      </c>
      <c r="J155" s="28">
        <f t="shared" si="91"/>
        <v>0</v>
      </c>
      <c r="K155" s="28">
        <f t="shared" si="91"/>
        <v>0</v>
      </c>
      <c r="L155" s="28">
        <f t="shared" si="91"/>
        <v>0</v>
      </c>
      <c r="M155" s="28">
        <f t="shared" si="91"/>
        <v>0</v>
      </c>
    </row>
    <row r="156" spans="1:13" ht="13" hidden="1" customHeight="1">
      <c r="A156" s="5"/>
      <c r="B156" s="138"/>
      <c r="C156" s="5" t="s">
        <v>769</v>
      </c>
      <c r="D156" s="28" t="e">
        <f>PPMT(D149/$B153,1,ROUND(($B151-(D$5-YEAR($B149))+MONTH($B149)/12)*$B153,0),D150)</f>
        <v>#NUM!</v>
      </c>
      <c r="E156" s="28" t="e">
        <f>PPMT(E149/$B153,1,ROUND(($B151-(E$5-YEAR($B149))+MONTH($B149)/12)*$B153,0),E150)</f>
        <v>#NUM!</v>
      </c>
      <c r="F156" s="28" t="e">
        <f>PPMT(F149/$B153,1,ROUND(($B151-(F$5-YEAR($B149))+MONTH($B149)/12)*$B153,0),F150)</f>
        <v>#NUM!</v>
      </c>
      <c r="G156" s="28" t="e">
        <f>PPMT(G149/$B153,1,ROUND(($B151-(G$5-YEAR($B149))+MONTH($B149)/12)*$B153,0),G150)</f>
        <v>#NUM!</v>
      </c>
      <c r="H156" s="28" t="e">
        <f t="shared" ref="H156:M156" si="92">PPMT(H149/$B153,1,ROUND(($B151-(H$5-YEAR($B149))+MONTH($B149)/12)*$B153,0),H150)</f>
        <v>#NUM!</v>
      </c>
      <c r="I156" s="28" t="e">
        <f t="shared" si="92"/>
        <v>#NUM!</v>
      </c>
      <c r="J156" s="28" t="e">
        <f t="shared" si="92"/>
        <v>#NUM!</v>
      </c>
      <c r="K156" s="28" t="e">
        <f t="shared" si="92"/>
        <v>#NUM!</v>
      </c>
      <c r="L156" s="28" t="e">
        <f t="shared" si="92"/>
        <v>#NUM!</v>
      </c>
      <c r="M156" s="28" t="e">
        <f t="shared" si="92"/>
        <v>#NUM!</v>
      </c>
    </row>
    <row r="157" spans="1:13" ht="13" hidden="1" customHeight="1">
      <c r="A157" s="5"/>
      <c r="B157" s="5"/>
      <c r="C157" s="5" t="s">
        <v>770</v>
      </c>
      <c r="D157" s="28">
        <f>IF(YEAR($B149)+$B151&gt;D$5,D150/(YEAR($B149)+$B151-D$5+MONTH($B149)/12),D150)</f>
        <v>0</v>
      </c>
      <c r="E157" s="28">
        <f>IF(YEAR($B149)+$B151&gt;E$5,E150/(YEAR($B149)+$B151-E$5+MONTH($B149)/12),E150)</f>
        <v>0</v>
      </c>
      <c r="F157" s="28">
        <f>IF(YEAR($B149)+$B151&gt;F$5,F150/(YEAR($B149)+$B151-F$5+MONTH($B149)/12),F150)</f>
        <v>0</v>
      </c>
      <c r="G157" s="28">
        <f t="shared" ref="G157:M157" si="93">IF(YEAR($B149)+$B151&gt;G$5,G150/(YEAR($B149)+$B151-G$5+MONTH($B149)/12),G150)</f>
        <v>0</v>
      </c>
      <c r="H157" s="28">
        <f t="shared" si="93"/>
        <v>0</v>
      </c>
      <c r="I157" s="28">
        <f t="shared" si="93"/>
        <v>0</v>
      </c>
      <c r="J157" s="28">
        <f t="shared" si="93"/>
        <v>0</v>
      </c>
      <c r="K157" s="28">
        <f t="shared" si="93"/>
        <v>0</v>
      </c>
      <c r="L157" s="28">
        <f t="shared" si="93"/>
        <v>0</v>
      </c>
      <c r="M157" s="28">
        <f t="shared" si="93"/>
        <v>0</v>
      </c>
    </row>
    <row r="158" spans="1:13" ht="13" customHeight="1">
      <c r="A158" s="5"/>
      <c r="B158" s="5"/>
      <c r="C158" s="5"/>
      <c r="D158" s="46"/>
      <c r="E158" s="46"/>
      <c r="F158" s="46"/>
      <c r="G158" s="46"/>
      <c r="H158" s="46"/>
      <c r="I158" s="46"/>
      <c r="J158" s="46"/>
      <c r="K158" s="46"/>
      <c r="L158" s="46"/>
      <c r="M158" s="46"/>
    </row>
    <row r="159" spans="1:13" ht="13" customHeight="1">
      <c r="A159" s="5"/>
      <c r="B159" s="5"/>
      <c r="C159" s="5"/>
      <c r="D159" s="46"/>
      <c r="E159" s="46"/>
      <c r="F159" s="46"/>
      <c r="G159" s="46"/>
      <c r="H159" s="46"/>
      <c r="I159" s="46"/>
      <c r="J159" s="46"/>
      <c r="K159" s="46"/>
      <c r="L159" s="46"/>
      <c r="M159" s="46"/>
    </row>
    <row r="160" spans="1:13" ht="13" customHeight="1">
      <c r="A160" s="5" t="s">
        <v>786</v>
      </c>
      <c r="B160" s="5"/>
      <c r="C160" s="5"/>
      <c r="D160" s="156">
        <f>+D5</f>
        <v>2024</v>
      </c>
      <c r="E160" s="156">
        <f t="shared" ref="E160:M160" si="94">+E5</f>
        <v>2025</v>
      </c>
      <c r="F160" s="156">
        <f t="shared" si="94"/>
        <v>2026</v>
      </c>
      <c r="G160" s="156">
        <f t="shared" si="94"/>
        <v>2027</v>
      </c>
      <c r="H160" s="156">
        <f t="shared" si="94"/>
        <v>2028</v>
      </c>
      <c r="I160" s="156">
        <f t="shared" si="94"/>
        <v>2029</v>
      </c>
      <c r="J160" s="156">
        <f t="shared" si="94"/>
        <v>2030</v>
      </c>
      <c r="K160" s="156">
        <f t="shared" si="94"/>
        <v>2031</v>
      </c>
      <c r="L160" s="156">
        <f t="shared" si="94"/>
        <v>2032</v>
      </c>
      <c r="M160" s="156">
        <f t="shared" si="94"/>
        <v>2033</v>
      </c>
    </row>
    <row r="161" spans="1:13" ht="13" customHeight="1">
      <c r="A161" s="5"/>
      <c r="B161" s="5"/>
      <c r="C161" s="5"/>
      <c r="D161" s="157" t="str">
        <f>+D81</f>
        <v xml:space="preserve">  -----------</v>
      </c>
      <c r="E161" s="157" t="str">
        <f t="shared" ref="E161:M161" si="95">+E81</f>
        <v xml:space="preserve">  -----------</v>
      </c>
      <c r="F161" s="157" t="str">
        <f t="shared" si="95"/>
        <v xml:space="preserve">  -----------</v>
      </c>
      <c r="G161" s="157" t="str">
        <f t="shared" si="95"/>
        <v xml:space="preserve">  -----------</v>
      </c>
      <c r="H161" s="157" t="str">
        <f t="shared" si="95"/>
        <v xml:space="preserve">  -----------</v>
      </c>
      <c r="I161" s="157" t="str">
        <f t="shared" si="95"/>
        <v xml:space="preserve">  -----------</v>
      </c>
      <c r="J161" s="157" t="str">
        <f t="shared" si="95"/>
        <v xml:space="preserve">  -----------</v>
      </c>
      <c r="K161" s="157" t="str">
        <f t="shared" si="95"/>
        <v xml:space="preserve">  -----------</v>
      </c>
      <c r="L161" s="157" t="str">
        <f t="shared" si="95"/>
        <v xml:space="preserve">  -----------</v>
      </c>
      <c r="M161" s="157" t="str">
        <f t="shared" si="95"/>
        <v xml:space="preserve">  -----------</v>
      </c>
    </row>
    <row r="162" spans="1:13" ht="13" customHeight="1">
      <c r="A162" s="30" t="s">
        <v>654</v>
      </c>
      <c r="B162" s="99"/>
      <c r="C162" t="s">
        <v>800</v>
      </c>
      <c r="D162" s="161" t="s">
        <v>801</v>
      </c>
      <c r="E162" s="1"/>
    </row>
    <row r="163" spans="1:13" ht="13" customHeight="1">
      <c r="A163" s="26" t="s">
        <v>677</v>
      </c>
      <c r="B163" s="133">
        <v>29373</v>
      </c>
      <c r="C163" s="5" t="s">
        <v>639</v>
      </c>
      <c r="D163" s="75">
        <f>IF($D162="V",Input!G$69,IF(AND($B169=D$5,Input!G$64&gt;0),Input!G$64,$B166))</f>
        <v>5.2499999999999998E-2</v>
      </c>
      <c r="E163" s="75">
        <f>IF($D162="V",Input!H$69,IF(AND($B169=E$5,Input!H$64&gt;0),Input!H$64,D163))</f>
        <v>5.2499999999999998E-2</v>
      </c>
      <c r="F163" s="75">
        <f>IF($D162="V",Input!I$69,IF(AND($B169=F$5,Input!I$64&gt;0),Input!I$64,E163))</f>
        <v>5.2499999999999998E-2</v>
      </c>
      <c r="G163" s="75">
        <f>IF($D162="V",Input!J$69,IF(AND($B169=G$5,Input!J$64&gt;0),Input!J$64,F163))</f>
        <v>5.2499999999999998E-2</v>
      </c>
      <c r="H163" s="75">
        <f>IF($D162="V",Input!K$69,IF(AND($B169=H$5,Input!K$64&gt;0),Input!K$64,G163))</f>
        <v>5.2499999999999998E-2</v>
      </c>
      <c r="I163" s="75">
        <f>IF($D162="V",Input!L$69,IF(AND($B169=I$5,Input!L$64&gt;0),Input!L$64,H163))</f>
        <v>5.2499999999999998E-2</v>
      </c>
      <c r="J163" s="75">
        <f>IF($D162="V",Input!M$69,IF(AND($B169=J$5,Input!M$64&gt;0),Input!M$64,I163))</f>
        <v>5.2499999999999998E-2</v>
      </c>
      <c r="K163" s="75">
        <f>IF($D162="V",Input!N$69,IF(AND($B169=K$5,Input!N$64&gt;0),Input!N$64,J163))</f>
        <v>5.2499999999999998E-2</v>
      </c>
      <c r="L163" s="75">
        <f>IF($D162="V",Input!O$69,IF(AND($B169=L$5,Input!O$64&gt;0),Input!O$64,K163))</f>
        <v>5.2499999999999998E-2</v>
      </c>
      <c r="M163" s="75">
        <f>IF($D162="V",Input!P$69,IF(AND($B169=M$5,Input!P$64&gt;0),Input!P$64,L163))</f>
        <v>5.2499999999999998E-2</v>
      </c>
    </row>
    <row r="164" spans="1:13" ht="13" customHeight="1">
      <c r="A164" s="5" t="s">
        <v>361</v>
      </c>
      <c r="B164" s="135">
        <v>0</v>
      </c>
      <c r="C164" s="27" t="s">
        <v>173</v>
      </c>
      <c r="D164" s="140">
        <v>0</v>
      </c>
      <c r="E164" s="28">
        <f t="shared" ref="E164:M164" si="96">D169</f>
        <v>0</v>
      </c>
      <c r="F164" s="28">
        <f t="shared" si="96"/>
        <v>0</v>
      </c>
      <c r="G164" s="28">
        <f t="shared" si="96"/>
        <v>0</v>
      </c>
      <c r="H164" s="28">
        <f t="shared" si="96"/>
        <v>0</v>
      </c>
      <c r="I164" s="28">
        <f t="shared" si="96"/>
        <v>0</v>
      </c>
      <c r="J164" s="28">
        <f t="shared" si="96"/>
        <v>0</v>
      </c>
      <c r="K164" s="28">
        <f t="shared" si="96"/>
        <v>0</v>
      </c>
      <c r="L164" s="28">
        <f t="shared" si="96"/>
        <v>0</v>
      </c>
      <c r="M164" s="28">
        <f t="shared" si="96"/>
        <v>0</v>
      </c>
    </row>
    <row r="165" spans="1:13" ht="13" customHeight="1">
      <c r="A165" s="26" t="s">
        <v>170</v>
      </c>
      <c r="B165" s="131">
        <v>35</v>
      </c>
      <c r="C165" s="29" t="s">
        <v>169</v>
      </c>
      <c r="D165" s="28">
        <f>D167-D166</f>
        <v>0</v>
      </c>
      <c r="E165" s="28">
        <f>E167-E166</f>
        <v>0</v>
      </c>
      <c r="F165" s="28">
        <f>F167-F166</f>
        <v>0</v>
      </c>
      <c r="G165" s="28">
        <f>G167-G166</f>
        <v>0</v>
      </c>
      <c r="H165" s="28">
        <f t="shared" ref="H165:M165" si="97">H167-H166</f>
        <v>0</v>
      </c>
      <c r="I165" s="28">
        <f t="shared" si="97"/>
        <v>0</v>
      </c>
      <c r="J165" s="28">
        <f t="shared" si="97"/>
        <v>0</v>
      </c>
      <c r="K165" s="28">
        <f t="shared" si="97"/>
        <v>0</v>
      </c>
      <c r="L165" s="28">
        <f t="shared" si="97"/>
        <v>0</v>
      </c>
      <c r="M165" s="28">
        <f t="shared" si="97"/>
        <v>0</v>
      </c>
    </row>
    <row r="166" spans="1:13" ht="13" customHeight="1">
      <c r="A166" s="5" t="s">
        <v>172</v>
      </c>
      <c r="B166" s="134">
        <f>B152</f>
        <v>5.2499999999999998E-2</v>
      </c>
      <c r="C166" s="5" t="s">
        <v>174</v>
      </c>
      <c r="D166" s="28">
        <f>IF(AND($B168="Y",YEAR($B163)+$B165&gt;D$5),D171,IF((YEAR($B163)+$B165)&gt;D$5,FV(D163/$B167,$B167,D170),D164))</f>
        <v>0</v>
      </c>
      <c r="E166" s="28">
        <f>IF(AND($B168="Y",YEAR($B163)+$B165&gt;E$5),E171,IF((YEAR($B163)+$B165)&gt;E$5,FV(E163/$B167,$B167,E170),E164))</f>
        <v>0</v>
      </c>
      <c r="F166" s="28">
        <f>IF(AND($B168="Y",YEAR($B163)+$B165&gt;F$5),F171,IF((YEAR($B163)+$B165)&gt;F$5,FV(F163/$B167,$B167,F170),F164))</f>
        <v>0</v>
      </c>
      <c r="G166" s="28">
        <f>IF(AND($B168="Y",YEAR($B163)+$B165&gt;G$5),G171,IF((YEAR($B163)+$B165)&gt;G$5,FV(G163/$B167,$B167,G170),G164))</f>
        <v>0</v>
      </c>
      <c r="H166" s="28">
        <f t="shared" ref="H166:M166" si="98">IF(AND($B168="Y",YEAR($B163)+$B165&gt;H$5),H171,IF((YEAR($B163)+$B165)&gt;H$5,FV(H163/$B167,$B167,H170),H164))</f>
        <v>0</v>
      </c>
      <c r="I166" s="28">
        <f t="shared" si="98"/>
        <v>0</v>
      </c>
      <c r="J166" s="28">
        <f t="shared" si="98"/>
        <v>0</v>
      </c>
      <c r="K166" s="28">
        <f t="shared" si="98"/>
        <v>0</v>
      </c>
      <c r="L166" s="28">
        <f t="shared" si="98"/>
        <v>0</v>
      </c>
      <c r="M166" s="28">
        <f t="shared" si="98"/>
        <v>0</v>
      </c>
    </row>
    <row r="167" spans="1:13" ht="13" customHeight="1">
      <c r="A167" s="5" t="s">
        <v>171</v>
      </c>
      <c r="B167" s="131">
        <v>4</v>
      </c>
      <c r="C167" s="78" t="s">
        <v>640</v>
      </c>
      <c r="D167" s="28">
        <f>IF(AND($B168="Y",YEAR($B163)+$B165&gt;D$5),D171+D163*(D164-D171*0.5),IF((YEAR($B163)+$B165)&gt;D$5,(D164*D163/$B167-D170)*$B167,(D164*(1+D163*MONTH($B163)/12))))</f>
        <v>0</v>
      </c>
      <c r="E167" s="28">
        <f>IF(AND($B168="Y",YEAR($B163)+$B165&gt;E$5),E171+E163*(E164-E171*0.5),IF((YEAR($B163)+$B165)&gt;E$5,(E164*E163/$B167-E170)*$B167,(E164*(1+E163*MONTH($B163)/12))))</f>
        <v>0</v>
      </c>
      <c r="F167" s="28">
        <f>IF(AND($B168="Y",YEAR($B163)+$B165&gt;F$5),F171+F163*(F164-F171*0.5),IF((YEAR($B163)+$B165)&gt;F$5,(F164*F163/$B167-F170)*$B167,(F164*(1+F163*MONTH($B163)/12))))</f>
        <v>0</v>
      </c>
      <c r="G167" s="28">
        <f>IF(AND($B168="Y",YEAR($B163)+$B165&gt;G$5),G171+G163*(G164-G171*0.5),IF((YEAR($B163)+$B165)&gt;G$5,(G164*G163/$B167-G170)*$B167,(G164*(1+G163*MONTH($B163)/12))))</f>
        <v>0</v>
      </c>
      <c r="H167" s="28">
        <f t="shared" ref="H167:M167" si="99">IF(AND($B168="Y",YEAR($B163)+$B165&gt;H$5),H171+H163*(H164-H171*0.5),IF((YEAR($B163)+$B165)&gt;H$5,(H164*H163/$B167-H170)*$B167,(H164*(1+H163*MONTH($B163)/12))))</f>
        <v>0</v>
      </c>
      <c r="I167" s="28">
        <f t="shared" si="99"/>
        <v>0</v>
      </c>
      <c r="J167" s="28">
        <f t="shared" si="99"/>
        <v>0</v>
      </c>
      <c r="K167" s="28">
        <f t="shared" si="99"/>
        <v>0</v>
      </c>
      <c r="L167" s="28">
        <f t="shared" si="99"/>
        <v>0</v>
      </c>
      <c r="M167" s="28">
        <f t="shared" si="99"/>
        <v>0</v>
      </c>
    </row>
    <row r="168" spans="1:13" ht="13" customHeight="1">
      <c r="A168" s="5" t="s">
        <v>767</v>
      </c>
      <c r="B168" s="131" t="s">
        <v>719</v>
      </c>
      <c r="C168" s="132" t="s">
        <v>768</v>
      </c>
      <c r="D168" s="140">
        <v>0</v>
      </c>
      <c r="E168" s="140">
        <v>0</v>
      </c>
      <c r="F168" s="140">
        <v>0</v>
      </c>
      <c r="G168" s="140">
        <v>0</v>
      </c>
      <c r="H168" s="140">
        <v>0</v>
      </c>
      <c r="I168" s="140">
        <v>0</v>
      </c>
      <c r="J168" s="140">
        <v>0</v>
      </c>
      <c r="K168" s="140">
        <v>0</v>
      </c>
      <c r="L168" s="140">
        <v>0</v>
      </c>
      <c r="M168" s="140">
        <v>0</v>
      </c>
    </row>
    <row r="169" spans="1:13" ht="13" customHeight="1">
      <c r="A169" s="5" t="s">
        <v>182</v>
      </c>
      <c r="B169" s="131"/>
      <c r="C169" s="30" t="s">
        <v>175</v>
      </c>
      <c r="D169" s="28">
        <f t="shared" ref="D169:M169" si="100">D164+D165-D167-D168</f>
        <v>0</v>
      </c>
      <c r="E169" s="28">
        <f t="shared" si="100"/>
        <v>0</v>
      </c>
      <c r="F169" s="28">
        <f t="shared" si="100"/>
        <v>0</v>
      </c>
      <c r="G169" s="28">
        <f t="shared" si="100"/>
        <v>0</v>
      </c>
      <c r="H169" s="28">
        <f t="shared" si="100"/>
        <v>0</v>
      </c>
      <c r="I169" s="28">
        <f t="shared" si="100"/>
        <v>0</v>
      </c>
      <c r="J169" s="28">
        <f t="shared" si="100"/>
        <v>0</v>
      </c>
      <c r="K169" s="28">
        <f t="shared" si="100"/>
        <v>0</v>
      </c>
      <c r="L169" s="28">
        <f t="shared" si="100"/>
        <v>0</v>
      </c>
      <c r="M169" s="28">
        <f t="shared" si="100"/>
        <v>0</v>
      </c>
    </row>
    <row r="170" spans="1:13" ht="13" hidden="1" customHeight="1">
      <c r="A170" s="5"/>
      <c r="B170" s="138"/>
      <c r="C170" s="5" t="s">
        <v>769</v>
      </c>
      <c r="D170" s="28" t="e">
        <f>PPMT(D163/$B167,1,ROUND(($B165-(D$5-YEAR($B163))+MONTH($B163)/12)*$B167,0),D164)</f>
        <v>#NUM!</v>
      </c>
      <c r="E170" s="28" t="e">
        <f>PPMT(E163/$B167,1,ROUND(($B165-(E$5-YEAR($B163))+MONTH($B163)/12)*$B167,0),E164)</f>
        <v>#NUM!</v>
      </c>
      <c r="F170" s="28" t="e">
        <f>PPMT(F163/$B167,1,ROUND(($B165-(F$5-YEAR($B163))+MONTH($B163)/12)*$B167,0),F164)</f>
        <v>#NUM!</v>
      </c>
      <c r="G170" s="28" t="e">
        <f>PPMT(G163/$B167,1,ROUND(($B165-(G$5-YEAR($B163))+MONTH($B163)/12)*$B167,0),G164)</f>
        <v>#NUM!</v>
      </c>
      <c r="H170" s="28" t="e">
        <f t="shared" ref="H170:M170" si="101">PPMT(H163/$B167,1,ROUND(($B165-(H$5-YEAR($B163))+MONTH($B163)/12)*$B167,0),H164)</f>
        <v>#NUM!</v>
      </c>
      <c r="I170" s="28" t="e">
        <f t="shared" si="101"/>
        <v>#NUM!</v>
      </c>
      <c r="J170" s="28" t="e">
        <f t="shared" si="101"/>
        <v>#NUM!</v>
      </c>
      <c r="K170" s="28" t="e">
        <f t="shared" si="101"/>
        <v>#NUM!</v>
      </c>
      <c r="L170" s="28" t="e">
        <f t="shared" si="101"/>
        <v>#NUM!</v>
      </c>
      <c r="M170" s="28" t="e">
        <f t="shared" si="101"/>
        <v>#NUM!</v>
      </c>
    </row>
    <row r="171" spans="1:13" ht="13" hidden="1" customHeight="1">
      <c r="A171" s="5"/>
      <c r="B171" s="5"/>
      <c r="C171" s="5" t="s">
        <v>770</v>
      </c>
      <c r="D171" s="28">
        <f>IF(YEAR($B163)+$B165&gt;D$5,D164/(YEAR($B163)+$B165-D$5+MONTH($B163)/12),D164)</f>
        <v>0</v>
      </c>
      <c r="E171" s="28">
        <f>IF(YEAR($B163)+$B165&gt;E$5,E164/(YEAR($B163)+$B165-E$5+MONTH($B163)/12),E164)</f>
        <v>0</v>
      </c>
      <c r="F171" s="28">
        <f>IF(YEAR($B163)+$B165&gt;F$5,F164/(YEAR($B163)+$B165-F$5+MONTH($B163)/12),F164)</f>
        <v>0</v>
      </c>
      <c r="G171" s="28">
        <f t="shared" ref="G171:M171" si="102">IF(YEAR($B163)+$B165&gt;G$5,G164/(YEAR($B163)+$B165-G$5+MONTH($B163)/12),G164)</f>
        <v>0</v>
      </c>
      <c r="H171" s="28">
        <f t="shared" si="102"/>
        <v>0</v>
      </c>
      <c r="I171" s="28">
        <f t="shared" si="102"/>
        <v>0</v>
      </c>
      <c r="J171" s="28">
        <f t="shared" si="102"/>
        <v>0</v>
      </c>
      <c r="K171" s="28">
        <f t="shared" si="102"/>
        <v>0</v>
      </c>
      <c r="L171" s="28">
        <f t="shared" si="102"/>
        <v>0</v>
      </c>
      <c r="M171" s="28">
        <f t="shared" si="102"/>
        <v>0</v>
      </c>
    </row>
    <row r="172" spans="1:13" ht="13" customHeight="1">
      <c r="A172" s="5"/>
      <c r="B172" s="5"/>
      <c r="C172" s="5"/>
      <c r="D172" s="46"/>
      <c r="E172" s="46"/>
      <c r="F172" s="46"/>
      <c r="G172" s="46"/>
      <c r="H172" s="46"/>
      <c r="I172" s="46"/>
      <c r="J172" s="46"/>
      <c r="K172" s="46"/>
      <c r="L172" s="46"/>
      <c r="M172" s="46"/>
    </row>
    <row r="173" spans="1:13" ht="13" customHeight="1">
      <c r="A173" s="30" t="s">
        <v>655</v>
      </c>
      <c r="B173" s="99"/>
      <c r="C173" t="s">
        <v>800</v>
      </c>
      <c r="D173" s="161" t="s">
        <v>801</v>
      </c>
      <c r="E173" s="1"/>
    </row>
    <row r="174" spans="1:13" ht="13" customHeight="1">
      <c r="A174" s="26" t="s">
        <v>677</v>
      </c>
      <c r="B174" s="133">
        <v>29373</v>
      </c>
      <c r="C174" s="5" t="s">
        <v>639</v>
      </c>
      <c r="D174" s="75">
        <f>IF($D173="V",Input!G$69,IF(AND($B180=D$5,Input!G$64&gt;0),Input!G$64,$B177))</f>
        <v>5.2499999999999998E-2</v>
      </c>
      <c r="E174" s="75">
        <f>IF($D173="V",Input!H$69,IF(AND($B180=E$5,Input!H$64&gt;0),Input!H$64,D174))</f>
        <v>5.2499999999999998E-2</v>
      </c>
      <c r="F174" s="75">
        <f>IF($D173="V",Input!I$69,IF(AND($B180=F$5,Input!I$64&gt;0),Input!I$64,E174))</f>
        <v>5.2499999999999998E-2</v>
      </c>
      <c r="G174" s="75">
        <f>IF($D173="V",Input!J$69,IF(AND($B180=G$5,Input!J$64&gt;0),Input!J$64,F174))</f>
        <v>5.2499999999999998E-2</v>
      </c>
      <c r="H174" s="75">
        <f>IF($D173="V",Input!K$69,IF(AND($B180=H$5,Input!K$64&gt;0),Input!K$64,G174))</f>
        <v>5.2499999999999998E-2</v>
      </c>
      <c r="I174" s="75">
        <f>IF($D173="V",Input!L$69,IF(AND($B180=I$5,Input!L$64&gt;0),Input!L$64,H174))</f>
        <v>5.2499999999999998E-2</v>
      </c>
      <c r="J174" s="75">
        <f>IF($D173="V",Input!M$69,IF(AND($B180=J$5,Input!M$64&gt;0),Input!M$64,I174))</f>
        <v>5.2499999999999998E-2</v>
      </c>
      <c r="K174" s="75">
        <f>IF($D173="V",Input!N$69,IF(AND($B180=K$5,Input!N$64&gt;0),Input!N$64,J174))</f>
        <v>5.2499999999999998E-2</v>
      </c>
      <c r="L174" s="75">
        <f>IF($D173="V",Input!O$69,IF(AND($B180=L$5,Input!O$64&gt;0),Input!O$64,K174))</f>
        <v>5.2499999999999998E-2</v>
      </c>
      <c r="M174" s="75">
        <f>IF($D173="V",Input!P$69,IF(AND($B180=M$5,Input!P$64&gt;0),Input!P$64,L174))</f>
        <v>5.2499999999999998E-2</v>
      </c>
    </row>
    <row r="175" spans="1:13" ht="13" customHeight="1">
      <c r="A175" s="5" t="s">
        <v>361</v>
      </c>
      <c r="B175" s="135">
        <v>0</v>
      </c>
      <c r="C175" s="27" t="s">
        <v>173</v>
      </c>
      <c r="D175" s="140">
        <v>0</v>
      </c>
      <c r="E175" s="28">
        <f t="shared" ref="E175:M175" si="103">D180</f>
        <v>0</v>
      </c>
      <c r="F175" s="28">
        <f t="shared" si="103"/>
        <v>0</v>
      </c>
      <c r="G175" s="28">
        <f t="shared" si="103"/>
        <v>0</v>
      </c>
      <c r="H175" s="28">
        <f t="shared" si="103"/>
        <v>0</v>
      </c>
      <c r="I175" s="28">
        <f t="shared" si="103"/>
        <v>0</v>
      </c>
      <c r="J175" s="28">
        <f t="shared" si="103"/>
        <v>0</v>
      </c>
      <c r="K175" s="28">
        <f t="shared" si="103"/>
        <v>0</v>
      </c>
      <c r="L175" s="28">
        <f t="shared" si="103"/>
        <v>0</v>
      </c>
      <c r="M175" s="28">
        <f t="shared" si="103"/>
        <v>0</v>
      </c>
    </row>
    <row r="176" spans="1:13" ht="13" customHeight="1">
      <c r="A176" s="26" t="s">
        <v>170</v>
      </c>
      <c r="B176" s="131">
        <v>35</v>
      </c>
      <c r="C176" s="29" t="s">
        <v>169</v>
      </c>
      <c r="D176" s="28">
        <f>D178-D177</f>
        <v>0</v>
      </c>
      <c r="E176" s="28">
        <f>E178-E177</f>
        <v>0</v>
      </c>
      <c r="F176" s="28">
        <f>F178-F177</f>
        <v>0</v>
      </c>
      <c r="G176" s="28">
        <f>G178-G177</f>
        <v>0</v>
      </c>
      <c r="H176" s="28">
        <f t="shared" ref="H176:M176" si="104">H178-H177</f>
        <v>0</v>
      </c>
      <c r="I176" s="28">
        <f t="shared" si="104"/>
        <v>0</v>
      </c>
      <c r="J176" s="28">
        <f t="shared" si="104"/>
        <v>0</v>
      </c>
      <c r="K176" s="28">
        <f t="shared" si="104"/>
        <v>0</v>
      </c>
      <c r="L176" s="28">
        <f t="shared" si="104"/>
        <v>0</v>
      </c>
      <c r="M176" s="28">
        <f t="shared" si="104"/>
        <v>0</v>
      </c>
    </row>
    <row r="177" spans="1:13" ht="13" customHeight="1">
      <c r="A177" s="5" t="s">
        <v>172</v>
      </c>
      <c r="B177" s="134">
        <f>B166</f>
        <v>5.2499999999999998E-2</v>
      </c>
      <c r="C177" s="5" t="s">
        <v>174</v>
      </c>
      <c r="D177" s="28">
        <f>IF(AND($B179="Y",YEAR($B174)+$B176&gt;D$5),D182,IF((YEAR($B174)+$B176)&gt;D$5,FV(D174/$B178,$B178,D181),D175))</f>
        <v>0</v>
      </c>
      <c r="E177" s="28">
        <f>IF(AND($B179="Y",YEAR($B174)+$B176&gt;E$5),E182,IF((YEAR($B174)+$B176)&gt;E$5,FV(E174/$B178,$B178,E181),E175))</f>
        <v>0</v>
      </c>
      <c r="F177" s="28">
        <f>IF(AND($B179="Y",YEAR($B174)+$B176&gt;F$5),F182,IF((YEAR($B174)+$B176)&gt;F$5,FV(F174/$B178,$B178,F181),F175))</f>
        <v>0</v>
      </c>
      <c r="G177" s="28">
        <f>IF(AND($B179="Y",YEAR($B174)+$B176&gt;G$5),G182,IF((YEAR($B174)+$B176)&gt;G$5,FV(G174/$B178,$B178,G181),G175))</f>
        <v>0</v>
      </c>
      <c r="H177" s="28">
        <f t="shared" ref="H177:M177" si="105">IF(AND($B179="Y",YEAR($B174)+$B176&gt;H$5),H182,IF((YEAR($B174)+$B176)&gt;H$5,FV(H174/$B178,$B178,H181),H175))</f>
        <v>0</v>
      </c>
      <c r="I177" s="28">
        <f t="shared" si="105"/>
        <v>0</v>
      </c>
      <c r="J177" s="28">
        <f t="shared" si="105"/>
        <v>0</v>
      </c>
      <c r="K177" s="28">
        <f t="shared" si="105"/>
        <v>0</v>
      </c>
      <c r="L177" s="28">
        <f t="shared" si="105"/>
        <v>0</v>
      </c>
      <c r="M177" s="28">
        <f t="shared" si="105"/>
        <v>0</v>
      </c>
    </row>
    <row r="178" spans="1:13" ht="13" customHeight="1">
      <c r="A178" s="5" t="s">
        <v>171</v>
      </c>
      <c r="B178" s="131">
        <v>4</v>
      </c>
      <c r="C178" s="78" t="s">
        <v>640</v>
      </c>
      <c r="D178" s="28">
        <f>IF(AND($B179="Y",YEAR($B174)+$B176&gt;D$5),D182+D174*(D175-D182*0.5),IF((YEAR($B174)+$B176)&gt;D$5,(D175*D174/$B178-D181)*$B178,(D175*(1+D174*MONTH($B174)/12))))</f>
        <v>0</v>
      </c>
      <c r="E178" s="28">
        <f>IF(AND($B179="Y",YEAR($B174)+$B176&gt;E$5),E182+E174*(E175-E182*0.5),IF((YEAR($B174)+$B176)&gt;E$5,(E175*E174/$B178-E181)*$B178,(E175*(1+E174*MONTH($B174)/12))))</f>
        <v>0</v>
      </c>
      <c r="F178" s="28">
        <f>IF(AND($B179="Y",YEAR($B174)+$B176&gt;F$5),F182+F174*(F175-F182*0.5),IF((YEAR($B174)+$B176)&gt;F$5,(F175*F174/$B178-F181)*$B178,(F175*(1+F174*MONTH($B174)/12))))</f>
        <v>0</v>
      </c>
      <c r="G178" s="28">
        <f>IF(AND($B179="Y",YEAR($B174)+$B176&gt;G$5),G182+G174*(G175-G182*0.5),IF((YEAR($B174)+$B176)&gt;G$5,(G175*G174/$B178-G181)*$B178,(G175*(1+G174*MONTH($B174)/12))))</f>
        <v>0</v>
      </c>
      <c r="H178" s="28">
        <f t="shared" ref="H178:M178" si="106">IF(AND($B179="Y",YEAR($B174)+$B176&gt;H$5),H182+H174*(H175-H182*0.5),IF((YEAR($B174)+$B176)&gt;H$5,(H175*H174/$B178-H181)*$B178,(H175*(1+H174*MONTH($B174)/12))))</f>
        <v>0</v>
      </c>
      <c r="I178" s="28">
        <f t="shared" si="106"/>
        <v>0</v>
      </c>
      <c r="J178" s="28">
        <f t="shared" si="106"/>
        <v>0</v>
      </c>
      <c r="K178" s="28">
        <f t="shared" si="106"/>
        <v>0</v>
      </c>
      <c r="L178" s="28">
        <f t="shared" si="106"/>
        <v>0</v>
      </c>
      <c r="M178" s="28">
        <f t="shared" si="106"/>
        <v>0</v>
      </c>
    </row>
    <row r="179" spans="1:13" ht="13" customHeight="1">
      <c r="A179" s="5" t="s">
        <v>767</v>
      </c>
      <c r="B179" s="131" t="s">
        <v>719</v>
      </c>
      <c r="C179" s="132" t="s">
        <v>768</v>
      </c>
      <c r="D179" s="140">
        <v>0</v>
      </c>
      <c r="E179" s="140">
        <v>0</v>
      </c>
      <c r="F179" s="140">
        <v>0</v>
      </c>
      <c r="G179" s="140">
        <v>0</v>
      </c>
      <c r="H179" s="140">
        <v>0</v>
      </c>
      <c r="I179" s="140">
        <v>0</v>
      </c>
      <c r="J179" s="140">
        <v>0</v>
      </c>
      <c r="K179" s="140">
        <v>0</v>
      </c>
      <c r="L179" s="140">
        <v>0</v>
      </c>
      <c r="M179" s="140">
        <v>0</v>
      </c>
    </row>
    <row r="180" spans="1:13" ht="13" customHeight="1">
      <c r="A180" s="5" t="s">
        <v>182</v>
      </c>
      <c r="B180" s="131"/>
      <c r="C180" s="30" t="s">
        <v>175</v>
      </c>
      <c r="D180" s="28">
        <f t="shared" ref="D180:M180" si="107">D175+D176-D178-D179</f>
        <v>0</v>
      </c>
      <c r="E180" s="28">
        <f t="shared" si="107"/>
        <v>0</v>
      </c>
      <c r="F180" s="28">
        <f t="shared" si="107"/>
        <v>0</v>
      </c>
      <c r="G180" s="28">
        <f t="shared" si="107"/>
        <v>0</v>
      </c>
      <c r="H180" s="28">
        <f t="shared" si="107"/>
        <v>0</v>
      </c>
      <c r="I180" s="28">
        <f t="shared" si="107"/>
        <v>0</v>
      </c>
      <c r="J180" s="28">
        <f t="shared" si="107"/>
        <v>0</v>
      </c>
      <c r="K180" s="28">
        <f t="shared" si="107"/>
        <v>0</v>
      </c>
      <c r="L180" s="28">
        <f t="shared" si="107"/>
        <v>0</v>
      </c>
      <c r="M180" s="28">
        <f t="shared" si="107"/>
        <v>0</v>
      </c>
    </row>
    <row r="181" spans="1:13" ht="13" hidden="1" customHeight="1">
      <c r="A181" s="5"/>
      <c r="B181" s="138"/>
      <c r="C181" s="5" t="s">
        <v>769</v>
      </c>
      <c r="D181" s="28" t="e">
        <f>PPMT(D174/$B178,1,ROUND(($B176-(D$5-YEAR($B174))+MONTH($B174)/12)*$B178,0),D175)</f>
        <v>#NUM!</v>
      </c>
      <c r="E181" s="28" t="e">
        <f>PPMT(E174/$B178,1,ROUND(($B176-(E$5-YEAR($B174))+MONTH($B174)/12)*$B178,0),E175)</f>
        <v>#NUM!</v>
      </c>
      <c r="F181" s="28" t="e">
        <f>PPMT(F174/$B178,1,ROUND(($B176-(F$5-YEAR($B174))+MONTH($B174)/12)*$B178,0),F175)</f>
        <v>#NUM!</v>
      </c>
      <c r="G181" s="28" t="e">
        <f>PPMT(G174/$B178,1,ROUND(($B176-(G$5-YEAR($B174))+MONTH($B174)/12)*$B178,0),G175)</f>
        <v>#NUM!</v>
      </c>
      <c r="H181" s="28" t="e">
        <f t="shared" ref="H181:M181" si="108">PPMT(H174/$B178,1,ROUND(($B176-(H$5-YEAR($B174))+MONTH($B174)/12)*$B178,0),H175)</f>
        <v>#NUM!</v>
      </c>
      <c r="I181" s="28" t="e">
        <f t="shared" si="108"/>
        <v>#NUM!</v>
      </c>
      <c r="J181" s="28" t="e">
        <f t="shared" si="108"/>
        <v>#NUM!</v>
      </c>
      <c r="K181" s="28" t="e">
        <f t="shared" si="108"/>
        <v>#NUM!</v>
      </c>
      <c r="L181" s="28" t="e">
        <f t="shared" si="108"/>
        <v>#NUM!</v>
      </c>
      <c r="M181" s="28" t="e">
        <f t="shared" si="108"/>
        <v>#NUM!</v>
      </c>
    </row>
    <row r="182" spans="1:13" ht="13" hidden="1" customHeight="1">
      <c r="A182" s="5"/>
      <c r="B182" s="5"/>
      <c r="C182" s="5" t="s">
        <v>770</v>
      </c>
      <c r="D182" s="28">
        <f>IF(YEAR($B174)+$B176&gt;D$5,D175/(YEAR($B174)+$B176-D$5+MONTH($B174)/12),D175)</f>
        <v>0</v>
      </c>
      <c r="E182" s="28">
        <f>IF(YEAR($B174)+$B176&gt;E$5,E175/(YEAR($B174)+$B176-E$5+MONTH($B174)/12),E175)</f>
        <v>0</v>
      </c>
      <c r="F182" s="28">
        <f>IF(YEAR($B174)+$B176&gt;F$5,F175/(YEAR($B174)+$B176-F$5+MONTH($B174)/12),F175)</f>
        <v>0</v>
      </c>
      <c r="G182" s="28">
        <f t="shared" ref="G182:M182" si="109">IF(YEAR($B174)+$B176&gt;G$5,G175/(YEAR($B174)+$B176-G$5+MONTH($B174)/12),G175)</f>
        <v>0</v>
      </c>
      <c r="H182" s="28">
        <f t="shared" si="109"/>
        <v>0</v>
      </c>
      <c r="I182" s="28">
        <f t="shared" si="109"/>
        <v>0</v>
      </c>
      <c r="J182" s="28">
        <f t="shared" si="109"/>
        <v>0</v>
      </c>
      <c r="K182" s="28">
        <f t="shared" si="109"/>
        <v>0</v>
      </c>
      <c r="L182" s="28">
        <f t="shared" si="109"/>
        <v>0</v>
      </c>
      <c r="M182" s="28">
        <f t="shared" si="109"/>
        <v>0</v>
      </c>
    </row>
    <row r="183" spans="1:13" ht="13" customHeight="1">
      <c r="C183" s="5"/>
      <c r="D183" s="46"/>
      <c r="E183" s="46"/>
      <c r="F183" s="46"/>
      <c r="G183" s="46"/>
      <c r="H183" s="46"/>
      <c r="I183" s="46"/>
      <c r="J183" s="46"/>
      <c r="K183" s="46"/>
      <c r="L183" s="46"/>
      <c r="M183" s="46"/>
    </row>
    <row r="184" spans="1:13" ht="13" customHeight="1">
      <c r="A184" s="30" t="s">
        <v>656</v>
      </c>
      <c r="B184" s="99"/>
      <c r="C184" t="s">
        <v>800</v>
      </c>
      <c r="D184" s="161" t="s">
        <v>801</v>
      </c>
      <c r="E184" s="1"/>
    </row>
    <row r="185" spans="1:13" ht="13" customHeight="1">
      <c r="A185" s="26" t="s">
        <v>677</v>
      </c>
      <c r="B185" s="133">
        <v>29373</v>
      </c>
      <c r="C185" s="5" t="s">
        <v>639</v>
      </c>
      <c r="D185" s="75">
        <f>IF($D184="V",Input!G$69,IF(AND($B191=D$5,Input!G$64&gt;0),Input!G$64,$B188))</f>
        <v>5.2499999999999998E-2</v>
      </c>
      <c r="E185" s="75">
        <f>IF($D184="V",Input!H$69,IF(AND($B191=E$5,Input!H$64&gt;0),Input!H$64,D185))</f>
        <v>5.2499999999999998E-2</v>
      </c>
      <c r="F185" s="75">
        <f>IF($D184="V",Input!I$69,IF(AND($B191=F$5,Input!I$64&gt;0),Input!I$64,E185))</f>
        <v>5.2499999999999998E-2</v>
      </c>
      <c r="G185" s="75">
        <f>IF($D184="V",Input!J$69,IF(AND($B191=G$5,Input!J$64&gt;0),Input!J$64,F185))</f>
        <v>5.2499999999999998E-2</v>
      </c>
      <c r="H185" s="75">
        <f>IF($D184="V",Input!K$69,IF(AND($B191=H$5,Input!K$64&gt;0),Input!K$64,G185))</f>
        <v>5.2499999999999998E-2</v>
      </c>
      <c r="I185" s="75">
        <f>IF($D184="V",Input!L$69,IF(AND($B191=I$5,Input!L$64&gt;0),Input!L$64,H185))</f>
        <v>5.2499999999999998E-2</v>
      </c>
      <c r="J185" s="75">
        <f>IF($D184="V",Input!M$69,IF(AND($B191=J$5,Input!M$64&gt;0),Input!M$64,I185))</f>
        <v>5.2499999999999998E-2</v>
      </c>
      <c r="K185" s="75">
        <f>IF($D184="V",Input!N$69,IF(AND($B191=K$5,Input!N$64&gt;0),Input!N$64,J185))</f>
        <v>5.2499999999999998E-2</v>
      </c>
      <c r="L185" s="75">
        <f>IF($D184="V",Input!O$69,IF(AND($B191=L$5,Input!O$64&gt;0),Input!O$64,K185))</f>
        <v>5.2499999999999998E-2</v>
      </c>
      <c r="M185" s="75">
        <f>IF($D184="V",Input!P$69,IF(AND($B191=M$5,Input!P$64&gt;0),Input!P$64,L185))</f>
        <v>5.2499999999999998E-2</v>
      </c>
    </row>
    <row r="186" spans="1:13" ht="13" customHeight="1">
      <c r="A186" s="5" t="s">
        <v>361</v>
      </c>
      <c r="B186" s="135">
        <v>0</v>
      </c>
      <c r="C186" s="27" t="s">
        <v>173</v>
      </c>
      <c r="D186" s="140">
        <v>0</v>
      </c>
      <c r="E186" s="28">
        <f t="shared" ref="E186:M186" si="110">D191</f>
        <v>0</v>
      </c>
      <c r="F186" s="28">
        <f t="shared" si="110"/>
        <v>0</v>
      </c>
      <c r="G186" s="28">
        <f t="shared" si="110"/>
        <v>0</v>
      </c>
      <c r="H186" s="28">
        <f t="shared" si="110"/>
        <v>0</v>
      </c>
      <c r="I186" s="28">
        <f t="shared" si="110"/>
        <v>0</v>
      </c>
      <c r="J186" s="28">
        <f t="shared" si="110"/>
        <v>0</v>
      </c>
      <c r="K186" s="28">
        <f t="shared" si="110"/>
        <v>0</v>
      </c>
      <c r="L186" s="28">
        <f t="shared" si="110"/>
        <v>0</v>
      </c>
      <c r="M186" s="28">
        <f t="shared" si="110"/>
        <v>0</v>
      </c>
    </row>
    <row r="187" spans="1:13" ht="13" customHeight="1">
      <c r="A187" s="26" t="s">
        <v>170</v>
      </c>
      <c r="B187" s="131">
        <v>35</v>
      </c>
      <c r="C187" s="29" t="s">
        <v>169</v>
      </c>
      <c r="D187" s="28">
        <f>D189-D188</f>
        <v>0</v>
      </c>
      <c r="E187" s="28">
        <f>E189-E188</f>
        <v>0</v>
      </c>
      <c r="F187" s="28">
        <f>F189-F188</f>
        <v>0</v>
      </c>
      <c r="G187" s="28">
        <f>G189-G188</f>
        <v>0</v>
      </c>
      <c r="H187" s="28">
        <f t="shared" ref="H187:M187" si="111">H189-H188</f>
        <v>0</v>
      </c>
      <c r="I187" s="28">
        <f t="shared" si="111"/>
        <v>0</v>
      </c>
      <c r="J187" s="28">
        <f t="shared" si="111"/>
        <v>0</v>
      </c>
      <c r="K187" s="28">
        <f t="shared" si="111"/>
        <v>0</v>
      </c>
      <c r="L187" s="28">
        <f t="shared" si="111"/>
        <v>0</v>
      </c>
      <c r="M187" s="28">
        <f t="shared" si="111"/>
        <v>0</v>
      </c>
    </row>
    <row r="188" spans="1:13" ht="13" customHeight="1">
      <c r="A188" s="5" t="s">
        <v>172</v>
      </c>
      <c r="B188" s="134">
        <f>B177</f>
        <v>5.2499999999999998E-2</v>
      </c>
      <c r="C188" s="5" t="s">
        <v>174</v>
      </c>
      <c r="D188" s="28">
        <f>IF(AND($B190="Y",YEAR($B185)+$B187&gt;D$5),D193,IF((YEAR($B185)+$B187)&gt;D$5,FV(D185/$B189,$B189,D192),D186))</f>
        <v>0</v>
      </c>
      <c r="E188" s="28">
        <f>IF(AND($B190="Y",YEAR($B185)+$B187&gt;E$5),E193,IF((YEAR($B185)+$B187)&gt;E$5,FV(E185/$B189,$B189,E192),E186))</f>
        <v>0</v>
      </c>
      <c r="F188" s="28">
        <f>IF(AND($B190="Y",YEAR($B185)+$B187&gt;F$5),F193,IF((YEAR($B185)+$B187)&gt;F$5,FV(F185/$B189,$B189,F192),F186))</f>
        <v>0</v>
      </c>
      <c r="G188" s="28">
        <f>IF(AND($B190="Y",YEAR($B185)+$B187&gt;G$5),G193,IF((YEAR($B185)+$B187)&gt;G$5,FV(G185/$B189,$B189,G192),G186))</f>
        <v>0</v>
      </c>
      <c r="H188" s="28">
        <f t="shared" ref="H188:M188" si="112">IF(AND($B190="Y",YEAR($B185)+$B187&gt;H$5),H193,IF((YEAR($B185)+$B187)&gt;H$5,FV(H185/$B189,$B189,H192),H186))</f>
        <v>0</v>
      </c>
      <c r="I188" s="28">
        <f t="shared" si="112"/>
        <v>0</v>
      </c>
      <c r="J188" s="28">
        <f t="shared" si="112"/>
        <v>0</v>
      </c>
      <c r="K188" s="28">
        <f t="shared" si="112"/>
        <v>0</v>
      </c>
      <c r="L188" s="28">
        <f t="shared" si="112"/>
        <v>0</v>
      </c>
      <c r="M188" s="28">
        <f t="shared" si="112"/>
        <v>0</v>
      </c>
    </row>
    <row r="189" spans="1:13" ht="13" customHeight="1">
      <c r="A189" s="5" t="s">
        <v>171</v>
      </c>
      <c r="B189" s="131">
        <v>4</v>
      </c>
      <c r="C189" s="78" t="s">
        <v>640</v>
      </c>
      <c r="D189" s="28">
        <f>IF(AND($B190="Y",YEAR($B185)+$B187&gt;D$5),D193+D185*(D186-D193*0.5),IF((YEAR($B185)+$B187)&gt;D$5,(D186*D185/$B189-D192)*$B189,(D186*(1+D185*MONTH($B185)/12))))</f>
        <v>0</v>
      </c>
      <c r="E189" s="28">
        <f>IF(AND($B190="Y",YEAR($B185)+$B187&gt;E$5),E193+E185*(E186-E193*0.5),IF((YEAR($B185)+$B187)&gt;E$5,(E186*E185/$B189-E192)*$B189,(E186*(1+E185*MONTH($B185)/12))))</f>
        <v>0</v>
      </c>
      <c r="F189" s="28">
        <f>IF(AND($B190="Y",YEAR($B185)+$B187&gt;F$5),F193+F185*(F186-F193*0.5),IF((YEAR($B185)+$B187)&gt;F$5,(F186*F185/$B189-F192)*$B189,(F186*(1+F185*MONTH($B185)/12))))</f>
        <v>0</v>
      </c>
      <c r="G189" s="28">
        <f>IF(AND($B190="Y",YEAR($B185)+$B187&gt;G$5),G193+G185*(G186-G193*0.5),IF((YEAR($B185)+$B187)&gt;G$5,(G186*G185/$B189-G192)*$B189,(G186*(1+G185*MONTH($B185)/12))))</f>
        <v>0</v>
      </c>
      <c r="H189" s="28">
        <f t="shared" ref="H189:M189" si="113">IF(AND($B190="Y",YEAR($B185)+$B187&gt;H$5),H193+H185*(H186-H193*0.5),IF((YEAR($B185)+$B187)&gt;H$5,(H186*H185/$B189-H192)*$B189,(H186*(1+H185*MONTH($B185)/12))))</f>
        <v>0</v>
      </c>
      <c r="I189" s="28">
        <f t="shared" si="113"/>
        <v>0</v>
      </c>
      <c r="J189" s="28">
        <f t="shared" si="113"/>
        <v>0</v>
      </c>
      <c r="K189" s="28">
        <f t="shared" si="113"/>
        <v>0</v>
      </c>
      <c r="L189" s="28">
        <f t="shared" si="113"/>
        <v>0</v>
      </c>
      <c r="M189" s="28">
        <f t="shared" si="113"/>
        <v>0</v>
      </c>
    </row>
    <row r="190" spans="1:13" ht="13" customHeight="1">
      <c r="A190" s="5" t="s">
        <v>767</v>
      </c>
      <c r="B190" s="131" t="s">
        <v>719</v>
      </c>
      <c r="C190" s="132" t="s">
        <v>768</v>
      </c>
      <c r="D190" s="140">
        <v>0</v>
      </c>
      <c r="E190" s="140">
        <v>0</v>
      </c>
      <c r="F190" s="140">
        <v>0</v>
      </c>
      <c r="G190" s="140">
        <v>0</v>
      </c>
      <c r="H190" s="140">
        <v>0</v>
      </c>
      <c r="I190" s="140">
        <v>0</v>
      </c>
      <c r="J190" s="140">
        <v>0</v>
      </c>
      <c r="K190" s="140">
        <v>0</v>
      </c>
      <c r="L190" s="140">
        <v>0</v>
      </c>
      <c r="M190" s="140">
        <v>0</v>
      </c>
    </row>
    <row r="191" spans="1:13" ht="13" customHeight="1">
      <c r="A191" s="5" t="s">
        <v>182</v>
      </c>
      <c r="B191" s="131"/>
      <c r="C191" s="30" t="s">
        <v>175</v>
      </c>
      <c r="D191" s="28">
        <f t="shared" ref="D191:M191" si="114">D186+D187-D189-D190</f>
        <v>0</v>
      </c>
      <c r="E191" s="28">
        <f t="shared" si="114"/>
        <v>0</v>
      </c>
      <c r="F191" s="28">
        <f t="shared" si="114"/>
        <v>0</v>
      </c>
      <c r="G191" s="28">
        <f t="shared" si="114"/>
        <v>0</v>
      </c>
      <c r="H191" s="28">
        <f t="shared" si="114"/>
        <v>0</v>
      </c>
      <c r="I191" s="28">
        <f t="shared" si="114"/>
        <v>0</v>
      </c>
      <c r="J191" s="28">
        <f t="shared" si="114"/>
        <v>0</v>
      </c>
      <c r="K191" s="28">
        <f t="shared" si="114"/>
        <v>0</v>
      </c>
      <c r="L191" s="28">
        <f t="shared" si="114"/>
        <v>0</v>
      </c>
      <c r="M191" s="28">
        <f t="shared" si="114"/>
        <v>0</v>
      </c>
    </row>
    <row r="192" spans="1:13" ht="13" hidden="1" customHeight="1">
      <c r="A192" s="5"/>
      <c r="B192" s="138"/>
      <c r="C192" s="5" t="s">
        <v>769</v>
      </c>
      <c r="D192" s="28" t="e">
        <f>PPMT(D185/$B189,1,ROUND(($B187-(D$5-YEAR($B185))+MONTH($B185)/12)*$B189,0),D186)</f>
        <v>#NUM!</v>
      </c>
      <c r="E192" s="28" t="e">
        <f>PPMT(E185/$B189,1,ROUND(($B187-(E$5-YEAR($B185))+MONTH($B185)/12)*$B189,0),E186)</f>
        <v>#NUM!</v>
      </c>
      <c r="F192" s="28" t="e">
        <f>PPMT(F185/$B189,1,ROUND(($B187-(F$5-YEAR($B185))+MONTH($B185)/12)*$B189,0),F186)</f>
        <v>#NUM!</v>
      </c>
      <c r="G192" s="28" t="e">
        <f>PPMT(G185/$B189,1,ROUND(($B187-(G$5-YEAR($B185))+MONTH($B185)/12)*$B189,0),G186)</f>
        <v>#NUM!</v>
      </c>
      <c r="H192" s="28" t="e">
        <f t="shared" ref="H192:M192" si="115">PPMT(H185/$B189,1,ROUND(($B187-(H$5-YEAR($B185))+MONTH($B185)/12)*$B189,0),H186)</f>
        <v>#NUM!</v>
      </c>
      <c r="I192" s="28" t="e">
        <f t="shared" si="115"/>
        <v>#NUM!</v>
      </c>
      <c r="J192" s="28" t="e">
        <f t="shared" si="115"/>
        <v>#NUM!</v>
      </c>
      <c r="K192" s="28" t="e">
        <f t="shared" si="115"/>
        <v>#NUM!</v>
      </c>
      <c r="L192" s="28" t="e">
        <f t="shared" si="115"/>
        <v>#NUM!</v>
      </c>
      <c r="M192" s="28" t="e">
        <f t="shared" si="115"/>
        <v>#NUM!</v>
      </c>
    </row>
    <row r="193" spans="1:13" ht="13" hidden="1" customHeight="1">
      <c r="A193" s="5"/>
      <c r="B193" s="5"/>
      <c r="C193" s="5" t="s">
        <v>770</v>
      </c>
      <c r="D193" s="28">
        <f>IF(YEAR($B185)+$B187&gt;D$5,D186/(YEAR($B185)+$B187-D$5+MONTH($B185)/12),D186)</f>
        <v>0</v>
      </c>
      <c r="E193" s="28">
        <f>IF(YEAR($B185)+$B187&gt;E$5,E186/(YEAR($B185)+$B187-E$5+MONTH($B185)/12),E186)</f>
        <v>0</v>
      </c>
      <c r="F193" s="28">
        <f>IF(YEAR($B185)+$B187&gt;F$5,F186/(YEAR($B185)+$B187-F$5+MONTH($B185)/12),F186)</f>
        <v>0</v>
      </c>
      <c r="G193" s="28">
        <f t="shared" ref="G193:M193" si="116">IF(YEAR($B185)+$B187&gt;G$5,G186/(YEAR($B185)+$B187-G$5+MONTH($B185)/12),G186)</f>
        <v>0</v>
      </c>
      <c r="H193" s="28">
        <f t="shared" si="116"/>
        <v>0</v>
      </c>
      <c r="I193" s="28">
        <f t="shared" si="116"/>
        <v>0</v>
      </c>
      <c r="J193" s="28">
        <f t="shared" si="116"/>
        <v>0</v>
      </c>
      <c r="K193" s="28">
        <f t="shared" si="116"/>
        <v>0</v>
      </c>
      <c r="L193" s="28">
        <f t="shared" si="116"/>
        <v>0</v>
      </c>
      <c r="M193" s="28">
        <f t="shared" si="116"/>
        <v>0</v>
      </c>
    </row>
    <row r="194" spans="1:13" ht="13" customHeight="1">
      <c r="C194" s="5"/>
      <c r="D194" s="46"/>
      <c r="E194" s="46"/>
      <c r="F194" s="46"/>
      <c r="G194" s="46"/>
      <c r="H194" s="46"/>
      <c r="I194" s="46"/>
      <c r="J194" s="46"/>
      <c r="K194" s="46"/>
      <c r="L194" s="46"/>
      <c r="M194" s="46"/>
    </row>
    <row r="195" spans="1:13" ht="13" customHeight="1">
      <c r="A195" s="30" t="s">
        <v>657</v>
      </c>
      <c r="B195" s="99"/>
      <c r="C195" t="s">
        <v>800</v>
      </c>
      <c r="D195" s="161" t="s">
        <v>801</v>
      </c>
      <c r="E195" s="1"/>
    </row>
    <row r="196" spans="1:13" ht="13" customHeight="1">
      <c r="A196" s="26" t="s">
        <v>677</v>
      </c>
      <c r="B196" s="133">
        <v>29373</v>
      </c>
      <c r="C196" s="5" t="s">
        <v>639</v>
      </c>
      <c r="D196" s="75">
        <f>IF($D195="V",Input!G$69,IF(AND($B202=D$5,Input!G$64&gt;0),Input!G$64,$B199))</f>
        <v>5.2499999999999998E-2</v>
      </c>
      <c r="E196" s="75">
        <f>IF($D195="V",Input!H$69,IF(AND($B202=E$5,Input!H$64&gt;0),Input!H$64,D196))</f>
        <v>5.2499999999999998E-2</v>
      </c>
      <c r="F196" s="75">
        <f>IF($D195="V",Input!I$69,IF(AND($B202=F$5,Input!I$64&gt;0),Input!I$64,E196))</f>
        <v>5.2499999999999998E-2</v>
      </c>
      <c r="G196" s="75">
        <f>IF($D195="V",Input!J$69,IF(AND($B202=G$5,Input!J$64&gt;0),Input!J$64,F196))</f>
        <v>5.2499999999999998E-2</v>
      </c>
      <c r="H196" s="75">
        <f>IF($D195="V",Input!K$69,IF(AND($B202=H$5,Input!K$64&gt;0),Input!K$64,G196))</f>
        <v>5.2499999999999998E-2</v>
      </c>
      <c r="I196" s="75">
        <f>IF($D195="V",Input!L$69,IF(AND($B202=I$5,Input!L$64&gt;0),Input!L$64,H196))</f>
        <v>5.2499999999999998E-2</v>
      </c>
      <c r="J196" s="75">
        <f>IF($D195="V",Input!M$69,IF(AND($B202=J$5,Input!M$64&gt;0),Input!M$64,I196))</f>
        <v>5.2499999999999998E-2</v>
      </c>
      <c r="K196" s="75">
        <f>IF($D195="V",Input!N$69,IF(AND($B202=K$5,Input!N$64&gt;0),Input!N$64,J196))</f>
        <v>5.2499999999999998E-2</v>
      </c>
      <c r="L196" s="75">
        <f>IF($D195="V",Input!O$69,IF(AND($B202=L$5,Input!O$64&gt;0),Input!O$64,K196))</f>
        <v>5.2499999999999998E-2</v>
      </c>
      <c r="M196" s="75">
        <f>IF($D195="V",Input!P$69,IF(AND($B202=M$5,Input!P$64&gt;0),Input!P$64,L196))</f>
        <v>5.2499999999999998E-2</v>
      </c>
    </row>
    <row r="197" spans="1:13" ht="13" customHeight="1">
      <c r="A197" s="5" t="s">
        <v>361</v>
      </c>
      <c r="B197" s="135">
        <v>0</v>
      </c>
      <c r="C197" s="27" t="s">
        <v>173</v>
      </c>
      <c r="D197" s="140">
        <v>0</v>
      </c>
      <c r="E197" s="28">
        <f t="shared" ref="E197:M197" si="117">D202</f>
        <v>0</v>
      </c>
      <c r="F197" s="28">
        <f t="shared" si="117"/>
        <v>0</v>
      </c>
      <c r="G197" s="28">
        <f t="shared" si="117"/>
        <v>0</v>
      </c>
      <c r="H197" s="28">
        <f t="shared" si="117"/>
        <v>0</v>
      </c>
      <c r="I197" s="28">
        <f t="shared" si="117"/>
        <v>0</v>
      </c>
      <c r="J197" s="28">
        <f t="shared" si="117"/>
        <v>0</v>
      </c>
      <c r="K197" s="28">
        <f t="shared" si="117"/>
        <v>0</v>
      </c>
      <c r="L197" s="28">
        <f t="shared" si="117"/>
        <v>0</v>
      </c>
      <c r="M197" s="28">
        <f t="shared" si="117"/>
        <v>0</v>
      </c>
    </row>
    <row r="198" spans="1:13" ht="13" customHeight="1">
      <c r="A198" s="26" t="s">
        <v>170</v>
      </c>
      <c r="B198" s="131">
        <v>35</v>
      </c>
      <c r="C198" s="29" t="s">
        <v>169</v>
      </c>
      <c r="D198" s="28">
        <f>D200-D199</f>
        <v>0</v>
      </c>
      <c r="E198" s="28">
        <f>E200-E199</f>
        <v>0</v>
      </c>
      <c r="F198" s="28">
        <f>F200-F199</f>
        <v>0</v>
      </c>
      <c r="G198" s="28">
        <f>G200-G199</f>
        <v>0</v>
      </c>
      <c r="H198" s="28">
        <f t="shared" ref="H198:M198" si="118">H200-H199</f>
        <v>0</v>
      </c>
      <c r="I198" s="28">
        <f t="shared" si="118"/>
        <v>0</v>
      </c>
      <c r="J198" s="28">
        <f t="shared" si="118"/>
        <v>0</v>
      </c>
      <c r="K198" s="28">
        <f t="shared" si="118"/>
        <v>0</v>
      </c>
      <c r="L198" s="28">
        <f t="shared" si="118"/>
        <v>0</v>
      </c>
      <c r="M198" s="28">
        <f t="shared" si="118"/>
        <v>0</v>
      </c>
    </row>
    <row r="199" spans="1:13" ht="13" customHeight="1">
      <c r="A199" s="5" t="s">
        <v>172</v>
      </c>
      <c r="B199" s="134">
        <f>B188</f>
        <v>5.2499999999999998E-2</v>
      </c>
      <c r="C199" s="5" t="s">
        <v>174</v>
      </c>
      <c r="D199" s="28">
        <f>IF(AND($B201="Y",YEAR($B196)+$B198&gt;D$5),D204,IF((YEAR($B196)+$B198)&gt;D$5,FV(D196/$B200,$B200,D203),D197))</f>
        <v>0</v>
      </c>
      <c r="E199" s="28">
        <f>IF(AND($B201="Y",YEAR($B196)+$B198&gt;E$5),E204,IF((YEAR($B196)+$B198)&gt;E$5,FV(E196/$B200,$B200,E203),E197))</f>
        <v>0</v>
      </c>
      <c r="F199" s="28">
        <f>IF(AND($B201="Y",YEAR($B196)+$B198&gt;F$5),F204,IF((YEAR($B196)+$B198)&gt;F$5,FV(F196/$B200,$B200,F203),F197))</f>
        <v>0</v>
      </c>
      <c r="G199" s="28">
        <f>IF(AND($B201="Y",YEAR($B196)+$B198&gt;G$5),G204,IF((YEAR($B196)+$B198)&gt;G$5,FV(G196/$B200,$B200,G203),G197))</f>
        <v>0</v>
      </c>
      <c r="H199" s="28">
        <f t="shared" ref="H199:M199" si="119">IF(AND($B201="Y",YEAR($B196)+$B198&gt;H$5),H204,IF((YEAR($B196)+$B198)&gt;H$5,FV(H196/$B200,$B200,H203),H197))</f>
        <v>0</v>
      </c>
      <c r="I199" s="28">
        <f t="shared" si="119"/>
        <v>0</v>
      </c>
      <c r="J199" s="28">
        <f t="shared" si="119"/>
        <v>0</v>
      </c>
      <c r="K199" s="28">
        <f t="shared" si="119"/>
        <v>0</v>
      </c>
      <c r="L199" s="28">
        <f t="shared" si="119"/>
        <v>0</v>
      </c>
      <c r="M199" s="28">
        <f t="shared" si="119"/>
        <v>0</v>
      </c>
    </row>
    <row r="200" spans="1:13" ht="13" customHeight="1">
      <c r="A200" s="5" t="s">
        <v>171</v>
      </c>
      <c r="B200" s="131">
        <v>4</v>
      </c>
      <c r="C200" s="78" t="s">
        <v>640</v>
      </c>
      <c r="D200" s="28">
        <f>IF(AND($B201="Y",YEAR($B196)+$B198&gt;D$5),D204+D196*(D197-D204*0.5),IF((YEAR($B196)+$B198)&gt;D$5,(D197*D196/$B200-D203)*$B200,(D197*(1+D196*MONTH($B196)/12))))</f>
        <v>0</v>
      </c>
      <c r="E200" s="28">
        <f>IF(AND($B201="Y",YEAR($B196)+$B198&gt;E$5),E204+E196*(E197-E204*0.5),IF((YEAR($B196)+$B198)&gt;E$5,(E197*E196/$B200-E203)*$B200,(E197*(1+E196*MONTH($B196)/12))))</f>
        <v>0</v>
      </c>
      <c r="F200" s="28">
        <f>IF(AND($B201="Y",YEAR($B196)+$B198&gt;F$5),F204+F196*(F197-F204*0.5),IF((YEAR($B196)+$B198)&gt;F$5,(F197*F196/$B200-F203)*$B200,(F197*(1+F196*MONTH($B196)/12))))</f>
        <v>0</v>
      </c>
      <c r="G200" s="28">
        <f>IF(AND($B201="Y",YEAR($B196)+$B198&gt;G$5),G204+G196*(G197-G204*0.5),IF((YEAR($B196)+$B198)&gt;G$5,(G197*G196/$B200-G203)*$B200,(G197*(1+G196*MONTH($B196)/12))))</f>
        <v>0</v>
      </c>
      <c r="H200" s="28">
        <f t="shared" ref="H200:M200" si="120">IF(AND($B201="Y",YEAR($B196)+$B198&gt;H$5),H204+H196*(H197-H204*0.5),IF((YEAR($B196)+$B198)&gt;H$5,(H197*H196/$B200-H203)*$B200,(H197*(1+H196*MONTH($B196)/12))))</f>
        <v>0</v>
      </c>
      <c r="I200" s="28">
        <f t="shared" si="120"/>
        <v>0</v>
      </c>
      <c r="J200" s="28">
        <f t="shared" si="120"/>
        <v>0</v>
      </c>
      <c r="K200" s="28">
        <f t="shared" si="120"/>
        <v>0</v>
      </c>
      <c r="L200" s="28">
        <f t="shared" si="120"/>
        <v>0</v>
      </c>
      <c r="M200" s="28">
        <f t="shared" si="120"/>
        <v>0</v>
      </c>
    </row>
    <row r="201" spans="1:13" ht="13" customHeight="1">
      <c r="A201" s="5" t="s">
        <v>767</v>
      </c>
      <c r="B201" s="131" t="s">
        <v>719</v>
      </c>
      <c r="C201" s="132" t="s">
        <v>768</v>
      </c>
      <c r="D201" s="140">
        <v>0</v>
      </c>
      <c r="E201" s="140">
        <v>0</v>
      </c>
      <c r="F201" s="140">
        <v>0</v>
      </c>
      <c r="G201" s="140">
        <v>0</v>
      </c>
      <c r="H201" s="140">
        <v>0</v>
      </c>
      <c r="I201" s="140">
        <v>0</v>
      </c>
      <c r="J201" s="140">
        <v>0</v>
      </c>
      <c r="K201" s="140">
        <v>0</v>
      </c>
      <c r="L201" s="140">
        <v>0</v>
      </c>
      <c r="M201" s="140">
        <v>0</v>
      </c>
    </row>
    <row r="202" spans="1:13" ht="13" customHeight="1">
      <c r="A202" s="5" t="s">
        <v>182</v>
      </c>
      <c r="B202" s="131"/>
      <c r="C202" s="30" t="s">
        <v>175</v>
      </c>
      <c r="D202" s="28">
        <f t="shared" ref="D202:M202" si="121">D197+D198-D200-D201</f>
        <v>0</v>
      </c>
      <c r="E202" s="28">
        <f t="shared" si="121"/>
        <v>0</v>
      </c>
      <c r="F202" s="28">
        <f t="shared" si="121"/>
        <v>0</v>
      </c>
      <c r="G202" s="28">
        <f t="shared" si="121"/>
        <v>0</v>
      </c>
      <c r="H202" s="28">
        <f t="shared" si="121"/>
        <v>0</v>
      </c>
      <c r="I202" s="28">
        <f t="shared" si="121"/>
        <v>0</v>
      </c>
      <c r="J202" s="28">
        <f t="shared" si="121"/>
        <v>0</v>
      </c>
      <c r="K202" s="28">
        <f t="shared" si="121"/>
        <v>0</v>
      </c>
      <c r="L202" s="28">
        <f t="shared" si="121"/>
        <v>0</v>
      </c>
      <c r="M202" s="28">
        <f t="shared" si="121"/>
        <v>0</v>
      </c>
    </row>
    <row r="203" spans="1:13" ht="13" hidden="1" customHeight="1">
      <c r="A203" s="5"/>
      <c r="B203" s="138"/>
      <c r="C203" s="5" t="s">
        <v>769</v>
      </c>
      <c r="D203" s="28" t="e">
        <f>PPMT(D196/$B200,1,ROUND(($B198-(D$5-YEAR($B196))+MONTH($B196)/12)*$B200,0),D197)</f>
        <v>#NUM!</v>
      </c>
      <c r="E203" s="28" t="e">
        <f>PPMT(E196/$B200,1,ROUND(($B198-(E$5-YEAR($B196))+MONTH($B196)/12)*$B200,0),E197)</f>
        <v>#NUM!</v>
      </c>
      <c r="F203" s="28" t="e">
        <f>PPMT(F196/$B200,1,ROUND(($B198-(F$5-YEAR($B196))+MONTH($B196)/12)*$B200,0),F197)</f>
        <v>#NUM!</v>
      </c>
      <c r="G203" s="28" t="e">
        <f>PPMT(G196/$B200,1,ROUND(($B198-(G$5-YEAR($B196))+MONTH($B196)/12)*$B200,0),G197)</f>
        <v>#NUM!</v>
      </c>
      <c r="H203" s="28" t="e">
        <f t="shared" ref="H203:M203" si="122">PPMT(H196/$B200,1,ROUND(($B198-(H$5-YEAR($B196))+MONTH($B196)/12)*$B200,0),H197)</f>
        <v>#NUM!</v>
      </c>
      <c r="I203" s="28" t="e">
        <f t="shared" si="122"/>
        <v>#NUM!</v>
      </c>
      <c r="J203" s="28" t="e">
        <f t="shared" si="122"/>
        <v>#NUM!</v>
      </c>
      <c r="K203" s="28" t="e">
        <f t="shared" si="122"/>
        <v>#NUM!</v>
      </c>
      <c r="L203" s="28" t="e">
        <f t="shared" si="122"/>
        <v>#NUM!</v>
      </c>
      <c r="M203" s="28" t="e">
        <f t="shared" si="122"/>
        <v>#NUM!</v>
      </c>
    </row>
    <row r="204" spans="1:13" ht="13" hidden="1" customHeight="1">
      <c r="A204" s="5"/>
      <c r="B204" s="5"/>
      <c r="C204" s="5" t="s">
        <v>770</v>
      </c>
      <c r="D204" s="28">
        <f>IF(YEAR($B196)+$B198&gt;D$5,D197/(YEAR($B196)+$B198-D$5+MONTH($B196)/12),D197)</f>
        <v>0</v>
      </c>
      <c r="E204" s="28">
        <f>IF(YEAR($B196)+$B198&gt;E$5,E197/(YEAR($B196)+$B198-E$5+MONTH($B196)/12),E197)</f>
        <v>0</v>
      </c>
      <c r="F204" s="28">
        <f>IF(YEAR($B196)+$B198&gt;F$5,F197/(YEAR($B196)+$B198-F$5+MONTH($B196)/12),F197)</f>
        <v>0</v>
      </c>
      <c r="G204" s="28">
        <f t="shared" ref="G204:M204" si="123">IF(YEAR($B196)+$B198&gt;G$5,G197/(YEAR($B196)+$B198-G$5+MONTH($B196)/12),G197)</f>
        <v>0</v>
      </c>
      <c r="H204" s="28">
        <f t="shared" si="123"/>
        <v>0</v>
      </c>
      <c r="I204" s="28">
        <f t="shared" si="123"/>
        <v>0</v>
      </c>
      <c r="J204" s="28">
        <f t="shared" si="123"/>
        <v>0</v>
      </c>
      <c r="K204" s="28">
        <f t="shared" si="123"/>
        <v>0</v>
      </c>
      <c r="L204" s="28">
        <f t="shared" si="123"/>
        <v>0</v>
      </c>
      <c r="M204" s="28">
        <f t="shared" si="123"/>
        <v>0</v>
      </c>
    </row>
    <row r="205" spans="1:13" ht="13" customHeight="1">
      <c r="A205" s="5"/>
      <c r="B205" s="5"/>
      <c r="C205" s="5"/>
      <c r="D205" s="46"/>
      <c r="E205" s="46"/>
      <c r="F205" s="46"/>
      <c r="G205" s="46"/>
      <c r="H205" s="46"/>
      <c r="I205" s="46"/>
      <c r="J205" s="46"/>
      <c r="K205" s="46"/>
      <c r="L205" s="46"/>
      <c r="M205" s="46"/>
    </row>
    <row r="206" spans="1:13" ht="13" customHeight="1">
      <c r="A206" s="30" t="s">
        <v>658</v>
      </c>
      <c r="B206" s="99"/>
      <c r="C206" s="5"/>
      <c r="D206" s="161" t="s">
        <v>801</v>
      </c>
      <c r="E206" s="46"/>
      <c r="F206" s="46"/>
      <c r="G206" s="46"/>
      <c r="H206" s="46"/>
      <c r="I206" s="46"/>
      <c r="J206" s="46"/>
      <c r="K206" s="46"/>
      <c r="L206" s="46"/>
      <c r="M206" s="46"/>
    </row>
    <row r="207" spans="1:13" ht="13" customHeight="1">
      <c r="A207" s="26" t="s">
        <v>677</v>
      </c>
      <c r="B207" s="133">
        <v>29373</v>
      </c>
      <c r="C207" s="5" t="s">
        <v>639</v>
      </c>
      <c r="D207" s="75">
        <f>IF($D206="V",Input!G$69,IF(AND($B213=D$5,Input!G$64&gt;0),Input!G$64,$B210))</f>
        <v>5.2499999999999998E-2</v>
      </c>
      <c r="E207" s="75">
        <f>IF($D206="V",Input!H$69,IF(AND($B213=E$5,Input!H$64&gt;0),Input!H$64,D207))</f>
        <v>5.2499999999999998E-2</v>
      </c>
      <c r="F207" s="75">
        <f>IF($D206="V",Input!I$69,IF(AND($B213=F$5,Input!I$64&gt;0),Input!I$64,E207))</f>
        <v>5.2499999999999998E-2</v>
      </c>
      <c r="G207" s="75">
        <f>IF($D206="V",Input!J$69,IF(AND($B213=G$5,Input!J$64&gt;0),Input!J$64,F207))</f>
        <v>5.2499999999999998E-2</v>
      </c>
      <c r="H207" s="75">
        <f>IF($D206="V",Input!K$69,IF(AND($B213=H$5,Input!K$64&gt;0),Input!K$64,G207))</f>
        <v>5.2499999999999998E-2</v>
      </c>
      <c r="I207" s="75">
        <f>IF($D206="V",Input!L$69,IF(AND($B213=I$5,Input!L$64&gt;0),Input!L$64,H207))</f>
        <v>5.2499999999999998E-2</v>
      </c>
      <c r="J207" s="75">
        <f>IF($D206="V",Input!M$69,IF(AND($B213=J$5,Input!M$64&gt;0),Input!M$64,I207))</f>
        <v>5.2499999999999998E-2</v>
      </c>
      <c r="K207" s="75">
        <f>IF($D206="V",Input!N$69,IF(AND($B213=K$5,Input!N$64&gt;0),Input!N$64,J207))</f>
        <v>5.2499999999999998E-2</v>
      </c>
      <c r="L207" s="75">
        <f>IF($D206="V",Input!O$69,IF(AND($B213=L$5,Input!O$64&gt;0),Input!O$64,K207))</f>
        <v>5.2499999999999998E-2</v>
      </c>
      <c r="M207" s="75">
        <f>IF($D206="V",Input!P$69,IF(AND($B213=M$5,Input!P$64&gt;0),Input!P$64,L207))</f>
        <v>5.2499999999999998E-2</v>
      </c>
    </row>
    <row r="208" spans="1:13" ht="13" customHeight="1">
      <c r="A208" s="5" t="s">
        <v>361</v>
      </c>
      <c r="B208" s="135">
        <v>0</v>
      </c>
      <c r="C208" s="27" t="s">
        <v>173</v>
      </c>
      <c r="D208" s="140">
        <v>0</v>
      </c>
      <c r="E208" s="28">
        <f t="shared" ref="E208:M208" si="124">D213</f>
        <v>0</v>
      </c>
      <c r="F208" s="28">
        <f t="shared" si="124"/>
        <v>0</v>
      </c>
      <c r="G208" s="28">
        <f t="shared" si="124"/>
        <v>0</v>
      </c>
      <c r="H208" s="28">
        <f t="shared" si="124"/>
        <v>0</v>
      </c>
      <c r="I208" s="28">
        <f t="shared" si="124"/>
        <v>0</v>
      </c>
      <c r="J208" s="28">
        <f t="shared" si="124"/>
        <v>0</v>
      </c>
      <c r="K208" s="28">
        <f t="shared" si="124"/>
        <v>0</v>
      </c>
      <c r="L208" s="28">
        <f t="shared" si="124"/>
        <v>0</v>
      </c>
      <c r="M208" s="28">
        <f t="shared" si="124"/>
        <v>0</v>
      </c>
    </row>
    <row r="209" spans="1:13" ht="13" customHeight="1">
      <c r="A209" s="26" t="s">
        <v>170</v>
      </c>
      <c r="B209" s="131">
        <v>35</v>
      </c>
      <c r="C209" s="29" t="s">
        <v>169</v>
      </c>
      <c r="D209" s="28">
        <f>D211-D210</f>
        <v>0</v>
      </c>
      <c r="E209" s="28">
        <f>E211-E210</f>
        <v>0</v>
      </c>
      <c r="F209" s="28">
        <f>F211-F210</f>
        <v>0</v>
      </c>
      <c r="G209" s="28">
        <f>G211-G210</f>
        <v>0</v>
      </c>
      <c r="H209" s="28">
        <f t="shared" ref="H209:M209" si="125">H211-H210</f>
        <v>0</v>
      </c>
      <c r="I209" s="28">
        <f t="shared" si="125"/>
        <v>0</v>
      </c>
      <c r="J209" s="28">
        <f t="shared" si="125"/>
        <v>0</v>
      </c>
      <c r="K209" s="28">
        <f t="shared" si="125"/>
        <v>0</v>
      </c>
      <c r="L209" s="28">
        <f t="shared" si="125"/>
        <v>0</v>
      </c>
      <c r="M209" s="28">
        <f t="shared" si="125"/>
        <v>0</v>
      </c>
    </row>
    <row r="210" spans="1:13" ht="13" customHeight="1">
      <c r="A210" s="5" t="s">
        <v>172</v>
      </c>
      <c r="B210" s="134">
        <f>B199</f>
        <v>5.2499999999999998E-2</v>
      </c>
      <c r="C210" s="5" t="s">
        <v>174</v>
      </c>
      <c r="D210" s="28">
        <f>IF(AND($B212="Y",YEAR($B207)+$B209&gt;D$5),D215,IF((YEAR($B207)+$B209)&gt;D$5,FV(D207/$B211,$B211,D214),D208))</f>
        <v>0</v>
      </c>
      <c r="E210" s="28">
        <f>IF(AND($B212="Y",YEAR($B207)+$B209&gt;E$5),E215,IF((YEAR($B207)+$B209)&gt;E$5,FV(E207/$B211,$B211,E214),E208))</f>
        <v>0</v>
      </c>
      <c r="F210" s="28">
        <f>IF(AND($B212="Y",YEAR($B207)+$B209&gt;F$5),F215,IF((YEAR($B207)+$B209)&gt;F$5,FV(F207/$B211,$B211,F214),F208))</f>
        <v>0</v>
      </c>
      <c r="G210" s="28">
        <f>IF(AND($B212="Y",YEAR($B207)+$B209&gt;G$5),G215,IF((YEAR($B207)+$B209)&gt;G$5,FV(G207/$B211,$B211,G214),G208))</f>
        <v>0</v>
      </c>
      <c r="H210" s="28">
        <f t="shared" ref="H210:M210" si="126">IF(AND($B212="Y",YEAR($B207)+$B209&gt;H$5),H215,IF((YEAR($B207)+$B209)&gt;H$5,FV(H207/$B211,$B211,H214),H208))</f>
        <v>0</v>
      </c>
      <c r="I210" s="28">
        <f t="shared" si="126"/>
        <v>0</v>
      </c>
      <c r="J210" s="28">
        <f t="shared" si="126"/>
        <v>0</v>
      </c>
      <c r="K210" s="28">
        <f t="shared" si="126"/>
        <v>0</v>
      </c>
      <c r="L210" s="28">
        <f t="shared" si="126"/>
        <v>0</v>
      </c>
      <c r="M210" s="28">
        <f t="shared" si="126"/>
        <v>0</v>
      </c>
    </row>
    <row r="211" spans="1:13" ht="13" customHeight="1">
      <c r="A211" s="5" t="s">
        <v>171</v>
      </c>
      <c r="B211" s="131">
        <v>4</v>
      </c>
      <c r="C211" s="78" t="s">
        <v>640</v>
      </c>
      <c r="D211" s="28">
        <f>IF(AND($B212="Y",YEAR($B207)+$B209&gt;D$5),D215+D207*(D208-D215*0.5),IF((YEAR($B207)+$B209)&gt;D$5,(D208*D207/$B211-D214)*$B211,(D208*(1+D207*MONTH($B207)/12))))</f>
        <v>0</v>
      </c>
      <c r="E211" s="28">
        <f>IF(AND($B212="Y",YEAR($B207)+$B209&gt;E$5),E215+E207*(E208-E215*0.5),IF((YEAR($B207)+$B209)&gt;E$5,(E208*E207/$B211-E214)*$B211,(E208*(1+E207*MONTH($B207)/12))))</f>
        <v>0</v>
      </c>
      <c r="F211" s="28">
        <f>IF(AND($B212="Y",YEAR($B207)+$B209&gt;F$5),F215+F207*(F208-F215*0.5),IF((YEAR($B207)+$B209)&gt;F$5,(F208*F207/$B211-F214)*$B211,(F208*(1+F207*MONTH($B207)/12))))</f>
        <v>0</v>
      </c>
      <c r="G211" s="28">
        <f>IF(AND($B212="Y",YEAR($B207)+$B209&gt;G$5),G215+G207*(G208-G215*0.5),IF((YEAR($B207)+$B209)&gt;G$5,(G208*G207/$B211-G214)*$B211,(G208*(1+G207*MONTH($B207)/12))))</f>
        <v>0</v>
      </c>
      <c r="H211" s="28">
        <f t="shared" ref="H211:M211" si="127">IF(AND($B212="Y",YEAR($B207)+$B209&gt;H$5),H215+H207*(H208-H215*0.5),IF((YEAR($B207)+$B209)&gt;H$5,(H208*H207/$B211-H214)*$B211,(H208*(1+H207*MONTH($B207)/12))))</f>
        <v>0</v>
      </c>
      <c r="I211" s="28">
        <f t="shared" si="127"/>
        <v>0</v>
      </c>
      <c r="J211" s="28">
        <f t="shared" si="127"/>
        <v>0</v>
      </c>
      <c r="K211" s="28">
        <f t="shared" si="127"/>
        <v>0</v>
      </c>
      <c r="L211" s="28">
        <f t="shared" si="127"/>
        <v>0</v>
      </c>
      <c r="M211" s="28">
        <f t="shared" si="127"/>
        <v>0</v>
      </c>
    </row>
    <row r="212" spans="1:13" ht="13" customHeight="1">
      <c r="A212" s="5" t="s">
        <v>767</v>
      </c>
      <c r="B212" s="131" t="s">
        <v>719</v>
      </c>
      <c r="C212" s="132" t="s">
        <v>768</v>
      </c>
      <c r="D212" s="140">
        <v>0</v>
      </c>
      <c r="E212" s="140">
        <v>0</v>
      </c>
      <c r="F212" s="140">
        <v>0</v>
      </c>
      <c r="G212" s="140">
        <v>0</v>
      </c>
      <c r="H212" s="140">
        <v>0</v>
      </c>
      <c r="I212" s="140">
        <v>0</v>
      </c>
      <c r="J212" s="140">
        <v>0</v>
      </c>
      <c r="K212" s="140">
        <v>0</v>
      </c>
      <c r="L212" s="140">
        <v>0</v>
      </c>
      <c r="M212" s="140">
        <v>0</v>
      </c>
    </row>
    <row r="213" spans="1:13" ht="13" customHeight="1">
      <c r="A213" s="5" t="s">
        <v>182</v>
      </c>
      <c r="B213" s="131"/>
      <c r="C213" s="30" t="s">
        <v>175</v>
      </c>
      <c r="D213" s="28">
        <f t="shared" ref="D213:M213" si="128">D208+D209-D211-D212</f>
        <v>0</v>
      </c>
      <c r="E213" s="28">
        <f t="shared" si="128"/>
        <v>0</v>
      </c>
      <c r="F213" s="28">
        <f t="shared" si="128"/>
        <v>0</v>
      </c>
      <c r="G213" s="28">
        <f t="shared" si="128"/>
        <v>0</v>
      </c>
      <c r="H213" s="28">
        <f t="shared" si="128"/>
        <v>0</v>
      </c>
      <c r="I213" s="28">
        <f t="shared" si="128"/>
        <v>0</v>
      </c>
      <c r="J213" s="28">
        <f t="shared" si="128"/>
        <v>0</v>
      </c>
      <c r="K213" s="28">
        <f t="shared" si="128"/>
        <v>0</v>
      </c>
      <c r="L213" s="28">
        <f t="shared" si="128"/>
        <v>0</v>
      </c>
      <c r="M213" s="28">
        <f t="shared" si="128"/>
        <v>0</v>
      </c>
    </row>
    <row r="214" spans="1:13" ht="13" hidden="1" customHeight="1">
      <c r="A214" s="5"/>
      <c r="B214" s="138"/>
      <c r="C214" s="5" t="s">
        <v>769</v>
      </c>
      <c r="D214" s="28" t="e">
        <f>PPMT(D207/$B211,1,ROUND(($B209-(D$5-YEAR($B207))+MONTH($B207)/12)*$B211,0),D208)</f>
        <v>#NUM!</v>
      </c>
      <c r="E214" s="28" t="e">
        <f>PPMT(E207/$B211,1,ROUND(($B209-(E$5-YEAR($B207))+MONTH($B207)/12)*$B211,0),E208)</f>
        <v>#NUM!</v>
      </c>
      <c r="F214" s="28" t="e">
        <f>PPMT(F207/$B211,1,ROUND(($B209-(F$5-YEAR($B207))+MONTH($B207)/12)*$B211,0),F208)</f>
        <v>#NUM!</v>
      </c>
      <c r="G214" s="28" t="e">
        <f>PPMT(G207/$B211,1,ROUND(($B209-(G$5-YEAR($B207))+MONTH($B207)/12)*$B211,0),G208)</f>
        <v>#NUM!</v>
      </c>
      <c r="H214" s="28" t="e">
        <f t="shared" ref="H214:M214" si="129">PPMT(H207/$B211,1,ROUND(($B209-(H$5-YEAR($B207))+MONTH($B207)/12)*$B211,0),H208)</f>
        <v>#NUM!</v>
      </c>
      <c r="I214" s="28" t="e">
        <f t="shared" si="129"/>
        <v>#NUM!</v>
      </c>
      <c r="J214" s="28" t="e">
        <f t="shared" si="129"/>
        <v>#NUM!</v>
      </c>
      <c r="K214" s="28" t="e">
        <f t="shared" si="129"/>
        <v>#NUM!</v>
      </c>
      <c r="L214" s="28" t="e">
        <f t="shared" si="129"/>
        <v>#NUM!</v>
      </c>
      <c r="M214" s="28" t="e">
        <f t="shared" si="129"/>
        <v>#NUM!</v>
      </c>
    </row>
    <row r="215" spans="1:13" ht="13" hidden="1" customHeight="1">
      <c r="A215" s="5"/>
      <c r="B215" s="5"/>
      <c r="C215" s="5" t="s">
        <v>770</v>
      </c>
      <c r="D215" s="28">
        <f>IF(YEAR($B207)+$B209&gt;D$5,D208/(YEAR($B207)+$B209-D$5+MONTH($B207)/12),D208)</f>
        <v>0</v>
      </c>
      <c r="E215" s="28">
        <f>IF(YEAR($B207)+$B209&gt;E$5,E208/(YEAR($B207)+$B209-E$5+MONTH($B207)/12),E208)</f>
        <v>0</v>
      </c>
      <c r="F215" s="28">
        <f>IF(YEAR($B207)+$B209&gt;F$5,F208/(YEAR($B207)+$B209-F$5+MONTH($B207)/12),F208)</f>
        <v>0</v>
      </c>
      <c r="G215" s="28">
        <f t="shared" ref="G215:M215" si="130">IF(YEAR($B207)+$B209&gt;G$5,G208/(YEAR($B207)+$B209-G$5+MONTH($B207)/12),G208)</f>
        <v>0</v>
      </c>
      <c r="H215" s="28">
        <f t="shared" si="130"/>
        <v>0</v>
      </c>
      <c r="I215" s="28">
        <f t="shared" si="130"/>
        <v>0</v>
      </c>
      <c r="J215" s="28">
        <f t="shared" si="130"/>
        <v>0</v>
      </c>
      <c r="K215" s="28">
        <f t="shared" si="130"/>
        <v>0</v>
      </c>
      <c r="L215" s="28">
        <f t="shared" si="130"/>
        <v>0</v>
      </c>
      <c r="M215" s="28">
        <f t="shared" si="130"/>
        <v>0</v>
      </c>
    </row>
    <row r="216" spans="1:13" ht="13" customHeight="1">
      <c r="A216" s="5"/>
      <c r="B216" s="5"/>
      <c r="C216" s="5"/>
      <c r="D216" s="46"/>
      <c r="E216" s="46"/>
      <c r="F216" s="46"/>
      <c r="G216" s="46"/>
      <c r="H216" s="46"/>
      <c r="I216" s="46"/>
      <c r="J216" s="46"/>
      <c r="K216" s="46"/>
      <c r="L216" s="46"/>
      <c r="M216" s="46"/>
    </row>
    <row r="217" spans="1:13" ht="13" customHeight="1">
      <c r="A217" s="30" t="s">
        <v>659</v>
      </c>
      <c r="B217" s="99"/>
      <c r="C217" t="s">
        <v>800</v>
      </c>
      <c r="D217" s="161" t="s">
        <v>801</v>
      </c>
      <c r="E217" s="1"/>
    </row>
    <row r="218" spans="1:13" ht="13" customHeight="1">
      <c r="A218" s="26" t="s">
        <v>677</v>
      </c>
      <c r="B218" s="133">
        <v>29373</v>
      </c>
      <c r="C218" s="5" t="s">
        <v>639</v>
      </c>
      <c r="D218" s="75">
        <f>IF($D217="V",Input!G$69,IF(AND($B224=D$5,Input!G$64&gt;0),Input!G$64,$B221))</f>
        <v>5.2499999999999998E-2</v>
      </c>
      <c r="E218" s="75">
        <f>IF($D217="V",Input!H$69,IF(AND($B224=E$5,Input!H$64&gt;0),Input!H$64,D218))</f>
        <v>5.2499999999999998E-2</v>
      </c>
      <c r="F218" s="75">
        <f>IF($D217="V",Input!I$69,IF(AND($B224=F$5,Input!I$64&gt;0),Input!I$64,E218))</f>
        <v>5.2499999999999998E-2</v>
      </c>
      <c r="G218" s="75">
        <f>IF($D217="V",Input!J$69,IF(AND($B224=G$5,Input!J$64&gt;0),Input!J$64,F218))</f>
        <v>5.2499999999999998E-2</v>
      </c>
      <c r="H218" s="75">
        <f>IF($D217="V",Input!K$69,IF(AND($B224=H$5,Input!K$64&gt;0),Input!K$64,G218))</f>
        <v>5.2499999999999998E-2</v>
      </c>
      <c r="I218" s="75">
        <f>IF($D217="V",Input!L$69,IF(AND($B224=I$5,Input!L$64&gt;0),Input!L$64,H218))</f>
        <v>5.2499999999999998E-2</v>
      </c>
      <c r="J218" s="75">
        <f>IF($D217="V",Input!M$69,IF(AND($B224=J$5,Input!M$64&gt;0),Input!M$64,I218))</f>
        <v>5.2499999999999998E-2</v>
      </c>
      <c r="K218" s="75">
        <f>IF($D217="V",Input!N$69,IF(AND($B224=K$5,Input!N$64&gt;0),Input!N$64,J218))</f>
        <v>5.2499999999999998E-2</v>
      </c>
      <c r="L218" s="75">
        <f>IF($D217="V",Input!O$69,IF(AND($B224=L$5,Input!O$64&gt;0),Input!O$64,K218))</f>
        <v>5.2499999999999998E-2</v>
      </c>
      <c r="M218" s="75">
        <f>IF($D217="V",Input!P$69,IF(AND($B224=M$5,Input!P$64&gt;0),Input!P$64,L218))</f>
        <v>5.2499999999999998E-2</v>
      </c>
    </row>
    <row r="219" spans="1:13" ht="13" customHeight="1">
      <c r="A219" s="5" t="s">
        <v>361</v>
      </c>
      <c r="B219" s="135">
        <v>0</v>
      </c>
      <c r="C219" s="27" t="s">
        <v>173</v>
      </c>
      <c r="D219" s="140">
        <v>0</v>
      </c>
      <c r="E219" s="28">
        <f t="shared" ref="E219:M219" si="131">D224</f>
        <v>0</v>
      </c>
      <c r="F219" s="28">
        <f t="shared" si="131"/>
        <v>0</v>
      </c>
      <c r="G219" s="28">
        <f t="shared" si="131"/>
        <v>0</v>
      </c>
      <c r="H219" s="28">
        <f t="shared" si="131"/>
        <v>0</v>
      </c>
      <c r="I219" s="28">
        <f t="shared" si="131"/>
        <v>0</v>
      </c>
      <c r="J219" s="28">
        <f t="shared" si="131"/>
        <v>0</v>
      </c>
      <c r="K219" s="28">
        <f t="shared" si="131"/>
        <v>0</v>
      </c>
      <c r="L219" s="28">
        <f t="shared" si="131"/>
        <v>0</v>
      </c>
      <c r="M219" s="28">
        <f t="shared" si="131"/>
        <v>0</v>
      </c>
    </row>
    <row r="220" spans="1:13" ht="13" customHeight="1">
      <c r="A220" s="26" t="s">
        <v>170</v>
      </c>
      <c r="B220" s="131">
        <v>35</v>
      </c>
      <c r="C220" s="29" t="s">
        <v>169</v>
      </c>
      <c r="D220" s="28">
        <f>D222-D221</f>
        <v>0</v>
      </c>
      <c r="E220" s="28">
        <f>E222-E221</f>
        <v>0</v>
      </c>
      <c r="F220" s="28">
        <f>F222-F221</f>
        <v>0</v>
      </c>
      <c r="G220" s="28">
        <f>G222-G221</f>
        <v>0</v>
      </c>
      <c r="H220" s="28">
        <f t="shared" ref="H220:M220" si="132">H222-H221</f>
        <v>0</v>
      </c>
      <c r="I220" s="28">
        <f t="shared" si="132"/>
        <v>0</v>
      </c>
      <c r="J220" s="28">
        <f t="shared" si="132"/>
        <v>0</v>
      </c>
      <c r="K220" s="28">
        <f t="shared" si="132"/>
        <v>0</v>
      </c>
      <c r="L220" s="28">
        <f t="shared" si="132"/>
        <v>0</v>
      </c>
      <c r="M220" s="28">
        <f t="shared" si="132"/>
        <v>0</v>
      </c>
    </row>
    <row r="221" spans="1:13" ht="13" customHeight="1">
      <c r="A221" s="5" t="s">
        <v>172</v>
      </c>
      <c r="B221" s="134">
        <f>B210</f>
        <v>5.2499999999999998E-2</v>
      </c>
      <c r="C221" s="5" t="s">
        <v>174</v>
      </c>
      <c r="D221" s="28">
        <f>IF(AND($B223="Y",YEAR($B218)+$B220&gt;D$5),D226,IF((YEAR($B218)+$B220)&gt;D$5,FV(D218/$B222,$B222,D225),D219))</f>
        <v>0</v>
      </c>
      <c r="E221" s="28">
        <f>IF(AND($B223="Y",YEAR($B218)+$B220&gt;E$5),E226,IF((YEAR($B218)+$B220)&gt;E$5,FV(E218/$B222,$B222,E225),E219))</f>
        <v>0</v>
      </c>
      <c r="F221" s="28">
        <f>IF(AND($B223="Y",YEAR($B218)+$B220&gt;F$5),F226,IF((YEAR($B218)+$B220)&gt;F$5,FV(F218/$B222,$B222,F225),F219))</f>
        <v>0</v>
      </c>
      <c r="G221" s="28">
        <f>IF(AND($B223="Y",YEAR($B218)+$B220&gt;G$5),G226,IF((YEAR($B218)+$B220)&gt;G$5,FV(G218/$B222,$B222,G225),G219))</f>
        <v>0</v>
      </c>
      <c r="H221" s="28">
        <f t="shared" ref="H221:M221" si="133">IF(AND($B223="Y",YEAR($B218)+$B220&gt;H$5),H226,IF((YEAR($B218)+$B220)&gt;H$5,FV(H218/$B222,$B222,H225),H219))</f>
        <v>0</v>
      </c>
      <c r="I221" s="28">
        <f t="shared" si="133"/>
        <v>0</v>
      </c>
      <c r="J221" s="28">
        <f t="shared" si="133"/>
        <v>0</v>
      </c>
      <c r="K221" s="28">
        <f t="shared" si="133"/>
        <v>0</v>
      </c>
      <c r="L221" s="28">
        <f t="shared" si="133"/>
        <v>0</v>
      </c>
      <c r="M221" s="28">
        <f t="shared" si="133"/>
        <v>0</v>
      </c>
    </row>
    <row r="222" spans="1:13" ht="13" customHeight="1">
      <c r="A222" s="5" t="s">
        <v>171</v>
      </c>
      <c r="B222" s="131">
        <v>4</v>
      </c>
      <c r="C222" s="78" t="s">
        <v>640</v>
      </c>
      <c r="D222" s="28">
        <f>IF(AND($B223="Y",YEAR($B218)+$B220&gt;D$5),D226+D218*(D219-D226*0.5),IF((YEAR($B218)+$B220)&gt;D$5,(D219*D218/$B222-D225)*$B222,(D219*(1+D218*MONTH($B218)/12))))</f>
        <v>0</v>
      </c>
      <c r="E222" s="28">
        <f>IF(AND($B223="Y",YEAR($B218)+$B220&gt;E$5),E226+E218*(E219-E226*0.5),IF((YEAR($B218)+$B220)&gt;E$5,(E219*E218/$B222-E225)*$B222,(E219*(1+E218*MONTH($B218)/12))))</f>
        <v>0</v>
      </c>
      <c r="F222" s="28">
        <f>IF(AND($B223="Y",YEAR($B218)+$B220&gt;F$5),F226+F218*(F219-F226*0.5),IF((YEAR($B218)+$B220)&gt;F$5,(F219*F218/$B222-F225)*$B222,(F219*(1+F218*MONTH($B218)/12))))</f>
        <v>0</v>
      </c>
      <c r="G222" s="28">
        <f>IF(AND($B223="Y",YEAR($B218)+$B220&gt;G$5),G226+G218*(G219-G226*0.5),IF((YEAR($B218)+$B220)&gt;G$5,(G219*G218/$B222-G225)*$B222,(G219*(1+G218*MONTH($B218)/12))))</f>
        <v>0</v>
      </c>
      <c r="H222" s="28">
        <f t="shared" ref="H222:M222" si="134">IF(AND($B223="Y",YEAR($B218)+$B220&gt;H$5),H226+H218*(H219-H226*0.5),IF((YEAR($B218)+$B220)&gt;H$5,(H219*H218/$B222-H225)*$B222,(H219*(1+H218*MONTH($B218)/12))))</f>
        <v>0</v>
      </c>
      <c r="I222" s="28">
        <f t="shared" si="134"/>
        <v>0</v>
      </c>
      <c r="J222" s="28">
        <f t="shared" si="134"/>
        <v>0</v>
      </c>
      <c r="K222" s="28">
        <f t="shared" si="134"/>
        <v>0</v>
      </c>
      <c r="L222" s="28">
        <f t="shared" si="134"/>
        <v>0</v>
      </c>
      <c r="M222" s="28">
        <f t="shared" si="134"/>
        <v>0</v>
      </c>
    </row>
    <row r="223" spans="1:13" ht="13" customHeight="1">
      <c r="A223" s="5" t="s">
        <v>767</v>
      </c>
      <c r="B223" s="131" t="s">
        <v>719</v>
      </c>
      <c r="C223" s="132" t="s">
        <v>768</v>
      </c>
      <c r="D223" s="140">
        <v>0</v>
      </c>
      <c r="E223" s="140">
        <v>0</v>
      </c>
      <c r="F223" s="140">
        <v>0</v>
      </c>
      <c r="G223" s="140">
        <v>0</v>
      </c>
      <c r="H223" s="140">
        <v>0</v>
      </c>
      <c r="I223" s="140">
        <v>0</v>
      </c>
      <c r="J223" s="140">
        <v>0</v>
      </c>
      <c r="K223" s="140">
        <v>0</v>
      </c>
      <c r="L223" s="140">
        <v>0</v>
      </c>
      <c r="M223" s="140">
        <v>0</v>
      </c>
    </row>
    <row r="224" spans="1:13" ht="13" customHeight="1">
      <c r="A224" s="5" t="s">
        <v>182</v>
      </c>
      <c r="B224" s="131"/>
      <c r="C224" s="30" t="s">
        <v>175</v>
      </c>
      <c r="D224" s="28">
        <f t="shared" ref="D224:M224" si="135">D219+D220-D222-D223</f>
        <v>0</v>
      </c>
      <c r="E224" s="28">
        <f t="shared" si="135"/>
        <v>0</v>
      </c>
      <c r="F224" s="28">
        <f t="shared" si="135"/>
        <v>0</v>
      </c>
      <c r="G224" s="28">
        <f t="shared" si="135"/>
        <v>0</v>
      </c>
      <c r="H224" s="28">
        <f t="shared" si="135"/>
        <v>0</v>
      </c>
      <c r="I224" s="28">
        <f t="shared" si="135"/>
        <v>0</v>
      </c>
      <c r="J224" s="28">
        <f t="shared" si="135"/>
        <v>0</v>
      </c>
      <c r="K224" s="28">
        <f t="shared" si="135"/>
        <v>0</v>
      </c>
      <c r="L224" s="28">
        <f t="shared" si="135"/>
        <v>0</v>
      </c>
      <c r="M224" s="28">
        <f t="shared" si="135"/>
        <v>0</v>
      </c>
    </row>
    <row r="225" spans="1:13" ht="13" hidden="1" customHeight="1">
      <c r="A225" s="5"/>
      <c r="B225" s="138"/>
      <c r="C225" s="5" t="s">
        <v>769</v>
      </c>
      <c r="D225" s="28" t="e">
        <f>PPMT(D218/$B222,1,ROUND(($B220-(D$5-YEAR($B218))+MONTH($B218)/12)*$B222,0),D219)</f>
        <v>#NUM!</v>
      </c>
      <c r="E225" s="28" t="e">
        <f>PPMT(E218/$B222,1,ROUND(($B220-(E$5-YEAR($B218))+MONTH($B218)/12)*$B222,0),E219)</f>
        <v>#NUM!</v>
      </c>
      <c r="F225" s="28" t="e">
        <f>PPMT(F218/$B222,1,ROUND(($B220-(F$5-YEAR($B218))+MONTH($B218)/12)*$B222,0),F219)</f>
        <v>#NUM!</v>
      </c>
      <c r="G225" s="28" t="e">
        <f>PPMT(G218/$B222,1,ROUND(($B220-(G$5-YEAR($B218))+MONTH($B218)/12)*$B222,0),G219)</f>
        <v>#NUM!</v>
      </c>
      <c r="H225" s="28" t="e">
        <f t="shared" ref="H225:M225" si="136">PPMT(H218/$B222,1,ROUND(($B220-(H$5-YEAR($B218))+MONTH($B218)/12)*$B222,0),H219)</f>
        <v>#NUM!</v>
      </c>
      <c r="I225" s="28" t="e">
        <f t="shared" si="136"/>
        <v>#NUM!</v>
      </c>
      <c r="J225" s="28" t="e">
        <f t="shared" si="136"/>
        <v>#NUM!</v>
      </c>
      <c r="K225" s="28" t="e">
        <f t="shared" si="136"/>
        <v>#NUM!</v>
      </c>
      <c r="L225" s="28" t="e">
        <f t="shared" si="136"/>
        <v>#NUM!</v>
      </c>
      <c r="M225" s="28" t="e">
        <f t="shared" si="136"/>
        <v>#NUM!</v>
      </c>
    </row>
    <row r="226" spans="1:13" ht="13" hidden="1" customHeight="1">
      <c r="A226" s="5"/>
      <c r="B226" s="5"/>
      <c r="C226" s="5" t="s">
        <v>770</v>
      </c>
      <c r="D226" s="28">
        <f>IF(YEAR($B218)+$B220&gt;D$5,D219/(YEAR($B218)+$B220-D$5+MONTH($B218)/12),D219)</f>
        <v>0</v>
      </c>
      <c r="E226" s="28">
        <f>IF(YEAR($B218)+$B220&gt;E$5,E219/(YEAR($B218)+$B220-E$5+MONTH($B218)/12),E219)</f>
        <v>0</v>
      </c>
      <c r="F226" s="28">
        <f>IF(YEAR($B218)+$B220&gt;F$5,F219/(YEAR($B218)+$B220-F$5+MONTH($B218)/12),F219)</f>
        <v>0</v>
      </c>
      <c r="G226" s="28">
        <f t="shared" ref="G226:M226" si="137">IF(YEAR($B218)+$B220&gt;G$5,G219/(YEAR($B218)+$B220-G$5+MONTH($B218)/12),G219)</f>
        <v>0</v>
      </c>
      <c r="H226" s="28">
        <f t="shared" si="137"/>
        <v>0</v>
      </c>
      <c r="I226" s="28">
        <f t="shared" si="137"/>
        <v>0</v>
      </c>
      <c r="J226" s="28">
        <f t="shared" si="137"/>
        <v>0</v>
      </c>
      <c r="K226" s="28">
        <f t="shared" si="137"/>
        <v>0</v>
      </c>
      <c r="L226" s="28">
        <f t="shared" si="137"/>
        <v>0</v>
      </c>
      <c r="M226" s="28">
        <f t="shared" si="137"/>
        <v>0</v>
      </c>
    </row>
    <row r="227" spans="1:13" ht="13" customHeight="1">
      <c r="A227" s="5"/>
      <c r="B227" s="5"/>
      <c r="C227" s="5"/>
      <c r="D227" s="46"/>
      <c r="E227" s="46"/>
      <c r="F227" s="46"/>
      <c r="G227" s="46"/>
      <c r="H227" s="46"/>
      <c r="I227" s="46"/>
      <c r="J227" s="46"/>
      <c r="K227" s="46"/>
      <c r="L227" s="46"/>
      <c r="M227" s="46"/>
    </row>
    <row r="228" spans="1:13" ht="13" customHeight="1">
      <c r="A228" s="30" t="s">
        <v>660</v>
      </c>
      <c r="B228" s="99"/>
      <c r="C228" t="s">
        <v>800</v>
      </c>
      <c r="D228" s="161" t="s">
        <v>801</v>
      </c>
      <c r="E228" s="1"/>
    </row>
    <row r="229" spans="1:13" ht="13" customHeight="1">
      <c r="A229" s="26" t="s">
        <v>677</v>
      </c>
      <c r="B229" s="133">
        <v>29373</v>
      </c>
      <c r="C229" s="5" t="s">
        <v>639</v>
      </c>
      <c r="D229" s="75">
        <f>IF($D228="V",Input!G$69,IF(AND($B235=D$5,Input!G$64&gt;0),Input!G$64,$B232))</f>
        <v>5.2499999999999998E-2</v>
      </c>
      <c r="E229" s="75">
        <f>IF($D228="V",Input!H$69,IF(AND($B235=E$5,Input!H$64&gt;0),Input!H$64,D229))</f>
        <v>5.2499999999999998E-2</v>
      </c>
      <c r="F229" s="75">
        <f>IF($D228="V",Input!I$69,IF(AND($B235=F$5,Input!I$64&gt;0),Input!I$64,E229))</f>
        <v>5.2499999999999998E-2</v>
      </c>
      <c r="G229" s="75">
        <f>IF($D228="V",Input!J$69,IF(AND($B235=G$5,Input!J$64&gt;0),Input!J$64,F229))</f>
        <v>5.2499999999999998E-2</v>
      </c>
      <c r="H229" s="75">
        <f>IF($D228="V",Input!K$69,IF(AND($B235=H$5,Input!K$64&gt;0),Input!K$64,G229))</f>
        <v>5.2499999999999998E-2</v>
      </c>
      <c r="I229" s="75">
        <f>IF($D228="V",Input!L$69,IF(AND($B235=I$5,Input!L$64&gt;0),Input!L$64,H229))</f>
        <v>5.2499999999999998E-2</v>
      </c>
      <c r="J229" s="75">
        <f>IF($D228="V",Input!M$69,IF(AND($B235=J$5,Input!M$64&gt;0),Input!M$64,I229))</f>
        <v>5.2499999999999998E-2</v>
      </c>
      <c r="K229" s="75">
        <f>IF($D228="V",Input!N$69,IF(AND($B235=K$5,Input!N$64&gt;0),Input!N$64,J229))</f>
        <v>5.2499999999999998E-2</v>
      </c>
      <c r="L229" s="75">
        <f>IF($D228="V",Input!O$69,IF(AND($B235=L$5,Input!O$64&gt;0),Input!O$64,K229))</f>
        <v>5.2499999999999998E-2</v>
      </c>
      <c r="M229" s="75">
        <f>IF($D228="V",Input!P$69,IF(AND($B235=M$5,Input!P$64&gt;0),Input!P$64,L229))</f>
        <v>5.2499999999999998E-2</v>
      </c>
    </row>
    <row r="230" spans="1:13" ht="13" customHeight="1">
      <c r="A230" s="5" t="s">
        <v>361</v>
      </c>
      <c r="B230" s="135">
        <v>0</v>
      </c>
      <c r="C230" s="27" t="s">
        <v>173</v>
      </c>
      <c r="D230" s="140">
        <v>0</v>
      </c>
      <c r="E230" s="28">
        <f t="shared" ref="E230:M230" si="138">D235</f>
        <v>0</v>
      </c>
      <c r="F230" s="28">
        <f t="shared" si="138"/>
        <v>0</v>
      </c>
      <c r="G230" s="28">
        <f t="shared" si="138"/>
        <v>0</v>
      </c>
      <c r="H230" s="28">
        <f t="shared" si="138"/>
        <v>0</v>
      </c>
      <c r="I230" s="28">
        <f t="shared" si="138"/>
        <v>0</v>
      </c>
      <c r="J230" s="28">
        <f t="shared" si="138"/>
        <v>0</v>
      </c>
      <c r="K230" s="28">
        <f t="shared" si="138"/>
        <v>0</v>
      </c>
      <c r="L230" s="28">
        <f t="shared" si="138"/>
        <v>0</v>
      </c>
      <c r="M230" s="28">
        <f t="shared" si="138"/>
        <v>0</v>
      </c>
    </row>
    <row r="231" spans="1:13" ht="13" customHeight="1">
      <c r="A231" s="26" t="s">
        <v>170</v>
      </c>
      <c r="B231" s="131">
        <v>35</v>
      </c>
      <c r="C231" s="29" t="s">
        <v>169</v>
      </c>
      <c r="D231" s="28">
        <f>D233-D232</f>
        <v>0</v>
      </c>
      <c r="E231" s="28">
        <f>E233-E232</f>
        <v>0</v>
      </c>
      <c r="F231" s="28">
        <f>F233-F232</f>
        <v>0</v>
      </c>
      <c r="G231" s="28">
        <f>G233-G232</f>
        <v>0</v>
      </c>
      <c r="H231" s="28">
        <f t="shared" ref="H231:M231" si="139">H233-H232</f>
        <v>0</v>
      </c>
      <c r="I231" s="28">
        <f t="shared" si="139"/>
        <v>0</v>
      </c>
      <c r="J231" s="28">
        <f t="shared" si="139"/>
        <v>0</v>
      </c>
      <c r="K231" s="28">
        <f t="shared" si="139"/>
        <v>0</v>
      </c>
      <c r="L231" s="28">
        <f t="shared" si="139"/>
        <v>0</v>
      </c>
      <c r="M231" s="28">
        <f t="shared" si="139"/>
        <v>0</v>
      </c>
    </row>
    <row r="232" spans="1:13" ht="13" customHeight="1">
      <c r="A232" s="5" t="s">
        <v>172</v>
      </c>
      <c r="B232" s="134">
        <f>B221</f>
        <v>5.2499999999999998E-2</v>
      </c>
      <c r="C232" s="5" t="s">
        <v>174</v>
      </c>
      <c r="D232" s="28">
        <f>IF(AND($B234="Y",YEAR($B229)+$B231&gt;D$5),D237,IF((YEAR($B229)+$B231)&gt;D$5,FV(D229/$B233,$B233,D236),D230))</f>
        <v>0</v>
      </c>
      <c r="E232" s="28">
        <f>IF(AND($B234="Y",YEAR($B229)+$B231&gt;E$5),E237,IF((YEAR($B229)+$B231)&gt;E$5,FV(E229/$B233,$B233,E236),E230))</f>
        <v>0</v>
      </c>
      <c r="F232" s="28">
        <f>IF(AND($B234="Y",YEAR($B229)+$B231&gt;F$5),F237,IF((YEAR($B229)+$B231)&gt;F$5,FV(F229/$B233,$B233,F236),F230))</f>
        <v>0</v>
      </c>
      <c r="G232" s="28">
        <f>IF(AND($B234="Y",YEAR($B229)+$B231&gt;G$5),G237,IF((YEAR($B229)+$B231)&gt;G$5,FV(G229/$B233,$B233,G236),G230))</f>
        <v>0</v>
      </c>
      <c r="H232" s="28">
        <f t="shared" ref="H232:M232" si="140">IF(AND($B234="Y",YEAR($B229)+$B231&gt;H$5),H237,IF((YEAR($B229)+$B231)&gt;H$5,FV(H229/$B233,$B233,H236),H230))</f>
        <v>0</v>
      </c>
      <c r="I232" s="28">
        <f t="shared" si="140"/>
        <v>0</v>
      </c>
      <c r="J232" s="28">
        <f t="shared" si="140"/>
        <v>0</v>
      </c>
      <c r="K232" s="28">
        <f t="shared" si="140"/>
        <v>0</v>
      </c>
      <c r="L232" s="28">
        <f t="shared" si="140"/>
        <v>0</v>
      </c>
      <c r="M232" s="28">
        <f t="shared" si="140"/>
        <v>0</v>
      </c>
    </row>
    <row r="233" spans="1:13" ht="13" customHeight="1">
      <c r="A233" s="5" t="s">
        <v>171</v>
      </c>
      <c r="B233" s="131">
        <v>4</v>
      </c>
      <c r="C233" s="78" t="s">
        <v>640</v>
      </c>
      <c r="D233" s="28">
        <f>IF(AND($B234="Y",YEAR($B229)+$B231&gt;D$5),D237+D229*(D230-D237*0.5),IF((YEAR($B229)+$B231)&gt;D$5,(D230*D229/$B233-D236)*$B233,(D230*(1+D229*MONTH($B229)/12))))</f>
        <v>0</v>
      </c>
      <c r="E233" s="28">
        <f>IF(AND($B234="Y",YEAR($B229)+$B231&gt;E$5),E237+E229*(E230-E237*0.5),IF((YEAR($B229)+$B231)&gt;E$5,(E230*E229/$B233-E236)*$B233,(E230*(1+E229*MONTH($B229)/12))))</f>
        <v>0</v>
      </c>
      <c r="F233" s="28">
        <f>IF(AND($B234="Y",YEAR($B229)+$B231&gt;F$5),F237+F229*(F230-F237*0.5),IF((YEAR($B229)+$B231)&gt;F$5,(F230*F229/$B233-F236)*$B233,(F230*(1+F229*MONTH($B229)/12))))</f>
        <v>0</v>
      </c>
      <c r="G233" s="28">
        <f>IF(AND($B234="Y",YEAR($B229)+$B231&gt;G$5),G237+G229*(G230-G237*0.5),IF((YEAR($B229)+$B231)&gt;G$5,(G230*G229/$B233-G236)*$B233,(G230*(1+G229*MONTH($B229)/12))))</f>
        <v>0</v>
      </c>
      <c r="H233" s="28">
        <f t="shared" ref="H233:M233" si="141">IF(AND($B234="Y",YEAR($B229)+$B231&gt;H$5),H237+H229*(H230-H237*0.5),IF((YEAR($B229)+$B231)&gt;H$5,(H230*H229/$B233-H236)*$B233,(H230*(1+H229*MONTH($B229)/12))))</f>
        <v>0</v>
      </c>
      <c r="I233" s="28">
        <f t="shared" si="141"/>
        <v>0</v>
      </c>
      <c r="J233" s="28">
        <f t="shared" si="141"/>
        <v>0</v>
      </c>
      <c r="K233" s="28">
        <f t="shared" si="141"/>
        <v>0</v>
      </c>
      <c r="L233" s="28">
        <f t="shared" si="141"/>
        <v>0</v>
      </c>
      <c r="M233" s="28">
        <f t="shared" si="141"/>
        <v>0</v>
      </c>
    </row>
    <row r="234" spans="1:13" ht="13" customHeight="1">
      <c r="A234" s="5" t="s">
        <v>767</v>
      </c>
      <c r="B234" s="131" t="s">
        <v>719</v>
      </c>
      <c r="C234" s="132" t="s">
        <v>768</v>
      </c>
      <c r="D234" s="140">
        <v>0</v>
      </c>
      <c r="E234" s="140">
        <v>0</v>
      </c>
      <c r="F234" s="140">
        <v>0</v>
      </c>
      <c r="G234" s="140">
        <v>0</v>
      </c>
      <c r="H234" s="140">
        <v>0</v>
      </c>
      <c r="I234" s="140">
        <v>0</v>
      </c>
      <c r="J234" s="140">
        <v>0</v>
      </c>
      <c r="K234" s="140">
        <v>0</v>
      </c>
      <c r="L234" s="140">
        <v>0</v>
      </c>
      <c r="M234" s="140">
        <v>0</v>
      </c>
    </row>
    <row r="235" spans="1:13" ht="13" customHeight="1">
      <c r="A235" s="5" t="s">
        <v>182</v>
      </c>
      <c r="B235" s="131"/>
      <c r="C235" s="30" t="s">
        <v>175</v>
      </c>
      <c r="D235" s="28">
        <f t="shared" ref="D235:M235" si="142">D230+D231-D233-D234</f>
        <v>0</v>
      </c>
      <c r="E235" s="28">
        <f t="shared" si="142"/>
        <v>0</v>
      </c>
      <c r="F235" s="28">
        <f t="shared" si="142"/>
        <v>0</v>
      </c>
      <c r="G235" s="28">
        <f t="shared" si="142"/>
        <v>0</v>
      </c>
      <c r="H235" s="28">
        <f t="shared" si="142"/>
        <v>0</v>
      </c>
      <c r="I235" s="28">
        <f t="shared" si="142"/>
        <v>0</v>
      </c>
      <c r="J235" s="28">
        <f t="shared" si="142"/>
        <v>0</v>
      </c>
      <c r="K235" s="28">
        <f t="shared" si="142"/>
        <v>0</v>
      </c>
      <c r="L235" s="28">
        <f t="shared" si="142"/>
        <v>0</v>
      </c>
      <c r="M235" s="28">
        <f t="shared" si="142"/>
        <v>0</v>
      </c>
    </row>
    <row r="236" spans="1:13" ht="13" hidden="1" customHeight="1">
      <c r="A236" s="5"/>
      <c r="B236" s="138"/>
      <c r="C236" s="5" t="s">
        <v>769</v>
      </c>
      <c r="D236" s="28" t="e">
        <f>PPMT(D229/$B233,1,ROUND(($B231-(D$5-YEAR($B229))+MONTH($B229)/12)*$B233,0),D230)</f>
        <v>#NUM!</v>
      </c>
      <c r="E236" s="28" t="e">
        <f>PPMT(E229/$B233,1,ROUND(($B231-(E$5-YEAR($B229))+MONTH($B229)/12)*$B233,0),E230)</f>
        <v>#NUM!</v>
      </c>
      <c r="F236" s="28" t="e">
        <f>PPMT(F229/$B233,1,ROUND(($B231-(F$5-YEAR($B229))+MONTH($B229)/12)*$B233,0),F230)</f>
        <v>#NUM!</v>
      </c>
      <c r="G236" s="28" t="e">
        <f>PPMT(G229/$B233,1,ROUND(($B231-(G$5-YEAR($B229))+MONTH($B229)/12)*$B233,0),G230)</f>
        <v>#NUM!</v>
      </c>
      <c r="H236" s="28" t="e">
        <f t="shared" ref="H236:M236" si="143">PPMT(H229/$B233,1,ROUND(($B231-(H$5-YEAR($B229))+MONTH($B229)/12)*$B233,0),H230)</f>
        <v>#NUM!</v>
      </c>
      <c r="I236" s="28" t="e">
        <f t="shared" si="143"/>
        <v>#NUM!</v>
      </c>
      <c r="J236" s="28" t="e">
        <f t="shared" si="143"/>
        <v>#NUM!</v>
      </c>
      <c r="K236" s="28" t="e">
        <f t="shared" si="143"/>
        <v>#NUM!</v>
      </c>
      <c r="L236" s="28" t="e">
        <f t="shared" si="143"/>
        <v>#NUM!</v>
      </c>
      <c r="M236" s="28" t="e">
        <f t="shared" si="143"/>
        <v>#NUM!</v>
      </c>
    </row>
    <row r="237" spans="1:13" ht="13" hidden="1" customHeight="1">
      <c r="A237" s="5"/>
      <c r="B237" s="5"/>
      <c r="C237" s="5" t="s">
        <v>770</v>
      </c>
      <c r="D237" s="28">
        <f>IF(YEAR($B229)+$B231&gt;D$5,D230/(YEAR($B229)+$B231-D$5+MONTH($B229)/12),D230)</f>
        <v>0</v>
      </c>
      <c r="E237" s="28">
        <f>IF(YEAR($B229)+$B231&gt;E$5,E230/(YEAR($B229)+$B231-E$5+MONTH($B229)/12),E230)</f>
        <v>0</v>
      </c>
      <c r="F237" s="28">
        <f>IF(YEAR($B229)+$B231&gt;F$5,F230/(YEAR($B229)+$B231-F$5+MONTH($B229)/12),F230)</f>
        <v>0</v>
      </c>
      <c r="G237" s="28">
        <f t="shared" ref="G237:M237" si="144">IF(YEAR($B229)+$B231&gt;G$5,G230/(YEAR($B229)+$B231-G$5+MONTH($B229)/12),G230)</f>
        <v>0</v>
      </c>
      <c r="H237" s="28">
        <f t="shared" si="144"/>
        <v>0</v>
      </c>
      <c r="I237" s="28">
        <f t="shared" si="144"/>
        <v>0</v>
      </c>
      <c r="J237" s="28">
        <f t="shared" si="144"/>
        <v>0</v>
      </c>
      <c r="K237" s="28">
        <f t="shared" si="144"/>
        <v>0</v>
      </c>
      <c r="L237" s="28">
        <f t="shared" si="144"/>
        <v>0</v>
      </c>
      <c r="M237" s="28">
        <f t="shared" si="144"/>
        <v>0</v>
      </c>
    </row>
    <row r="238" spans="1:13" ht="13" customHeight="1">
      <c r="A238" s="5"/>
      <c r="B238" s="5"/>
      <c r="C238" s="5"/>
      <c r="D238" s="46"/>
      <c r="E238" s="46"/>
      <c r="F238" s="46"/>
      <c r="G238" s="46"/>
      <c r="H238" s="46"/>
      <c r="I238" s="46"/>
      <c r="J238" s="46"/>
      <c r="K238" s="46"/>
      <c r="L238" s="46"/>
      <c r="M238" s="46"/>
    </row>
    <row r="239" spans="1:13" ht="13" customHeight="1">
      <c r="A239" s="5"/>
      <c r="B239" s="5"/>
      <c r="C239" s="5"/>
      <c r="D239" s="46"/>
      <c r="E239" s="46"/>
      <c r="F239" s="46"/>
      <c r="G239" s="46"/>
      <c r="H239" s="46"/>
      <c r="I239" s="46"/>
      <c r="J239" s="46"/>
      <c r="K239" s="46"/>
      <c r="L239" s="46"/>
      <c r="M239" s="46"/>
    </row>
    <row r="240" spans="1:13" ht="13" customHeight="1">
      <c r="A240" s="5"/>
      <c r="B240" s="5"/>
      <c r="C240" s="5"/>
      <c r="D240" s="46"/>
      <c r="E240" s="46"/>
      <c r="F240" s="46"/>
      <c r="G240" s="46"/>
      <c r="H240" s="46"/>
      <c r="I240" s="46"/>
      <c r="J240" s="46"/>
      <c r="K240" s="46"/>
      <c r="L240" s="46"/>
      <c r="M240" s="46"/>
    </row>
    <row r="241" spans="1:13" ht="13" customHeight="1">
      <c r="A241" s="5" t="s">
        <v>787</v>
      </c>
      <c r="B241" s="5"/>
      <c r="C241" s="5"/>
      <c r="D241" s="156">
        <f>+D5</f>
        <v>2024</v>
      </c>
      <c r="E241" s="156">
        <f t="shared" ref="E241:M241" si="145">+E5</f>
        <v>2025</v>
      </c>
      <c r="F241" s="156">
        <f t="shared" si="145"/>
        <v>2026</v>
      </c>
      <c r="G241" s="156">
        <f t="shared" si="145"/>
        <v>2027</v>
      </c>
      <c r="H241" s="156">
        <f t="shared" si="145"/>
        <v>2028</v>
      </c>
      <c r="I241" s="156">
        <f t="shared" si="145"/>
        <v>2029</v>
      </c>
      <c r="J241" s="156">
        <f t="shared" si="145"/>
        <v>2030</v>
      </c>
      <c r="K241" s="156">
        <f t="shared" si="145"/>
        <v>2031</v>
      </c>
      <c r="L241" s="156">
        <f t="shared" si="145"/>
        <v>2032</v>
      </c>
      <c r="M241" s="156">
        <f t="shared" si="145"/>
        <v>2033</v>
      </c>
    </row>
    <row r="242" spans="1:13" ht="13" customHeight="1">
      <c r="A242" s="5"/>
      <c r="B242" s="5"/>
      <c r="C242" s="5"/>
      <c r="D242" s="157" t="str">
        <f>+D6</f>
        <v xml:space="preserve">  -----------</v>
      </c>
      <c r="E242" s="157" t="str">
        <f t="shared" ref="E242:M242" si="146">+E6</f>
        <v xml:space="preserve">  -----------</v>
      </c>
      <c r="F242" s="157" t="str">
        <f t="shared" si="146"/>
        <v xml:space="preserve">  -----------</v>
      </c>
      <c r="G242" s="157" t="str">
        <f t="shared" si="146"/>
        <v xml:space="preserve">  -----------</v>
      </c>
      <c r="H242" s="157" t="str">
        <f t="shared" si="146"/>
        <v xml:space="preserve">  -----------</v>
      </c>
      <c r="I242" s="157" t="str">
        <f t="shared" si="146"/>
        <v xml:space="preserve">  -----------</v>
      </c>
      <c r="J242" s="157" t="str">
        <f t="shared" si="146"/>
        <v xml:space="preserve">  -----------</v>
      </c>
      <c r="K242" s="157" t="str">
        <f t="shared" si="146"/>
        <v xml:space="preserve">  -----------</v>
      </c>
      <c r="L242" s="157" t="str">
        <f t="shared" si="146"/>
        <v xml:space="preserve">  -----------</v>
      </c>
      <c r="M242" s="157" t="str">
        <f t="shared" si="146"/>
        <v xml:space="preserve">  -----------</v>
      </c>
    </row>
    <row r="243" spans="1:13" ht="13" customHeight="1">
      <c r="A243" s="30" t="s">
        <v>661</v>
      </c>
      <c r="B243" s="99"/>
      <c r="C243" t="s">
        <v>800</v>
      </c>
      <c r="D243" s="161" t="s">
        <v>801</v>
      </c>
      <c r="E243" s="1"/>
    </row>
    <row r="244" spans="1:13" ht="13" customHeight="1">
      <c r="A244" s="26" t="s">
        <v>677</v>
      </c>
      <c r="B244" s="133">
        <v>29373</v>
      </c>
      <c r="C244" s="5" t="s">
        <v>639</v>
      </c>
      <c r="D244" s="75">
        <f>IF($D243="V",Input!G$69,IF(AND($B250=D$5,Input!G$64&gt;0),Input!G$64,$B247))</f>
        <v>5.2499999999999998E-2</v>
      </c>
      <c r="E244" s="75">
        <f>IF($D243="V",Input!H$69,IF(AND($B250=E$5,Input!H$64&gt;0),Input!H$64,D244))</f>
        <v>5.2499999999999998E-2</v>
      </c>
      <c r="F244" s="75">
        <f>IF($D243="V",Input!I$69,IF(AND($B250=F$5,Input!I$64&gt;0),Input!I$64,E244))</f>
        <v>5.2499999999999998E-2</v>
      </c>
      <c r="G244" s="75">
        <f>IF($D243="V",Input!J$69,IF(AND($B250=G$5,Input!J$64&gt;0),Input!J$64,F244))</f>
        <v>5.2499999999999998E-2</v>
      </c>
      <c r="H244" s="75">
        <f>IF($D243="V",Input!K$69,IF(AND($B250=H$5,Input!K$64&gt;0),Input!K$64,G244))</f>
        <v>5.2499999999999998E-2</v>
      </c>
      <c r="I244" s="75">
        <f>IF($D243="V",Input!L$69,IF(AND($B250=I$5,Input!L$64&gt;0),Input!L$64,H244))</f>
        <v>5.2499999999999998E-2</v>
      </c>
      <c r="J244" s="75">
        <f>IF($D243="V",Input!M$69,IF(AND($B250=J$5,Input!M$64&gt;0),Input!M$64,I244))</f>
        <v>5.2499999999999998E-2</v>
      </c>
      <c r="K244" s="75">
        <f>IF($D243="V",Input!N$69,IF(AND($B250=K$5,Input!N$64&gt;0),Input!N$64,J244))</f>
        <v>5.2499999999999998E-2</v>
      </c>
      <c r="L244" s="75">
        <f>IF($D243="V",Input!O$69,IF(AND($B250=L$5,Input!O$64&gt;0),Input!O$64,K244))</f>
        <v>5.2499999999999998E-2</v>
      </c>
      <c r="M244" s="75">
        <f>IF($D243="V",Input!P$69,IF(AND($B250=M$5,Input!P$64&gt;0),Input!P$64,L244))</f>
        <v>5.2499999999999998E-2</v>
      </c>
    </row>
    <row r="245" spans="1:13" ht="13" customHeight="1">
      <c r="A245" s="5" t="s">
        <v>361</v>
      </c>
      <c r="B245" s="135">
        <v>0</v>
      </c>
      <c r="C245" s="27" t="s">
        <v>173</v>
      </c>
      <c r="D245" s="140">
        <v>0</v>
      </c>
      <c r="E245" s="28">
        <f t="shared" ref="E245:M245" si="147">D250</f>
        <v>0</v>
      </c>
      <c r="F245" s="28">
        <f t="shared" si="147"/>
        <v>0</v>
      </c>
      <c r="G245" s="28">
        <f t="shared" si="147"/>
        <v>0</v>
      </c>
      <c r="H245" s="28">
        <f t="shared" si="147"/>
        <v>0</v>
      </c>
      <c r="I245" s="28">
        <f t="shared" si="147"/>
        <v>0</v>
      </c>
      <c r="J245" s="28">
        <f t="shared" si="147"/>
        <v>0</v>
      </c>
      <c r="K245" s="28">
        <f t="shared" si="147"/>
        <v>0</v>
      </c>
      <c r="L245" s="28">
        <f t="shared" si="147"/>
        <v>0</v>
      </c>
      <c r="M245" s="28">
        <f t="shared" si="147"/>
        <v>0</v>
      </c>
    </row>
    <row r="246" spans="1:13" ht="13" customHeight="1">
      <c r="A246" s="26" t="s">
        <v>170</v>
      </c>
      <c r="B246" s="131">
        <v>35</v>
      </c>
      <c r="C246" s="29" t="s">
        <v>169</v>
      </c>
      <c r="D246" s="28">
        <f>D248-D247</f>
        <v>0</v>
      </c>
      <c r="E246" s="28">
        <f>E248-E247</f>
        <v>0</v>
      </c>
      <c r="F246" s="28">
        <f>F248-F247</f>
        <v>0</v>
      </c>
      <c r="G246" s="28">
        <f>G248-G247</f>
        <v>0</v>
      </c>
      <c r="H246" s="28">
        <f t="shared" ref="H246:M246" si="148">H248-H247</f>
        <v>0</v>
      </c>
      <c r="I246" s="28">
        <f t="shared" si="148"/>
        <v>0</v>
      </c>
      <c r="J246" s="28">
        <f t="shared" si="148"/>
        <v>0</v>
      </c>
      <c r="K246" s="28">
        <f t="shared" si="148"/>
        <v>0</v>
      </c>
      <c r="L246" s="28">
        <f t="shared" si="148"/>
        <v>0</v>
      </c>
      <c r="M246" s="28">
        <f t="shared" si="148"/>
        <v>0</v>
      </c>
    </row>
    <row r="247" spans="1:13" ht="13" customHeight="1">
      <c r="A247" s="5" t="s">
        <v>172</v>
      </c>
      <c r="B247" s="134">
        <f>B232</f>
        <v>5.2499999999999998E-2</v>
      </c>
      <c r="C247" s="5" t="s">
        <v>174</v>
      </c>
      <c r="D247" s="28">
        <f>IF(AND($B249="Y",YEAR($B244)+$B246&gt;D$5),D252,IF((YEAR($B244)+$B246)&gt;D$5,FV(D244/$B248,$B248,D251),D245))</f>
        <v>0</v>
      </c>
      <c r="E247" s="28">
        <f>IF(AND($B249="Y",YEAR($B244)+$B246&gt;E$5),E252,IF((YEAR($B244)+$B246)&gt;E$5,FV(E244/$B248,$B248,E251),E245))</f>
        <v>0</v>
      </c>
      <c r="F247" s="28">
        <f>IF(AND($B249="Y",YEAR($B244)+$B246&gt;F$5),F252,IF((YEAR($B244)+$B246)&gt;F$5,FV(F244/$B248,$B248,F251),F245))</f>
        <v>0</v>
      </c>
      <c r="G247" s="28">
        <f>IF(AND($B249="Y",YEAR($B244)+$B246&gt;G$5),G252,IF((YEAR($B244)+$B246)&gt;G$5,FV(G244/$B248,$B248,G251),G245))</f>
        <v>0</v>
      </c>
      <c r="H247" s="28">
        <f t="shared" ref="H247:M247" si="149">IF(AND($B249="Y",YEAR($B244)+$B246&gt;H$5),H252,IF((YEAR($B244)+$B246)&gt;H$5,FV(H244/$B248,$B248,H251),H245))</f>
        <v>0</v>
      </c>
      <c r="I247" s="28">
        <f t="shared" si="149"/>
        <v>0</v>
      </c>
      <c r="J247" s="28">
        <f t="shared" si="149"/>
        <v>0</v>
      </c>
      <c r="K247" s="28">
        <f t="shared" si="149"/>
        <v>0</v>
      </c>
      <c r="L247" s="28">
        <f t="shared" si="149"/>
        <v>0</v>
      </c>
      <c r="M247" s="28">
        <f t="shared" si="149"/>
        <v>0</v>
      </c>
    </row>
    <row r="248" spans="1:13" ht="13" customHeight="1">
      <c r="A248" s="5" t="s">
        <v>171</v>
      </c>
      <c r="B248" s="131">
        <v>4</v>
      </c>
      <c r="C248" s="78" t="s">
        <v>640</v>
      </c>
      <c r="D248" s="28">
        <f>IF(AND($B249="Y",YEAR($B244)+$B246&gt;D$5),D252+D244*(D245-D252*0.5),IF((YEAR($B244)+$B246)&gt;D$5,(D245*D244/$B248-D251)*$B248,(D245*(1+D244*MONTH($B244)/12))))</f>
        <v>0</v>
      </c>
      <c r="E248" s="28">
        <f>IF(AND($B249="Y",YEAR($B244)+$B246&gt;E$5),E252+E244*(E245-E252*0.5),IF((YEAR($B244)+$B246)&gt;E$5,(E245*E244/$B248-E251)*$B248,(E245*(1+E244*MONTH($B244)/12))))</f>
        <v>0</v>
      </c>
      <c r="F248" s="28">
        <f>IF(AND($B249="Y",YEAR($B244)+$B246&gt;F$5),F252+F244*(F245-F252*0.5),IF((YEAR($B244)+$B246)&gt;F$5,(F245*F244/$B248-F251)*$B248,(F245*(1+F244*MONTH($B244)/12))))</f>
        <v>0</v>
      </c>
      <c r="G248" s="28">
        <f>IF(AND($B249="Y",YEAR($B244)+$B246&gt;G$5),G252+G244*(G245-G252*0.5),IF((YEAR($B244)+$B246)&gt;G$5,(G245*G244/$B248-G251)*$B248,(G245*(1+G244*MONTH($B244)/12))))</f>
        <v>0</v>
      </c>
      <c r="H248" s="28">
        <f t="shared" ref="H248:M248" si="150">IF(AND($B249="Y",YEAR($B244)+$B246&gt;H$5),H252+H244*(H245-H252*0.5),IF((YEAR($B244)+$B246)&gt;H$5,(H245*H244/$B248-H251)*$B248,(H245*(1+H244*MONTH($B244)/12))))</f>
        <v>0</v>
      </c>
      <c r="I248" s="28">
        <f t="shared" si="150"/>
        <v>0</v>
      </c>
      <c r="J248" s="28">
        <f t="shared" si="150"/>
        <v>0</v>
      </c>
      <c r="K248" s="28">
        <f t="shared" si="150"/>
        <v>0</v>
      </c>
      <c r="L248" s="28">
        <f t="shared" si="150"/>
        <v>0</v>
      </c>
      <c r="M248" s="28">
        <f t="shared" si="150"/>
        <v>0</v>
      </c>
    </row>
    <row r="249" spans="1:13" ht="13" customHeight="1">
      <c r="A249" s="5" t="s">
        <v>767</v>
      </c>
      <c r="B249" s="131" t="s">
        <v>719</v>
      </c>
      <c r="C249" s="132" t="s">
        <v>768</v>
      </c>
      <c r="D249" s="140">
        <v>0</v>
      </c>
      <c r="E249" s="140">
        <v>0</v>
      </c>
      <c r="F249" s="140">
        <v>0</v>
      </c>
      <c r="G249" s="140">
        <v>0</v>
      </c>
      <c r="H249" s="140">
        <v>0</v>
      </c>
      <c r="I249" s="140">
        <v>0</v>
      </c>
      <c r="J249" s="140">
        <v>0</v>
      </c>
      <c r="K249" s="140">
        <v>0</v>
      </c>
      <c r="L249" s="140">
        <v>0</v>
      </c>
      <c r="M249" s="140">
        <v>0</v>
      </c>
    </row>
    <row r="250" spans="1:13" ht="13" customHeight="1">
      <c r="A250" s="5" t="s">
        <v>182</v>
      </c>
      <c r="B250" s="131"/>
      <c r="C250" s="30" t="s">
        <v>175</v>
      </c>
      <c r="D250" s="28">
        <f t="shared" ref="D250:M250" si="151">D245+D246-D248-D249</f>
        <v>0</v>
      </c>
      <c r="E250" s="28">
        <f t="shared" si="151"/>
        <v>0</v>
      </c>
      <c r="F250" s="28">
        <f t="shared" si="151"/>
        <v>0</v>
      </c>
      <c r="G250" s="28">
        <f t="shared" si="151"/>
        <v>0</v>
      </c>
      <c r="H250" s="28">
        <f t="shared" si="151"/>
        <v>0</v>
      </c>
      <c r="I250" s="28">
        <f t="shared" si="151"/>
        <v>0</v>
      </c>
      <c r="J250" s="28">
        <f t="shared" si="151"/>
        <v>0</v>
      </c>
      <c r="K250" s="28">
        <f t="shared" si="151"/>
        <v>0</v>
      </c>
      <c r="L250" s="28">
        <f t="shared" si="151"/>
        <v>0</v>
      </c>
      <c r="M250" s="28">
        <f t="shared" si="151"/>
        <v>0</v>
      </c>
    </row>
    <row r="251" spans="1:13" ht="13" hidden="1" customHeight="1">
      <c r="A251" s="5"/>
      <c r="B251" s="138"/>
      <c r="C251" s="5" t="s">
        <v>769</v>
      </c>
      <c r="D251" s="28" t="e">
        <f>PPMT(D244/$B248,1,ROUND(($B246-(D$5-YEAR($B244))+MONTH($B244)/12)*$B248,0),D245)</f>
        <v>#NUM!</v>
      </c>
      <c r="E251" s="28" t="e">
        <f>PPMT(E244/$B248,1,ROUND(($B246-(E$5-YEAR($B244))+MONTH($B244)/12)*$B248,0),E245)</f>
        <v>#NUM!</v>
      </c>
      <c r="F251" s="28" t="e">
        <f>PPMT(F244/$B248,1,ROUND(($B246-(F$5-YEAR($B244))+MONTH($B244)/12)*$B248,0),F245)</f>
        <v>#NUM!</v>
      </c>
      <c r="G251" s="28" t="e">
        <f>PPMT(G244/$B248,1,ROUND(($B246-(G$5-YEAR($B244))+MONTH($B244)/12)*$B248,0),G245)</f>
        <v>#NUM!</v>
      </c>
      <c r="H251" s="28" t="e">
        <f t="shared" ref="H251:M251" si="152">PPMT(H244/$B248,1,ROUND(($B246-(H$5-YEAR($B244))+MONTH($B244)/12)*$B248,0),H245)</f>
        <v>#NUM!</v>
      </c>
      <c r="I251" s="28" t="e">
        <f t="shared" si="152"/>
        <v>#NUM!</v>
      </c>
      <c r="J251" s="28" t="e">
        <f t="shared" si="152"/>
        <v>#NUM!</v>
      </c>
      <c r="K251" s="28" t="e">
        <f t="shared" si="152"/>
        <v>#NUM!</v>
      </c>
      <c r="L251" s="28" t="e">
        <f t="shared" si="152"/>
        <v>#NUM!</v>
      </c>
      <c r="M251" s="28" t="e">
        <f t="shared" si="152"/>
        <v>#NUM!</v>
      </c>
    </row>
    <row r="252" spans="1:13" ht="13" hidden="1" customHeight="1">
      <c r="A252" s="5"/>
      <c r="B252" s="5"/>
      <c r="C252" s="5" t="s">
        <v>770</v>
      </c>
      <c r="D252" s="28">
        <f>IF(YEAR($B244)+$B246&gt;D$5,D245/(YEAR($B244)+$B246-D$5+MONTH($B244)/12),D245)</f>
        <v>0</v>
      </c>
      <c r="E252" s="28">
        <f>IF(YEAR($B244)+$B246&gt;E$5,E245/(YEAR($B244)+$B246-E$5+MONTH($B244)/12),E245)</f>
        <v>0</v>
      </c>
      <c r="F252" s="28">
        <f>IF(YEAR($B244)+$B246&gt;F$5,F245/(YEAR($B244)+$B246-F$5+MONTH($B244)/12),F245)</f>
        <v>0</v>
      </c>
      <c r="G252" s="28">
        <f t="shared" ref="G252:M252" si="153">IF(YEAR($B244)+$B246&gt;G$5,G245/(YEAR($B244)+$B246-G$5+MONTH($B244)/12),G245)</f>
        <v>0</v>
      </c>
      <c r="H252" s="28">
        <f t="shared" si="153"/>
        <v>0</v>
      </c>
      <c r="I252" s="28">
        <f t="shared" si="153"/>
        <v>0</v>
      </c>
      <c r="J252" s="28">
        <f t="shared" si="153"/>
        <v>0</v>
      </c>
      <c r="K252" s="28">
        <f t="shared" si="153"/>
        <v>0</v>
      </c>
      <c r="L252" s="28">
        <f t="shared" si="153"/>
        <v>0</v>
      </c>
      <c r="M252" s="28">
        <f t="shared" si="153"/>
        <v>0</v>
      </c>
    </row>
    <row r="253" spans="1:13" ht="13" customHeight="1">
      <c r="C253" s="5"/>
      <c r="D253" s="46"/>
      <c r="E253" s="46"/>
      <c r="F253" s="46"/>
      <c r="G253" s="46"/>
      <c r="H253" s="46"/>
      <c r="I253" s="46"/>
      <c r="J253" s="46"/>
      <c r="K253" s="46"/>
      <c r="L253" s="46"/>
      <c r="M253" s="46"/>
    </row>
    <row r="254" spans="1:13" ht="13" customHeight="1">
      <c r="A254" s="30" t="s">
        <v>662</v>
      </c>
      <c r="B254" s="99"/>
      <c r="C254" t="s">
        <v>800</v>
      </c>
      <c r="D254" s="161" t="s">
        <v>801</v>
      </c>
      <c r="E254" s="1"/>
    </row>
    <row r="255" spans="1:13" ht="13" customHeight="1">
      <c r="A255" s="26" t="s">
        <v>677</v>
      </c>
      <c r="B255" s="133">
        <v>29373</v>
      </c>
      <c r="C255" s="5" t="s">
        <v>639</v>
      </c>
      <c r="D255" s="75">
        <f>IF($D254="V",Input!G$69,IF(AND($B261=D$5,Input!G$64&gt;0),Input!G$64,$B258))</f>
        <v>5.2499999999999998E-2</v>
      </c>
      <c r="E255" s="75">
        <f>IF($D254="V",Input!H$69,IF(AND($B261=E$5,Input!H$64&gt;0),Input!H$64,D255))</f>
        <v>5.2499999999999998E-2</v>
      </c>
      <c r="F255" s="75">
        <f>IF($D254="V",Input!I$69,IF(AND($B261=F$5,Input!I$64&gt;0),Input!I$64,E255))</f>
        <v>5.2499999999999998E-2</v>
      </c>
      <c r="G255" s="75">
        <f>IF($D254="V",Input!J$69,IF(AND($B261=G$5,Input!J$64&gt;0),Input!J$64,F255))</f>
        <v>5.2499999999999998E-2</v>
      </c>
      <c r="H255" s="75">
        <f>IF($D254="V",Input!K$69,IF(AND($B261=H$5,Input!K$64&gt;0),Input!K$64,G255))</f>
        <v>5.2499999999999998E-2</v>
      </c>
      <c r="I255" s="75">
        <f>IF($D254="V",Input!L$69,IF(AND($B261=I$5,Input!L$64&gt;0),Input!L$64,H255))</f>
        <v>5.2499999999999998E-2</v>
      </c>
      <c r="J255" s="75">
        <f>IF($D254="V",Input!M$69,IF(AND($B261=J$5,Input!M$64&gt;0),Input!M$64,I255))</f>
        <v>5.2499999999999998E-2</v>
      </c>
      <c r="K255" s="75">
        <f>IF($D254="V",Input!N$69,IF(AND($B261=K$5,Input!N$64&gt;0),Input!N$64,J255))</f>
        <v>5.2499999999999998E-2</v>
      </c>
      <c r="L255" s="75">
        <f>IF($D254="V",Input!O$69,IF(AND($B261=L$5,Input!O$64&gt;0),Input!O$64,K255))</f>
        <v>5.2499999999999998E-2</v>
      </c>
      <c r="M255" s="75">
        <f>IF($D254="V",Input!P$69,IF(AND($B261=M$5,Input!P$64&gt;0),Input!P$64,L255))</f>
        <v>5.2499999999999998E-2</v>
      </c>
    </row>
    <row r="256" spans="1:13" ht="13" customHeight="1">
      <c r="A256" s="5" t="s">
        <v>361</v>
      </c>
      <c r="B256" s="135">
        <v>0</v>
      </c>
      <c r="C256" s="27" t="s">
        <v>173</v>
      </c>
      <c r="D256" s="140">
        <v>0</v>
      </c>
      <c r="E256" s="28">
        <f t="shared" ref="E256:M256" si="154">D261</f>
        <v>0</v>
      </c>
      <c r="F256" s="28">
        <f t="shared" si="154"/>
        <v>0</v>
      </c>
      <c r="G256" s="28">
        <f t="shared" si="154"/>
        <v>0</v>
      </c>
      <c r="H256" s="28">
        <f t="shared" si="154"/>
        <v>0</v>
      </c>
      <c r="I256" s="28">
        <f t="shared" si="154"/>
        <v>0</v>
      </c>
      <c r="J256" s="28">
        <f t="shared" si="154"/>
        <v>0</v>
      </c>
      <c r="K256" s="28">
        <f t="shared" si="154"/>
        <v>0</v>
      </c>
      <c r="L256" s="28">
        <f t="shared" si="154"/>
        <v>0</v>
      </c>
      <c r="M256" s="28">
        <f t="shared" si="154"/>
        <v>0</v>
      </c>
    </row>
    <row r="257" spans="1:13" ht="13" customHeight="1">
      <c r="A257" s="26" t="s">
        <v>170</v>
      </c>
      <c r="B257" s="131">
        <v>35</v>
      </c>
      <c r="C257" s="29" t="s">
        <v>169</v>
      </c>
      <c r="D257" s="28">
        <f>D259-D258</f>
        <v>0</v>
      </c>
      <c r="E257" s="28">
        <f>E259-E258</f>
        <v>0</v>
      </c>
      <c r="F257" s="28">
        <f>F259-F258</f>
        <v>0</v>
      </c>
      <c r="G257" s="28">
        <f>G259-G258</f>
        <v>0</v>
      </c>
      <c r="H257" s="28">
        <f t="shared" ref="H257:M257" si="155">H259-H258</f>
        <v>0</v>
      </c>
      <c r="I257" s="28">
        <f t="shared" si="155"/>
        <v>0</v>
      </c>
      <c r="J257" s="28">
        <f t="shared" si="155"/>
        <v>0</v>
      </c>
      <c r="K257" s="28">
        <f t="shared" si="155"/>
        <v>0</v>
      </c>
      <c r="L257" s="28">
        <f t="shared" si="155"/>
        <v>0</v>
      </c>
      <c r="M257" s="28">
        <f t="shared" si="155"/>
        <v>0</v>
      </c>
    </row>
    <row r="258" spans="1:13" ht="13" customHeight="1">
      <c r="A258" s="5" t="s">
        <v>172</v>
      </c>
      <c r="B258" s="134">
        <f>B247</f>
        <v>5.2499999999999998E-2</v>
      </c>
      <c r="C258" s="5" t="s">
        <v>174</v>
      </c>
      <c r="D258" s="28">
        <f>IF(AND($B260="Y",YEAR($B255)+$B257&gt;D$5),D263,IF((YEAR($B255)+$B257)&gt;D$5,FV(D255/$B259,$B259,D262),D256))</f>
        <v>0</v>
      </c>
      <c r="E258" s="28">
        <f>IF(AND($B260="Y",YEAR($B255)+$B257&gt;E$5),E263,IF((YEAR($B255)+$B257)&gt;E$5,FV(E255/$B259,$B259,E262),E256))</f>
        <v>0</v>
      </c>
      <c r="F258" s="28">
        <f>IF(AND($B260="Y",YEAR($B255)+$B257&gt;F$5),F263,IF((YEAR($B255)+$B257)&gt;F$5,FV(F255/$B259,$B259,F262),F256))</f>
        <v>0</v>
      </c>
      <c r="G258" s="28">
        <f>IF(AND($B260="Y",YEAR($B255)+$B257&gt;G$5),G263,IF((YEAR($B255)+$B257)&gt;G$5,FV(G255/$B259,$B259,G262),G256))</f>
        <v>0</v>
      </c>
      <c r="H258" s="28">
        <f t="shared" ref="H258:M258" si="156">IF(AND($B260="Y",YEAR($B255)+$B257&gt;H$5),H263,IF((YEAR($B255)+$B257)&gt;H$5,FV(H255/$B259,$B259,H262),H256))</f>
        <v>0</v>
      </c>
      <c r="I258" s="28">
        <f t="shared" si="156"/>
        <v>0</v>
      </c>
      <c r="J258" s="28">
        <f t="shared" si="156"/>
        <v>0</v>
      </c>
      <c r="K258" s="28">
        <f t="shared" si="156"/>
        <v>0</v>
      </c>
      <c r="L258" s="28">
        <f t="shared" si="156"/>
        <v>0</v>
      </c>
      <c r="M258" s="28">
        <f t="shared" si="156"/>
        <v>0</v>
      </c>
    </row>
    <row r="259" spans="1:13" ht="13" customHeight="1">
      <c r="A259" s="5" t="s">
        <v>171</v>
      </c>
      <c r="B259" s="131">
        <v>4</v>
      </c>
      <c r="C259" s="78" t="s">
        <v>640</v>
      </c>
      <c r="D259" s="28">
        <f>IF(AND($B260="Y",YEAR($B255)+$B257&gt;D$5),D263+D255*(D256-D263*0.5),IF((YEAR($B255)+$B257)&gt;D$5,(D256*D255/$B259-D262)*$B259,(D256*(1+D255*MONTH($B255)/12))))</f>
        <v>0</v>
      </c>
      <c r="E259" s="28">
        <f>IF(AND($B260="Y",YEAR($B255)+$B257&gt;E$5),E263+E255*(E256-E263*0.5),IF((YEAR($B255)+$B257)&gt;E$5,(E256*E255/$B259-E262)*$B259,(E256*(1+E255*MONTH($B255)/12))))</f>
        <v>0</v>
      </c>
      <c r="F259" s="28">
        <f>IF(AND($B260="Y",YEAR($B255)+$B257&gt;F$5),F263+F255*(F256-F263*0.5),IF((YEAR($B255)+$B257)&gt;F$5,(F256*F255/$B259-F262)*$B259,(F256*(1+F255*MONTH($B255)/12))))</f>
        <v>0</v>
      </c>
      <c r="G259" s="28">
        <f>IF(AND($B260="Y",YEAR($B255)+$B257&gt;G$5),G263+G255*(G256-G263*0.5),IF((YEAR($B255)+$B257)&gt;G$5,(G256*G255/$B259-G262)*$B259,(G256*(1+G255*MONTH($B255)/12))))</f>
        <v>0</v>
      </c>
      <c r="H259" s="28">
        <f t="shared" ref="H259:M259" si="157">IF(AND($B260="Y",YEAR($B255)+$B257&gt;H$5),H263+H255*(H256-H263*0.5),IF((YEAR($B255)+$B257)&gt;H$5,(H256*H255/$B259-H262)*$B259,(H256*(1+H255*MONTH($B255)/12))))</f>
        <v>0</v>
      </c>
      <c r="I259" s="28">
        <f t="shared" si="157"/>
        <v>0</v>
      </c>
      <c r="J259" s="28">
        <f t="shared" si="157"/>
        <v>0</v>
      </c>
      <c r="K259" s="28">
        <f t="shared" si="157"/>
        <v>0</v>
      </c>
      <c r="L259" s="28">
        <f t="shared" si="157"/>
        <v>0</v>
      </c>
      <c r="M259" s="28">
        <f t="shared" si="157"/>
        <v>0</v>
      </c>
    </row>
    <row r="260" spans="1:13" ht="13" customHeight="1">
      <c r="A260" s="5" t="s">
        <v>767</v>
      </c>
      <c r="B260" s="131" t="s">
        <v>719</v>
      </c>
      <c r="C260" s="132" t="s">
        <v>768</v>
      </c>
      <c r="D260" s="140">
        <v>0</v>
      </c>
      <c r="E260" s="140">
        <v>0</v>
      </c>
      <c r="F260" s="140">
        <v>0</v>
      </c>
      <c r="G260" s="140">
        <v>0</v>
      </c>
      <c r="H260" s="140">
        <v>0</v>
      </c>
      <c r="I260" s="140">
        <v>0</v>
      </c>
      <c r="J260" s="140">
        <v>0</v>
      </c>
      <c r="K260" s="140">
        <v>0</v>
      </c>
      <c r="L260" s="140">
        <v>0</v>
      </c>
      <c r="M260" s="140">
        <v>0</v>
      </c>
    </row>
    <row r="261" spans="1:13" ht="13" customHeight="1">
      <c r="A261" s="5" t="s">
        <v>182</v>
      </c>
      <c r="B261" s="131"/>
      <c r="C261" s="30" t="s">
        <v>175</v>
      </c>
      <c r="D261" s="28">
        <f t="shared" ref="D261:M261" si="158">D256+D257-D259-D260</f>
        <v>0</v>
      </c>
      <c r="E261" s="28">
        <f t="shared" si="158"/>
        <v>0</v>
      </c>
      <c r="F261" s="28">
        <f t="shared" si="158"/>
        <v>0</v>
      </c>
      <c r="G261" s="28">
        <f t="shared" si="158"/>
        <v>0</v>
      </c>
      <c r="H261" s="28">
        <f t="shared" si="158"/>
        <v>0</v>
      </c>
      <c r="I261" s="28">
        <f t="shared" si="158"/>
        <v>0</v>
      </c>
      <c r="J261" s="28">
        <f t="shared" si="158"/>
        <v>0</v>
      </c>
      <c r="K261" s="28">
        <f t="shared" si="158"/>
        <v>0</v>
      </c>
      <c r="L261" s="28">
        <f t="shared" si="158"/>
        <v>0</v>
      </c>
      <c r="M261" s="28">
        <f t="shared" si="158"/>
        <v>0</v>
      </c>
    </row>
    <row r="262" spans="1:13" ht="13" hidden="1" customHeight="1">
      <c r="A262" s="5"/>
      <c r="B262" s="138"/>
      <c r="C262" s="5" t="s">
        <v>769</v>
      </c>
      <c r="D262" s="28" t="e">
        <f>PPMT(D255/$B259,1,ROUND(($B257-(D$5-YEAR($B255))+MONTH($B255)/12)*$B259,0),D256)</f>
        <v>#NUM!</v>
      </c>
      <c r="E262" s="28" t="e">
        <f>PPMT(E255/$B259,1,ROUND(($B257-(E$5-YEAR($B255))+MONTH($B255)/12)*$B259,0),E256)</f>
        <v>#NUM!</v>
      </c>
      <c r="F262" s="28" t="e">
        <f>PPMT(F255/$B259,1,ROUND(($B257-(F$5-YEAR($B255))+MONTH($B255)/12)*$B259,0),F256)</f>
        <v>#NUM!</v>
      </c>
      <c r="G262" s="28" t="e">
        <f>PPMT(G255/$B259,1,ROUND(($B257-(G$5-YEAR($B255))+MONTH($B255)/12)*$B259,0),G256)</f>
        <v>#NUM!</v>
      </c>
      <c r="H262" s="28" t="e">
        <f t="shared" ref="H262:M262" si="159">PPMT(H255/$B259,1,ROUND(($B257-(H$5-YEAR($B255))+MONTH($B255)/12)*$B259,0),H256)</f>
        <v>#NUM!</v>
      </c>
      <c r="I262" s="28" t="e">
        <f t="shared" si="159"/>
        <v>#NUM!</v>
      </c>
      <c r="J262" s="28" t="e">
        <f t="shared" si="159"/>
        <v>#NUM!</v>
      </c>
      <c r="K262" s="28" t="e">
        <f t="shared" si="159"/>
        <v>#NUM!</v>
      </c>
      <c r="L262" s="28" t="e">
        <f t="shared" si="159"/>
        <v>#NUM!</v>
      </c>
      <c r="M262" s="28" t="e">
        <f t="shared" si="159"/>
        <v>#NUM!</v>
      </c>
    </row>
    <row r="263" spans="1:13" ht="13" hidden="1" customHeight="1">
      <c r="A263" s="5"/>
      <c r="B263" s="5"/>
      <c r="C263" s="5" t="s">
        <v>770</v>
      </c>
      <c r="D263" s="28">
        <f>IF(YEAR($B255)+$B257&gt;D$5,D256/(YEAR($B255)+$B257-D$5+MONTH($B255)/12),D256)</f>
        <v>0</v>
      </c>
      <c r="E263" s="28">
        <f>IF(YEAR($B255)+$B257&gt;E$5,E256/(YEAR($B255)+$B257-E$5+MONTH($B255)/12),E256)</f>
        <v>0</v>
      </c>
      <c r="F263" s="28">
        <f>IF(YEAR($B255)+$B257&gt;F$5,F256/(YEAR($B255)+$B257-F$5+MONTH($B255)/12),F256)</f>
        <v>0</v>
      </c>
      <c r="G263" s="28">
        <f t="shared" ref="G263:M263" si="160">IF(YEAR($B255)+$B257&gt;G$5,G256/(YEAR($B255)+$B257-G$5+MONTH($B255)/12),G256)</f>
        <v>0</v>
      </c>
      <c r="H263" s="28">
        <f t="shared" si="160"/>
        <v>0</v>
      </c>
      <c r="I263" s="28">
        <f t="shared" si="160"/>
        <v>0</v>
      </c>
      <c r="J263" s="28">
        <f t="shared" si="160"/>
        <v>0</v>
      </c>
      <c r="K263" s="28">
        <f t="shared" si="160"/>
        <v>0</v>
      </c>
      <c r="L263" s="28">
        <f t="shared" si="160"/>
        <v>0</v>
      </c>
      <c r="M263" s="28">
        <f t="shared" si="160"/>
        <v>0</v>
      </c>
    </row>
    <row r="264" spans="1:13" ht="13" customHeight="1">
      <c r="A264" s="5"/>
      <c r="B264" s="5"/>
      <c r="C264" s="5"/>
      <c r="D264" s="46"/>
      <c r="E264" s="46"/>
      <c r="F264" s="46"/>
      <c r="G264" s="46"/>
      <c r="H264" s="46"/>
      <c r="I264" s="46"/>
      <c r="J264" s="46"/>
      <c r="K264" s="46"/>
      <c r="L264" s="46"/>
      <c r="M264" s="46"/>
    </row>
    <row r="265" spans="1:13" ht="13" customHeight="1">
      <c r="A265" s="30" t="s">
        <v>663</v>
      </c>
      <c r="B265" s="99"/>
      <c r="C265" t="s">
        <v>800</v>
      </c>
      <c r="D265" s="161" t="s">
        <v>801</v>
      </c>
      <c r="E265" s="1"/>
    </row>
    <row r="266" spans="1:13" ht="13" customHeight="1">
      <c r="A266" s="26" t="s">
        <v>677</v>
      </c>
      <c r="B266" s="133">
        <v>29373</v>
      </c>
      <c r="C266" s="5" t="s">
        <v>639</v>
      </c>
      <c r="D266" s="75">
        <f>IF($D265="V",Input!G$69,IF(AND($B272=D$5,Input!G$64&gt;0),Input!G$64,$B269))</f>
        <v>5.2499999999999998E-2</v>
      </c>
      <c r="E266" s="75">
        <f>IF($D265="V",Input!H$69,IF(AND($B272=E$5,Input!H$64&gt;0),Input!H$64,D266))</f>
        <v>5.2499999999999998E-2</v>
      </c>
      <c r="F266" s="75">
        <f>IF($D265="V",Input!I$69,IF(AND($B272=F$5,Input!I$64&gt;0),Input!I$64,E266))</f>
        <v>5.2499999999999998E-2</v>
      </c>
      <c r="G266" s="75">
        <f>IF($D265="V",Input!J$69,IF(AND($B272=G$5,Input!J$64&gt;0),Input!J$64,F266))</f>
        <v>5.2499999999999998E-2</v>
      </c>
      <c r="H266" s="75">
        <f>IF($D265="V",Input!K$69,IF(AND($B272=H$5,Input!K$64&gt;0),Input!K$64,G266))</f>
        <v>5.2499999999999998E-2</v>
      </c>
      <c r="I266" s="75">
        <f>IF($D265="V",Input!L$69,IF(AND($B272=I$5,Input!L$64&gt;0),Input!L$64,H266))</f>
        <v>5.2499999999999998E-2</v>
      </c>
      <c r="J266" s="75">
        <f>IF($D265="V",Input!M$69,IF(AND($B272=J$5,Input!M$64&gt;0),Input!M$64,I266))</f>
        <v>5.2499999999999998E-2</v>
      </c>
      <c r="K266" s="75">
        <f>IF($D265="V",Input!N$69,IF(AND($B272=K$5,Input!N$64&gt;0),Input!N$64,J266))</f>
        <v>5.2499999999999998E-2</v>
      </c>
      <c r="L266" s="75">
        <f>IF($D265="V",Input!O$69,IF(AND($B272=L$5,Input!O$64&gt;0),Input!O$64,K266))</f>
        <v>5.2499999999999998E-2</v>
      </c>
      <c r="M266" s="75">
        <f>IF($D265="V",Input!P$69,IF(AND($B272=M$5,Input!P$64&gt;0),Input!P$64,L266))</f>
        <v>5.2499999999999998E-2</v>
      </c>
    </row>
    <row r="267" spans="1:13" ht="13" customHeight="1">
      <c r="A267" s="5" t="s">
        <v>361</v>
      </c>
      <c r="B267" s="135">
        <v>0</v>
      </c>
      <c r="C267" s="27" t="s">
        <v>173</v>
      </c>
      <c r="D267" s="140">
        <v>0</v>
      </c>
      <c r="E267" s="28">
        <f t="shared" ref="E267:M267" si="161">D272</f>
        <v>0</v>
      </c>
      <c r="F267" s="28">
        <f t="shared" si="161"/>
        <v>0</v>
      </c>
      <c r="G267" s="28">
        <f t="shared" si="161"/>
        <v>0</v>
      </c>
      <c r="H267" s="28">
        <f t="shared" si="161"/>
        <v>0</v>
      </c>
      <c r="I267" s="28">
        <f t="shared" si="161"/>
        <v>0</v>
      </c>
      <c r="J267" s="28">
        <f t="shared" si="161"/>
        <v>0</v>
      </c>
      <c r="K267" s="28">
        <f t="shared" si="161"/>
        <v>0</v>
      </c>
      <c r="L267" s="28">
        <f t="shared" si="161"/>
        <v>0</v>
      </c>
      <c r="M267" s="28">
        <f t="shared" si="161"/>
        <v>0</v>
      </c>
    </row>
    <row r="268" spans="1:13" ht="13" customHeight="1">
      <c r="A268" s="26" t="s">
        <v>170</v>
      </c>
      <c r="B268" s="131">
        <v>35</v>
      </c>
      <c r="C268" s="29" t="s">
        <v>169</v>
      </c>
      <c r="D268" s="28">
        <f>D270-D269</f>
        <v>0</v>
      </c>
      <c r="E268" s="28">
        <f>E270-E269</f>
        <v>0</v>
      </c>
      <c r="F268" s="28">
        <f>F270-F269</f>
        <v>0</v>
      </c>
      <c r="G268" s="28">
        <f>G270-G269</f>
        <v>0</v>
      </c>
      <c r="H268" s="28">
        <f t="shared" ref="H268:M268" si="162">H270-H269</f>
        <v>0</v>
      </c>
      <c r="I268" s="28">
        <f t="shared" si="162"/>
        <v>0</v>
      </c>
      <c r="J268" s="28">
        <f t="shared" si="162"/>
        <v>0</v>
      </c>
      <c r="K268" s="28">
        <f t="shared" si="162"/>
        <v>0</v>
      </c>
      <c r="L268" s="28">
        <f t="shared" si="162"/>
        <v>0</v>
      </c>
      <c r="M268" s="28">
        <f t="shared" si="162"/>
        <v>0</v>
      </c>
    </row>
    <row r="269" spans="1:13" ht="13" customHeight="1">
      <c r="A269" s="5" t="s">
        <v>172</v>
      </c>
      <c r="B269" s="134">
        <f>B258</f>
        <v>5.2499999999999998E-2</v>
      </c>
      <c r="C269" s="5" t="s">
        <v>174</v>
      </c>
      <c r="D269" s="28">
        <f>IF(AND($B271="Y",YEAR($B266)+$B268&gt;D$5),D274,IF((YEAR($B266)+$B268)&gt;D$5,FV(D266/$B270,$B270,D273),D267))</f>
        <v>0</v>
      </c>
      <c r="E269" s="28">
        <f>IF(AND($B271="Y",YEAR($B266)+$B268&gt;E$5),E274,IF((YEAR($B266)+$B268)&gt;E$5,FV(E266/$B270,$B270,E273),E267))</f>
        <v>0</v>
      </c>
      <c r="F269" s="28">
        <f>IF(AND($B271="Y",YEAR($B266)+$B268&gt;F$5),F274,IF((YEAR($B266)+$B268)&gt;F$5,FV(F266/$B270,$B270,F273),F267))</f>
        <v>0</v>
      </c>
      <c r="G269" s="28">
        <f>IF(AND($B271="Y",YEAR($B266)+$B268&gt;G$5),G274,IF((YEAR($B266)+$B268)&gt;G$5,FV(G266/$B270,$B270,G273),G267))</f>
        <v>0</v>
      </c>
      <c r="H269" s="28">
        <f t="shared" ref="H269:M269" si="163">IF(AND($B271="Y",YEAR($B266)+$B268&gt;H$5),H274,IF((YEAR($B266)+$B268)&gt;H$5,FV(H266/$B270,$B270,H273),H267))</f>
        <v>0</v>
      </c>
      <c r="I269" s="28">
        <f t="shared" si="163"/>
        <v>0</v>
      </c>
      <c r="J269" s="28">
        <f t="shared" si="163"/>
        <v>0</v>
      </c>
      <c r="K269" s="28">
        <f t="shared" si="163"/>
        <v>0</v>
      </c>
      <c r="L269" s="28">
        <f t="shared" si="163"/>
        <v>0</v>
      </c>
      <c r="M269" s="28">
        <f t="shared" si="163"/>
        <v>0</v>
      </c>
    </row>
    <row r="270" spans="1:13" ht="13" customHeight="1">
      <c r="A270" s="5" t="s">
        <v>171</v>
      </c>
      <c r="B270" s="131">
        <v>4</v>
      </c>
      <c r="C270" s="78" t="s">
        <v>640</v>
      </c>
      <c r="D270" s="28">
        <f>IF(AND($B271="Y",YEAR($B266)+$B268&gt;D$5),D274+D266*(D267-D274*0.5),IF((YEAR($B266)+$B268)&gt;D$5,(D267*D266/$B270-D273)*$B270,(D267*(1+D266*MONTH($B266)/12))))</f>
        <v>0</v>
      </c>
      <c r="E270" s="28">
        <f>IF(AND($B271="Y",YEAR($B266)+$B268&gt;E$5),E274+E266*(E267-E274*0.5),IF((YEAR($B266)+$B268)&gt;E$5,(E267*E266/$B270-E273)*$B270,(E267*(1+E266*MONTH($B266)/12))))</f>
        <v>0</v>
      </c>
      <c r="F270" s="28">
        <f>IF(AND($B271="Y",YEAR($B266)+$B268&gt;F$5),F274+F266*(F267-F274*0.5),IF((YEAR($B266)+$B268)&gt;F$5,(F267*F266/$B270-F273)*$B270,(F267*(1+F266*MONTH($B266)/12))))</f>
        <v>0</v>
      </c>
      <c r="G270" s="28">
        <f>IF(AND($B271="Y",YEAR($B266)+$B268&gt;G$5),G274+G266*(G267-G274*0.5),IF((YEAR($B266)+$B268)&gt;G$5,(G267*G266/$B270-G273)*$B270,(G267*(1+G266*MONTH($B266)/12))))</f>
        <v>0</v>
      </c>
      <c r="H270" s="28">
        <f t="shared" ref="H270:M270" si="164">IF(AND($B271="Y",YEAR($B266)+$B268&gt;H$5),H274+H266*(H267-H274*0.5),IF((YEAR($B266)+$B268)&gt;H$5,(H267*H266/$B270-H273)*$B270,(H267*(1+H266*MONTH($B266)/12))))</f>
        <v>0</v>
      </c>
      <c r="I270" s="28">
        <f t="shared" si="164"/>
        <v>0</v>
      </c>
      <c r="J270" s="28">
        <f t="shared" si="164"/>
        <v>0</v>
      </c>
      <c r="K270" s="28">
        <f t="shared" si="164"/>
        <v>0</v>
      </c>
      <c r="L270" s="28">
        <f t="shared" si="164"/>
        <v>0</v>
      </c>
      <c r="M270" s="28">
        <f t="shared" si="164"/>
        <v>0</v>
      </c>
    </row>
    <row r="271" spans="1:13" ht="13" customHeight="1">
      <c r="A271" s="5" t="s">
        <v>767</v>
      </c>
      <c r="B271" s="131" t="s">
        <v>719</v>
      </c>
      <c r="C271" s="132" t="s">
        <v>768</v>
      </c>
      <c r="D271" s="140">
        <v>0</v>
      </c>
      <c r="E271" s="140">
        <v>0</v>
      </c>
      <c r="F271" s="140">
        <v>0</v>
      </c>
      <c r="G271" s="140">
        <v>0</v>
      </c>
      <c r="H271" s="140">
        <v>0</v>
      </c>
      <c r="I271" s="140">
        <v>0</v>
      </c>
      <c r="J271" s="140">
        <v>0</v>
      </c>
      <c r="K271" s="140">
        <v>0</v>
      </c>
      <c r="L271" s="140">
        <v>0</v>
      </c>
      <c r="M271" s="140">
        <v>0</v>
      </c>
    </row>
    <row r="272" spans="1:13" ht="13" customHeight="1">
      <c r="A272" s="5" t="s">
        <v>182</v>
      </c>
      <c r="B272" s="131"/>
      <c r="C272" s="30" t="s">
        <v>175</v>
      </c>
      <c r="D272" s="28">
        <f t="shared" ref="D272:M272" si="165">D267+D268-D270-D271</f>
        <v>0</v>
      </c>
      <c r="E272" s="28">
        <f t="shared" si="165"/>
        <v>0</v>
      </c>
      <c r="F272" s="28">
        <f t="shared" si="165"/>
        <v>0</v>
      </c>
      <c r="G272" s="28">
        <f t="shared" si="165"/>
        <v>0</v>
      </c>
      <c r="H272" s="28">
        <f t="shared" si="165"/>
        <v>0</v>
      </c>
      <c r="I272" s="28">
        <f t="shared" si="165"/>
        <v>0</v>
      </c>
      <c r="J272" s="28">
        <f t="shared" si="165"/>
        <v>0</v>
      </c>
      <c r="K272" s="28">
        <f t="shared" si="165"/>
        <v>0</v>
      </c>
      <c r="L272" s="28">
        <f t="shared" si="165"/>
        <v>0</v>
      </c>
      <c r="M272" s="28">
        <f t="shared" si="165"/>
        <v>0</v>
      </c>
    </row>
    <row r="273" spans="1:13" ht="13" hidden="1" customHeight="1">
      <c r="A273" s="5"/>
      <c r="B273" s="138"/>
      <c r="C273" s="5" t="s">
        <v>769</v>
      </c>
      <c r="D273" s="28" t="e">
        <f>PPMT(D266/$B270,1,ROUND(($B268-(D$5-YEAR($B266))+MONTH($B266)/12)*$B270,0),D267)</f>
        <v>#NUM!</v>
      </c>
      <c r="E273" s="28" t="e">
        <f>PPMT(E266/$B270,1,ROUND(($B268-(E$5-YEAR($B266))+MONTH($B266)/12)*$B270,0),E267)</f>
        <v>#NUM!</v>
      </c>
      <c r="F273" s="28" t="e">
        <f>PPMT(F266/$B270,1,ROUND(($B268-(F$5-YEAR($B266))+MONTH($B266)/12)*$B270,0),F267)</f>
        <v>#NUM!</v>
      </c>
      <c r="G273" s="28" t="e">
        <f>PPMT(G266/$B270,1,ROUND(($B268-(G$5-YEAR($B266))+MONTH($B266)/12)*$B270,0),G267)</f>
        <v>#NUM!</v>
      </c>
      <c r="H273" s="28" t="e">
        <f t="shared" ref="H273:M273" si="166">PPMT(H266/$B270,1,ROUND(($B268-(H$5-YEAR($B266))+MONTH($B266)/12)*$B270,0),H267)</f>
        <v>#NUM!</v>
      </c>
      <c r="I273" s="28" t="e">
        <f t="shared" si="166"/>
        <v>#NUM!</v>
      </c>
      <c r="J273" s="28" t="e">
        <f t="shared" si="166"/>
        <v>#NUM!</v>
      </c>
      <c r="K273" s="28" t="e">
        <f t="shared" si="166"/>
        <v>#NUM!</v>
      </c>
      <c r="L273" s="28" t="e">
        <f t="shared" si="166"/>
        <v>#NUM!</v>
      </c>
      <c r="M273" s="28" t="e">
        <f t="shared" si="166"/>
        <v>#NUM!</v>
      </c>
    </row>
    <row r="274" spans="1:13" ht="13" hidden="1" customHeight="1">
      <c r="A274" s="5"/>
      <c r="B274" s="5"/>
      <c r="C274" s="5" t="s">
        <v>770</v>
      </c>
      <c r="D274" s="28">
        <f>IF(YEAR($B266)+$B268&gt;D$5,D267/(YEAR($B266)+$B268-D$5+MONTH($B266)/12),D267)</f>
        <v>0</v>
      </c>
      <c r="E274" s="28">
        <f>IF(YEAR($B266)+$B268&gt;E$5,E267/(YEAR($B266)+$B268-E$5+MONTH($B266)/12),E267)</f>
        <v>0</v>
      </c>
      <c r="F274" s="28">
        <f>IF(YEAR($B266)+$B268&gt;F$5,F267/(YEAR($B266)+$B268-F$5+MONTH($B266)/12),F267)</f>
        <v>0</v>
      </c>
      <c r="G274" s="28">
        <f t="shared" ref="G274:M274" si="167">IF(YEAR($B266)+$B268&gt;G$5,G267/(YEAR($B266)+$B268-G$5+MONTH($B266)/12),G267)</f>
        <v>0</v>
      </c>
      <c r="H274" s="28">
        <f t="shared" si="167"/>
        <v>0</v>
      </c>
      <c r="I274" s="28">
        <f t="shared" si="167"/>
        <v>0</v>
      </c>
      <c r="J274" s="28">
        <f t="shared" si="167"/>
        <v>0</v>
      </c>
      <c r="K274" s="28">
        <f t="shared" si="167"/>
        <v>0</v>
      </c>
      <c r="L274" s="28">
        <f t="shared" si="167"/>
        <v>0</v>
      </c>
      <c r="M274" s="28">
        <f t="shared" si="167"/>
        <v>0</v>
      </c>
    </row>
    <row r="275" spans="1:13" ht="13" customHeight="1">
      <c r="A275" s="5"/>
      <c r="B275" s="5"/>
      <c r="C275" s="5"/>
      <c r="D275" s="46"/>
      <c r="E275" s="46"/>
      <c r="F275" s="46"/>
      <c r="G275" s="46"/>
      <c r="H275" s="46"/>
      <c r="I275" s="46"/>
      <c r="J275" s="46"/>
      <c r="K275" s="46"/>
      <c r="L275" s="46"/>
      <c r="M275" s="46"/>
    </row>
    <row r="276" spans="1:13" ht="13" customHeight="1">
      <c r="A276" s="30" t="s">
        <v>664</v>
      </c>
      <c r="B276" s="99"/>
      <c r="C276" t="s">
        <v>800</v>
      </c>
      <c r="D276" s="161" t="s">
        <v>801</v>
      </c>
      <c r="E276" s="1"/>
    </row>
    <row r="277" spans="1:13" ht="13" customHeight="1">
      <c r="A277" s="26" t="s">
        <v>677</v>
      </c>
      <c r="B277" s="133">
        <v>29373</v>
      </c>
      <c r="C277" s="5" t="s">
        <v>639</v>
      </c>
      <c r="D277" s="75">
        <f>IF($D276="V",Input!G$69,IF(AND($B283=D$5,Input!G$64&gt;0),Input!G$64,$B280))</f>
        <v>5.2499999999999998E-2</v>
      </c>
      <c r="E277" s="75">
        <f>IF($D276="V",Input!H$69,IF(AND($B283=E$5,Input!H$64&gt;0),Input!H$64,D277))</f>
        <v>5.2499999999999998E-2</v>
      </c>
      <c r="F277" s="75">
        <f>IF($D276="V",Input!I$69,IF(AND($B283=F$5,Input!I$64&gt;0),Input!I$64,E277))</f>
        <v>5.2499999999999998E-2</v>
      </c>
      <c r="G277" s="75">
        <f>IF($D276="V",Input!J$69,IF(AND($B283=G$5,Input!J$64&gt;0),Input!J$64,F277))</f>
        <v>5.2499999999999998E-2</v>
      </c>
      <c r="H277" s="75">
        <f>IF($D276="V",Input!K$69,IF(AND($B283=H$5,Input!K$64&gt;0),Input!K$64,G277))</f>
        <v>5.2499999999999998E-2</v>
      </c>
      <c r="I277" s="75">
        <f>IF($D276="V",Input!L$69,IF(AND($B283=I$5,Input!L$64&gt;0),Input!L$64,H277))</f>
        <v>5.2499999999999998E-2</v>
      </c>
      <c r="J277" s="75">
        <f>IF($D276="V",Input!M$69,IF(AND($B283=J$5,Input!M$64&gt;0),Input!M$64,I277))</f>
        <v>5.2499999999999998E-2</v>
      </c>
      <c r="K277" s="75">
        <f>IF($D276="V",Input!N$69,IF(AND($B283=K$5,Input!N$64&gt;0),Input!N$64,J277))</f>
        <v>5.2499999999999998E-2</v>
      </c>
      <c r="L277" s="75">
        <f>IF($D276="V",Input!O$69,IF(AND($B283=L$5,Input!O$64&gt;0),Input!O$64,K277))</f>
        <v>5.2499999999999998E-2</v>
      </c>
      <c r="M277" s="75">
        <f>IF($D276="V",Input!P$69,IF(AND($B283=M$5,Input!P$64&gt;0),Input!P$64,L277))</f>
        <v>5.2499999999999998E-2</v>
      </c>
    </row>
    <row r="278" spans="1:13" ht="13" customHeight="1">
      <c r="A278" s="5" t="s">
        <v>361</v>
      </c>
      <c r="B278" s="135">
        <v>0</v>
      </c>
      <c r="C278" s="27" t="s">
        <v>173</v>
      </c>
      <c r="D278" s="140">
        <v>0</v>
      </c>
      <c r="E278" s="28">
        <f t="shared" ref="E278:M278" si="168">D283</f>
        <v>0</v>
      </c>
      <c r="F278" s="28">
        <f t="shared" si="168"/>
        <v>0</v>
      </c>
      <c r="G278" s="28">
        <f t="shared" si="168"/>
        <v>0</v>
      </c>
      <c r="H278" s="28">
        <f t="shared" si="168"/>
        <v>0</v>
      </c>
      <c r="I278" s="28">
        <f t="shared" si="168"/>
        <v>0</v>
      </c>
      <c r="J278" s="28">
        <f t="shared" si="168"/>
        <v>0</v>
      </c>
      <c r="K278" s="28">
        <f t="shared" si="168"/>
        <v>0</v>
      </c>
      <c r="L278" s="28">
        <f t="shared" si="168"/>
        <v>0</v>
      </c>
      <c r="M278" s="28">
        <f t="shared" si="168"/>
        <v>0</v>
      </c>
    </row>
    <row r="279" spans="1:13" ht="13" customHeight="1">
      <c r="A279" s="26" t="s">
        <v>170</v>
      </c>
      <c r="B279" s="131">
        <v>35</v>
      </c>
      <c r="C279" s="29" t="s">
        <v>169</v>
      </c>
      <c r="D279" s="28">
        <f>D281-D280</f>
        <v>0</v>
      </c>
      <c r="E279" s="28">
        <f>E281-E280</f>
        <v>0</v>
      </c>
      <c r="F279" s="28">
        <f>F281-F280</f>
        <v>0</v>
      </c>
      <c r="G279" s="28">
        <f>G281-G280</f>
        <v>0</v>
      </c>
      <c r="H279" s="28">
        <f t="shared" ref="H279:M279" si="169">H281-H280</f>
        <v>0</v>
      </c>
      <c r="I279" s="28">
        <f t="shared" si="169"/>
        <v>0</v>
      </c>
      <c r="J279" s="28">
        <f t="shared" si="169"/>
        <v>0</v>
      </c>
      <c r="K279" s="28">
        <f t="shared" si="169"/>
        <v>0</v>
      </c>
      <c r="L279" s="28">
        <f t="shared" si="169"/>
        <v>0</v>
      </c>
      <c r="M279" s="28">
        <f t="shared" si="169"/>
        <v>0</v>
      </c>
    </row>
    <row r="280" spans="1:13" ht="13" customHeight="1">
      <c r="A280" s="5" t="s">
        <v>172</v>
      </c>
      <c r="B280" s="134">
        <f>B269</f>
        <v>5.2499999999999998E-2</v>
      </c>
      <c r="C280" s="5" t="s">
        <v>174</v>
      </c>
      <c r="D280" s="28">
        <f>IF(AND($B282="Y",YEAR($B277)+$B279&gt;D$5),D285,IF((YEAR($B277)+$B279)&gt;D$5,FV(D277/$B281,$B281,D284),D278))</f>
        <v>0</v>
      </c>
      <c r="E280" s="28">
        <f>IF(AND($B282="Y",YEAR($B277)+$B279&gt;E$5),E285,IF((YEAR($B277)+$B279)&gt;E$5,FV(E277/$B281,$B281,E284),E278))</f>
        <v>0</v>
      </c>
      <c r="F280" s="28">
        <f>IF(AND($B282="Y",YEAR($B277)+$B279&gt;F$5),F285,IF((YEAR($B277)+$B279)&gt;F$5,FV(F277/$B281,$B281,F284),F278))</f>
        <v>0</v>
      </c>
      <c r="G280" s="28">
        <f>IF(AND($B282="Y",YEAR($B277)+$B279&gt;G$5),G285,IF((YEAR($B277)+$B279)&gt;G$5,FV(G277/$B281,$B281,G284),G278))</f>
        <v>0</v>
      </c>
      <c r="H280" s="28">
        <f t="shared" ref="H280:M280" si="170">IF(AND($B282="Y",YEAR($B277)+$B279&gt;H$5),H285,IF((YEAR($B277)+$B279)&gt;H$5,FV(H277/$B281,$B281,H284),H278))</f>
        <v>0</v>
      </c>
      <c r="I280" s="28">
        <f t="shared" si="170"/>
        <v>0</v>
      </c>
      <c r="J280" s="28">
        <f t="shared" si="170"/>
        <v>0</v>
      </c>
      <c r="K280" s="28">
        <f t="shared" si="170"/>
        <v>0</v>
      </c>
      <c r="L280" s="28">
        <f t="shared" si="170"/>
        <v>0</v>
      </c>
      <c r="M280" s="28">
        <f t="shared" si="170"/>
        <v>0</v>
      </c>
    </row>
    <row r="281" spans="1:13" ht="13" customHeight="1">
      <c r="A281" s="5" t="s">
        <v>171</v>
      </c>
      <c r="B281" s="131">
        <v>4</v>
      </c>
      <c r="C281" s="78" t="s">
        <v>640</v>
      </c>
      <c r="D281" s="28">
        <f>IF(AND($B282="Y",YEAR($B277)+$B279&gt;D$5),D285+D277*(D278-D285*0.5),IF((YEAR($B277)+$B279)&gt;D$5,(D278*D277/$B281-D284)*$B281,(D278*(1+D277*MONTH($B277)/12))))</f>
        <v>0</v>
      </c>
      <c r="E281" s="28">
        <f>IF(AND($B282="Y",YEAR($B277)+$B279&gt;E$5),E285+E277*(E278-E285*0.5),IF((YEAR($B277)+$B279)&gt;E$5,(E278*E277/$B281-E284)*$B281,(E278*(1+E277*MONTH($B277)/12))))</f>
        <v>0</v>
      </c>
      <c r="F281" s="28">
        <f>IF(AND($B282="Y",YEAR($B277)+$B279&gt;F$5),F285+F277*(F278-F285*0.5),IF((YEAR($B277)+$B279)&gt;F$5,(F278*F277/$B281-F284)*$B281,(F278*(1+F277*MONTH($B277)/12))))</f>
        <v>0</v>
      </c>
      <c r="G281" s="28">
        <f>IF(AND($B282="Y",YEAR($B277)+$B279&gt;G$5),G285+G277*(G278-G285*0.5),IF((YEAR($B277)+$B279)&gt;G$5,(G278*G277/$B281-G284)*$B281,(G278*(1+G277*MONTH($B277)/12))))</f>
        <v>0</v>
      </c>
      <c r="H281" s="28">
        <f t="shared" ref="H281:M281" si="171">IF(AND($B282="Y",YEAR($B277)+$B279&gt;H$5),H285+H277*(H278-H285*0.5),IF((YEAR($B277)+$B279)&gt;H$5,(H278*H277/$B281-H284)*$B281,(H278*(1+H277*MONTH($B277)/12))))</f>
        <v>0</v>
      </c>
      <c r="I281" s="28">
        <f t="shared" si="171"/>
        <v>0</v>
      </c>
      <c r="J281" s="28">
        <f t="shared" si="171"/>
        <v>0</v>
      </c>
      <c r="K281" s="28">
        <f t="shared" si="171"/>
        <v>0</v>
      </c>
      <c r="L281" s="28">
        <f t="shared" si="171"/>
        <v>0</v>
      </c>
      <c r="M281" s="28">
        <f t="shared" si="171"/>
        <v>0</v>
      </c>
    </row>
    <row r="282" spans="1:13" ht="13" customHeight="1">
      <c r="A282" s="5" t="s">
        <v>767</v>
      </c>
      <c r="B282" s="131" t="s">
        <v>719</v>
      </c>
      <c r="C282" s="132" t="s">
        <v>768</v>
      </c>
      <c r="D282" s="140">
        <v>0</v>
      </c>
      <c r="E282" s="140">
        <v>0</v>
      </c>
      <c r="F282" s="140">
        <v>0</v>
      </c>
      <c r="G282" s="140">
        <v>0</v>
      </c>
      <c r="H282" s="140">
        <v>0</v>
      </c>
      <c r="I282" s="140">
        <v>0</v>
      </c>
      <c r="J282" s="140">
        <v>0</v>
      </c>
      <c r="K282" s="140">
        <v>0</v>
      </c>
      <c r="L282" s="140">
        <v>0</v>
      </c>
      <c r="M282" s="140">
        <v>0</v>
      </c>
    </row>
    <row r="283" spans="1:13" ht="13" customHeight="1">
      <c r="A283" s="5" t="s">
        <v>182</v>
      </c>
      <c r="B283" s="131"/>
      <c r="C283" s="30" t="s">
        <v>175</v>
      </c>
      <c r="D283" s="28">
        <f t="shared" ref="D283:M283" si="172">D278+D279-D281-D282</f>
        <v>0</v>
      </c>
      <c r="E283" s="28">
        <f t="shared" si="172"/>
        <v>0</v>
      </c>
      <c r="F283" s="28">
        <f t="shared" si="172"/>
        <v>0</v>
      </c>
      <c r="G283" s="28">
        <f t="shared" si="172"/>
        <v>0</v>
      </c>
      <c r="H283" s="28">
        <f t="shared" si="172"/>
        <v>0</v>
      </c>
      <c r="I283" s="28">
        <f t="shared" si="172"/>
        <v>0</v>
      </c>
      <c r="J283" s="28">
        <f t="shared" si="172"/>
        <v>0</v>
      </c>
      <c r="K283" s="28">
        <f t="shared" si="172"/>
        <v>0</v>
      </c>
      <c r="L283" s="28">
        <f t="shared" si="172"/>
        <v>0</v>
      </c>
      <c r="M283" s="28">
        <f t="shared" si="172"/>
        <v>0</v>
      </c>
    </row>
    <row r="284" spans="1:13" ht="13" hidden="1" customHeight="1">
      <c r="A284" s="5"/>
      <c r="B284" s="138"/>
      <c r="C284" s="5" t="s">
        <v>769</v>
      </c>
      <c r="D284" s="28" t="e">
        <f>PPMT(D277/$B281,1,ROUND(($B279-(D$5-YEAR($B277))+MONTH($B277)/12)*$B281,0),D278)</f>
        <v>#NUM!</v>
      </c>
      <c r="E284" s="28" t="e">
        <f>PPMT(E277/$B281,1,ROUND(($B279-(E$5-YEAR($B277))+MONTH($B277)/12)*$B281,0),E278)</f>
        <v>#NUM!</v>
      </c>
      <c r="F284" s="28" t="e">
        <f>PPMT(F277/$B281,1,ROUND(($B279-(F$5-YEAR($B277))+MONTH($B277)/12)*$B281,0),F278)</f>
        <v>#NUM!</v>
      </c>
      <c r="G284" s="28" t="e">
        <f>PPMT(G277/$B281,1,ROUND(($B279-(G$5-YEAR($B277))+MONTH($B277)/12)*$B281,0),G278)</f>
        <v>#NUM!</v>
      </c>
      <c r="H284" s="28" t="e">
        <f t="shared" ref="H284:M284" si="173">PPMT(H277/$B281,1,ROUND(($B279-(H$5-YEAR($B277))+MONTH($B277)/12)*$B281,0),H278)</f>
        <v>#NUM!</v>
      </c>
      <c r="I284" s="28" t="e">
        <f t="shared" si="173"/>
        <v>#NUM!</v>
      </c>
      <c r="J284" s="28" t="e">
        <f t="shared" si="173"/>
        <v>#NUM!</v>
      </c>
      <c r="K284" s="28" t="e">
        <f t="shared" si="173"/>
        <v>#NUM!</v>
      </c>
      <c r="L284" s="28" t="e">
        <f t="shared" si="173"/>
        <v>#NUM!</v>
      </c>
      <c r="M284" s="28" t="e">
        <f t="shared" si="173"/>
        <v>#NUM!</v>
      </c>
    </row>
    <row r="285" spans="1:13" ht="13" hidden="1" customHeight="1">
      <c r="A285" s="5"/>
      <c r="B285" s="5"/>
      <c r="C285" s="5" t="s">
        <v>770</v>
      </c>
      <c r="D285" s="28">
        <f>IF(YEAR($B277)+$B279&gt;D$5,D278/(YEAR($B277)+$B279-D$5+MONTH($B277)/12),D278)</f>
        <v>0</v>
      </c>
      <c r="E285" s="28">
        <f>IF(YEAR($B277)+$B279&gt;E$5,E278/(YEAR($B277)+$B279-E$5+MONTH($B277)/12),E278)</f>
        <v>0</v>
      </c>
      <c r="F285" s="28">
        <f>IF(YEAR($B277)+$B279&gt;F$5,F278/(YEAR($B277)+$B279-F$5+MONTH($B277)/12),F278)</f>
        <v>0</v>
      </c>
      <c r="G285" s="28">
        <f t="shared" ref="G285:M285" si="174">IF(YEAR($B277)+$B279&gt;G$5,G278/(YEAR($B277)+$B279-G$5+MONTH($B277)/12),G278)</f>
        <v>0</v>
      </c>
      <c r="H285" s="28">
        <f t="shared" si="174"/>
        <v>0</v>
      </c>
      <c r="I285" s="28">
        <f t="shared" si="174"/>
        <v>0</v>
      </c>
      <c r="J285" s="28">
        <f t="shared" si="174"/>
        <v>0</v>
      </c>
      <c r="K285" s="28">
        <f t="shared" si="174"/>
        <v>0</v>
      </c>
      <c r="L285" s="28">
        <f t="shared" si="174"/>
        <v>0</v>
      </c>
      <c r="M285" s="28">
        <f t="shared" si="174"/>
        <v>0</v>
      </c>
    </row>
    <row r="286" spans="1:13" ht="13" customHeight="1">
      <c r="A286" s="5"/>
      <c r="B286" s="5"/>
      <c r="C286" s="5"/>
      <c r="D286" s="46"/>
      <c r="E286" s="46"/>
      <c r="F286" s="46"/>
      <c r="G286" s="46"/>
      <c r="H286" s="46"/>
      <c r="I286" s="46"/>
      <c r="J286" s="46"/>
      <c r="K286" s="46"/>
      <c r="L286" s="46"/>
      <c r="M286" s="46"/>
    </row>
    <row r="287" spans="1:13" ht="13" customHeight="1">
      <c r="A287" s="30" t="s">
        <v>665</v>
      </c>
      <c r="B287" s="99"/>
      <c r="C287" t="s">
        <v>800</v>
      </c>
      <c r="D287" s="161" t="s">
        <v>801</v>
      </c>
      <c r="E287" s="1"/>
    </row>
    <row r="288" spans="1:13" ht="13" customHeight="1">
      <c r="A288" s="26" t="s">
        <v>677</v>
      </c>
      <c r="B288" s="133">
        <v>29373</v>
      </c>
      <c r="C288" s="5" t="s">
        <v>639</v>
      </c>
      <c r="D288" s="75">
        <f>IF($D287="V",Input!G$69,IF(AND($B294=D$5,Input!G$64&gt;0),Input!G$64,$B291))</f>
        <v>5.2499999999999998E-2</v>
      </c>
      <c r="E288" s="75">
        <f>IF($D287="V",Input!H$69,IF(AND($B294=E$5,Input!H$64&gt;0),Input!H$64,D288))</f>
        <v>5.2499999999999998E-2</v>
      </c>
      <c r="F288" s="75">
        <f>IF($D287="V",Input!I$69,IF(AND($B294=F$5,Input!I$64&gt;0),Input!I$64,E288))</f>
        <v>5.2499999999999998E-2</v>
      </c>
      <c r="G288" s="75">
        <f>IF($D287="V",Input!J$69,IF(AND($B294=G$5,Input!J$64&gt;0),Input!J$64,F288))</f>
        <v>5.2499999999999998E-2</v>
      </c>
      <c r="H288" s="75">
        <f>IF($D287="V",Input!K$69,IF(AND($B294=H$5,Input!K$64&gt;0),Input!K$64,G288))</f>
        <v>5.2499999999999998E-2</v>
      </c>
      <c r="I288" s="75">
        <f>IF($D287="V",Input!L$69,IF(AND($B294=I$5,Input!L$64&gt;0),Input!L$64,H288))</f>
        <v>5.2499999999999998E-2</v>
      </c>
      <c r="J288" s="75">
        <f>IF($D287="V",Input!M$69,IF(AND($B294=J$5,Input!M$64&gt;0),Input!M$64,I288))</f>
        <v>5.2499999999999998E-2</v>
      </c>
      <c r="K288" s="75">
        <f>IF($D287="V",Input!N$69,IF(AND($B294=K$5,Input!N$64&gt;0),Input!N$64,J288))</f>
        <v>5.2499999999999998E-2</v>
      </c>
      <c r="L288" s="75">
        <f>IF($D287="V",Input!O$69,IF(AND($B294=L$5,Input!O$64&gt;0),Input!O$64,K288))</f>
        <v>5.2499999999999998E-2</v>
      </c>
      <c r="M288" s="75">
        <f>IF($D287="V",Input!P$69,IF(AND($B294=M$5,Input!P$64&gt;0),Input!P$64,L288))</f>
        <v>5.2499999999999998E-2</v>
      </c>
    </row>
    <row r="289" spans="1:13" ht="13" customHeight="1">
      <c r="A289" s="5" t="s">
        <v>361</v>
      </c>
      <c r="B289" s="135">
        <v>0</v>
      </c>
      <c r="C289" s="27" t="s">
        <v>173</v>
      </c>
      <c r="D289" s="140">
        <v>0</v>
      </c>
      <c r="E289" s="28">
        <f t="shared" ref="E289:M289" si="175">D294</f>
        <v>0</v>
      </c>
      <c r="F289" s="28">
        <f t="shared" si="175"/>
        <v>0</v>
      </c>
      <c r="G289" s="28">
        <f t="shared" si="175"/>
        <v>0</v>
      </c>
      <c r="H289" s="28">
        <f t="shared" si="175"/>
        <v>0</v>
      </c>
      <c r="I289" s="28">
        <f t="shared" si="175"/>
        <v>0</v>
      </c>
      <c r="J289" s="28">
        <f t="shared" si="175"/>
        <v>0</v>
      </c>
      <c r="K289" s="28">
        <f t="shared" si="175"/>
        <v>0</v>
      </c>
      <c r="L289" s="28">
        <f t="shared" si="175"/>
        <v>0</v>
      </c>
      <c r="M289" s="28">
        <f t="shared" si="175"/>
        <v>0</v>
      </c>
    </row>
    <row r="290" spans="1:13" ht="13" customHeight="1">
      <c r="A290" s="26" t="s">
        <v>170</v>
      </c>
      <c r="B290" s="131">
        <v>35</v>
      </c>
      <c r="C290" s="29" t="s">
        <v>169</v>
      </c>
      <c r="D290" s="28">
        <f>D292-D291</f>
        <v>0</v>
      </c>
      <c r="E290" s="28">
        <f>E292-E291</f>
        <v>0</v>
      </c>
      <c r="F290" s="28">
        <f>F292-F291</f>
        <v>0</v>
      </c>
      <c r="G290" s="28">
        <f>G292-G291</f>
        <v>0</v>
      </c>
      <c r="H290" s="28">
        <f t="shared" ref="H290:M290" si="176">H292-H291</f>
        <v>0</v>
      </c>
      <c r="I290" s="28">
        <f t="shared" si="176"/>
        <v>0</v>
      </c>
      <c r="J290" s="28">
        <f t="shared" si="176"/>
        <v>0</v>
      </c>
      <c r="K290" s="28">
        <f t="shared" si="176"/>
        <v>0</v>
      </c>
      <c r="L290" s="28">
        <f t="shared" si="176"/>
        <v>0</v>
      </c>
      <c r="M290" s="28">
        <f t="shared" si="176"/>
        <v>0</v>
      </c>
    </row>
    <row r="291" spans="1:13" ht="13" customHeight="1">
      <c r="A291" s="5" t="s">
        <v>172</v>
      </c>
      <c r="B291" s="134">
        <f>B280</f>
        <v>5.2499999999999998E-2</v>
      </c>
      <c r="C291" s="5" t="s">
        <v>174</v>
      </c>
      <c r="D291" s="28">
        <f>IF(AND($B293="Y",YEAR($B288)+$B290&gt;D$5),D296,IF((YEAR($B288)+$B290)&gt;D$5,FV(D288/$B292,$B292,D295),D289))</f>
        <v>0</v>
      </c>
      <c r="E291" s="28">
        <f>IF(AND($B293="Y",YEAR($B288)+$B290&gt;E$5),E296,IF((YEAR($B288)+$B290)&gt;E$5,FV(E288/$B292,$B292,E295),E289))</f>
        <v>0</v>
      </c>
      <c r="F291" s="28">
        <f>IF(AND($B293="Y",YEAR($B288)+$B290&gt;F$5),F296,IF((YEAR($B288)+$B290)&gt;F$5,FV(F288/$B292,$B292,F295),F289))</f>
        <v>0</v>
      </c>
      <c r="G291" s="28">
        <f>IF(AND($B293="Y",YEAR($B288)+$B290&gt;G$5),G296,IF((YEAR($B288)+$B290)&gt;G$5,FV(G288/$B292,$B292,G295),G289))</f>
        <v>0</v>
      </c>
      <c r="H291" s="28">
        <f t="shared" ref="H291:M291" si="177">IF(AND($B293="Y",YEAR($B288)+$B290&gt;H$5),H296,IF((YEAR($B288)+$B290)&gt;H$5,FV(H288/$B292,$B292,H295),H289))</f>
        <v>0</v>
      </c>
      <c r="I291" s="28">
        <f t="shared" si="177"/>
        <v>0</v>
      </c>
      <c r="J291" s="28">
        <f t="shared" si="177"/>
        <v>0</v>
      </c>
      <c r="K291" s="28">
        <f t="shared" si="177"/>
        <v>0</v>
      </c>
      <c r="L291" s="28">
        <f t="shared" si="177"/>
        <v>0</v>
      </c>
      <c r="M291" s="28">
        <f t="shared" si="177"/>
        <v>0</v>
      </c>
    </row>
    <row r="292" spans="1:13" ht="13" customHeight="1">
      <c r="A292" s="5" t="s">
        <v>171</v>
      </c>
      <c r="B292" s="131">
        <v>4</v>
      </c>
      <c r="C292" s="78" t="s">
        <v>640</v>
      </c>
      <c r="D292" s="28">
        <f>IF(AND($B293="Y",YEAR($B288)+$B290&gt;D$5),D296+D288*(D289-D296*0.5),IF((YEAR($B288)+$B290)&gt;D$5,(D289*D288/$B292-D295)*$B292,(D289*(1+D288*MONTH($B288)/12))))</f>
        <v>0</v>
      </c>
      <c r="E292" s="28">
        <f>IF(AND($B293="Y",YEAR($B288)+$B290&gt;E$5),E296+E288*(E289-E296*0.5),IF((YEAR($B288)+$B290)&gt;E$5,(E289*E288/$B292-E295)*$B292,(E289*(1+E288*MONTH($B288)/12))))</f>
        <v>0</v>
      </c>
      <c r="F292" s="28">
        <f>IF(AND($B293="Y",YEAR($B288)+$B290&gt;F$5),F296+F288*(F289-F296*0.5),IF((YEAR($B288)+$B290)&gt;F$5,(F289*F288/$B292-F295)*$B292,(F289*(1+F288*MONTH($B288)/12))))</f>
        <v>0</v>
      </c>
      <c r="G292" s="28">
        <f>IF(AND($B293="Y",YEAR($B288)+$B290&gt;G$5),G296+G288*(G289-G296*0.5),IF((YEAR($B288)+$B290)&gt;G$5,(G289*G288/$B292-G295)*$B292,(G289*(1+G288*MONTH($B288)/12))))</f>
        <v>0</v>
      </c>
      <c r="H292" s="28">
        <f t="shared" ref="H292:M292" si="178">IF(AND($B293="Y",YEAR($B288)+$B290&gt;H$5),H296+H288*(H289-H296*0.5),IF((YEAR($B288)+$B290)&gt;H$5,(H289*H288/$B292-H295)*$B292,(H289*(1+H288*MONTH($B288)/12))))</f>
        <v>0</v>
      </c>
      <c r="I292" s="28">
        <f t="shared" si="178"/>
        <v>0</v>
      </c>
      <c r="J292" s="28">
        <f t="shared" si="178"/>
        <v>0</v>
      </c>
      <c r="K292" s="28">
        <f t="shared" si="178"/>
        <v>0</v>
      </c>
      <c r="L292" s="28">
        <f t="shared" si="178"/>
        <v>0</v>
      </c>
      <c r="M292" s="28">
        <f t="shared" si="178"/>
        <v>0</v>
      </c>
    </row>
    <row r="293" spans="1:13" ht="13" customHeight="1">
      <c r="A293" s="5" t="s">
        <v>767</v>
      </c>
      <c r="B293" s="131" t="s">
        <v>719</v>
      </c>
      <c r="C293" s="132" t="s">
        <v>768</v>
      </c>
      <c r="D293" s="140">
        <v>0</v>
      </c>
      <c r="E293" s="140">
        <v>0</v>
      </c>
      <c r="F293" s="140">
        <v>0</v>
      </c>
      <c r="G293" s="140">
        <v>0</v>
      </c>
      <c r="H293" s="140">
        <v>0</v>
      </c>
      <c r="I293" s="140">
        <v>0</v>
      </c>
      <c r="J293" s="140">
        <v>0</v>
      </c>
      <c r="K293" s="140">
        <v>0</v>
      </c>
      <c r="L293" s="140">
        <v>0</v>
      </c>
      <c r="M293" s="140">
        <v>0</v>
      </c>
    </row>
    <row r="294" spans="1:13" ht="13" customHeight="1">
      <c r="A294" s="5" t="s">
        <v>182</v>
      </c>
      <c r="B294" s="131"/>
      <c r="C294" s="30" t="s">
        <v>175</v>
      </c>
      <c r="D294" s="28">
        <f t="shared" ref="D294:M294" si="179">D289+D290-D292-D293</f>
        <v>0</v>
      </c>
      <c r="E294" s="28">
        <f t="shared" si="179"/>
        <v>0</v>
      </c>
      <c r="F294" s="28">
        <f t="shared" si="179"/>
        <v>0</v>
      </c>
      <c r="G294" s="28">
        <f t="shared" si="179"/>
        <v>0</v>
      </c>
      <c r="H294" s="28">
        <f t="shared" si="179"/>
        <v>0</v>
      </c>
      <c r="I294" s="28">
        <f t="shared" si="179"/>
        <v>0</v>
      </c>
      <c r="J294" s="28">
        <f t="shared" si="179"/>
        <v>0</v>
      </c>
      <c r="K294" s="28">
        <f t="shared" si="179"/>
        <v>0</v>
      </c>
      <c r="L294" s="28">
        <f t="shared" si="179"/>
        <v>0</v>
      </c>
      <c r="M294" s="28">
        <f t="shared" si="179"/>
        <v>0</v>
      </c>
    </row>
    <row r="295" spans="1:13" ht="13" hidden="1" customHeight="1">
      <c r="A295" s="5"/>
      <c r="B295" s="138"/>
      <c r="C295" s="5" t="s">
        <v>769</v>
      </c>
      <c r="D295" s="28" t="e">
        <f>PPMT(D288/$B292,1,ROUND(($B290-(D$5-YEAR($B288))+MONTH($B288)/12)*$B292,0),D289)</f>
        <v>#NUM!</v>
      </c>
      <c r="E295" s="28" t="e">
        <f>PPMT(E288/$B292,1,ROUND(($B290-(E$5-YEAR($B288))+MONTH($B288)/12)*$B292,0),E289)</f>
        <v>#NUM!</v>
      </c>
      <c r="F295" s="28" t="e">
        <f>PPMT(F288/$B292,1,ROUND(($B290-(F$5-YEAR($B288))+MONTH($B288)/12)*$B292,0),F289)</f>
        <v>#NUM!</v>
      </c>
      <c r="G295" s="28" t="e">
        <f>PPMT(G288/$B292,1,ROUND(($B290-(G$5-YEAR($B288))+MONTH($B288)/12)*$B292,0),G289)</f>
        <v>#NUM!</v>
      </c>
      <c r="H295" s="28" t="e">
        <f t="shared" ref="H295:M295" si="180">PPMT(H288/$B292,1,ROUND(($B290-(H$5-YEAR($B288))+MONTH($B288)/12)*$B292,0),H289)</f>
        <v>#NUM!</v>
      </c>
      <c r="I295" s="28" t="e">
        <f t="shared" si="180"/>
        <v>#NUM!</v>
      </c>
      <c r="J295" s="28" t="e">
        <f t="shared" si="180"/>
        <v>#NUM!</v>
      </c>
      <c r="K295" s="28" t="e">
        <f t="shared" si="180"/>
        <v>#NUM!</v>
      </c>
      <c r="L295" s="28" t="e">
        <f t="shared" si="180"/>
        <v>#NUM!</v>
      </c>
      <c r="M295" s="28" t="e">
        <f t="shared" si="180"/>
        <v>#NUM!</v>
      </c>
    </row>
    <row r="296" spans="1:13" ht="13" hidden="1" customHeight="1">
      <c r="A296" s="5"/>
      <c r="B296" s="5"/>
      <c r="C296" s="5" t="s">
        <v>770</v>
      </c>
      <c r="D296" s="28">
        <f>IF(YEAR($B288)+$B290&gt;D$5,D289/(YEAR($B288)+$B290-D$5+MONTH($B288)/12),D289)</f>
        <v>0</v>
      </c>
      <c r="E296" s="28">
        <f>IF(YEAR($B288)+$B290&gt;E$5,E289/(YEAR($B288)+$B290-E$5+MONTH($B288)/12),E289)</f>
        <v>0</v>
      </c>
      <c r="F296" s="28">
        <f>IF(YEAR($B288)+$B290&gt;F$5,F289/(YEAR($B288)+$B290-F$5+MONTH($B288)/12),F289)</f>
        <v>0</v>
      </c>
      <c r="G296" s="28">
        <f t="shared" ref="G296:M296" si="181">IF(YEAR($B288)+$B290&gt;G$5,G289/(YEAR($B288)+$B290-G$5+MONTH($B288)/12),G289)</f>
        <v>0</v>
      </c>
      <c r="H296" s="28">
        <f t="shared" si="181"/>
        <v>0</v>
      </c>
      <c r="I296" s="28">
        <f t="shared" si="181"/>
        <v>0</v>
      </c>
      <c r="J296" s="28">
        <f t="shared" si="181"/>
        <v>0</v>
      </c>
      <c r="K296" s="28">
        <f t="shared" si="181"/>
        <v>0</v>
      </c>
      <c r="L296" s="28">
        <f t="shared" si="181"/>
        <v>0</v>
      </c>
      <c r="M296" s="28">
        <f t="shared" si="181"/>
        <v>0</v>
      </c>
    </row>
    <row r="297" spans="1:13" ht="13" customHeight="1">
      <c r="A297" s="5"/>
      <c r="B297" s="5"/>
      <c r="C297" s="5"/>
      <c r="D297" s="46"/>
      <c r="E297" s="46"/>
      <c r="F297" s="46"/>
      <c r="G297" s="46"/>
      <c r="H297" s="46"/>
      <c r="I297" s="46"/>
      <c r="J297" s="46"/>
      <c r="K297" s="46"/>
      <c r="L297" s="46"/>
      <c r="M297" s="46"/>
    </row>
    <row r="298" spans="1:13" ht="13" customHeight="1">
      <c r="A298" s="5"/>
      <c r="B298" s="5"/>
      <c r="C298" s="5"/>
      <c r="D298" s="46"/>
      <c r="E298" s="46"/>
      <c r="F298" s="46"/>
      <c r="G298" s="46"/>
      <c r="H298" s="46"/>
      <c r="I298" s="46"/>
      <c r="J298" s="46"/>
      <c r="K298" s="46"/>
      <c r="L298" s="46"/>
      <c r="M298" s="46"/>
    </row>
    <row r="299" spans="1:13" ht="13" customHeight="1">
      <c r="A299" s="5"/>
      <c r="B299" s="5"/>
      <c r="C299" s="5"/>
      <c r="D299" s="46"/>
      <c r="E299" s="46"/>
      <c r="F299" s="46"/>
      <c r="G299" s="46"/>
      <c r="H299" s="46"/>
      <c r="I299" s="46"/>
      <c r="J299" s="46"/>
      <c r="K299" s="46"/>
      <c r="L299" s="46"/>
      <c r="M299" s="46"/>
    </row>
    <row r="300" spans="1:13" ht="13" customHeight="1">
      <c r="A300" s="5" t="s">
        <v>883</v>
      </c>
      <c r="B300" s="30" t="s">
        <v>181</v>
      </c>
      <c r="C300" s="5"/>
      <c r="D300" s="31">
        <f t="shared" ref="D300:M305" si="182">D289+D278+D267+D256+D245+D230+D219+D208+D197+D186+D175+D164+D150+D139+D128+D117+D106+D95+D84+D69+D57+D45+D33+D21+D9</f>
        <v>0</v>
      </c>
      <c r="E300" s="31">
        <f t="shared" si="182"/>
        <v>0</v>
      </c>
      <c r="F300" s="31">
        <f t="shared" si="182"/>
        <v>0</v>
      </c>
      <c r="G300" s="31">
        <f t="shared" si="182"/>
        <v>0</v>
      </c>
      <c r="H300" s="31">
        <f t="shared" si="182"/>
        <v>0</v>
      </c>
      <c r="I300" s="31">
        <f t="shared" si="182"/>
        <v>0</v>
      </c>
      <c r="J300" s="31">
        <f t="shared" si="182"/>
        <v>0</v>
      </c>
      <c r="K300" s="31">
        <f t="shared" si="182"/>
        <v>0</v>
      </c>
      <c r="L300" s="31">
        <f t="shared" si="182"/>
        <v>0</v>
      </c>
      <c r="M300" s="31">
        <f t="shared" si="182"/>
        <v>0</v>
      </c>
    </row>
    <row r="301" spans="1:13" ht="13" customHeight="1">
      <c r="B301" t="s">
        <v>177</v>
      </c>
      <c r="D301" s="31">
        <f t="shared" si="182"/>
        <v>0</v>
      </c>
      <c r="E301" s="31">
        <f t="shared" si="182"/>
        <v>0</v>
      </c>
      <c r="F301" s="31">
        <f t="shared" si="182"/>
        <v>0</v>
      </c>
      <c r="G301" s="31">
        <f t="shared" si="182"/>
        <v>0</v>
      </c>
      <c r="H301" s="31">
        <f t="shared" si="182"/>
        <v>0</v>
      </c>
      <c r="I301" s="31">
        <f t="shared" si="182"/>
        <v>0</v>
      </c>
      <c r="J301" s="31">
        <f t="shared" si="182"/>
        <v>0</v>
      </c>
      <c r="K301" s="31">
        <f t="shared" si="182"/>
        <v>0</v>
      </c>
      <c r="L301" s="31">
        <f t="shared" si="182"/>
        <v>0</v>
      </c>
      <c r="M301" s="31">
        <f t="shared" si="182"/>
        <v>0</v>
      </c>
    </row>
    <row r="302" spans="1:13" ht="13" customHeight="1">
      <c r="A302" s="5"/>
      <c r="B302" s="5" t="s">
        <v>178</v>
      </c>
      <c r="C302" s="5"/>
      <c r="D302" s="31">
        <f t="shared" si="182"/>
        <v>0</v>
      </c>
      <c r="E302" s="31">
        <f t="shared" si="182"/>
        <v>0</v>
      </c>
      <c r="F302" s="31">
        <f t="shared" si="182"/>
        <v>0</v>
      </c>
      <c r="G302" s="31">
        <f t="shared" si="182"/>
        <v>0</v>
      </c>
      <c r="H302" s="31">
        <f t="shared" si="182"/>
        <v>0</v>
      </c>
      <c r="I302" s="31">
        <f t="shared" si="182"/>
        <v>0</v>
      </c>
      <c r="J302" s="31">
        <f t="shared" si="182"/>
        <v>0</v>
      </c>
      <c r="K302" s="31">
        <f t="shared" si="182"/>
        <v>0</v>
      </c>
      <c r="L302" s="31">
        <f t="shared" si="182"/>
        <v>0</v>
      </c>
      <c r="M302" s="31">
        <f t="shared" si="182"/>
        <v>0</v>
      </c>
    </row>
    <row r="303" spans="1:13" ht="13" customHeight="1">
      <c r="A303" s="26"/>
      <c r="B303" s="32" t="s">
        <v>179</v>
      </c>
      <c r="C303" s="27"/>
      <c r="D303" s="31">
        <f t="shared" si="182"/>
        <v>0</v>
      </c>
      <c r="E303" s="31">
        <f t="shared" si="182"/>
        <v>0</v>
      </c>
      <c r="F303" s="31">
        <f t="shared" si="182"/>
        <v>0</v>
      </c>
      <c r="G303" s="31">
        <f t="shared" si="182"/>
        <v>0</v>
      </c>
      <c r="H303" s="31">
        <f t="shared" si="182"/>
        <v>0</v>
      </c>
      <c r="I303" s="31">
        <f t="shared" si="182"/>
        <v>0</v>
      </c>
      <c r="J303" s="31">
        <f t="shared" si="182"/>
        <v>0</v>
      </c>
      <c r="K303" s="31">
        <f t="shared" si="182"/>
        <v>0</v>
      </c>
      <c r="L303" s="31">
        <f t="shared" si="182"/>
        <v>0</v>
      </c>
      <c r="M303" s="31">
        <f t="shared" si="182"/>
        <v>0</v>
      </c>
    </row>
    <row r="304" spans="1:13" ht="13" customHeight="1">
      <c r="A304" s="26"/>
      <c r="B304" s="137" t="s">
        <v>771</v>
      </c>
      <c r="C304" s="27"/>
      <c r="D304" s="31">
        <f t="shared" si="182"/>
        <v>0</v>
      </c>
      <c r="E304" s="31">
        <f t="shared" si="182"/>
        <v>0</v>
      </c>
      <c r="F304" s="31">
        <f t="shared" si="182"/>
        <v>0</v>
      </c>
      <c r="G304" s="31">
        <f t="shared" si="182"/>
        <v>0</v>
      </c>
      <c r="H304" s="31">
        <f t="shared" si="182"/>
        <v>0</v>
      </c>
      <c r="I304" s="31">
        <f t="shared" si="182"/>
        <v>0</v>
      </c>
      <c r="J304" s="31">
        <f t="shared" si="182"/>
        <v>0</v>
      </c>
      <c r="K304" s="31">
        <f t="shared" si="182"/>
        <v>0</v>
      </c>
      <c r="L304" s="31">
        <f t="shared" si="182"/>
        <v>0</v>
      </c>
      <c r="M304" s="31">
        <f t="shared" si="182"/>
        <v>0</v>
      </c>
    </row>
    <row r="305" spans="1:13" ht="13" customHeight="1">
      <c r="A305" s="5"/>
      <c r="B305" s="137" t="s">
        <v>180</v>
      </c>
      <c r="C305" s="29"/>
      <c r="D305" s="31">
        <f t="shared" si="182"/>
        <v>0</v>
      </c>
      <c r="E305" s="31">
        <f t="shared" si="182"/>
        <v>0</v>
      </c>
      <c r="F305" s="31">
        <f t="shared" si="182"/>
        <v>0</v>
      </c>
      <c r="G305" s="31">
        <f t="shared" si="182"/>
        <v>0</v>
      </c>
      <c r="H305" s="31">
        <f t="shared" si="182"/>
        <v>0</v>
      </c>
      <c r="I305" s="31">
        <f t="shared" si="182"/>
        <v>0</v>
      </c>
      <c r="J305" s="31">
        <f t="shared" si="182"/>
        <v>0</v>
      </c>
      <c r="K305" s="31">
        <f t="shared" si="182"/>
        <v>0</v>
      </c>
      <c r="L305" s="31">
        <f t="shared" si="182"/>
        <v>0</v>
      </c>
      <c r="M305" s="31">
        <f t="shared" si="182"/>
        <v>0</v>
      </c>
    </row>
    <row r="306" spans="1:13" ht="13" customHeight="1">
      <c r="A306" s="26"/>
      <c r="B306" s="5"/>
      <c r="C306" s="5"/>
      <c r="D306" s="28"/>
      <c r="E306" s="28"/>
      <c r="F306" s="28"/>
      <c r="G306" s="28"/>
      <c r="H306" s="28"/>
      <c r="I306" s="28"/>
      <c r="J306" s="28"/>
      <c r="K306" s="28"/>
      <c r="L306" s="28"/>
      <c r="M306" s="28"/>
    </row>
    <row r="307" spans="1:13" ht="13" customHeight="1">
      <c r="D307" s="46"/>
      <c r="E307" s="46"/>
      <c r="F307" s="46"/>
      <c r="G307" s="46"/>
      <c r="H307" s="46"/>
      <c r="I307" s="46"/>
      <c r="J307" s="46"/>
      <c r="K307" s="46"/>
      <c r="L307" s="46"/>
      <c r="M307" s="46"/>
    </row>
    <row r="308" spans="1:13" ht="16.5" customHeight="1">
      <c r="D308" s="46"/>
      <c r="E308" s="46"/>
      <c r="F308" s="46"/>
      <c r="G308" s="46"/>
      <c r="H308" s="46"/>
      <c r="I308" s="46"/>
      <c r="J308" s="46"/>
      <c r="K308" s="46"/>
      <c r="L308" s="46"/>
      <c r="M308" s="46"/>
    </row>
    <row r="309" spans="1:13" ht="16.5" customHeight="1">
      <c r="D309" s="46"/>
      <c r="E309" s="46"/>
      <c r="F309" s="46"/>
      <c r="G309" s="46"/>
      <c r="H309" s="46"/>
      <c r="I309" s="46"/>
      <c r="J309" s="46"/>
      <c r="K309" s="46"/>
      <c r="L309" s="46"/>
      <c r="M309" s="46"/>
    </row>
    <row r="310" spans="1:13" ht="16.5" hidden="1" customHeight="1">
      <c r="D310" s="46"/>
      <c r="E310" s="46"/>
      <c r="F310" s="46"/>
      <c r="G310" s="46"/>
      <c r="H310" s="46"/>
      <c r="I310" s="46"/>
      <c r="J310" s="46"/>
      <c r="K310" s="46"/>
      <c r="L310" s="46"/>
      <c r="M310" s="46"/>
    </row>
    <row r="311" spans="1:13" ht="16.5" hidden="1" customHeight="1">
      <c r="A311" s="5"/>
      <c r="B311" s="29"/>
      <c r="C311" s="29"/>
      <c r="D311" s="46"/>
      <c r="E311" s="46"/>
      <c r="F311" s="46"/>
      <c r="G311" s="46"/>
      <c r="H311" s="46"/>
      <c r="I311" s="46"/>
      <c r="J311" s="46"/>
      <c r="K311" s="46"/>
      <c r="L311" s="46"/>
      <c r="M311" s="46"/>
    </row>
    <row r="312" spans="1:13" ht="16.5" hidden="1" customHeight="1">
      <c r="A312" s="5"/>
      <c r="B312" s="29"/>
      <c r="C312" s="29"/>
      <c r="D312" s="46"/>
      <c r="E312" s="46"/>
      <c r="F312" s="46"/>
      <c r="G312" s="46"/>
      <c r="H312" s="46"/>
      <c r="I312" s="46"/>
      <c r="J312" s="46"/>
      <c r="K312" s="46"/>
      <c r="L312" s="46"/>
      <c r="M312" s="46"/>
    </row>
    <row r="313" spans="1:13" ht="16.5" hidden="1" customHeight="1">
      <c r="A313" s="5"/>
      <c r="B313" s="29"/>
      <c r="C313" s="29"/>
      <c r="D313" s="46"/>
      <c r="E313" s="46"/>
      <c r="F313" s="46"/>
      <c r="G313" s="46"/>
      <c r="H313" s="46"/>
      <c r="I313" s="46"/>
      <c r="J313" s="46"/>
      <c r="K313" s="46"/>
      <c r="L313" s="46"/>
      <c r="M313" s="46"/>
    </row>
    <row r="314" spans="1:13" ht="16.5" hidden="1" customHeight="1">
      <c r="A314" s="5"/>
      <c r="B314" s="29"/>
      <c r="C314" s="29"/>
      <c r="D314" s="46"/>
      <c r="E314" s="46"/>
      <c r="F314" s="46"/>
      <c r="G314" s="46"/>
      <c r="H314" s="46"/>
      <c r="I314" s="46"/>
      <c r="J314" s="46"/>
      <c r="K314" s="46"/>
      <c r="L314" s="46"/>
      <c r="M314" s="46"/>
    </row>
    <row r="315" spans="1:13" ht="16.5" hidden="1" customHeight="1">
      <c r="A315" s="5"/>
      <c r="B315" s="29"/>
      <c r="C315" s="29"/>
      <c r="D315" s="46"/>
      <c r="E315" s="46"/>
      <c r="F315" s="46"/>
      <c r="G315" s="46"/>
      <c r="H315" s="46"/>
      <c r="I315" s="46"/>
      <c r="J315" s="46"/>
      <c r="K315" s="46"/>
      <c r="L315" s="46"/>
      <c r="M315" s="46"/>
    </row>
    <row r="316" spans="1:13" ht="16.5" hidden="1" customHeight="1">
      <c r="A316" s="5"/>
      <c r="B316" s="29"/>
      <c r="C316" s="29"/>
      <c r="D316" s="46"/>
      <c r="E316" s="46"/>
      <c r="F316" s="46"/>
      <c r="G316" s="46"/>
      <c r="H316" s="46"/>
      <c r="I316" s="46"/>
      <c r="J316" s="46"/>
      <c r="K316" s="46"/>
      <c r="L316" s="46"/>
      <c r="M316" s="46"/>
    </row>
    <row r="317" spans="1:13" ht="16.5" hidden="1" customHeight="1">
      <c r="A317" s="5"/>
      <c r="B317" s="29"/>
      <c r="C317" s="29"/>
      <c r="D317" s="46"/>
      <c r="E317" s="46"/>
      <c r="F317" s="46"/>
      <c r="G317" s="46"/>
      <c r="H317" s="46"/>
      <c r="I317" s="46"/>
      <c r="J317" s="46"/>
      <c r="K317" s="46"/>
      <c r="L317" s="46"/>
      <c r="M317" s="46"/>
    </row>
    <row r="318" spans="1:13" ht="16.5" hidden="1" customHeight="1">
      <c r="A318" s="5"/>
      <c r="B318" s="29"/>
      <c r="C318" s="29"/>
      <c r="D318" s="46"/>
      <c r="E318" s="46"/>
      <c r="F318" s="46"/>
      <c r="G318" s="46"/>
      <c r="H318" s="46"/>
      <c r="I318" s="46"/>
      <c r="J318" s="46"/>
      <c r="K318" s="46"/>
      <c r="L318" s="46"/>
      <c r="M318" s="46"/>
    </row>
    <row r="319" spans="1:13" ht="16.5" hidden="1" customHeight="1">
      <c r="A319" s="5"/>
      <c r="B319" s="29"/>
      <c r="C319" s="29"/>
      <c r="D319" s="46"/>
      <c r="E319" s="46"/>
      <c r="F319" s="46"/>
      <c r="G319" s="46"/>
      <c r="H319" s="46"/>
      <c r="I319" s="46"/>
      <c r="J319" s="46"/>
      <c r="K319" s="46"/>
      <c r="L319" s="46"/>
      <c r="M319" s="46"/>
    </row>
    <row r="320" spans="1:13" ht="16.5" hidden="1" customHeight="1">
      <c r="A320" s="5"/>
      <c r="B320" s="29"/>
      <c r="C320" s="29"/>
      <c r="D320" s="46"/>
      <c r="E320" s="46"/>
      <c r="F320" s="46"/>
      <c r="G320" s="46"/>
      <c r="H320" s="46"/>
      <c r="I320" s="46"/>
      <c r="J320" s="46"/>
      <c r="K320" s="46"/>
      <c r="L320" s="46"/>
      <c r="M320" s="46"/>
    </row>
    <row r="321" spans="1:14" ht="16.5" hidden="1" customHeight="1">
      <c r="A321" s="5"/>
      <c r="B321" s="29"/>
      <c r="C321" s="29"/>
      <c r="D321" s="46"/>
      <c r="E321" s="46"/>
      <c r="F321" s="46"/>
      <c r="G321" s="46"/>
      <c r="H321" s="46"/>
      <c r="I321" s="46"/>
      <c r="J321" s="46"/>
      <c r="K321" s="46"/>
      <c r="L321" s="46"/>
      <c r="M321" s="46"/>
    </row>
    <row r="322" spans="1:14" ht="16.5" hidden="1" customHeight="1">
      <c r="A322" s="5"/>
      <c r="B322" s="29"/>
      <c r="C322" s="29"/>
      <c r="D322" s="46"/>
      <c r="E322" s="46"/>
      <c r="F322" s="46"/>
      <c r="G322" s="46"/>
      <c r="H322" s="46"/>
      <c r="I322" s="46"/>
      <c r="J322" s="46"/>
      <c r="K322" s="46"/>
      <c r="L322" s="46"/>
      <c r="M322" s="46"/>
    </row>
    <row r="323" spans="1:14" ht="16.5" hidden="1" customHeight="1">
      <c r="A323" s="5"/>
      <c r="B323" s="29"/>
      <c r="C323" s="29"/>
      <c r="D323" s="46"/>
      <c r="E323" s="46"/>
      <c r="F323" s="46"/>
      <c r="G323" s="46"/>
      <c r="H323" s="46"/>
      <c r="I323" s="46"/>
      <c r="J323" s="46"/>
      <c r="K323" s="46"/>
      <c r="L323" s="46"/>
      <c r="M323" s="46"/>
    </row>
    <row r="324" spans="1:14" ht="16.5" hidden="1" customHeight="1">
      <c r="A324" s="5"/>
      <c r="B324" s="29"/>
      <c r="C324" s="29"/>
      <c r="D324" s="46"/>
      <c r="E324" s="46"/>
      <c r="F324" s="46"/>
      <c r="G324" s="46"/>
      <c r="H324" s="46"/>
      <c r="I324" s="46"/>
      <c r="J324" s="46"/>
      <c r="K324" s="46"/>
      <c r="L324" s="46"/>
      <c r="M324" s="46"/>
    </row>
    <row r="325" spans="1:14" ht="16.5" hidden="1" customHeight="1">
      <c r="A325" s="5"/>
      <c r="B325" s="29"/>
      <c r="C325" s="29"/>
      <c r="D325" s="46"/>
      <c r="E325" s="46"/>
      <c r="F325" s="46"/>
      <c r="G325" s="46"/>
      <c r="H325" s="46"/>
      <c r="I325" s="46"/>
      <c r="J325" s="46"/>
      <c r="K325" s="46"/>
      <c r="L325" s="46"/>
      <c r="M325" s="46"/>
    </row>
    <row r="326" spans="1:14" ht="16.5" hidden="1" customHeight="1">
      <c r="A326" s="5"/>
      <c r="B326" s="29"/>
      <c r="C326" s="29"/>
      <c r="D326" s="46"/>
      <c r="E326" s="46"/>
      <c r="F326" s="46"/>
      <c r="G326" s="46"/>
      <c r="H326" s="46"/>
      <c r="I326" s="46"/>
      <c r="J326" s="46"/>
      <c r="K326" s="46"/>
      <c r="L326" s="46"/>
      <c r="M326" s="46"/>
    </row>
    <row r="327" spans="1:14" ht="16.5" hidden="1" customHeight="1">
      <c r="A327" s="26"/>
      <c r="B327" s="5"/>
      <c r="C327" s="5"/>
      <c r="D327" s="28"/>
      <c r="E327" s="28"/>
      <c r="F327" s="28"/>
      <c r="G327" s="28"/>
      <c r="H327" s="28"/>
      <c r="I327" s="28"/>
      <c r="J327" s="28"/>
      <c r="K327" s="28"/>
      <c r="L327" s="28"/>
      <c r="M327" s="28"/>
      <c r="N327" s="46"/>
    </row>
  </sheetData>
  <sheetProtection sheet="1" objects="1" scenarios="1"/>
  <phoneticPr fontId="0" type="noConversion"/>
  <pageMargins left="0.25" right="0.25" top="0.48" bottom="0.51" header="0.5" footer="0.5"/>
  <pageSetup scale="65" fitToHeight="0" orientation="landscape" horizontalDpi="300" verticalDpi="300" r:id="rId1"/>
  <headerFooter alignWithMargins="0"/>
  <rowBreaks count="3" manualBreakCount="3">
    <brk id="78" max="12" man="1"/>
    <brk id="158" max="12" man="1"/>
    <brk id="238" max="12"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3">
    <pageSetUpPr fitToPage="1"/>
  </sheetPr>
  <dimension ref="A1:N327"/>
  <sheetViews>
    <sheetView showGridLines="0" zoomScale="83" zoomScaleNormal="83" workbookViewId="0">
      <pane xSplit="3" ySplit="6" topLeftCell="D7" activePane="bottomRight" state="frozen"/>
      <selection pane="topRight" activeCell="D1" sqref="D1"/>
      <selection pane="bottomLeft" activeCell="A5" sqref="A5"/>
      <selection pane="bottomRight" activeCell="B7" sqref="B7"/>
    </sheetView>
  </sheetViews>
  <sheetFormatPr defaultColWidth="0" defaultRowHeight="12.5" zeroHeight="1"/>
  <cols>
    <col min="1" max="1" width="20.54296875" customWidth="1"/>
    <col min="2" max="2" width="16.7265625" customWidth="1"/>
    <col min="3" max="3" width="21.7265625" customWidth="1"/>
    <col min="4" max="14" width="14.54296875" customWidth="1"/>
  </cols>
  <sheetData>
    <row r="1" spans="1:14" ht="16.5" customHeight="1"/>
    <row r="2" spans="1:14" ht="16.5" customHeight="1"/>
    <row r="3" spans="1:14" ht="16.5" customHeight="1">
      <c r="A3" s="24"/>
      <c r="B3" s="25"/>
      <c r="C3" s="25"/>
      <c r="F3" s="1" t="s">
        <v>42</v>
      </c>
      <c r="H3" s="24" t="s">
        <v>784</v>
      </c>
      <c r="M3" s="1"/>
    </row>
    <row r="4" spans="1:14" ht="16.5" customHeight="1">
      <c r="A4" s="24"/>
      <c r="D4" s="25"/>
      <c r="E4" s="1"/>
    </row>
    <row r="5" spans="1:14" ht="16.5" customHeight="1">
      <c r="A5" s="1"/>
      <c r="D5" s="2">
        <f>Input!G8</f>
        <v>2024</v>
      </c>
      <c r="E5" s="2">
        <f t="shared" ref="E5:M5" si="0">D5+1</f>
        <v>2025</v>
      </c>
      <c r="F5" s="2">
        <f t="shared" si="0"/>
        <v>2026</v>
      </c>
      <c r="G5" s="2">
        <f t="shared" si="0"/>
        <v>2027</v>
      </c>
      <c r="H5" s="2">
        <f t="shared" si="0"/>
        <v>2028</v>
      </c>
      <c r="I5" s="2">
        <f t="shared" si="0"/>
        <v>2029</v>
      </c>
      <c r="J5" s="2">
        <f t="shared" si="0"/>
        <v>2030</v>
      </c>
      <c r="K5" s="2">
        <f t="shared" si="0"/>
        <v>2031</v>
      </c>
      <c r="L5" s="2">
        <f t="shared" si="0"/>
        <v>2032</v>
      </c>
      <c r="M5" s="2">
        <f t="shared" si="0"/>
        <v>2033</v>
      </c>
    </row>
    <row r="6" spans="1:14" ht="16.5" customHeight="1">
      <c r="C6" s="1"/>
      <c r="D6" s="2" t="s">
        <v>46</v>
      </c>
      <c r="E6" s="2" t="s">
        <v>46</v>
      </c>
      <c r="F6" s="2" t="s">
        <v>46</v>
      </c>
      <c r="G6" s="2" t="s">
        <v>46</v>
      </c>
      <c r="H6" s="2" t="s">
        <v>46</v>
      </c>
      <c r="I6" s="2" t="s">
        <v>46</v>
      </c>
      <c r="J6" s="2" t="s">
        <v>46</v>
      </c>
      <c r="K6" s="2" t="s">
        <v>46</v>
      </c>
      <c r="L6" s="2" t="s">
        <v>46</v>
      </c>
      <c r="M6" s="2" t="s">
        <v>46</v>
      </c>
    </row>
    <row r="7" spans="1:14" ht="13" customHeight="1">
      <c r="A7" s="30" t="s">
        <v>858</v>
      </c>
      <c r="B7" s="99"/>
      <c r="C7" t="s">
        <v>800</v>
      </c>
      <c r="D7" s="179" t="s">
        <v>801</v>
      </c>
      <c r="E7" s="1"/>
    </row>
    <row r="8" spans="1:14" ht="13" customHeight="1">
      <c r="A8" s="26" t="s">
        <v>677</v>
      </c>
      <c r="B8" s="133">
        <v>29373</v>
      </c>
      <c r="C8" s="5" t="s">
        <v>639</v>
      </c>
      <c r="D8" s="180">
        <f>IF($D7="V",Input!G$69,IF(AND($B14=D$5,Input!G$64&gt;0),Input!G$64,$B11))</f>
        <v>5.2499999999999998E-2</v>
      </c>
      <c r="E8" s="180">
        <f>IF($D7="V",Input!H$69,IF(AND($B14=E$5,Input!H$64&gt;0),Input!H$64,D8))</f>
        <v>5.2499999999999998E-2</v>
      </c>
      <c r="F8" s="180">
        <f>IF($D7="V",Input!I$69,IF(AND($B14=F$5,Input!I$64&gt;0),Input!I$64,E8))</f>
        <v>5.2499999999999998E-2</v>
      </c>
      <c r="G8" s="180">
        <f>IF($D7="V",Input!J$69,IF(AND($B14=G$5,Input!J$64&gt;0),Input!J$64,F8))</f>
        <v>5.2499999999999998E-2</v>
      </c>
      <c r="H8" s="180">
        <f>IF($D7="V",Input!K$69,IF(AND($B14=H$5,Input!K$64&gt;0),Input!K$64,G8))</f>
        <v>5.2499999999999998E-2</v>
      </c>
      <c r="I8" s="180">
        <f>IF($D7="V",Input!L$69,IF(AND($B14=I$5,Input!L$64&gt;0),Input!L$64,H8))</f>
        <v>5.2499999999999998E-2</v>
      </c>
      <c r="J8" s="180">
        <f>IF($D7="V",Input!M$69,IF(AND($B14=J$5,Input!M$64&gt;0),Input!M$64,I8))</f>
        <v>5.2499999999999998E-2</v>
      </c>
      <c r="K8" s="180">
        <f>IF($D7="V",Input!N$69,IF(AND($B14=K$5,Input!N$64&gt;0),Input!N$64,J8))</f>
        <v>5.2499999999999998E-2</v>
      </c>
      <c r="L8" s="180">
        <f>IF($D7="V",Input!O$69,IF(AND($B14=L$5,Input!O$64&gt;0),Input!O$64,K8))</f>
        <v>5.2499999999999998E-2</v>
      </c>
      <c r="M8" s="180">
        <f>IF($D7="V",Input!P$69,IF(AND($B14=M$5,Input!P$64&gt;0),Input!P$64,L8))</f>
        <v>5.2499999999999998E-2</v>
      </c>
      <c r="N8" s="5"/>
    </row>
    <row r="9" spans="1:14" ht="13" customHeight="1">
      <c r="A9" s="5" t="s">
        <v>361</v>
      </c>
      <c r="B9" s="181">
        <v>0</v>
      </c>
      <c r="C9" s="27" t="s">
        <v>173</v>
      </c>
      <c r="D9" s="182">
        <v>0</v>
      </c>
      <c r="E9" s="183">
        <f t="shared" ref="E9:M9" si="1">D14</f>
        <v>0</v>
      </c>
      <c r="F9" s="183">
        <f t="shared" si="1"/>
        <v>0</v>
      </c>
      <c r="G9" s="183">
        <f t="shared" si="1"/>
        <v>0</v>
      </c>
      <c r="H9" s="183">
        <f t="shared" si="1"/>
        <v>0</v>
      </c>
      <c r="I9" s="183">
        <f t="shared" si="1"/>
        <v>0</v>
      </c>
      <c r="J9" s="183">
        <f t="shared" si="1"/>
        <v>0</v>
      </c>
      <c r="K9" s="183">
        <f t="shared" si="1"/>
        <v>0</v>
      </c>
      <c r="L9" s="183">
        <f t="shared" si="1"/>
        <v>0</v>
      </c>
      <c r="M9" s="183">
        <f t="shared" si="1"/>
        <v>0</v>
      </c>
      <c r="N9" s="28"/>
    </row>
    <row r="10" spans="1:14" ht="13" customHeight="1">
      <c r="A10" s="26" t="s">
        <v>170</v>
      </c>
      <c r="B10" s="131">
        <v>35</v>
      </c>
      <c r="C10" s="184" t="s">
        <v>169</v>
      </c>
      <c r="D10" s="183">
        <f t="shared" ref="D10:M10" si="2">D12-D11</f>
        <v>0</v>
      </c>
      <c r="E10" s="183">
        <f t="shared" si="2"/>
        <v>0</v>
      </c>
      <c r="F10" s="183">
        <f t="shared" si="2"/>
        <v>0</v>
      </c>
      <c r="G10" s="183">
        <f t="shared" si="2"/>
        <v>0</v>
      </c>
      <c r="H10" s="183">
        <f t="shared" si="2"/>
        <v>0</v>
      </c>
      <c r="I10" s="183">
        <f t="shared" si="2"/>
        <v>0</v>
      </c>
      <c r="J10" s="183">
        <f t="shared" si="2"/>
        <v>0</v>
      </c>
      <c r="K10" s="183">
        <f t="shared" si="2"/>
        <v>0</v>
      </c>
      <c r="L10" s="183">
        <f t="shared" si="2"/>
        <v>0</v>
      </c>
      <c r="M10" s="183">
        <f t="shared" si="2"/>
        <v>0</v>
      </c>
      <c r="N10" s="28"/>
    </row>
    <row r="11" spans="1:14" ht="13" customHeight="1">
      <c r="A11" s="5" t="s">
        <v>172</v>
      </c>
      <c r="B11" s="185">
        <v>5.2499999999999998E-2</v>
      </c>
      <c r="C11" s="5" t="s">
        <v>174</v>
      </c>
      <c r="D11" s="183">
        <f t="shared" ref="D11:M11" si="3">IF(AND($B13="Y",YEAR($B8)+$B10&gt;D$5),D16,IF((YEAR($B8)+$B10)&gt;D$5,FV(D8/$B12,$B12,D15),D9))</f>
        <v>0</v>
      </c>
      <c r="E11" s="183">
        <f t="shared" si="3"/>
        <v>0</v>
      </c>
      <c r="F11" s="183">
        <f t="shared" si="3"/>
        <v>0</v>
      </c>
      <c r="G11" s="183">
        <f t="shared" si="3"/>
        <v>0</v>
      </c>
      <c r="H11" s="183">
        <f t="shared" si="3"/>
        <v>0</v>
      </c>
      <c r="I11" s="183">
        <f t="shared" si="3"/>
        <v>0</v>
      </c>
      <c r="J11" s="183">
        <f t="shared" si="3"/>
        <v>0</v>
      </c>
      <c r="K11" s="183">
        <f t="shared" si="3"/>
        <v>0</v>
      </c>
      <c r="L11" s="183">
        <f t="shared" si="3"/>
        <v>0</v>
      </c>
      <c r="M11" s="183">
        <f t="shared" si="3"/>
        <v>0</v>
      </c>
      <c r="N11" s="28"/>
    </row>
    <row r="12" spans="1:14" ht="13" customHeight="1">
      <c r="A12" s="5" t="s">
        <v>171</v>
      </c>
      <c r="B12" s="131">
        <v>4</v>
      </c>
      <c r="C12" s="186" t="s">
        <v>640</v>
      </c>
      <c r="D12" s="183">
        <f t="shared" ref="D12:M12" si="4">IF(AND($B13="Y",YEAR($B8)+$B10&gt;D$5),D16+D8*(D9-D16*0.5),IF((YEAR($B8)+$B10)&gt;D$5,(D9*D8/$B12-D15)*$B12,(D9*(1+D8*MONTH($B8)/12))))</f>
        <v>0</v>
      </c>
      <c r="E12" s="183">
        <f t="shared" si="4"/>
        <v>0</v>
      </c>
      <c r="F12" s="183">
        <f t="shared" si="4"/>
        <v>0</v>
      </c>
      <c r="G12" s="183">
        <f t="shared" si="4"/>
        <v>0</v>
      </c>
      <c r="H12" s="183">
        <f t="shared" si="4"/>
        <v>0</v>
      </c>
      <c r="I12" s="183">
        <f t="shared" si="4"/>
        <v>0</v>
      </c>
      <c r="J12" s="183">
        <f t="shared" si="4"/>
        <v>0</v>
      </c>
      <c r="K12" s="183">
        <f t="shared" si="4"/>
        <v>0</v>
      </c>
      <c r="L12" s="183">
        <f t="shared" si="4"/>
        <v>0</v>
      </c>
      <c r="M12" s="183">
        <f t="shared" si="4"/>
        <v>0</v>
      </c>
      <c r="N12" s="28"/>
    </row>
    <row r="13" spans="1:14" ht="13" customHeight="1">
      <c r="A13" s="5" t="s">
        <v>767</v>
      </c>
      <c r="B13" s="131" t="s">
        <v>719</v>
      </c>
      <c r="C13" s="187" t="s">
        <v>768</v>
      </c>
      <c r="D13" s="188">
        <v>0</v>
      </c>
      <c r="E13" s="188">
        <v>0</v>
      </c>
      <c r="F13" s="188">
        <v>0</v>
      </c>
      <c r="G13" s="188">
        <v>0</v>
      </c>
      <c r="H13" s="188">
        <v>0</v>
      </c>
      <c r="I13" s="188">
        <v>0</v>
      </c>
      <c r="J13" s="188">
        <v>0</v>
      </c>
      <c r="K13" s="188">
        <v>0</v>
      </c>
      <c r="L13" s="188">
        <v>0</v>
      </c>
      <c r="M13" s="188">
        <v>0</v>
      </c>
      <c r="N13" s="28"/>
    </row>
    <row r="14" spans="1:14" ht="13" customHeight="1">
      <c r="A14" s="5" t="s">
        <v>182</v>
      </c>
      <c r="B14" s="131"/>
      <c r="C14" s="30" t="s">
        <v>175</v>
      </c>
      <c r="D14" s="183">
        <f t="shared" ref="D14:M14" si="5">D9+D10-D12-D13</f>
        <v>0</v>
      </c>
      <c r="E14" s="183">
        <f t="shared" si="5"/>
        <v>0</v>
      </c>
      <c r="F14" s="183">
        <f t="shared" si="5"/>
        <v>0</v>
      </c>
      <c r="G14" s="183">
        <f t="shared" si="5"/>
        <v>0</v>
      </c>
      <c r="H14" s="183">
        <f t="shared" si="5"/>
        <v>0</v>
      </c>
      <c r="I14" s="183">
        <f t="shared" si="5"/>
        <v>0</v>
      </c>
      <c r="J14" s="183">
        <f t="shared" si="5"/>
        <v>0</v>
      </c>
      <c r="K14" s="183">
        <f t="shared" si="5"/>
        <v>0</v>
      </c>
      <c r="L14" s="183">
        <f t="shared" si="5"/>
        <v>0</v>
      </c>
      <c r="M14" s="183">
        <f t="shared" si="5"/>
        <v>0</v>
      </c>
      <c r="N14" s="28"/>
    </row>
    <row r="15" spans="1:14" s="21" customFormat="1" ht="13" hidden="1" customHeight="1">
      <c r="A15" s="5"/>
      <c r="B15" s="138"/>
      <c r="C15" s="5" t="s">
        <v>769</v>
      </c>
      <c r="D15" s="183" t="e">
        <f t="shared" ref="D15:M15" si="6">PPMT(D8/$B12,1,ROUND(($B10-(D$5-YEAR($B8))+MONTH($B8)/12)*$B12,0),D9)</f>
        <v>#NUM!</v>
      </c>
      <c r="E15" s="183" t="e">
        <f t="shared" si="6"/>
        <v>#NUM!</v>
      </c>
      <c r="F15" s="183" t="e">
        <f t="shared" si="6"/>
        <v>#NUM!</v>
      </c>
      <c r="G15" s="183" t="e">
        <f t="shared" si="6"/>
        <v>#NUM!</v>
      </c>
      <c r="H15" s="183" t="e">
        <f t="shared" si="6"/>
        <v>#NUM!</v>
      </c>
      <c r="I15" s="183" t="e">
        <f t="shared" si="6"/>
        <v>#NUM!</v>
      </c>
      <c r="J15" s="183" t="e">
        <f t="shared" si="6"/>
        <v>#NUM!</v>
      </c>
      <c r="K15" s="183" t="e">
        <f t="shared" si="6"/>
        <v>#NUM!</v>
      </c>
      <c r="L15" s="183" t="e">
        <f t="shared" si="6"/>
        <v>#NUM!</v>
      </c>
      <c r="M15" s="183" t="e">
        <f t="shared" si="6"/>
        <v>#NUM!</v>
      </c>
      <c r="N15" s="28"/>
    </row>
    <row r="16" spans="1:14" s="21" customFormat="1" ht="13" hidden="1" customHeight="1">
      <c r="A16" s="5"/>
      <c r="B16" s="5"/>
      <c r="C16" s="5" t="s">
        <v>770</v>
      </c>
      <c r="D16" s="183">
        <f t="shared" ref="D16:M16" si="7">IF(YEAR($B8)+$B10&gt;D$5,D9/(YEAR($B8)+$B10-D$5+MONTH($B8)/12),D9)</f>
        <v>0</v>
      </c>
      <c r="E16" s="183">
        <f t="shared" si="7"/>
        <v>0</v>
      </c>
      <c r="F16" s="183">
        <f t="shared" si="7"/>
        <v>0</v>
      </c>
      <c r="G16" s="183">
        <f t="shared" si="7"/>
        <v>0</v>
      </c>
      <c r="H16" s="183">
        <f t="shared" si="7"/>
        <v>0</v>
      </c>
      <c r="I16" s="183">
        <f t="shared" si="7"/>
        <v>0</v>
      </c>
      <c r="J16" s="183">
        <f t="shared" si="7"/>
        <v>0</v>
      </c>
      <c r="K16" s="183">
        <f t="shared" si="7"/>
        <v>0</v>
      </c>
      <c r="L16" s="183">
        <f t="shared" si="7"/>
        <v>0</v>
      </c>
      <c r="M16" s="183">
        <f t="shared" si="7"/>
        <v>0</v>
      </c>
      <c r="N16" s="28"/>
    </row>
    <row r="17" spans="1:14" s="21" customFormat="1" ht="13" customHeight="1">
      <c r="A17" s="5"/>
      <c r="B17" s="5"/>
      <c r="C17" s="5"/>
      <c r="D17" s="183"/>
      <c r="E17" s="183"/>
      <c r="F17" s="183"/>
      <c r="G17" s="183"/>
      <c r="H17" s="183"/>
      <c r="I17" s="183"/>
      <c r="J17" s="183"/>
      <c r="K17" s="183"/>
      <c r="L17" s="183"/>
      <c r="M17" s="183"/>
      <c r="N17" s="28"/>
    </row>
    <row r="18" spans="1:14" ht="13" customHeight="1">
      <c r="A18" s="5"/>
      <c r="B18" s="5"/>
      <c r="C18" s="5"/>
      <c r="D18" s="183"/>
      <c r="E18" s="183"/>
      <c r="F18" s="183"/>
      <c r="G18" s="183"/>
      <c r="H18" s="183"/>
      <c r="I18" s="183"/>
      <c r="J18" s="183"/>
      <c r="K18" s="183"/>
      <c r="L18" s="183"/>
      <c r="M18" s="183"/>
      <c r="N18" s="28"/>
    </row>
    <row r="19" spans="1:14" ht="13" customHeight="1">
      <c r="A19" s="30" t="s">
        <v>859</v>
      </c>
      <c r="B19" s="99"/>
      <c r="C19" t="s">
        <v>800</v>
      </c>
      <c r="D19" s="179" t="s">
        <v>801</v>
      </c>
      <c r="E19" s="1"/>
      <c r="N19" s="28"/>
    </row>
    <row r="20" spans="1:14" ht="13" customHeight="1">
      <c r="A20" s="26" t="s">
        <v>677</v>
      </c>
      <c r="B20" s="133">
        <v>29373</v>
      </c>
      <c r="C20" s="5" t="s">
        <v>639</v>
      </c>
      <c r="D20" s="180">
        <f>IF($D19="V",Input!G$69,IF(AND($B26=D$5,Input!G$64&gt;0),Input!G$64,$B23))</f>
        <v>5.2499999999999998E-2</v>
      </c>
      <c r="E20" s="180">
        <f>IF($D19="V",Input!H$69,IF(AND($B26=E$5,Input!H$64&gt;0),Input!H$64,D20))</f>
        <v>5.2499999999999998E-2</v>
      </c>
      <c r="F20" s="180">
        <f>IF($D19="V",Input!I$69,IF(AND($B26=F$5,Input!I$64&gt;0),Input!I$64,E20))</f>
        <v>5.2499999999999998E-2</v>
      </c>
      <c r="G20" s="180">
        <f>IF($D19="V",Input!J$69,IF(AND($B26=G$5,Input!J$64&gt;0),Input!J$64,F20))</f>
        <v>5.2499999999999998E-2</v>
      </c>
      <c r="H20" s="180">
        <f>IF($D19="V",Input!K$69,IF(AND($B26=H$5,Input!K$64&gt;0),Input!K$64,G20))</f>
        <v>5.2499999999999998E-2</v>
      </c>
      <c r="I20" s="180">
        <f>IF($D19="V",Input!L$69,IF(AND($B26=I$5,Input!L$64&gt;0),Input!L$64,H20))</f>
        <v>5.2499999999999998E-2</v>
      </c>
      <c r="J20" s="180">
        <f>IF($D19="V",Input!M$69,IF(AND($B26=J$5,Input!M$64&gt;0),Input!M$64,I20))</f>
        <v>5.2499999999999998E-2</v>
      </c>
      <c r="K20" s="180">
        <f>IF($D19="V",Input!N$69,IF(AND($B26=K$5,Input!N$64&gt;0),Input!N$64,J20))</f>
        <v>5.2499999999999998E-2</v>
      </c>
      <c r="L20" s="180">
        <f>IF($D19="V",Input!O$69,IF(AND($B26=L$5,Input!O$64&gt;0),Input!O$64,K20))</f>
        <v>5.2499999999999998E-2</v>
      </c>
      <c r="M20" s="180">
        <f>IF($D19="V",Input!P$69,IF(AND($B26=M$5,Input!P$64&gt;0),Input!P$64,L20))</f>
        <v>5.2499999999999998E-2</v>
      </c>
      <c r="N20" s="5"/>
    </row>
    <row r="21" spans="1:14" ht="13" customHeight="1">
      <c r="A21" s="5" t="s">
        <v>361</v>
      </c>
      <c r="B21" s="181">
        <v>0</v>
      </c>
      <c r="C21" s="27" t="s">
        <v>173</v>
      </c>
      <c r="D21" s="188">
        <v>0</v>
      </c>
      <c r="E21" s="183">
        <f t="shared" ref="E21:M21" si="8">D26</f>
        <v>0</v>
      </c>
      <c r="F21" s="183">
        <f t="shared" si="8"/>
        <v>0</v>
      </c>
      <c r="G21" s="183">
        <f t="shared" si="8"/>
        <v>0</v>
      </c>
      <c r="H21" s="183">
        <f t="shared" si="8"/>
        <v>0</v>
      </c>
      <c r="I21" s="183">
        <f t="shared" si="8"/>
        <v>0</v>
      </c>
      <c r="J21" s="183">
        <f t="shared" si="8"/>
        <v>0</v>
      </c>
      <c r="K21" s="183">
        <f t="shared" si="8"/>
        <v>0</v>
      </c>
      <c r="L21" s="183">
        <f t="shared" si="8"/>
        <v>0</v>
      </c>
      <c r="M21" s="183">
        <f t="shared" si="8"/>
        <v>0</v>
      </c>
      <c r="N21" s="28"/>
    </row>
    <row r="22" spans="1:14" ht="13" customHeight="1">
      <c r="A22" s="26" t="s">
        <v>170</v>
      </c>
      <c r="B22" s="131">
        <v>35</v>
      </c>
      <c r="C22" s="184" t="s">
        <v>169</v>
      </c>
      <c r="D22" s="183">
        <f t="shared" ref="D22:M22" si="9">D24-D23</f>
        <v>0</v>
      </c>
      <c r="E22" s="183">
        <f t="shared" si="9"/>
        <v>0</v>
      </c>
      <c r="F22" s="183">
        <f t="shared" si="9"/>
        <v>0</v>
      </c>
      <c r="G22" s="183">
        <f t="shared" si="9"/>
        <v>0</v>
      </c>
      <c r="H22" s="183">
        <f t="shared" si="9"/>
        <v>0</v>
      </c>
      <c r="I22" s="183">
        <f t="shared" si="9"/>
        <v>0</v>
      </c>
      <c r="J22" s="183">
        <f t="shared" si="9"/>
        <v>0</v>
      </c>
      <c r="K22" s="183">
        <f t="shared" si="9"/>
        <v>0</v>
      </c>
      <c r="L22" s="183">
        <f t="shared" si="9"/>
        <v>0</v>
      </c>
      <c r="M22" s="183">
        <f t="shared" si="9"/>
        <v>0</v>
      </c>
      <c r="N22" s="28"/>
    </row>
    <row r="23" spans="1:14" ht="13" customHeight="1">
      <c r="A23" s="5" t="s">
        <v>172</v>
      </c>
      <c r="B23" s="185">
        <f>B11</f>
        <v>5.2499999999999998E-2</v>
      </c>
      <c r="C23" s="5" t="s">
        <v>174</v>
      </c>
      <c r="D23" s="183">
        <f t="shared" ref="D23:M23" si="10">IF(AND($B25="Y",YEAR($B20)+$B22&gt;D$5),D28,IF((YEAR($B20)+$B22)&gt;D$5,FV(D20/$B24,$B24,D27),D21))</f>
        <v>0</v>
      </c>
      <c r="E23" s="183">
        <f t="shared" si="10"/>
        <v>0</v>
      </c>
      <c r="F23" s="183">
        <f t="shared" si="10"/>
        <v>0</v>
      </c>
      <c r="G23" s="183">
        <f t="shared" si="10"/>
        <v>0</v>
      </c>
      <c r="H23" s="183">
        <f t="shared" si="10"/>
        <v>0</v>
      </c>
      <c r="I23" s="183">
        <f t="shared" si="10"/>
        <v>0</v>
      </c>
      <c r="J23" s="183">
        <f t="shared" si="10"/>
        <v>0</v>
      </c>
      <c r="K23" s="183">
        <f t="shared" si="10"/>
        <v>0</v>
      </c>
      <c r="L23" s="183">
        <f t="shared" si="10"/>
        <v>0</v>
      </c>
      <c r="M23" s="183">
        <f t="shared" si="10"/>
        <v>0</v>
      </c>
      <c r="N23" s="28"/>
    </row>
    <row r="24" spans="1:14" ht="13" customHeight="1">
      <c r="A24" s="5" t="s">
        <v>171</v>
      </c>
      <c r="B24" s="131">
        <v>4</v>
      </c>
      <c r="C24" s="186" t="s">
        <v>640</v>
      </c>
      <c r="D24" s="183">
        <f t="shared" ref="D24:M24" si="11">IF(AND($B25="Y",YEAR($B20)+$B22&gt;D$5),D28+D20*(D21-D28*0.5),IF((YEAR($B20)+$B22)&gt;D$5,(D21*D20/$B24-D27)*$B24,(D21*(1+D20*MONTH($B20)/12))))</f>
        <v>0</v>
      </c>
      <c r="E24" s="183">
        <f t="shared" si="11"/>
        <v>0</v>
      </c>
      <c r="F24" s="183">
        <f t="shared" si="11"/>
        <v>0</v>
      </c>
      <c r="G24" s="183">
        <f t="shared" si="11"/>
        <v>0</v>
      </c>
      <c r="H24" s="183">
        <f t="shared" si="11"/>
        <v>0</v>
      </c>
      <c r="I24" s="183">
        <f t="shared" si="11"/>
        <v>0</v>
      </c>
      <c r="J24" s="183">
        <f t="shared" si="11"/>
        <v>0</v>
      </c>
      <c r="K24" s="183">
        <f t="shared" si="11"/>
        <v>0</v>
      </c>
      <c r="L24" s="183">
        <f t="shared" si="11"/>
        <v>0</v>
      </c>
      <c r="M24" s="183">
        <f t="shared" si="11"/>
        <v>0</v>
      </c>
      <c r="N24" s="28"/>
    </row>
    <row r="25" spans="1:14" ht="13" customHeight="1">
      <c r="A25" s="5" t="s">
        <v>767</v>
      </c>
      <c r="B25" s="131" t="s">
        <v>719</v>
      </c>
      <c r="C25" s="187" t="s">
        <v>768</v>
      </c>
      <c r="D25" s="188">
        <v>0</v>
      </c>
      <c r="E25" s="188">
        <v>0</v>
      </c>
      <c r="F25" s="188">
        <v>0</v>
      </c>
      <c r="G25" s="188">
        <v>0</v>
      </c>
      <c r="H25" s="188">
        <v>0</v>
      </c>
      <c r="I25" s="188">
        <v>0</v>
      </c>
      <c r="J25" s="188">
        <v>0</v>
      </c>
      <c r="K25" s="188">
        <v>0</v>
      </c>
      <c r="L25" s="188">
        <v>0</v>
      </c>
      <c r="M25" s="188">
        <v>0</v>
      </c>
      <c r="N25" s="28"/>
    </row>
    <row r="26" spans="1:14" ht="13" customHeight="1">
      <c r="A26" s="5" t="s">
        <v>182</v>
      </c>
      <c r="B26" s="131"/>
      <c r="C26" s="30" t="s">
        <v>175</v>
      </c>
      <c r="D26" s="183">
        <f t="shared" ref="D26:M26" si="12">D21+D22-D24-D25</f>
        <v>0</v>
      </c>
      <c r="E26" s="183">
        <f t="shared" si="12"/>
        <v>0</v>
      </c>
      <c r="F26" s="183">
        <f t="shared" si="12"/>
        <v>0</v>
      </c>
      <c r="G26" s="183">
        <f t="shared" si="12"/>
        <v>0</v>
      </c>
      <c r="H26" s="183">
        <f t="shared" si="12"/>
        <v>0</v>
      </c>
      <c r="I26" s="183">
        <f t="shared" si="12"/>
        <v>0</v>
      </c>
      <c r="J26" s="183">
        <f t="shared" si="12"/>
        <v>0</v>
      </c>
      <c r="K26" s="183">
        <f t="shared" si="12"/>
        <v>0</v>
      </c>
      <c r="L26" s="183">
        <f t="shared" si="12"/>
        <v>0</v>
      </c>
      <c r="M26" s="183">
        <f t="shared" si="12"/>
        <v>0</v>
      </c>
      <c r="N26" s="28"/>
    </row>
    <row r="27" spans="1:14" ht="13" hidden="1" customHeight="1">
      <c r="A27" s="5"/>
      <c r="B27" s="138"/>
      <c r="C27" s="5" t="s">
        <v>769</v>
      </c>
      <c r="D27" s="183" t="e">
        <f t="shared" ref="D27:M27" si="13">PPMT(D20/$B24,1,ROUND(($B22-(D$5-YEAR($B20))+MONTH($B20)/12)*$B24,0),D21)</f>
        <v>#NUM!</v>
      </c>
      <c r="E27" s="183" t="e">
        <f t="shared" si="13"/>
        <v>#NUM!</v>
      </c>
      <c r="F27" s="183" t="e">
        <f t="shared" si="13"/>
        <v>#NUM!</v>
      </c>
      <c r="G27" s="183" t="e">
        <f t="shared" si="13"/>
        <v>#NUM!</v>
      </c>
      <c r="H27" s="183" t="e">
        <f t="shared" si="13"/>
        <v>#NUM!</v>
      </c>
      <c r="I27" s="183" t="e">
        <f t="shared" si="13"/>
        <v>#NUM!</v>
      </c>
      <c r="J27" s="183" t="e">
        <f t="shared" si="13"/>
        <v>#NUM!</v>
      </c>
      <c r="K27" s="183" t="e">
        <f t="shared" si="13"/>
        <v>#NUM!</v>
      </c>
      <c r="L27" s="183" t="e">
        <f t="shared" si="13"/>
        <v>#NUM!</v>
      </c>
      <c r="M27" s="183" t="e">
        <f t="shared" si="13"/>
        <v>#NUM!</v>
      </c>
      <c r="N27" s="28"/>
    </row>
    <row r="28" spans="1:14" ht="13" hidden="1" customHeight="1">
      <c r="A28" s="5"/>
      <c r="B28" s="5"/>
      <c r="C28" s="5" t="s">
        <v>770</v>
      </c>
      <c r="D28" s="183">
        <f t="shared" ref="D28:M28" si="14">IF(YEAR($B20)+$B22&gt;D$5,D21/(YEAR($B20)+$B22-D$5+MONTH($B20)/12),D21)</f>
        <v>0</v>
      </c>
      <c r="E28" s="183">
        <f t="shared" si="14"/>
        <v>0</v>
      </c>
      <c r="F28" s="183">
        <f t="shared" si="14"/>
        <v>0</v>
      </c>
      <c r="G28" s="183">
        <f t="shared" si="14"/>
        <v>0</v>
      </c>
      <c r="H28" s="183">
        <f t="shared" si="14"/>
        <v>0</v>
      </c>
      <c r="I28" s="183">
        <f t="shared" si="14"/>
        <v>0</v>
      </c>
      <c r="J28" s="183">
        <f t="shared" si="14"/>
        <v>0</v>
      </c>
      <c r="K28" s="183">
        <f t="shared" si="14"/>
        <v>0</v>
      </c>
      <c r="L28" s="183">
        <f t="shared" si="14"/>
        <v>0</v>
      </c>
      <c r="M28" s="183">
        <f t="shared" si="14"/>
        <v>0</v>
      </c>
      <c r="N28" s="28"/>
    </row>
    <row r="29" spans="1:14" ht="13" customHeight="1">
      <c r="A29" s="5"/>
      <c r="B29" s="5"/>
      <c r="C29" s="5"/>
      <c r="D29" s="183"/>
      <c r="E29" s="183"/>
      <c r="F29" s="183"/>
      <c r="G29" s="183"/>
      <c r="H29" s="183"/>
      <c r="I29" s="183"/>
      <c r="J29" s="183"/>
      <c r="K29" s="183"/>
      <c r="L29" s="183"/>
      <c r="M29" s="183"/>
      <c r="N29" s="28"/>
    </row>
    <row r="30" spans="1:14" ht="13" customHeight="1">
      <c r="A30" s="5"/>
      <c r="B30" s="5"/>
      <c r="C30" s="5"/>
      <c r="D30" s="183"/>
      <c r="E30" s="183"/>
      <c r="F30" s="183"/>
      <c r="G30" s="183"/>
      <c r="H30" s="183"/>
      <c r="I30" s="183"/>
      <c r="J30" s="183"/>
      <c r="K30" s="183"/>
      <c r="L30" s="183"/>
      <c r="M30" s="183"/>
      <c r="N30" s="28"/>
    </row>
    <row r="31" spans="1:14" ht="13" customHeight="1">
      <c r="A31" s="30" t="s">
        <v>860</v>
      </c>
      <c r="B31" s="99"/>
      <c r="C31" t="s">
        <v>800</v>
      </c>
      <c r="D31" s="179" t="s">
        <v>801</v>
      </c>
      <c r="E31" s="1"/>
      <c r="N31" s="28"/>
    </row>
    <row r="32" spans="1:14" ht="13" customHeight="1">
      <c r="A32" s="26" t="s">
        <v>677</v>
      </c>
      <c r="B32" s="133">
        <v>29373</v>
      </c>
      <c r="C32" s="5" t="s">
        <v>639</v>
      </c>
      <c r="D32" s="180">
        <f>IF($D31="V",Input!G$69,IF(AND($B38=D$5,Input!G$64&gt;0),Input!G$64,$B35))</f>
        <v>5.2499999999999998E-2</v>
      </c>
      <c r="E32" s="180">
        <f>IF($D31="V",Input!H$69,IF(AND($B38=E$5,Input!H$64&gt;0),Input!H$64,D32))</f>
        <v>5.2499999999999998E-2</v>
      </c>
      <c r="F32" s="180">
        <f>IF($D31="V",Input!I$69,IF(AND($B38=F$5,Input!I$64&gt;0),Input!I$64,E32))</f>
        <v>5.2499999999999998E-2</v>
      </c>
      <c r="G32" s="180">
        <f>IF($D31="V",Input!J$69,IF(AND($B38=G$5,Input!J$64&gt;0),Input!J$64,F32))</f>
        <v>5.2499999999999998E-2</v>
      </c>
      <c r="H32" s="180">
        <f>IF($D31="V",Input!K$69,IF(AND($B38=H$5,Input!K$64&gt;0),Input!K$64,G32))</f>
        <v>5.2499999999999998E-2</v>
      </c>
      <c r="I32" s="180">
        <f>IF($D31="V",Input!L$69,IF(AND($B38=I$5,Input!L$64&gt;0),Input!L$64,H32))</f>
        <v>5.2499999999999998E-2</v>
      </c>
      <c r="J32" s="180">
        <f>IF($D31="V",Input!M$69,IF(AND($B38=J$5,Input!M$64&gt;0),Input!M$64,I32))</f>
        <v>5.2499999999999998E-2</v>
      </c>
      <c r="K32" s="180">
        <f>IF($D31="V",Input!N$69,IF(AND($B38=K$5,Input!N$64&gt;0),Input!N$64,J32))</f>
        <v>5.2499999999999998E-2</v>
      </c>
      <c r="L32" s="180">
        <f>IF($D31="V",Input!O$69,IF(AND($B38=L$5,Input!O$64&gt;0),Input!O$64,K32))</f>
        <v>5.2499999999999998E-2</v>
      </c>
      <c r="M32" s="180">
        <f>IF($D31="V",Input!P$69,IF(AND($B38=M$5,Input!P$64&gt;0),Input!P$64,L32))</f>
        <v>5.2499999999999998E-2</v>
      </c>
    </row>
    <row r="33" spans="1:14" ht="13" customHeight="1">
      <c r="A33" s="5" t="s">
        <v>361</v>
      </c>
      <c r="B33" s="181">
        <v>0</v>
      </c>
      <c r="C33" s="27" t="s">
        <v>173</v>
      </c>
      <c r="D33" s="188">
        <v>0</v>
      </c>
      <c r="E33" s="183">
        <f t="shared" ref="E33:M33" si="15">D38</f>
        <v>0</v>
      </c>
      <c r="F33" s="183">
        <f t="shared" si="15"/>
        <v>0</v>
      </c>
      <c r="G33" s="183">
        <f t="shared" si="15"/>
        <v>0</v>
      </c>
      <c r="H33" s="183">
        <f t="shared" si="15"/>
        <v>0</v>
      </c>
      <c r="I33" s="183">
        <f t="shared" si="15"/>
        <v>0</v>
      </c>
      <c r="J33" s="183">
        <f t="shared" si="15"/>
        <v>0</v>
      </c>
      <c r="K33" s="183">
        <f t="shared" si="15"/>
        <v>0</v>
      </c>
      <c r="L33" s="183">
        <f t="shared" si="15"/>
        <v>0</v>
      </c>
      <c r="M33" s="183">
        <f t="shared" si="15"/>
        <v>0</v>
      </c>
    </row>
    <row r="34" spans="1:14" ht="13" customHeight="1">
      <c r="A34" s="26" t="s">
        <v>170</v>
      </c>
      <c r="B34" s="131">
        <v>35</v>
      </c>
      <c r="C34" s="184" t="s">
        <v>169</v>
      </c>
      <c r="D34" s="183">
        <f t="shared" ref="D34:M34" si="16">D36-D35</f>
        <v>0</v>
      </c>
      <c r="E34" s="183">
        <f t="shared" si="16"/>
        <v>0</v>
      </c>
      <c r="F34" s="183">
        <f t="shared" si="16"/>
        <v>0</v>
      </c>
      <c r="G34" s="183">
        <f t="shared" si="16"/>
        <v>0</v>
      </c>
      <c r="H34" s="183">
        <f t="shared" si="16"/>
        <v>0</v>
      </c>
      <c r="I34" s="183">
        <f t="shared" si="16"/>
        <v>0</v>
      </c>
      <c r="J34" s="183">
        <f t="shared" si="16"/>
        <v>0</v>
      </c>
      <c r="K34" s="183">
        <f t="shared" si="16"/>
        <v>0</v>
      </c>
      <c r="L34" s="183">
        <f t="shared" si="16"/>
        <v>0</v>
      </c>
      <c r="M34" s="183">
        <f t="shared" si="16"/>
        <v>0</v>
      </c>
    </row>
    <row r="35" spans="1:14" ht="13" customHeight="1">
      <c r="A35" s="5" t="s">
        <v>172</v>
      </c>
      <c r="B35" s="185">
        <f>B23</f>
        <v>5.2499999999999998E-2</v>
      </c>
      <c r="C35" s="5" t="s">
        <v>174</v>
      </c>
      <c r="D35" s="183">
        <f t="shared" ref="D35:M35" si="17">IF(AND($B37="Y",YEAR($B32)+$B34&gt;D$5),D40,IF((YEAR($B32)+$B34)&gt;D$5,FV(D32/$B36,$B36,D39),D33))</f>
        <v>0</v>
      </c>
      <c r="E35" s="183">
        <f t="shared" si="17"/>
        <v>0</v>
      </c>
      <c r="F35" s="183">
        <f t="shared" si="17"/>
        <v>0</v>
      </c>
      <c r="G35" s="183">
        <f t="shared" si="17"/>
        <v>0</v>
      </c>
      <c r="H35" s="183">
        <f t="shared" si="17"/>
        <v>0</v>
      </c>
      <c r="I35" s="183">
        <f t="shared" si="17"/>
        <v>0</v>
      </c>
      <c r="J35" s="183">
        <f t="shared" si="17"/>
        <v>0</v>
      </c>
      <c r="K35" s="183">
        <f t="shared" si="17"/>
        <v>0</v>
      </c>
      <c r="L35" s="183">
        <f t="shared" si="17"/>
        <v>0</v>
      </c>
      <c r="M35" s="183">
        <f t="shared" si="17"/>
        <v>0</v>
      </c>
      <c r="N35" s="46"/>
    </row>
    <row r="36" spans="1:14" ht="13" customHeight="1">
      <c r="A36" s="5" t="s">
        <v>171</v>
      </c>
      <c r="B36" s="131">
        <v>4</v>
      </c>
      <c r="C36" s="186" t="s">
        <v>640</v>
      </c>
      <c r="D36" s="183">
        <f t="shared" ref="D36:M36" si="18">IF(AND($B37="Y",YEAR($B32)+$B34&gt;D$5),D40+D32*(D33-D40*0.5),IF((YEAR($B32)+$B34)&gt;D$5,(D33*D32/$B36-D39)*$B36,(D33*(1+D32*MONTH($B32)/12))))</f>
        <v>0</v>
      </c>
      <c r="E36" s="183">
        <f t="shared" si="18"/>
        <v>0</v>
      </c>
      <c r="F36" s="183">
        <f t="shared" si="18"/>
        <v>0</v>
      </c>
      <c r="G36" s="183">
        <f t="shared" si="18"/>
        <v>0</v>
      </c>
      <c r="H36" s="183">
        <f t="shared" si="18"/>
        <v>0</v>
      </c>
      <c r="I36" s="183">
        <f t="shared" si="18"/>
        <v>0</v>
      </c>
      <c r="J36" s="183">
        <f t="shared" si="18"/>
        <v>0</v>
      </c>
      <c r="K36" s="183">
        <f t="shared" si="18"/>
        <v>0</v>
      </c>
      <c r="L36" s="183">
        <f t="shared" si="18"/>
        <v>0</v>
      </c>
      <c r="M36" s="183">
        <f t="shared" si="18"/>
        <v>0</v>
      </c>
      <c r="N36" s="46"/>
    </row>
    <row r="37" spans="1:14" ht="13" customHeight="1">
      <c r="A37" s="5" t="s">
        <v>767</v>
      </c>
      <c r="B37" s="131" t="s">
        <v>719</v>
      </c>
      <c r="C37" s="187" t="s">
        <v>768</v>
      </c>
      <c r="D37" s="188">
        <v>0</v>
      </c>
      <c r="E37" s="188">
        <v>0</v>
      </c>
      <c r="F37" s="188">
        <v>0</v>
      </c>
      <c r="G37" s="188">
        <v>0</v>
      </c>
      <c r="H37" s="188">
        <v>0</v>
      </c>
      <c r="I37" s="188">
        <v>0</v>
      </c>
      <c r="J37" s="188">
        <v>0</v>
      </c>
      <c r="K37" s="188">
        <v>0</v>
      </c>
      <c r="L37" s="188">
        <v>0</v>
      </c>
      <c r="M37" s="188">
        <v>0</v>
      </c>
      <c r="N37" s="46"/>
    </row>
    <row r="38" spans="1:14" ht="13" customHeight="1">
      <c r="A38" s="5" t="s">
        <v>182</v>
      </c>
      <c r="B38" s="131"/>
      <c r="C38" s="30" t="s">
        <v>175</v>
      </c>
      <c r="D38" s="183">
        <f t="shared" ref="D38:M38" si="19">D33+D34-D36-D37</f>
        <v>0</v>
      </c>
      <c r="E38" s="183">
        <f t="shared" si="19"/>
        <v>0</v>
      </c>
      <c r="F38" s="183">
        <f t="shared" si="19"/>
        <v>0</v>
      </c>
      <c r="G38" s="183">
        <f t="shared" si="19"/>
        <v>0</v>
      </c>
      <c r="H38" s="183">
        <f t="shared" si="19"/>
        <v>0</v>
      </c>
      <c r="I38" s="183">
        <f t="shared" si="19"/>
        <v>0</v>
      </c>
      <c r="J38" s="183">
        <f t="shared" si="19"/>
        <v>0</v>
      </c>
      <c r="K38" s="183">
        <f t="shared" si="19"/>
        <v>0</v>
      </c>
      <c r="L38" s="183">
        <f t="shared" si="19"/>
        <v>0</v>
      </c>
      <c r="M38" s="183">
        <f t="shared" si="19"/>
        <v>0</v>
      </c>
      <c r="N38" s="46"/>
    </row>
    <row r="39" spans="1:14" ht="13" hidden="1" customHeight="1">
      <c r="A39" s="5"/>
      <c r="B39" s="138"/>
      <c r="C39" s="5" t="s">
        <v>769</v>
      </c>
      <c r="D39" s="183" t="e">
        <f t="shared" ref="D39:M39" si="20">PPMT(D32/$B36,1,ROUND(($B34-(D$5-YEAR($B32))+MONTH($B32)/12)*$B36,0),D33)</f>
        <v>#NUM!</v>
      </c>
      <c r="E39" s="183" t="e">
        <f t="shared" si="20"/>
        <v>#NUM!</v>
      </c>
      <c r="F39" s="183" t="e">
        <f t="shared" si="20"/>
        <v>#NUM!</v>
      </c>
      <c r="G39" s="183" t="e">
        <f t="shared" si="20"/>
        <v>#NUM!</v>
      </c>
      <c r="H39" s="183" t="e">
        <f t="shared" si="20"/>
        <v>#NUM!</v>
      </c>
      <c r="I39" s="183" t="e">
        <f t="shared" si="20"/>
        <v>#NUM!</v>
      </c>
      <c r="J39" s="183" t="e">
        <f t="shared" si="20"/>
        <v>#NUM!</v>
      </c>
      <c r="K39" s="183" t="e">
        <f t="shared" si="20"/>
        <v>#NUM!</v>
      </c>
      <c r="L39" s="183" t="e">
        <f t="shared" si="20"/>
        <v>#NUM!</v>
      </c>
      <c r="M39" s="183" t="e">
        <f t="shared" si="20"/>
        <v>#NUM!</v>
      </c>
      <c r="N39" s="46"/>
    </row>
    <row r="40" spans="1:14" ht="13" hidden="1" customHeight="1">
      <c r="A40" s="5"/>
      <c r="B40" s="5"/>
      <c r="C40" s="5" t="s">
        <v>770</v>
      </c>
      <c r="D40" s="183">
        <f t="shared" ref="D40:M40" si="21">IF(YEAR($B32)+$B34&gt;D$5,D33/(YEAR($B32)+$B34-D$5+MONTH($B32)/12),D33)</f>
        <v>0</v>
      </c>
      <c r="E40" s="183">
        <f t="shared" si="21"/>
        <v>0</v>
      </c>
      <c r="F40" s="183">
        <f t="shared" si="21"/>
        <v>0</v>
      </c>
      <c r="G40" s="183">
        <f t="shared" si="21"/>
        <v>0</v>
      </c>
      <c r="H40" s="183">
        <f t="shared" si="21"/>
        <v>0</v>
      </c>
      <c r="I40" s="183">
        <f t="shared" si="21"/>
        <v>0</v>
      </c>
      <c r="J40" s="183">
        <f t="shared" si="21"/>
        <v>0</v>
      </c>
      <c r="K40" s="183">
        <f t="shared" si="21"/>
        <v>0</v>
      </c>
      <c r="L40" s="183">
        <f t="shared" si="21"/>
        <v>0</v>
      </c>
      <c r="M40" s="183">
        <f t="shared" si="21"/>
        <v>0</v>
      </c>
      <c r="N40" s="46"/>
    </row>
    <row r="41" spans="1:14" ht="13" customHeight="1">
      <c r="A41" s="5"/>
      <c r="B41" s="5"/>
      <c r="C41" s="5"/>
      <c r="D41" s="25"/>
      <c r="E41" s="1"/>
      <c r="N41" s="28"/>
    </row>
    <row r="42" spans="1:14" ht="13" customHeight="1">
      <c r="A42" s="5"/>
      <c r="B42" s="5"/>
      <c r="C42" s="5"/>
      <c r="D42" s="180"/>
      <c r="E42" s="180"/>
      <c r="F42" s="180"/>
      <c r="G42" s="180"/>
      <c r="H42" s="180"/>
      <c r="I42" s="180"/>
      <c r="J42" s="180"/>
      <c r="K42" s="180"/>
      <c r="L42" s="180"/>
      <c r="M42" s="180"/>
    </row>
    <row r="43" spans="1:14" ht="13" customHeight="1">
      <c r="A43" s="30" t="s">
        <v>861</v>
      </c>
      <c r="B43" s="99"/>
      <c r="C43" t="s">
        <v>800</v>
      </c>
      <c r="D43" s="179" t="s">
        <v>801</v>
      </c>
      <c r="E43" s="1"/>
    </row>
    <row r="44" spans="1:14" ht="13" customHeight="1">
      <c r="A44" s="26" t="s">
        <v>677</v>
      </c>
      <c r="B44" s="133">
        <v>29373</v>
      </c>
      <c r="C44" s="5" t="s">
        <v>639</v>
      </c>
      <c r="D44" s="180">
        <f>IF($D43="V",Input!G$69,IF(AND($B50=D$5,Input!G$64&gt;0),Input!G$64,$B47))</f>
        <v>5.2499999999999998E-2</v>
      </c>
      <c r="E44" s="180">
        <f>IF($D43="V",Input!H$69,IF(AND($B50=E$5,Input!H$64&gt;0),Input!H$64,D44))</f>
        <v>5.2499999999999998E-2</v>
      </c>
      <c r="F44" s="180">
        <f>IF($D43="V",Input!I$69,IF(AND($B50=F$5,Input!I$64&gt;0),Input!I$64,E44))</f>
        <v>5.2499999999999998E-2</v>
      </c>
      <c r="G44" s="180">
        <f>IF($D43="V",Input!J$69,IF(AND($B50=G$5,Input!J$64&gt;0),Input!J$64,F44))</f>
        <v>5.2499999999999998E-2</v>
      </c>
      <c r="H44" s="180">
        <f>IF($D43="V",Input!K$69,IF(AND($B50=H$5,Input!K$64&gt;0),Input!K$64,G44))</f>
        <v>5.2499999999999998E-2</v>
      </c>
      <c r="I44" s="180">
        <f>IF($D43="V",Input!L$69,IF(AND($B50=I$5,Input!L$64&gt;0),Input!L$64,H44))</f>
        <v>5.2499999999999998E-2</v>
      </c>
      <c r="J44" s="180">
        <f>IF($D43="V",Input!M$69,IF(AND($B50=J$5,Input!M$64&gt;0),Input!M$64,I44))</f>
        <v>5.2499999999999998E-2</v>
      </c>
      <c r="K44" s="180">
        <f>IF($D43="V",Input!N$69,IF(AND($B50=K$5,Input!N$64&gt;0),Input!N$64,J44))</f>
        <v>5.2499999999999998E-2</v>
      </c>
      <c r="L44" s="180">
        <f>IF($D43="V",Input!O$69,IF(AND($B50=L$5,Input!O$64&gt;0),Input!O$64,K44))</f>
        <v>5.2499999999999998E-2</v>
      </c>
      <c r="M44" s="180">
        <f>IF($D43="V",Input!P$69,IF(AND($B50=M$5,Input!P$64&gt;0),Input!P$64,L44))</f>
        <v>5.2499999999999998E-2</v>
      </c>
    </row>
    <row r="45" spans="1:14" ht="13" customHeight="1">
      <c r="A45" s="5" t="s">
        <v>361</v>
      </c>
      <c r="B45" s="181">
        <v>0</v>
      </c>
      <c r="C45" s="27" t="s">
        <v>173</v>
      </c>
      <c r="D45" s="188">
        <v>0</v>
      </c>
      <c r="E45" s="183">
        <f t="shared" ref="E45:M45" si="22">D50</f>
        <v>0</v>
      </c>
      <c r="F45" s="183">
        <f t="shared" si="22"/>
        <v>0</v>
      </c>
      <c r="G45" s="183">
        <f t="shared" si="22"/>
        <v>0</v>
      </c>
      <c r="H45" s="183">
        <f t="shared" si="22"/>
        <v>0</v>
      </c>
      <c r="I45" s="183">
        <f t="shared" si="22"/>
        <v>0</v>
      </c>
      <c r="J45" s="183">
        <f t="shared" si="22"/>
        <v>0</v>
      </c>
      <c r="K45" s="183">
        <f t="shared" si="22"/>
        <v>0</v>
      </c>
      <c r="L45" s="183">
        <f t="shared" si="22"/>
        <v>0</v>
      </c>
      <c r="M45" s="183">
        <f t="shared" si="22"/>
        <v>0</v>
      </c>
      <c r="N45" s="46"/>
    </row>
    <row r="46" spans="1:14" ht="13" customHeight="1">
      <c r="A46" s="26" t="s">
        <v>170</v>
      </c>
      <c r="B46" s="131">
        <v>35</v>
      </c>
      <c r="C46" s="184" t="s">
        <v>169</v>
      </c>
      <c r="D46" s="183">
        <f t="shared" ref="D46:M46" si="23">D48-D47</f>
        <v>0</v>
      </c>
      <c r="E46" s="183">
        <f t="shared" si="23"/>
        <v>0</v>
      </c>
      <c r="F46" s="183">
        <f t="shared" si="23"/>
        <v>0</v>
      </c>
      <c r="G46" s="183">
        <f t="shared" si="23"/>
        <v>0</v>
      </c>
      <c r="H46" s="183">
        <f t="shared" si="23"/>
        <v>0</v>
      </c>
      <c r="I46" s="183">
        <f t="shared" si="23"/>
        <v>0</v>
      </c>
      <c r="J46" s="183">
        <f t="shared" si="23"/>
        <v>0</v>
      </c>
      <c r="K46" s="183">
        <f t="shared" si="23"/>
        <v>0</v>
      </c>
      <c r="L46" s="183">
        <f t="shared" si="23"/>
        <v>0</v>
      </c>
      <c r="M46" s="183">
        <f t="shared" si="23"/>
        <v>0</v>
      </c>
      <c r="N46" s="46"/>
    </row>
    <row r="47" spans="1:14" ht="13" customHeight="1">
      <c r="A47" s="5" t="s">
        <v>172</v>
      </c>
      <c r="B47" s="185">
        <f>B35</f>
        <v>5.2499999999999998E-2</v>
      </c>
      <c r="C47" s="5" t="s">
        <v>174</v>
      </c>
      <c r="D47" s="183">
        <f t="shared" ref="D47:M47" si="24">IF(AND($B49="Y",YEAR($B44)+$B46&gt;D$5),D52,IF((YEAR($B44)+$B46)&gt;D$5,FV(D44/$B48,$B48,D51),D45))</f>
        <v>0</v>
      </c>
      <c r="E47" s="183">
        <f t="shared" si="24"/>
        <v>0</v>
      </c>
      <c r="F47" s="183">
        <f t="shared" si="24"/>
        <v>0</v>
      </c>
      <c r="G47" s="183">
        <f t="shared" si="24"/>
        <v>0</v>
      </c>
      <c r="H47" s="183">
        <f t="shared" si="24"/>
        <v>0</v>
      </c>
      <c r="I47" s="183">
        <f t="shared" si="24"/>
        <v>0</v>
      </c>
      <c r="J47" s="183">
        <f t="shared" si="24"/>
        <v>0</v>
      </c>
      <c r="K47" s="183">
        <f t="shared" si="24"/>
        <v>0</v>
      </c>
      <c r="L47" s="183">
        <f t="shared" si="24"/>
        <v>0</v>
      </c>
      <c r="M47" s="183">
        <f t="shared" si="24"/>
        <v>0</v>
      </c>
      <c r="N47" s="46"/>
    </row>
    <row r="48" spans="1:14" ht="13" customHeight="1">
      <c r="A48" s="5" t="s">
        <v>171</v>
      </c>
      <c r="B48" s="131">
        <v>4</v>
      </c>
      <c r="C48" s="186" t="s">
        <v>640</v>
      </c>
      <c r="D48" s="183">
        <f t="shared" ref="D48:M48" si="25">IF(AND($B49="Y",YEAR($B44)+$B46&gt;D$5),D52+D44*(D45-D52*0.5),IF((YEAR($B44)+$B46)&gt;D$5,(D45*D44/$B48-D51)*$B48,(D45*(1+D44*MONTH($B44)/12))))</f>
        <v>0</v>
      </c>
      <c r="E48" s="183">
        <f t="shared" si="25"/>
        <v>0</v>
      </c>
      <c r="F48" s="183">
        <f t="shared" si="25"/>
        <v>0</v>
      </c>
      <c r="G48" s="183">
        <f t="shared" si="25"/>
        <v>0</v>
      </c>
      <c r="H48" s="183">
        <f t="shared" si="25"/>
        <v>0</v>
      </c>
      <c r="I48" s="183">
        <f t="shared" si="25"/>
        <v>0</v>
      </c>
      <c r="J48" s="183">
        <f t="shared" si="25"/>
        <v>0</v>
      </c>
      <c r="K48" s="183">
        <f t="shared" si="25"/>
        <v>0</v>
      </c>
      <c r="L48" s="183">
        <f t="shared" si="25"/>
        <v>0</v>
      </c>
      <c r="M48" s="183">
        <f t="shared" si="25"/>
        <v>0</v>
      </c>
      <c r="N48" s="46"/>
    </row>
    <row r="49" spans="1:14" ht="13" customHeight="1">
      <c r="A49" s="5" t="s">
        <v>767</v>
      </c>
      <c r="B49" s="131" t="s">
        <v>719</v>
      </c>
      <c r="C49" s="187" t="s">
        <v>768</v>
      </c>
      <c r="D49" s="188">
        <v>0</v>
      </c>
      <c r="E49" s="188">
        <v>0</v>
      </c>
      <c r="F49" s="188">
        <v>0</v>
      </c>
      <c r="G49" s="188">
        <v>0</v>
      </c>
      <c r="H49" s="188">
        <v>0</v>
      </c>
      <c r="I49" s="188">
        <v>0</v>
      </c>
      <c r="J49" s="188">
        <v>0</v>
      </c>
      <c r="K49" s="188">
        <v>0</v>
      </c>
      <c r="L49" s="188">
        <v>0</v>
      </c>
      <c r="M49" s="188">
        <v>0</v>
      </c>
      <c r="N49" s="46"/>
    </row>
    <row r="50" spans="1:14" ht="13" customHeight="1">
      <c r="A50" s="5" t="s">
        <v>182</v>
      </c>
      <c r="B50" s="131"/>
      <c r="C50" s="30" t="s">
        <v>175</v>
      </c>
      <c r="D50" s="183">
        <f t="shared" ref="D50:M50" si="26">D45+D46-D48-D49</f>
        <v>0</v>
      </c>
      <c r="E50" s="183">
        <f t="shared" si="26"/>
        <v>0</v>
      </c>
      <c r="F50" s="183">
        <f t="shared" si="26"/>
        <v>0</v>
      </c>
      <c r="G50" s="183">
        <f t="shared" si="26"/>
        <v>0</v>
      </c>
      <c r="H50" s="183">
        <f t="shared" si="26"/>
        <v>0</v>
      </c>
      <c r="I50" s="183">
        <f t="shared" si="26"/>
        <v>0</v>
      </c>
      <c r="J50" s="183">
        <f t="shared" si="26"/>
        <v>0</v>
      </c>
      <c r="K50" s="183">
        <f t="shared" si="26"/>
        <v>0</v>
      </c>
      <c r="L50" s="183">
        <f t="shared" si="26"/>
        <v>0</v>
      </c>
      <c r="M50" s="183">
        <f t="shared" si="26"/>
        <v>0</v>
      </c>
      <c r="N50" s="46"/>
    </row>
    <row r="51" spans="1:14" ht="13" hidden="1" customHeight="1">
      <c r="A51" s="5"/>
      <c r="B51" s="138"/>
      <c r="C51" s="5" t="s">
        <v>769</v>
      </c>
      <c r="D51" s="183" t="e">
        <f t="shared" ref="D51:M51" si="27">PPMT(D44/$B48,1,ROUND(($B46-(D$5-YEAR($B44))+MONTH($B44)/12)*$B48,0),D45)</f>
        <v>#NUM!</v>
      </c>
      <c r="E51" s="183" t="e">
        <f t="shared" si="27"/>
        <v>#NUM!</v>
      </c>
      <c r="F51" s="183" t="e">
        <f t="shared" si="27"/>
        <v>#NUM!</v>
      </c>
      <c r="G51" s="183" t="e">
        <f t="shared" si="27"/>
        <v>#NUM!</v>
      </c>
      <c r="H51" s="183" t="e">
        <f t="shared" si="27"/>
        <v>#NUM!</v>
      </c>
      <c r="I51" s="183" t="e">
        <f t="shared" si="27"/>
        <v>#NUM!</v>
      </c>
      <c r="J51" s="183" t="e">
        <f t="shared" si="27"/>
        <v>#NUM!</v>
      </c>
      <c r="K51" s="183" t="e">
        <f t="shared" si="27"/>
        <v>#NUM!</v>
      </c>
      <c r="L51" s="183" t="e">
        <f t="shared" si="27"/>
        <v>#NUM!</v>
      </c>
      <c r="M51" s="183" t="e">
        <f t="shared" si="27"/>
        <v>#NUM!</v>
      </c>
      <c r="N51" s="28"/>
    </row>
    <row r="52" spans="1:14" ht="13" hidden="1" customHeight="1">
      <c r="A52" s="5"/>
      <c r="B52" s="5"/>
      <c r="C52" s="5" t="s">
        <v>770</v>
      </c>
      <c r="D52" s="183">
        <f t="shared" ref="D52:M52" si="28">IF(YEAR($B44)+$B46&gt;D$5,D45/(YEAR($B44)+$B46-D$5+MONTH($B44)/12),D45)</f>
        <v>0</v>
      </c>
      <c r="E52" s="183">
        <f t="shared" si="28"/>
        <v>0</v>
      </c>
      <c r="F52" s="183">
        <f t="shared" si="28"/>
        <v>0</v>
      </c>
      <c r="G52" s="183">
        <f t="shared" si="28"/>
        <v>0</v>
      </c>
      <c r="H52" s="183">
        <f t="shared" si="28"/>
        <v>0</v>
      </c>
      <c r="I52" s="183">
        <f t="shared" si="28"/>
        <v>0</v>
      </c>
      <c r="J52" s="183">
        <f t="shared" si="28"/>
        <v>0</v>
      </c>
      <c r="K52" s="183">
        <f t="shared" si="28"/>
        <v>0</v>
      </c>
      <c r="L52" s="183">
        <f t="shared" si="28"/>
        <v>0</v>
      </c>
      <c r="M52" s="183">
        <f t="shared" si="28"/>
        <v>0</v>
      </c>
    </row>
    <row r="53" spans="1:14" ht="13" customHeight="1">
      <c r="A53" s="5"/>
      <c r="B53" s="5"/>
      <c r="C53" s="5"/>
      <c r="D53" s="192"/>
      <c r="E53" s="183"/>
      <c r="F53" s="183"/>
      <c r="G53" s="183"/>
      <c r="H53" s="183"/>
      <c r="I53" s="183"/>
      <c r="J53" s="183"/>
      <c r="K53" s="183"/>
      <c r="L53" s="183"/>
      <c r="M53" s="183"/>
    </row>
    <row r="54" spans="1:14" ht="13" customHeight="1">
      <c r="A54" s="5"/>
      <c r="B54" s="5"/>
      <c r="C54" s="5"/>
      <c r="D54" s="183"/>
      <c r="E54" s="183"/>
      <c r="F54" s="183"/>
      <c r="G54" s="183"/>
      <c r="H54" s="183"/>
      <c r="I54" s="183"/>
      <c r="J54" s="183"/>
      <c r="K54" s="183"/>
      <c r="L54" s="183"/>
      <c r="M54" s="183"/>
    </row>
    <row r="55" spans="1:14" ht="13" customHeight="1">
      <c r="A55" s="30" t="s">
        <v>862</v>
      </c>
      <c r="B55" s="99"/>
      <c r="C55" t="s">
        <v>800</v>
      </c>
      <c r="D55" s="179" t="s">
        <v>801</v>
      </c>
      <c r="E55" s="1"/>
      <c r="N55" s="46"/>
    </row>
    <row r="56" spans="1:14" ht="13" customHeight="1">
      <c r="A56" s="26" t="s">
        <v>677</v>
      </c>
      <c r="B56" s="133">
        <v>29373</v>
      </c>
      <c r="C56" s="5" t="s">
        <v>639</v>
      </c>
      <c r="D56" s="180">
        <f>IF($D55="V",Input!G$69,IF(AND($B62=D$5,Input!G$64&gt;0),Input!G$64,$B59))</f>
        <v>5.2499999999999998E-2</v>
      </c>
      <c r="E56" s="180">
        <f>IF($D55="V",Input!H$69,IF(AND($B62=E$5,Input!H$64&gt;0),Input!H$64,D56))</f>
        <v>5.2499999999999998E-2</v>
      </c>
      <c r="F56" s="180">
        <f>IF($D55="V",Input!I$69,IF(AND($B62=F$5,Input!I$64&gt;0),Input!I$64,E56))</f>
        <v>5.2499999999999998E-2</v>
      </c>
      <c r="G56" s="180">
        <f>IF($D55="V",Input!J$69,IF(AND($B62=G$5,Input!J$64&gt;0),Input!J$64,F56))</f>
        <v>5.2499999999999998E-2</v>
      </c>
      <c r="H56" s="180">
        <f>IF($D55="V",Input!K$69,IF(AND($B62=H$5,Input!K$64&gt;0),Input!K$64,G56))</f>
        <v>5.2499999999999998E-2</v>
      </c>
      <c r="I56" s="180">
        <f>IF($D55="V",Input!L$69,IF(AND($B62=I$5,Input!L$64&gt;0),Input!L$64,H56))</f>
        <v>5.2499999999999998E-2</v>
      </c>
      <c r="J56" s="180">
        <f>IF($D55="V",Input!M$69,IF(AND($B62=J$5,Input!M$64&gt;0),Input!M$64,I56))</f>
        <v>5.2499999999999998E-2</v>
      </c>
      <c r="K56" s="180">
        <f>IF($D55="V",Input!N$69,IF(AND($B62=K$5,Input!N$64&gt;0),Input!N$64,J56))</f>
        <v>5.2499999999999998E-2</v>
      </c>
      <c r="L56" s="180">
        <f>IF($D55="V",Input!O$69,IF(AND($B62=L$5,Input!O$64&gt;0),Input!O$64,K56))</f>
        <v>5.2499999999999998E-2</v>
      </c>
      <c r="M56" s="180">
        <f>IF($D55="V",Input!P$69,IF(AND($B62=M$5,Input!P$64&gt;0),Input!P$64,L56))</f>
        <v>5.2499999999999998E-2</v>
      </c>
      <c r="N56" s="46"/>
    </row>
    <row r="57" spans="1:14" ht="13" customHeight="1">
      <c r="A57" s="5" t="s">
        <v>361</v>
      </c>
      <c r="B57" s="181">
        <v>0</v>
      </c>
      <c r="C57" s="27" t="s">
        <v>173</v>
      </c>
      <c r="D57" s="188">
        <v>0</v>
      </c>
      <c r="E57" s="183">
        <f t="shared" ref="E57:M57" si="29">D62</f>
        <v>0</v>
      </c>
      <c r="F57" s="183">
        <f t="shared" si="29"/>
        <v>0</v>
      </c>
      <c r="G57" s="183">
        <f t="shared" si="29"/>
        <v>0</v>
      </c>
      <c r="H57" s="183">
        <f t="shared" si="29"/>
        <v>0</v>
      </c>
      <c r="I57" s="183">
        <f t="shared" si="29"/>
        <v>0</v>
      </c>
      <c r="J57" s="183">
        <f t="shared" si="29"/>
        <v>0</v>
      </c>
      <c r="K57" s="183">
        <f t="shared" si="29"/>
        <v>0</v>
      </c>
      <c r="L57" s="183">
        <f t="shared" si="29"/>
        <v>0</v>
      </c>
      <c r="M57" s="183">
        <f t="shared" si="29"/>
        <v>0</v>
      </c>
      <c r="N57" s="46"/>
    </row>
    <row r="58" spans="1:14" ht="13" customHeight="1">
      <c r="A58" s="26" t="s">
        <v>170</v>
      </c>
      <c r="B58" s="131">
        <v>35</v>
      </c>
      <c r="C58" s="184" t="s">
        <v>169</v>
      </c>
      <c r="D58" s="183">
        <f t="shared" ref="D58:M58" si="30">D60-D59</f>
        <v>0</v>
      </c>
      <c r="E58" s="183">
        <f t="shared" si="30"/>
        <v>0</v>
      </c>
      <c r="F58" s="183">
        <f t="shared" si="30"/>
        <v>0</v>
      </c>
      <c r="G58" s="183">
        <f t="shared" si="30"/>
        <v>0</v>
      </c>
      <c r="H58" s="183">
        <f t="shared" si="30"/>
        <v>0</v>
      </c>
      <c r="I58" s="183">
        <f t="shared" si="30"/>
        <v>0</v>
      </c>
      <c r="J58" s="183">
        <f t="shared" si="30"/>
        <v>0</v>
      </c>
      <c r="K58" s="183">
        <f t="shared" si="30"/>
        <v>0</v>
      </c>
      <c r="L58" s="183">
        <f t="shared" si="30"/>
        <v>0</v>
      </c>
      <c r="M58" s="183">
        <f t="shared" si="30"/>
        <v>0</v>
      </c>
      <c r="N58" s="46"/>
    </row>
    <row r="59" spans="1:14" ht="13" customHeight="1">
      <c r="A59" s="5" t="s">
        <v>172</v>
      </c>
      <c r="B59" s="185">
        <f>B47</f>
        <v>5.2499999999999998E-2</v>
      </c>
      <c r="C59" s="5" t="s">
        <v>174</v>
      </c>
      <c r="D59" s="183">
        <f t="shared" ref="D59:M59" si="31">IF(AND($B61="Y",YEAR($B56)+$B58&gt;D$5),D64,IF((YEAR($B56)+$B58)&gt;D$5,FV(D56/$B60,$B60,D63),D57))</f>
        <v>0</v>
      </c>
      <c r="E59" s="183">
        <f t="shared" si="31"/>
        <v>0</v>
      </c>
      <c r="F59" s="183">
        <f t="shared" si="31"/>
        <v>0</v>
      </c>
      <c r="G59" s="183">
        <f t="shared" si="31"/>
        <v>0</v>
      </c>
      <c r="H59" s="183">
        <f t="shared" si="31"/>
        <v>0</v>
      </c>
      <c r="I59" s="183">
        <f t="shared" si="31"/>
        <v>0</v>
      </c>
      <c r="J59" s="183">
        <f t="shared" si="31"/>
        <v>0</v>
      </c>
      <c r="K59" s="183">
        <f t="shared" si="31"/>
        <v>0</v>
      </c>
      <c r="L59" s="183">
        <f t="shared" si="31"/>
        <v>0</v>
      </c>
      <c r="M59" s="183">
        <f t="shared" si="31"/>
        <v>0</v>
      </c>
      <c r="N59" s="46"/>
    </row>
    <row r="60" spans="1:14" ht="13" customHeight="1">
      <c r="A60" s="5" t="s">
        <v>171</v>
      </c>
      <c r="B60" s="131">
        <v>4</v>
      </c>
      <c r="C60" s="186" t="s">
        <v>640</v>
      </c>
      <c r="D60" s="183">
        <f t="shared" ref="D60:M60" si="32">IF(AND($B61="Y",YEAR($B56)+$B58&gt;D$5),D64+D56*(D57-D64*0.5),IF((YEAR($B56)+$B58)&gt;D$5,(D57*D56/$B60-D63)*$B60,(D57*(1+D56*MONTH($B56)/12))))</f>
        <v>0</v>
      </c>
      <c r="E60" s="183">
        <f t="shared" si="32"/>
        <v>0</v>
      </c>
      <c r="F60" s="183">
        <f t="shared" si="32"/>
        <v>0</v>
      </c>
      <c r="G60" s="183">
        <f t="shared" si="32"/>
        <v>0</v>
      </c>
      <c r="H60" s="183">
        <f t="shared" si="32"/>
        <v>0</v>
      </c>
      <c r="I60" s="183">
        <f t="shared" si="32"/>
        <v>0</v>
      </c>
      <c r="J60" s="183">
        <f t="shared" si="32"/>
        <v>0</v>
      </c>
      <c r="K60" s="183">
        <f t="shared" si="32"/>
        <v>0</v>
      </c>
      <c r="L60" s="183">
        <f t="shared" si="32"/>
        <v>0</v>
      </c>
      <c r="M60" s="183">
        <f t="shared" si="32"/>
        <v>0</v>
      </c>
      <c r="N60" s="46"/>
    </row>
    <row r="61" spans="1:14" ht="13" customHeight="1">
      <c r="A61" s="5" t="s">
        <v>767</v>
      </c>
      <c r="B61" s="131" t="s">
        <v>719</v>
      </c>
      <c r="C61" s="187" t="s">
        <v>768</v>
      </c>
      <c r="D61" s="188">
        <v>0</v>
      </c>
      <c r="E61" s="188">
        <v>0</v>
      </c>
      <c r="F61" s="188">
        <v>0</v>
      </c>
      <c r="G61" s="188">
        <v>0</v>
      </c>
      <c r="H61" s="188">
        <v>0</v>
      </c>
      <c r="I61" s="188">
        <v>0</v>
      </c>
      <c r="J61" s="188">
        <v>0</v>
      </c>
      <c r="K61" s="188">
        <v>0</v>
      </c>
      <c r="L61" s="188">
        <v>0</v>
      </c>
      <c r="M61" s="188">
        <v>0</v>
      </c>
      <c r="N61" s="28"/>
    </row>
    <row r="62" spans="1:14" ht="13" customHeight="1">
      <c r="A62" s="5" t="s">
        <v>182</v>
      </c>
      <c r="B62" s="131"/>
      <c r="C62" s="30" t="s">
        <v>175</v>
      </c>
      <c r="D62" s="183">
        <f t="shared" ref="D62:M62" si="33">D57+D58-D60-D61</f>
        <v>0</v>
      </c>
      <c r="E62" s="183">
        <f t="shared" si="33"/>
        <v>0</v>
      </c>
      <c r="F62" s="183">
        <f t="shared" si="33"/>
        <v>0</v>
      </c>
      <c r="G62" s="183">
        <f t="shared" si="33"/>
        <v>0</v>
      </c>
      <c r="H62" s="183">
        <f t="shared" si="33"/>
        <v>0</v>
      </c>
      <c r="I62" s="183">
        <f t="shared" si="33"/>
        <v>0</v>
      </c>
      <c r="J62" s="183">
        <f t="shared" si="33"/>
        <v>0</v>
      </c>
      <c r="K62" s="183">
        <f t="shared" si="33"/>
        <v>0</v>
      </c>
      <c r="L62" s="183">
        <f t="shared" si="33"/>
        <v>0</v>
      </c>
      <c r="M62" s="183">
        <f t="shared" si="33"/>
        <v>0</v>
      </c>
    </row>
    <row r="63" spans="1:14" ht="13" hidden="1" customHeight="1">
      <c r="A63" s="5"/>
      <c r="B63" s="138"/>
      <c r="C63" s="5" t="s">
        <v>769</v>
      </c>
      <c r="D63" s="183" t="e">
        <f t="shared" ref="D63:M63" si="34">PPMT(D56/$B60,1,ROUND(($B58-(D$5-YEAR($B56))+MONTH($B56)/12)*$B60,0),D57)</f>
        <v>#NUM!</v>
      </c>
      <c r="E63" s="183" t="e">
        <f t="shared" si="34"/>
        <v>#NUM!</v>
      </c>
      <c r="F63" s="183" t="e">
        <f t="shared" si="34"/>
        <v>#NUM!</v>
      </c>
      <c r="G63" s="183" t="e">
        <f t="shared" si="34"/>
        <v>#NUM!</v>
      </c>
      <c r="H63" s="183" t="e">
        <f t="shared" si="34"/>
        <v>#NUM!</v>
      </c>
      <c r="I63" s="183" t="e">
        <f t="shared" si="34"/>
        <v>#NUM!</v>
      </c>
      <c r="J63" s="183" t="e">
        <f t="shared" si="34"/>
        <v>#NUM!</v>
      </c>
      <c r="K63" s="183" t="e">
        <f t="shared" si="34"/>
        <v>#NUM!</v>
      </c>
      <c r="L63" s="183" t="e">
        <f t="shared" si="34"/>
        <v>#NUM!</v>
      </c>
      <c r="M63" s="183" t="e">
        <f t="shared" si="34"/>
        <v>#NUM!</v>
      </c>
    </row>
    <row r="64" spans="1:14" ht="13" hidden="1" customHeight="1">
      <c r="A64" s="5"/>
      <c r="B64" s="5"/>
      <c r="C64" s="5" t="s">
        <v>770</v>
      </c>
      <c r="D64" s="183">
        <f t="shared" ref="D64:M64" si="35">IF(YEAR($B56)+$B58&gt;D$5,D57/(YEAR($B56)+$B58-D$5+MONTH($B56)/12),D57)</f>
        <v>0</v>
      </c>
      <c r="E64" s="183">
        <f t="shared" si="35"/>
        <v>0</v>
      </c>
      <c r="F64" s="183">
        <f t="shared" si="35"/>
        <v>0</v>
      </c>
      <c r="G64" s="183">
        <f t="shared" si="35"/>
        <v>0</v>
      </c>
      <c r="H64" s="183">
        <f t="shared" si="35"/>
        <v>0</v>
      </c>
      <c r="I64" s="183">
        <f t="shared" si="35"/>
        <v>0</v>
      </c>
      <c r="J64" s="183">
        <f t="shared" si="35"/>
        <v>0</v>
      </c>
      <c r="K64" s="183">
        <f t="shared" si="35"/>
        <v>0</v>
      </c>
      <c r="L64" s="183">
        <f t="shared" si="35"/>
        <v>0</v>
      </c>
      <c r="M64" s="183">
        <f t="shared" si="35"/>
        <v>0</v>
      </c>
    </row>
    <row r="65" spans="1:14" ht="13" customHeight="1">
      <c r="A65" s="5"/>
      <c r="B65" s="5"/>
      <c r="C65" s="5"/>
      <c r="D65" s="183"/>
      <c r="E65" s="183"/>
      <c r="F65" s="183"/>
      <c r="G65" s="183"/>
      <c r="H65" s="183"/>
      <c r="I65" s="183"/>
      <c r="J65" s="183"/>
      <c r="K65" s="183"/>
      <c r="L65" s="183"/>
      <c r="M65" s="183"/>
      <c r="N65" s="46"/>
    </row>
    <row r="66" spans="1:14" ht="13" customHeight="1">
      <c r="A66" s="5"/>
      <c r="B66" s="5"/>
      <c r="C66" s="5"/>
      <c r="D66" s="183"/>
      <c r="E66" s="183"/>
      <c r="F66" s="183"/>
      <c r="G66" s="183"/>
      <c r="H66" s="183"/>
      <c r="I66" s="183"/>
      <c r="J66" s="183"/>
      <c r="K66" s="183"/>
      <c r="L66" s="183"/>
      <c r="M66" s="183"/>
      <c r="N66" s="46"/>
    </row>
    <row r="67" spans="1:14" ht="13" customHeight="1">
      <c r="A67" s="30" t="s">
        <v>863</v>
      </c>
      <c r="B67" s="99"/>
      <c r="C67" t="s">
        <v>800</v>
      </c>
      <c r="D67" s="179" t="s">
        <v>801</v>
      </c>
      <c r="E67" s="1"/>
      <c r="N67" s="46"/>
    </row>
    <row r="68" spans="1:14" ht="13" customHeight="1">
      <c r="A68" s="26" t="s">
        <v>677</v>
      </c>
      <c r="B68" s="133">
        <v>29373</v>
      </c>
      <c r="C68" s="5" t="s">
        <v>639</v>
      </c>
      <c r="D68" s="180">
        <f>IF($D67="V",Input!G$69,IF(AND($B74=D$5,Input!G$64&gt;0),Input!G$64,$B71))</f>
        <v>5.2499999999999998E-2</v>
      </c>
      <c r="E68" s="180">
        <f>IF($D67="V",Input!H$69,IF(AND($B74=E$5,Input!H$64&gt;0),Input!H$64,D68))</f>
        <v>5.2499999999999998E-2</v>
      </c>
      <c r="F68" s="180">
        <f>IF($D67="V",Input!I$69,IF(AND($B74=F$5,Input!I$64&gt;0),Input!I$64,E68))</f>
        <v>5.2499999999999998E-2</v>
      </c>
      <c r="G68" s="180">
        <f>IF($D67="V",Input!J$69,IF(AND($B74=G$5,Input!J$64&gt;0),Input!J$64,F68))</f>
        <v>5.2499999999999998E-2</v>
      </c>
      <c r="H68" s="180">
        <f>IF($D67="V",Input!K$69,IF(AND($B74=H$5,Input!K$64&gt;0),Input!K$64,G68))</f>
        <v>5.2499999999999998E-2</v>
      </c>
      <c r="I68" s="180">
        <f>IF($D67="V",Input!L$69,IF(AND($B74=I$5,Input!L$64&gt;0),Input!L$64,H68))</f>
        <v>5.2499999999999998E-2</v>
      </c>
      <c r="J68" s="180">
        <f>IF($D67="V",Input!M$69,IF(AND($B74=J$5,Input!M$64&gt;0),Input!M$64,I68))</f>
        <v>5.2499999999999998E-2</v>
      </c>
      <c r="K68" s="180">
        <f>IF($D67="V",Input!N$69,IF(AND($B74=K$5,Input!N$64&gt;0),Input!N$64,J68))</f>
        <v>5.2499999999999998E-2</v>
      </c>
      <c r="L68" s="180">
        <f>IF($D67="V",Input!O$69,IF(AND($B74=L$5,Input!O$64&gt;0),Input!O$64,K68))</f>
        <v>5.2499999999999998E-2</v>
      </c>
      <c r="M68" s="180">
        <f>IF($D67="V",Input!P$69,IF(AND($B74=M$5,Input!P$64&gt;0),Input!P$64,L68))</f>
        <v>5.2499999999999998E-2</v>
      </c>
      <c r="N68" s="46"/>
    </row>
    <row r="69" spans="1:14" ht="13" customHeight="1">
      <c r="A69" s="5" t="s">
        <v>361</v>
      </c>
      <c r="B69" s="181">
        <v>0</v>
      </c>
      <c r="C69" s="27" t="s">
        <v>173</v>
      </c>
      <c r="D69" s="188">
        <v>0</v>
      </c>
      <c r="E69" s="183">
        <f t="shared" ref="E69:M69" si="36">D74</f>
        <v>0</v>
      </c>
      <c r="F69" s="183">
        <f t="shared" si="36"/>
        <v>0</v>
      </c>
      <c r="G69" s="183">
        <f t="shared" si="36"/>
        <v>0</v>
      </c>
      <c r="H69" s="183">
        <f t="shared" si="36"/>
        <v>0</v>
      </c>
      <c r="I69" s="183">
        <f t="shared" si="36"/>
        <v>0</v>
      </c>
      <c r="J69" s="183">
        <f t="shared" si="36"/>
        <v>0</v>
      </c>
      <c r="K69" s="183">
        <f t="shared" si="36"/>
        <v>0</v>
      </c>
      <c r="L69" s="183">
        <f t="shared" si="36"/>
        <v>0</v>
      </c>
      <c r="M69" s="183">
        <f t="shared" si="36"/>
        <v>0</v>
      </c>
      <c r="N69" s="46"/>
    </row>
    <row r="70" spans="1:14" ht="13" customHeight="1">
      <c r="A70" s="26" t="s">
        <v>170</v>
      </c>
      <c r="B70" s="131">
        <v>35</v>
      </c>
      <c r="C70" s="184" t="s">
        <v>169</v>
      </c>
      <c r="D70" s="183">
        <f t="shared" ref="D70:M70" si="37">D72-D71</f>
        <v>0</v>
      </c>
      <c r="E70" s="183">
        <f t="shared" si="37"/>
        <v>0</v>
      </c>
      <c r="F70" s="183">
        <f t="shared" si="37"/>
        <v>0</v>
      </c>
      <c r="G70" s="183">
        <f t="shared" si="37"/>
        <v>0</v>
      </c>
      <c r="H70" s="183">
        <f t="shared" si="37"/>
        <v>0</v>
      </c>
      <c r="I70" s="183">
        <f t="shared" si="37"/>
        <v>0</v>
      </c>
      <c r="J70" s="183">
        <f t="shared" si="37"/>
        <v>0</v>
      </c>
      <c r="K70" s="183">
        <f t="shared" si="37"/>
        <v>0</v>
      </c>
      <c r="L70" s="183">
        <f t="shared" si="37"/>
        <v>0</v>
      </c>
      <c r="M70" s="183">
        <f t="shared" si="37"/>
        <v>0</v>
      </c>
      <c r="N70" s="46"/>
    </row>
    <row r="71" spans="1:14" ht="13" customHeight="1">
      <c r="A71" s="5" t="s">
        <v>172</v>
      </c>
      <c r="B71" s="185">
        <f>B59</f>
        <v>5.2499999999999998E-2</v>
      </c>
      <c r="C71" s="5" t="s">
        <v>174</v>
      </c>
      <c r="D71" s="183">
        <f t="shared" ref="D71:M71" si="38">IF(AND($B73="Y",YEAR($B68)+$B70&gt;D$5),D76,IF((YEAR($B68)+$B70)&gt;D$5,FV(D68/$B72,$B72,D75),D69))</f>
        <v>0</v>
      </c>
      <c r="E71" s="183">
        <f t="shared" si="38"/>
        <v>0</v>
      </c>
      <c r="F71" s="183">
        <f t="shared" si="38"/>
        <v>0</v>
      </c>
      <c r="G71" s="183">
        <f t="shared" si="38"/>
        <v>0</v>
      </c>
      <c r="H71" s="183">
        <f t="shared" si="38"/>
        <v>0</v>
      </c>
      <c r="I71" s="183">
        <f t="shared" si="38"/>
        <v>0</v>
      </c>
      <c r="J71" s="183">
        <f t="shared" si="38"/>
        <v>0</v>
      </c>
      <c r="K71" s="183">
        <f t="shared" si="38"/>
        <v>0</v>
      </c>
      <c r="L71" s="183">
        <f t="shared" si="38"/>
        <v>0</v>
      </c>
      <c r="M71" s="183">
        <f t="shared" si="38"/>
        <v>0</v>
      </c>
      <c r="N71" s="46"/>
    </row>
    <row r="72" spans="1:14" ht="13" customHeight="1">
      <c r="A72" s="5" t="s">
        <v>171</v>
      </c>
      <c r="B72" s="131">
        <v>4</v>
      </c>
      <c r="C72" s="186" t="s">
        <v>640</v>
      </c>
      <c r="D72" s="183">
        <f t="shared" ref="D72:M72" si="39">IF(AND($B73="Y",YEAR($B68)+$B70&gt;D$5),D76+D68*(D69-D76*0.5),IF((YEAR($B68)+$B70)&gt;D$5,(D69*D68/$B72-D75)*$B72,(D69*(1+D68*MONTH($B68)/12))))</f>
        <v>0</v>
      </c>
      <c r="E72" s="183">
        <f t="shared" si="39"/>
        <v>0</v>
      </c>
      <c r="F72" s="183">
        <f t="shared" si="39"/>
        <v>0</v>
      </c>
      <c r="G72" s="183">
        <f t="shared" si="39"/>
        <v>0</v>
      </c>
      <c r="H72" s="183">
        <f t="shared" si="39"/>
        <v>0</v>
      </c>
      <c r="I72" s="183">
        <f t="shared" si="39"/>
        <v>0</v>
      </c>
      <c r="J72" s="183">
        <f t="shared" si="39"/>
        <v>0</v>
      </c>
      <c r="K72" s="183">
        <f t="shared" si="39"/>
        <v>0</v>
      </c>
      <c r="L72" s="183">
        <f t="shared" si="39"/>
        <v>0</v>
      </c>
      <c r="M72" s="183">
        <f t="shared" si="39"/>
        <v>0</v>
      </c>
      <c r="N72" s="46"/>
    </row>
    <row r="73" spans="1:14" ht="13" customHeight="1">
      <c r="A73" s="5" t="s">
        <v>767</v>
      </c>
      <c r="B73" s="131" t="s">
        <v>719</v>
      </c>
      <c r="C73" s="187" t="s">
        <v>768</v>
      </c>
      <c r="D73" s="188">
        <v>0</v>
      </c>
      <c r="E73" s="188">
        <v>0</v>
      </c>
      <c r="F73" s="188">
        <v>0</v>
      </c>
      <c r="G73" s="188">
        <v>0</v>
      </c>
      <c r="H73" s="188">
        <v>0</v>
      </c>
      <c r="I73" s="188">
        <v>0</v>
      </c>
      <c r="J73" s="188">
        <v>0</v>
      </c>
      <c r="K73" s="188">
        <v>0</v>
      </c>
      <c r="L73" s="188">
        <v>0</v>
      </c>
      <c r="M73" s="188">
        <v>0</v>
      </c>
      <c r="N73" s="46"/>
    </row>
    <row r="74" spans="1:14" ht="13" customHeight="1">
      <c r="A74" s="5" t="s">
        <v>182</v>
      </c>
      <c r="B74" s="131"/>
      <c r="C74" s="30" t="s">
        <v>175</v>
      </c>
      <c r="D74" s="183">
        <f t="shared" ref="D74:M74" si="40">D69+D70-D72-D73</f>
        <v>0</v>
      </c>
      <c r="E74" s="183">
        <f t="shared" si="40"/>
        <v>0</v>
      </c>
      <c r="F74" s="183">
        <f t="shared" si="40"/>
        <v>0</v>
      </c>
      <c r="G74" s="183">
        <f t="shared" si="40"/>
        <v>0</v>
      </c>
      <c r="H74" s="183">
        <f t="shared" si="40"/>
        <v>0</v>
      </c>
      <c r="I74" s="183">
        <f t="shared" si="40"/>
        <v>0</v>
      </c>
      <c r="J74" s="183">
        <f t="shared" si="40"/>
        <v>0</v>
      </c>
      <c r="K74" s="183">
        <f t="shared" si="40"/>
        <v>0</v>
      </c>
      <c r="L74" s="183">
        <f t="shared" si="40"/>
        <v>0</v>
      </c>
      <c r="M74" s="183">
        <f t="shared" si="40"/>
        <v>0</v>
      </c>
      <c r="N74" s="46"/>
    </row>
    <row r="75" spans="1:14" ht="13" hidden="1" customHeight="1">
      <c r="A75" s="5"/>
      <c r="B75" s="138"/>
      <c r="C75" s="5" t="s">
        <v>769</v>
      </c>
      <c r="D75" s="183" t="e">
        <f t="shared" ref="D75:M75" si="41">PPMT(D68/$B72,1,ROUND(($B70-(D$5-YEAR($B68))+MONTH($B68)/12)*$B72,0),D69)</f>
        <v>#NUM!</v>
      </c>
      <c r="E75" s="183" t="e">
        <f t="shared" si="41"/>
        <v>#NUM!</v>
      </c>
      <c r="F75" s="183" t="e">
        <f t="shared" si="41"/>
        <v>#NUM!</v>
      </c>
      <c r="G75" s="183" t="e">
        <f t="shared" si="41"/>
        <v>#NUM!</v>
      </c>
      <c r="H75" s="183" t="e">
        <f t="shared" si="41"/>
        <v>#NUM!</v>
      </c>
      <c r="I75" s="183" t="e">
        <f t="shared" si="41"/>
        <v>#NUM!</v>
      </c>
      <c r="J75" s="183" t="e">
        <f t="shared" si="41"/>
        <v>#NUM!</v>
      </c>
      <c r="K75" s="183" t="e">
        <f t="shared" si="41"/>
        <v>#NUM!</v>
      </c>
      <c r="L75" s="183" t="e">
        <f t="shared" si="41"/>
        <v>#NUM!</v>
      </c>
      <c r="M75" s="183" t="e">
        <f t="shared" si="41"/>
        <v>#NUM!</v>
      </c>
    </row>
    <row r="76" spans="1:14" ht="13" hidden="1" customHeight="1">
      <c r="A76" s="5"/>
      <c r="B76" s="5"/>
      <c r="C76" s="5" t="s">
        <v>770</v>
      </c>
      <c r="D76" s="183">
        <f t="shared" ref="D76:M76" si="42">IF(YEAR($B68)+$B70&gt;D$5,D69/(YEAR($B68)+$B70-D$5+MONTH($B68)/12),D69)</f>
        <v>0</v>
      </c>
      <c r="E76" s="183">
        <f t="shared" si="42"/>
        <v>0</v>
      </c>
      <c r="F76" s="183">
        <f t="shared" si="42"/>
        <v>0</v>
      </c>
      <c r="G76" s="183">
        <f t="shared" si="42"/>
        <v>0</v>
      </c>
      <c r="H76" s="183">
        <f t="shared" si="42"/>
        <v>0</v>
      </c>
      <c r="I76" s="183">
        <f t="shared" si="42"/>
        <v>0</v>
      </c>
      <c r="J76" s="183">
        <f t="shared" si="42"/>
        <v>0</v>
      </c>
      <c r="K76" s="183">
        <f t="shared" si="42"/>
        <v>0</v>
      </c>
      <c r="L76" s="183">
        <f t="shared" si="42"/>
        <v>0</v>
      </c>
      <c r="M76" s="183">
        <f t="shared" si="42"/>
        <v>0</v>
      </c>
      <c r="N76" s="5"/>
    </row>
    <row r="77" spans="1:14" ht="13" customHeight="1">
      <c r="A77" s="5"/>
      <c r="B77" s="5"/>
      <c r="C77" s="5"/>
      <c r="D77" s="192"/>
      <c r="E77" s="183"/>
      <c r="F77" s="183"/>
      <c r="G77" s="183"/>
      <c r="H77" s="183"/>
      <c r="I77" s="183"/>
      <c r="J77" s="183"/>
      <c r="K77" s="183"/>
      <c r="L77" s="183"/>
      <c r="M77" s="183"/>
      <c r="N77" s="28"/>
    </row>
    <row r="78" spans="1:14" ht="13" customHeight="1">
      <c r="A78" s="5"/>
      <c r="B78" s="5"/>
      <c r="C78" s="5"/>
      <c r="D78" s="183"/>
      <c r="E78" s="183"/>
      <c r="F78" s="183"/>
      <c r="G78" s="183"/>
      <c r="H78" s="183"/>
      <c r="I78" s="183"/>
      <c r="J78" s="183"/>
      <c r="K78" s="183"/>
      <c r="L78" s="183"/>
      <c r="M78" s="183"/>
      <c r="N78" s="28"/>
    </row>
    <row r="79" spans="1:14" ht="13" customHeight="1">
      <c r="A79" s="5"/>
      <c r="B79" s="5"/>
      <c r="C79" s="5"/>
      <c r="D79" s="183"/>
      <c r="E79" s="183"/>
      <c r="F79" s="183"/>
      <c r="G79" s="183"/>
      <c r="H79" s="183"/>
      <c r="I79" s="183"/>
      <c r="J79" s="183"/>
      <c r="K79" s="183"/>
      <c r="L79" s="183"/>
      <c r="M79" s="183"/>
      <c r="N79" s="28"/>
    </row>
    <row r="80" spans="1:14" ht="13" customHeight="1">
      <c r="A80" s="5" t="s">
        <v>887</v>
      </c>
      <c r="B80" s="5"/>
      <c r="C80" s="5"/>
      <c r="D80" s="189">
        <f t="shared" ref="D80:M80" si="43">+D5</f>
        <v>2024</v>
      </c>
      <c r="E80" s="189">
        <f t="shared" si="43"/>
        <v>2025</v>
      </c>
      <c r="F80" s="189">
        <f t="shared" si="43"/>
        <v>2026</v>
      </c>
      <c r="G80" s="189">
        <f t="shared" si="43"/>
        <v>2027</v>
      </c>
      <c r="H80" s="189">
        <f t="shared" si="43"/>
        <v>2028</v>
      </c>
      <c r="I80" s="189">
        <f t="shared" si="43"/>
        <v>2029</v>
      </c>
      <c r="J80" s="189">
        <f t="shared" si="43"/>
        <v>2030</v>
      </c>
      <c r="K80" s="189">
        <f t="shared" si="43"/>
        <v>2031</v>
      </c>
      <c r="L80" s="189">
        <f t="shared" si="43"/>
        <v>2032</v>
      </c>
      <c r="M80" s="189">
        <f t="shared" si="43"/>
        <v>2033</v>
      </c>
      <c r="N80" s="28"/>
    </row>
    <row r="81" spans="1:14" ht="13" customHeight="1">
      <c r="A81" s="5"/>
      <c r="B81" s="5"/>
      <c r="C81" s="5"/>
      <c r="D81" s="189" t="str">
        <f t="shared" ref="D81:M81" si="44">+D6</f>
        <v xml:space="preserve">  -----------</v>
      </c>
      <c r="E81" s="189" t="str">
        <f t="shared" si="44"/>
        <v xml:space="preserve">  -----------</v>
      </c>
      <c r="F81" s="189" t="str">
        <f t="shared" si="44"/>
        <v xml:space="preserve">  -----------</v>
      </c>
      <c r="G81" s="189" t="str">
        <f t="shared" si="44"/>
        <v xml:space="preserve">  -----------</v>
      </c>
      <c r="H81" s="189" t="str">
        <f t="shared" si="44"/>
        <v xml:space="preserve">  -----------</v>
      </c>
      <c r="I81" s="189" t="str">
        <f t="shared" si="44"/>
        <v xml:space="preserve">  -----------</v>
      </c>
      <c r="J81" s="189" t="str">
        <f t="shared" si="44"/>
        <v xml:space="preserve">  -----------</v>
      </c>
      <c r="K81" s="189" t="str">
        <f t="shared" si="44"/>
        <v xml:space="preserve">  -----------</v>
      </c>
      <c r="L81" s="189" t="str">
        <f t="shared" si="44"/>
        <v xml:space="preserve">  -----------</v>
      </c>
      <c r="M81" s="189" t="str">
        <f t="shared" si="44"/>
        <v xml:space="preserve">  -----------</v>
      </c>
      <c r="N81" s="28"/>
    </row>
    <row r="82" spans="1:14" ht="13" customHeight="1">
      <c r="A82" s="30" t="s">
        <v>864</v>
      </c>
      <c r="B82" s="99"/>
      <c r="C82" t="s">
        <v>800</v>
      </c>
      <c r="D82" s="179" t="s">
        <v>801</v>
      </c>
      <c r="E82" s="1"/>
      <c r="N82" s="28"/>
    </row>
    <row r="83" spans="1:14" ht="13" customHeight="1">
      <c r="A83" s="26" t="s">
        <v>677</v>
      </c>
      <c r="B83" s="133">
        <v>29373</v>
      </c>
      <c r="C83" s="5" t="s">
        <v>639</v>
      </c>
      <c r="D83" s="180">
        <f>IF($D82="V",Input!G$69,IF(AND($B89=D$5,Input!G$64&gt;0),Input!G$64,$B86))</f>
        <v>5.2499999999999998E-2</v>
      </c>
      <c r="E83" s="180">
        <f>IF($D82="V",Input!H$69,IF(AND($B89=E$5,Input!H$64&gt;0),Input!H$64,D83))</f>
        <v>5.2499999999999998E-2</v>
      </c>
      <c r="F83" s="180">
        <f>IF($D82="V",Input!I$69,IF(AND($B89=F$5,Input!I$64&gt;0),Input!I$64,E83))</f>
        <v>5.2499999999999998E-2</v>
      </c>
      <c r="G83" s="180">
        <f>IF($D82="V",Input!J$69,IF(AND($B89=G$5,Input!J$64&gt;0),Input!J$64,F83))</f>
        <v>5.2499999999999998E-2</v>
      </c>
      <c r="H83" s="180">
        <f>IF($D82="V",Input!K$69,IF(AND($B89=H$5,Input!K$64&gt;0),Input!K$64,G83))</f>
        <v>5.2499999999999998E-2</v>
      </c>
      <c r="I83" s="180">
        <f>IF($D82="V",Input!L$69,IF(AND($B89=I$5,Input!L$64&gt;0),Input!L$64,H83))</f>
        <v>5.2499999999999998E-2</v>
      </c>
      <c r="J83" s="180">
        <f>IF($D82="V",Input!M$69,IF(AND($B89=J$5,Input!M$64&gt;0),Input!M$64,I83))</f>
        <v>5.2499999999999998E-2</v>
      </c>
      <c r="K83" s="180">
        <f>IF($D82="V",Input!N$69,IF(AND($B89=K$5,Input!N$64&gt;0),Input!N$64,J83))</f>
        <v>5.2499999999999998E-2</v>
      </c>
      <c r="L83" s="180">
        <f>IF($D82="V",Input!O$69,IF(AND($B89=L$5,Input!O$64&gt;0),Input!O$64,K83))</f>
        <v>5.2499999999999998E-2</v>
      </c>
      <c r="M83" s="180">
        <f>IF($D82="V",Input!P$69,IF(AND($B89=M$5,Input!P$64&gt;0),Input!P$64,L83))</f>
        <v>5.2499999999999998E-2</v>
      </c>
      <c r="N83" s="28"/>
    </row>
    <row r="84" spans="1:14" ht="13" customHeight="1">
      <c r="A84" s="5" t="s">
        <v>361</v>
      </c>
      <c r="B84" s="181">
        <v>0</v>
      </c>
      <c r="C84" s="27" t="s">
        <v>173</v>
      </c>
      <c r="D84" s="188">
        <v>0</v>
      </c>
      <c r="E84" s="183">
        <f t="shared" ref="E84:M84" si="45">D89</f>
        <v>0</v>
      </c>
      <c r="F84" s="183">
        <f t="shared" si="45"/>
        <v>0</v>
      </c>
      <c r="G84" s="183">
        <f t="shared" si="45"/>
        <v>0</v>
      </c>
      <c r="H84" s="183">
        <f t="shared" si="45"/>
        <v>0</v>
      </c>
      <c r="I84" s="183">
        <f t="shared" si="45"/>
        <v>0</v>
      </c>
      <c r="J84" s="183">
        <f t="shared" si="45"/>
        <v>0</v>
      </c>
      <c r="K84" s="183">
        <f t="shared" si="45"/>
        <v>0</v>
      </c>
      <c r="L84" s="183">
        <f t="shared" si="45"/>
        <v>0</v>
      </c>
      <c r="M84" s="183">
        <f t="shared" si="45"/>
        <v>0</v>
      </c>
      <c r="N84" s="28"/>
    </row>
    <row r="85" spans="1:14" ht="13" customHeight="1">
      <c r="A85" s="26" t="s">
        <v>170</v>
      </c>
      <c r="B85" s="131">
        <v>35</v>
      </c>
      <c r="C85" s="184" t="s">
        <v>169</v>
      </c>
      <c r="D85" s="183">
        <f t="shared" ref="D85:M85" si="46">D87-D86</f>
        <v>0</v>
      </c>
      <c r="E85" s="183">
        <f t="shared" si="46"/>
        <v>0</v>
      </c>
      <c r="F85" s="183">
        <f t="shared" si="46"/>
        <v>0</v>
      </c>
      <c r="G85" s="183">
        <f t="shared" si="46"/>
        <v>0</v>
      </c>
      <c r="H85" s="183">
        <f t="shared" si="46"/>
        <v>0</v>
      </c>
      <c r="I85" s="183">
        <f t="shared" si="46"/>
        <v>0</v>
      </c>
      <c r="J85" s="183">
        <f t="shared" si="46"/>
        <v>0</v>
      </c>
      <c r="K85" s="183">
        <f t="shared" si="46"/>
        <v>0</v>
      </c>
      <c r="L85" s="183">
        <f t="shared" si="46"/>
        <v>0</v>
      </c>
      <c r="M85" s="183">
        <f t="shared" si="46"/>
        <v>0</v>
      </c>
      <c r="N85" s="5"/>
    </row>
    <row r="86" spans="1:14" ht="13" customHeight="1">
      <c r="A86" s="5" t="s">
        <v>172</v>
      </c>
      <c r="B86" s="185">
        <f>B71</f>
        <v>5.2499999999999998E-2</v>
      </c>
      <c r="C86" s="5" t="s">
        <v>174</v>
      </c>
      <c r="D86" s="183">
        <f t="shared" ref="D86:M86" si="47">IF(AND($B88="Y",YEAR($B83)+$B85&gt;D$5),D91,IF((YEAR($B83)+$B85)&gt;D$5,FV(D83/$B87,$B87,D90),D84))</f>
        <v>0</v>
      </c>
      <c r="E86" s="183">
        <f t="shared" si="47"/>
        <v>0</v>
      </c>
      <c r="F86" s="183">
        <f t="shared" si="47"/>
        <v>0</v>
      </c>
      <c r="G86" s="183">
        <f t="shared" si="47"/>
        <v>0</v>
      </c>
      <c r="H86" s="183">
        <f t="shared" si="47"/>
        <v>0</v>
      </c>
      <c r="I86" s="183">
        <f t="shared" si="47"/>
        <v>0</v>
      </c>
      <c r="J86" s="183">
        <f t="shared" si="47"/>
        <v>0</v>
      </c>
      <c r="K86" s="183">
        <f t="shared" si="47"/>
        <v>0</v>
      </c>
      <c r="L86" s="183">
        <f t="shared" si="47"/>
        <v>0</v>
      </c>
      <c r="M86" s="183">
        <f t="shared" si="47"/>
        <v>0</v>
      </c>
      <c r="N86" s="28"/>
    </row>
    <row r="87" spans="1:14" ht="13" customHeight="1">
      <c r="A87" s="5" t="s">
        <v>171</v>
      </c>
      <c r="B87" s="131">
        <v>4</v>
      </c>
      <c r="C87" s="186" t="s">
        <v>640</v>
      </c>
      <c r="D87" s="183">
        <f t="shared" ref="D87:M87" si="48">IF(AND($B88="Y",YEAR($B83)+$B85&gt;D$5),D91+D83*(D84-D91*0.5),IF((YEAR($B83)+$B85)&gt;D$5,(D84*D83/$B87-D90)*$B87,(D84*(1+D83*MONTH($B83)/12))))</f>
        <v>0</v>
      </c>
      <c r="E87" s="183">
        <f t="shared" si="48"/>
        <v>0</v>
      </c>
      <c r="F87" s="183">
        <f t="shared" si="48"/>
        <v>0</v>
      </c>
      <c r="G87" s="183">
        <f t="shared" si="48"/>
        <v>0</v>
      </c>
      <c r="H87" s="183">
        <f t="shared" si="48"/>
        <v>0</v>
      </c>
      <c r="I87" s="183">
        <f t="shared" si="48"/>
        <v>0</v>
      </c>
      <c r="J87" s="183">
        <f t="shared" si="48"/>
        <v>0</v>
      </c>
      <c r="K87" s="183">
        <f t="shared" si="48"/>
        <v>0</v>
      </c>
      <c r="L87" s="183">
        <f t="shared" si="48"/>
        <v>0</v>
      </c>
      <c r="M87" s="183">
        <f t="shared" si="48"/>
        <v>0</v>
      </c>
      <c r="N87" s="28"/>
    </row>
    <row r="88" spans="1:14" ht="13" customHeight="1">
      <c r="A88" s="5" t="s">
        <v>767</v>
      </c>
      <c r="B88" s="131" t="s">
        <v>719</v>
      </c>
      <c r="C88" s="187" t="s">
        <v>768</v>
      </c>
      <c r="D88" s="188">
        <v>0</v>
      </c>
      <c r="E88" s="188">
        <v>0</v>
      </c>
      <c r="F88" s="188">
        <v>0</v>
      </c>
      <c r="G88" s="188">
        <v>0</v>
      </c>
      <c r="H88" s="188">
        <v>0</v>
      </c>
      <c r="I88" s="188">
        <v>0</v>
      </c>
      <c r="J88" s="188">
        <v>0</v>
      </c>
      <c r="K88" s="188">
        <v>0</v>
      </c>
      <c r="L88" s="188">
        <v>0</v>
      </c>
      <c r="M88" s="188">
        <v>0</v>
      </c>
      <c r="N88" s="28"/>
    </row>
    <row r="89" spans="1:14" ht="13" customHeight="1">
      <c r="A89" s="5" t="s">
        <v>182</v>
      </c>
      <c r="B89" s="131"/>
      <c r="C89" s="30" t="s">
        <v>175</v>
      </c>
      <c r="D89" s="183">
        <f t="shared" ref="D89:M89" si="49">D84+D85-D87-D88</f>
        <v>0</v>
      </c>
      <c r="E89" s="183">
        <f t="shared" si="49"/>
        <v>0</v>
      </c>
      <c r="F89" s="183">
        <f t="shared" si="49"/>
        <v>0</v>
      </c>
      <c r="G89" s="183">
        <f t="shared" si="49"/>
        <v>0</v>
      </c>
      <c r="H89" s="183">
        <f t="shared" si="49"/>
        <v>0</v>
      </c>
      <c r="I89" s="183">
        <f t="shared" si="49"/>
        <v>0</v>
      </c>
      <c r="J89" s="183">
        <f t="shared" si="49"/>
        <v>0</v>
      </c>
      <c r="K89" s="183">
        <f t="shared" si="49"/>
        <v>0</v>
      </c>
      <c r="L89" s="183">
        <f t="shared" si="49"/>
        <v>0</v>
      </c>
      <c r="M89" s="183">
        <f t="shared" si="49"/>
        <v>0</v>
      </c>
      <c r="N89" s="28"/>
    </row>
    <row r="90" spans="1:14" ht="13" hidden="1" customHeight="1">
      <c r="A90" s="5"/>
      <c r="B90" s="138"/>
      <c r="C90" s="5" t="s">
        <v>769</v>
      </c>
      <c r="D90" s="183" t="e">
        <f t="shared" ref="D90:M90" si="50">PPMT(D83/$B87,1,ROUND(($B85-(D$5-YEAR($B83))+MONTH($B83)/12)*$B87,0),D84)</f>
        <v>#NUM!</v>
      </c>
      <c r="E90" s="183" t="e">
        <f t="shared" si="50"/>
        <v>#NUM!</v>
      </c>
      <c r="F90" s="183" t="e">
        <f t="shared" si="50"/>
        <v>#NUM!</v>
      </c>
      <c r="G90" s="183" t="e">
        <f t="shared" si="50"/>
        <v>#NUM!</v>
      </c>
      <c r="H90" s="183" t="e">
        <f t="shared" si="50"/>
        <v>#NUM!</v>
      </c>
      <c r="I90" s="183" t="e">
        <f t="shared" si="50"/>
        <v>#NUM!</v>
      </c>
      <c r="J90" s="183" t="e">
        <f t="shared" si="50"/>
        <v>#NUM!</v>
      </c>
      <c r="K90" s="183" t="e">
        <f t="shared" si="50"/>
        <v>#NUM!</v>
      </c>
      <c r="L90" s="183" t="e">
        <f t="shared" si="50"/>
        <v>#NUM!</v>
      </c>
      <c r="M90" s="183" t="e">
        <f t="shared" si="50"/>
        <v>#NUM!</v>
      </c>
      <c r="N90" s="28"/>
    </row>
    <row r="91" spans="1:14" ht="12.75" hidden="1" customHeight="1">
      <c r="A91" s="5"/>
      <c r="B91" s="5"/>
      <c r="C91" s="5" t="s">
        <v>770</v>
      </c>
      <c r="D91" s="183">
        <f t="shared" ref="D91:M91" si="51">IF(YEAR($B83)+$B85&gt;D$5,D84/(YEAR($B83)+$B85-D$5+MONTH($B83)/12),D84)</f>
        <v>0</v>
      </c>
      <c r="E91" s="183">
        <f t="shared" si="51"/>
        <v>0</v>
      </c>
      <c r="F91" s="183">
        <f t="shared" si="51"/>
        <v>0</v>
      </c>
      <c r="G91" s="183">
        <f t="shared" si="51"/>
        <v>0</v>
      </c>
      <c r="H91" s="183">
        <f t="shared" si="51"/>
        <v>0</v>
      </c>
      <c r="I91" s="183">
        <f t="shared" si="51"/>
        <v>0</v>
      </c>
      <c r="J91" s="183">
        <f t="shared" si="51"/>
        <v>0</v>
      </c>
      <c r="K91" s="183">
        <f t="shared" si="51"/>
        <v>0</v>
      </c>
      <c r="L91" s="183">
        <f t="shared" si="51"/>
        <v>0</v>
      </c>
      <c r="M91" s="183">
        <f t="shared" si="51"/>
        <v>0</v>
      </c>
      <c r="N91" s="28"/>
    </row>
    <row r="92" spans="1:14" ht="13" customHeight="1">
      <c r="C92" s="5"/>
      <c r="N92" s="28"/>
    </row>
    <row r="93" spans="1:14" ht="13" customHeight="1">
      <c r="A93" s="30" t="s">
        <v>865</v>
      </c>
      <c r="B93" s="99"/>
      <c r="C93" t="s">
        <v>800</v>
      </c>
      <c r="D93" s="179" t="s">
        <v>801</v>
      </c>
      <c r="E93" s="1"/>
      <c r="N93" s="28"/>
    </row>
    <row r="94" spans="1:14" ht="13" customHeight="1">
      <c r="A94" s="26" t="s">
        <v>677</v>
      </c>
      <c r="B94" s="133">
        <v>29373</v>
      </c>
      <c r="C94" s="5" t="s">
        <v>639</v>
      </c>
      <c r="D94" s="180">
        <f>IF($D93="V",Input!G$69,IF(AND($B100=D$5,Input!G$64&gt;0),Input!G$64,$B97))</f>
        <v>5.2499999999999998E-2</v>
      </c>
      <c r="E94" s="180">
        <f>IF($D93="V",Input!H$69,IF(AND($B100=E$5,Input!H$64&gt;0),Input!H$64,D94))</f>
        <v>5.2499999999999998E-2</v>
      </c>
      <c r="F94" s="180">
        <f>IF($D93="V",Input!I$69,IF(AND($B100=F$5,Input!I$64&gt;0),Input!I$64,E94))</f>
        <v>5.2499999999999998E-2</v>
      </c>
      <c r="G94" s="180">
        <f>IF($D93="V",Input!J$69,IF(AND($B100=G$5,Input!J$64&gt;0),Input!J$64,F94))</f>
        <v>5.2499999999999998E-2</v>
      </c>
      <c r="H94" s="180">
        <f>IF($D93="V",Input!K$69,IF(AND($B100=H$5,Input!K$64&gt;0),Input!K$64,G94))</f>
        <v>5.2499999999999998E-2</v>
      </c>
      <c r="I94" s="180">
        <f>IF($D93="V",Input!L$69,IF(AND($B100=I$5,Input!L$64&gt;0),Input!L$64,H94))</f>
        <v>5.2499999999999998E-2</v>
      </c>
      <c r="J94" s="180">
        <f>IF($D93="V",Input!M$69,IF(AND($B100=J$5,Input!M$64&gt;0),Input!M$64,I94))</f>
        <v>5.2499999999999998E-2</v>
      </c>
      <c r="K94" s="180">
        <f>IF($D93="V",Input!N$69,IF(AND($B100=K$5,Input!N$64&gt;0),Input!N$64,J94))</f>
        <v>5.2499999999999998E-2</v>
      </c>
      <c r="L94" s="180">
        <f>IF($D93="V",Input!O$69,IF(AND($B100=L$5,Input!O$64&gt;0),Input!O$64,K94))</f>
        <v>5.2499999999999998E-2</v>
      </c>
      <c r="M94" s="180">
        <f>IF($D93="V",Input!P$69,IF(AND($B100=M$5,Input!P$64&gt;0),Input!P$64,L94))</f>
        <v>5.2499999999999998E-2</v>
      </c>
    </row>
    <row r="95" spans="1:14" ht="13" customHeight="1">
      <c r="A95" s="5" t="s">
        <v>361</v>
      </c>
      <c r="B95" s="181">
        <v>0</v>
      </c>
      <c r="C95" s="27" t="s">
        <v>173</v>
      </c>
      <c r="D95" s="188">
        <v>0</v>
      </c>
      <c r="E95" s="183">
        <f t="shared" ref="E95:M95" si="52">D100</f>
        <v>0</v>
      </c>
      <c r="F95" s="183">
        <f t="shared" si="52"/>
        <v>0</v>
      </c>
      <c r="G95" s="183">
        <f t="shared" si="52"/>
        <v>0</v>
      </c>
      <c r="H95" s="183">
        <f t="shared" si="52"/>
        <v>0</v>
      </c>
      <c r="I95" s="183">
        <f t="shared" si="52"/>
        <v>0</v>
      </c>
      <c r="J95" s="183">
        <f t="shared" si="52"/>
        <v>0</v>
      </c>
      <c r="K95" s="183">
        <f t="shared" si="52"/>
        <v>0</v>
      </c>
      <c r="L95" s="183">
        <f t="shared" si="52"/>
        <v>0</v>
      </c>
      <c r="M95" s="183">
        <f t="shared" si="52"/>
        <v>0</v>
      </c>
    </row>
    <row r="96" spans="1:14" ht="13" customHeight="1">
      <c r="A96" s="26" t="s">
        <v>170</v>
      </c>
      <c r="B96" s="131">
        <v>35</v>
      </c>
      <c r="C96" s="184" t="s">
        <v>169</v>
      </c>
      <c r="D96" s="183">
        <f t="shared" ref="D96:M96" si="53">D98-D97</f>
        <v>0</v>
      </c>
      <c r="E96" s="183">
        <f t="shared" si="53"/>
        <v>0</v>
      </c>
      <c r="F96" s="183">
        <f t="shared" si="53"/>
        <v>0</v>
      </c>
      <c r="G96" s="183">
        <f t="shared" si="53"/>
        <v>0</v>
      </c>
      <c r="H96" s="183">
        <f t="shared" si="53"/>
        <v>0</v>
      </c>
      <c r="I96" s="183">
        <f t="shared" si="53"/>
        <v>0</v>
      </c>
      <c r="J96" s="183">
        <f t="shared" si="53"/>
        <v>0</v>
      </c>
      <c r="K96" s="183">
        <f t="shared" si="53"/>
        <v>0</v>
      </c>
      <c r="L96" s="183">
        <f t="shared" si="53"/>
        <v>0</v>
      </c>
      <c r="M96" s="183">
        <f t="shared" si="53"/>
        <v>0</v>
      </c>
    </row>
    <row r="97" spans="1:14" ht="13" customHeight="1">
      <c r="A97" s="5" t="s">
        <v>172</v>
      </c>
      <c r="B97" s="185">
        <f>B86</f>
        <v>5.2499999999999998E-2</v>
      </c>
      <c r="C97" s="5" t="s">
        <v>174</v>
      </c>
      <c r="D97" s="183">
        <f t="shared" ref="D97:M97" si="54">IF(AND($B99="Y",YEAR($B94)+$B96&gt;D$5),D102,IF((YEAR($B94)+$B96)&gt;D$5,FV(D94/$B98,$B98,D101),D95))</f>
        <v>0</v>
      </c>
      <c r="E97" s="183">
        <f t="shared" si="54"/>
        <v>0</v>
      </c>
      <c r="F97" s="183">
        <f t="shared" si="54"/>
        <v>0</v>
      </c>
      <c r="G97" s="183">
        <f t="shared" si="54"/>
        <v>0</v>
      </c>
      <c r="H97" s="183">
        <f t="shared" si="54"/>
        <v>0</v>
      </c>
      <c r="I97" s="183">
        <f t="shared" si="54"/>
        <v>0</v>
      </c>
      <c r="J97" s="183">
        <f t="shared" si="54"/>
        <v>0</v>
      </c>
      <c r="K97" s="183">
        <f t="shared" si="54"/>
        <v>0</v>
      </c>
      <c r="L97" s="183">
        <f t="shared" si="54"/>
        <v>0</v>
      </c>
      <c r="M97" s="183">
        <f t="shared" si="54"/>
        <v>0</v>
      </c>
      <c r="N97" s="46"/>
    </row>
    <row r="98" spans="1:14" ht="13" customHeight="1">
      <c r="A98" s="5" t="s">
        <v>171</v>
      </c>
      <c r="B98" s="131">
        <v>4</v>
      </c>
      <c r="C98" s="186" t="s">
        <v>640</v>
      </c>
      <c r="D98" s="183">
        <f t="shared" ref="D98:M98" si="55">IF(AND($B99="Y",YEAR($B94)+$B96&gt;D$5),D102+D94*(D95-D102*0.5),IF((YEAR($B94)+$B96)&gt;D$5,(D95*D94/$B98-D101)*$B98,(D95*(1+D94*MONTH($B94)/12))))</f>
        <v>0</v>
      </c>
      <c r="E98" s="183">
        <f t="shared" si="55"/>
        <v>0</v>
      </c>
      <c r="F98" s="183">
        <f t="shared" si="55"/>
        <v>0</v>
      </c>
      <c r="G98" s="183">
        <f t="shared" si="55"/>
        <v>0</v>
      </c>
      <c r="H98" s="183">
        <f t="shared" si="55"/>
        <v>0</v>
      </c>
      <c r="I98" s="183">
        <f t="shared" si="55"/>
        <v>0</v>
      </c>
      <c r="J98" s="183">
        <f t="shared" si="55"/>
        <v>0</v>
      </c>
      <c r="K98" s="183">
        <f t="shared" si="55"/>
        <v>0</v>
      </c>
      <c r="L98" s="183">
        <f t="shared" si="55"/>
        <v>0</v>
      </c>
      <c r="M98" s="183">
        <f t="shared" si="55"/>
        <v>0</v>
      </c>
      <c r="N98" s="46"/>
    </row>
    <row r="99" spans="1:14" ht="13" customHeight="1">
      <c r="A99" s="5" t="s">
        <v>767</v>
      </c>
      <c r="B99" s="131" t="s">
        <v>719</v>
      </c>
      <c r="C99" s="187" t="s">
        <v>768</v>
      </c>
      <c r="D99" s="188">
        <v>0</v>
      </c>
      <c r="E99" s="188">
        <v>0</v>
      </c>
      <c r="F99" s="188">
        <v>0</v>
      </c>
      <c r="G99" s="188">
        <v>0</v>
      </c>
      <c r="H99" s="188">
        <v>0</v>
      </c>
      <c r="I99" s="188">
        <v>0</v>
      </c>
      <c r="J99" s="188">
        <v>0</v>
      </c>
      <c r="K99" s="188">
        <v>0</v>
      </c>
      <c r="L99" s="188">
        <v>0</v>
      </c>
      <c r="M99" s="188">
        <v>0</v>
      </c>
      <c r="N99" s="46"/>
    </row>
    <row r="100" spans="1:14" ht="13" customHeight="1">
      <c r="A100" s="5" t="s">
        <v>182</v>
      </c>
      <c r="B100" s="131"/>
      <c r="C100" s="30" t="s">
        <v>175</v>
      </c>
      <c r="D100" s="183">
        <f t="shared" ref="D100:M100" si="56">D95+D96-D98-D99</f>
        <v>0</v>
      </c>
      <c r="E100" s="183">
        <f t="shared" si="56"/>
        <v>0</v>
      </c>
      <c r="F100" s="183">
        <f t="shared" si="56"/>
        <v>0</v>
      </c>
      <c r="G100" s="183">
        <f t="shared" si="56"/>
        <v>0</v>
      </c>
      <c r="H100" s="183">
        <f t="shared" si="56"/>
        <v>0</v>
      </c>
      <c r="I100" s="183">
        <f t="shared" si="56"/>
        <v>0</v>
      </c>
      <c r="J100" s="183">
        <f t="shared" si="56"/>
        <v>0</v>
      </c>
      <c r="K100" s="183">
        <f t="shared" si="56"/>
        <v>0</v>
      </c>
      <c r="L100" s="183">
        <f t="shared" si="56"/>
        <v>0</v>
      </c>
      <c r="M100" s="183">
        <f t="shared" si="56"/>
        <v>0</v>
      </c>
      <c r="N100" s="46"/>
    </row>
    <row r="101" spans="1:14" ht="13" hidden="1" customHeight="1">
      <c r="A101" s="5"/>
      <c r="B101" s="138"/>
      <c r="C101" s="5" t="s">
        <v>769</v>
      </c>
      <c r="D101" s="183" t="e">
        <f t="shared" ref="D101:M101" si="57">PPMT(D94/$B98,1,ROUND(($B96-(D$5-YEAR($B94))+MONTH($B94)/12)*$B98,0),D95)</f>
        <v>#NUM!</v>
      </c>
      <c r="E101" s="183" t="e">
        <f t="shared" si="57"/>
        <v>#NUM!</v>
      </c>
      <c r="F101" s="183" t="e">
        <f t="shared" si="57"/>
        <v>#NUM!</v>
      </c>
      <c r="G101" s="183" t="e">
        <f t="shared" si="57"/>
        <v>#NUM!</v>
      </c>
      <c r="H101" s="183" t="e">
        <f t="shared" si="57"/>
        <v>#NUM!</v>
      </c>
      <c r="I101" s="183" t="e">
        <f t="shared" si="57"/>
        <v>#NUM!</v>
      </c>
      <c r="J101" s="183" t="e">
        <f t="shared" si="57"/>
        <v>#NUM!</v>
      </c>
      <c r="K101" s="183" t="e">
        <f t="shared" si="57"/>
        <v>#NUM!</v>
      </c>
      <c r="L101" s="183" t="e">
        <f t="shared" si="57"/>
        <v>#NUM!</v>
      </c>
      <c r="M101" s="183" t="e">
        <f t="shared" si="57"/>
        <v>#NUM!</v>
      </c>
      <c r="N101" s="46"/>
    </row>
    <row r="102" spans="1:14" ht="13" hidden="1" customHeight="1">
      <c r="A102" s="5"/>
      <c r="B102" s="5"/>
      <c r="C102" s="5" t="s">
        <v>770</v>
      </c>
      <c r="D102" s="183">
        <f t="shared" ref="D102:M102" si="58">IF(YEAR($B94)+$B96&gt;D$5,D95/(YEAR($B94)+$B96-D$5+MONTH($B94)/12),D95)</f>
        <v>0</v>
      </c>
      <c r="E102" s="183">
        <f t="shared" si="58"/>
        <v>0</v>
      </c>
      <c r="F102" s="183">
        <f t="shared" si="58"/>
        <v>0</v>
      </c>
      <c r="G102" s="183">
        <f t="shared" si="58"/>
        <v>0</v>
      </c>
      <c r="H102" s="183">
        <f t="shared" si="58"/>
        <v>0</v>
      </c>
      <c r="I102" s="183">
        <f t="shared" si="58"/>
        <v>0</v>
      </c>
      <c r="J102" s="183">
        <f t="shared" si="58"/>
        <v>0</v>
      </c>
      <c r="K102" s="183">
        <f t="shared" si="58"/>
        <v>0</v>
      </c>
      <c r="L102" s="183">
        <f t="shared" si="58"/>
        <v>0</v>
      </c>
      <c r="M102" s="183">
        <f t="shared" si="58"/>
        <v>0</v>
      </c>
      <c r="N102" s="28"/>
    </row>
    <row r="103" spans="1:14" ht="13" customHeight="1">
      <c r="C103" s="5"/>
      <c r="D103" s="180"/>
      <c r="E103" s="180"/>
      <c r="F103" s="180"/>
      <c r="G103" s="180"/>
      <c r="H103" s="180"/>
      <c r="I103" s="180"/>
      <c r="J103" s="180"/>
      <c r="K103" s="180"/>
      <c r="L103" s="180"/>
      <c r="M103" s="180"/>
    </row>
    <row r="104" spans="1:14" ht="13" customHeight="1">
      <c r="A104" s="30" t="s">
        <v>866</v>
      </c>
      <c r="B104" s="99"/>
      <c r="C104" t="s">
        <v>800</v>
      </c>
      <c r="D104" s="179" t="s">
        <v>801</v>
      </c>
      <c r="E104" s="1"/>
    </row>
    <row r="105" spans="1:14" ht="13" customHeight="1">
      <c r="A105" s="26" t="s">
        <v>677</v>
      </c>
      <c r="B105" s="133">
        <v>29373</v>
      </c>
      <c r="C105" s="5" t="s">
        <v>639</v>
      </c>
      <c r="D105" s="180">
        <f>IF($D104="V",Input!G$69,IF(AND($B111=D$5,Input!G$64&gt;0),Input!G$64,$B108))</f>
        <v>5.2499999999999998E-2</v>
      </c>
      <c r="E105" s="180">
        <f>IF($D104="V",Input!H$69,IF(AND($B111=E$5,Input!H$64&gt;0),Input!H$64,D105))</f>
        <v>5.2499999999999998E-2</v>
      </c>
      <c r="F105" s="180">
        <f>IF($D104="V",Input!I$69,IF(AND($B111=F$5,Input!I$64&gt;0),Input!I$64,E105))</f>
        <v>5.2499999999999998E-2</v>
      </c>
      <c r="G105" s="180">
        <f>IF($D104="V",Input!J$69,IF(AND($B111=G$5,Input!J$64&gt;0),Input!J$64,F105))</f>
        <v>5.2499999999999998E-2</v>
      </c>
      <c r="H105" s="180">
        <f>IF($D104="V",Input!K$69,IF(AND($B111=H$5,Input!K$64&gt;0),Input!K$64,G105))</f>
        <v>5.2499999999999998E-2</v>
      </c>
      <c r="I105" s="180">
        <f>IF($D104="V",Input!L$69,IF(AND($B111=I$5,Input!L$64&gt;0),Input!L$64,H105))</f>
        <v>5.2499999999999998E-2</v>
      </c>
      <c r="J105" s="180">
        <f>IF($D104="V",Input!M$69,IF(AND($B111=J$5,Input!M$64&gt;0),Input!M$64,I105))</f>
        <v>5.2499999999999998E-2</v>
      </c>
      <c r="K105" s="180">
        <f>IF($D104="V",Input!N$69,IF(AND($B111=K$5,Input!N$64&gt;0),Input!N$64,J105))</f>
        <v>5.2499999999999998E-2</v>
      </c>
      <c r="L105" s="180">
        <f>IF($D104="V",Input!O$69,IF(AND($B111=L$5,Input!O$64&gt;0),Input!O$64,K105))</f>
        <v>5.2499999999999998E-2</v>
      </c>
      <c r="M105" s="180">
        <f>IF($D104="V",Input!P$69,IF(AND($B111=M$5,Input!P$64&gt;0),Input!P$64,L105))</f>
        <v>5.2499999999999998E-2</v>
      </c>
    </row>
    <row r="106" spans="1:14" ht="13" customHeight="1">
      <c r="A106" s="5" t="s">
        <v>361</v>
      </c>
      <c r="B106" s="181">
        <v>0</v>
      </c>
      <c r="C106" s="27" t="s">
        <v>173</v>
      </c>
      <c r="D106" s="188">
        <v>0</v>
      </c>
      <c r="E106" s="183">
        <f t="shared" ref="E106:M106" si="59">D111</f>
        <v>0</v>
      </c>
      <c r="F106" s="183">
        <f t="shared" si="59"/>
        <v>0</v>
      </c>
      <c r="G106" s="183">
        <f t="shared" si="59"/>
        <v>0</v>
      </c>
      <c r="H106" s="183">
        <f t="shared" si="59"/>
        <v>0</v>
      </c>
      <c r="I106" s="183">
        <f t="shared" si="59"/>
        <v>0</v>
      </c>
      <c r="J106" s="183">
        <f t="shared" si="59"/>
        <v>0</v>
      </c>
      <c r="K106" s="183">
        <f t="shared" si="59"/>
        <v>0</v>
      </c>
      <c r="L106" s="183">
        <f t="shared" si="59"/>
        <v>0</v>
      </c>
      <c r="M106" s="183">
        <f t="shared" si="59"/>
        <v>0</v>
      </c>
      <c r="N106" s="46"/>
    </row>
    <row r="107" spans="1:14" ht="13" customHeight="1">
      <c r="A107" s="26" t="s">
        <v>170</v>
      </c>
      <c r="B107" s="131">
        <v>35</v>
      </c>
      <c r="C107" s="184" t="s">
        <v>169</v>
      </c>
      <c r="D107" s="183">
        <f t="shared" ref="D107:M107" si="60">D109-D108</f>
        <v>0</v>
      </c>
      <c r="E107" s="183">
        <f t="shared" si="60"/>
        <v>0</v>
      </c>
      <c r="F107" s="183">
        <f t="shared" si="60"/>
        <v>0</v>
      </c>
      <c r="G107" s="183">
        <f t="shared" si="60"/>
        <v>0</v>
      </c>
      <c r="H107" s="183">
        <f t="shared" si="60"/>
        <v>0</v>
      </c>
      <c r="I107" s="183">
        <f t="shared" si="60"/>
        <v>0</v>
      </c>
      <c r="J107" s="183">
        <f t="shared" si="60"/>
        <v>0</v>
      </c>
      <c r="K107" s="183">
        <f t="shared" si="60"/>
        <v>0</v>
      </c>
      <c r="L107" s="183">
        <f t="shared" si="60"/>
        <v>0</v>
      </c>
      <c r="M107" s="183">
        <f t="shared" si="60"/>
        <v>0</v>
      </c>
      <c r="N107" s="46"/>
    </row>
    <row r="108" spans="1:14" ht="13" customHeight="1">
      <c r="A108" s="5" t="s">
        <v>172</v>
      </c>
      <c r="B108" s="185">
        <f>B97</f>
        <v>5.2499999999999998E-2</v>
      </c>
      <c r="C108" s="5" t="s">
        <v>174</v>
      </c>
      <c r="D108" s="183">
        <f t="shared" ref="D108:M108" si="61">IF(AND($B110="Y",YEAR($B105)+$B107&gt;D$5),D113,IF((YEAR($B105)+$B107)&gt;D$5,FV(D105/$B109,$B109,D112),D106))</f>
        <v>0</v>
      </c>
      <c r="E108" s="183">
        <f t="shared" si="61"/>
        <v>0</v>
      </c>
      <c r="F108" s="183">
        <f t="shared" si="61"/>
        <v>0</v>
      </c>
      <c r="G108" s="183">
        <f t="shared" si="61"/>
        <v>0</v>
      </c>
      <c r="H108" s="183">
        <f t="shared" si="61"/>
        <v>0</v>
      </c>
      <c r="I108" s="183">
        <f t="shared" si="61"/>
        <v>0</v>
      </c>
      <c r="J108" s="183">
        <f t="shared" si="61"/>
        <v>0</v>
      </c>
      <c r="K108" s="183">
        <f t="shared" si="61"/>
        <v>0</v>
      </c>
      <c r="L108" s="183">
        <f t="shared" si="61"/>
        <v>0</v>
      </c>
      <c r="M108" s="183">
        <f t="shared" si="61"/>
        <v>0</v>
      </c>
      <c r="N108" s="46"/>
    </row>
    <row r="109" spans="1:14" ht="13" customHeight="1">
      <c r="A109" s="5" t="s">
        <v>171</v>
      </c>
      <c r="B109" s="131">
        <v>4</v>
      </c>
      <c r="C109" s="186" t="s">
        <v>640</v>
      </c>
      <c r="D109" s="183">
        <f t="shared" ref="D109:M109" si="62">IF(AND($B110="Y",YEAR($B105)+$B107&gt;D$5),D113+D105*(D106-D113*0.5),IF((YEAR($B105)+$B107)&gt;D$5,(D106*D105/$B109-D112)*$B109,(D106*(1+D105*MONTH($B105)/12))))</f>
        <v>0</v>
      </c>
      <c r="E109" s="183">
        <f t="shared" si="62"/>
        <v>0</v>
      </c>
      <c r="F109" s="183">
        <f t="shared" si="62"/>
        <v>0</v>
      </c>
      <c r="G109" s="183">
        <f t="shared" si="62"/>
        <v>0</v>
      </c>
      <c r="H109" s="183">
        <f t="shared" si="62"/>
        <v>0</v>
      </c>
      <c r="I109" s="183">
        <f t="shared" si="62"/>
        <v>0</v>
      </c>
      <c r="J109" s="183">
        <f t="shared" si="62"/>
        <v>0</v>
      </c>
      <c r="K109" s="183">
        <f t="shared" si="62"/>
        <v>0</v>
      </c>
      <c r="L109" s="183">
        <f t="shared" si="62"/>
        <v>0</v>
      </c>
      <c r="M109" s="183">
        <f t="shared" si="62"/>
        <v>0</v>
      </c>
      <c r="N109" s="46"/>
    </row>
    <row r="110" spans="1:14" ht="13" customHeight="1">
      <c r="A110" s="5" t="s">
        <v>767</v>
      </c>
      <c r="B110" s="131" t="s">
        <v>719</v>
      </c>
      <c r="C110" s="187" t="s">
        <v>768</v>
      </c>
      <c r="D110" s="188">
        <v>0</v>
      </c>
      <c r="E110" s="188">
        <v>0</v>
      </c>
      <c r="F110" s="188">
        <v>0</v>
      </c>
      <c r="G110" s="188">
        <v>0</v>
      </c>
      <c r="H110" s="188">
        <v>0</v>
      </c>
      <c r="I110" s="188">
        <v>0</v>
      </c>
      <c r="J110" s="188">
        <v>0</v>
      </c>
      <c r="K110" s="188">
        <v>0</v>
      </c>
      <c r="L110" s="188">
        <v>0</v>
      </c>
      <c r="M110" s="188">
        <v>0</v>
      </c>
      <c r="N110" s="46"/>
    </row>
    <row r="111" spans="1:14" ht="13" customHeight="1">
      <c r="A111" s="5" t="s">
        <v>182</v>
      </c>
      <c r="B111" s="131"/>
      <c r="C111" s="30" t="s">
        <v>175</v>
      </c>
      <c r="D111" s="183">
        <f t="shared" ref="D111:M111" si="63">D106+D107-D109-D110</f>
        <v>0</v>
      </c>
      <c r="E111" s="183">
        <f t="shared" si="63"/>
        <v>0</v>
      </c>
      <c r="F111" s="183">
        <f t="shared" si="63"/>
        <v>0</v>
      </c>
      <c r="G111" s="183">
        <f t="shared" si="63"/>
        <v>0</v>
      </c>
      <c r="H111" s="183">
        <f t="shared" si="63"/>
        <v>0</v>
      </c>
      <c r="I111" s="183">
        <f t="shared" si="63"/>
        <v>0</v>
      </c>
      <c r="J111" s="183">
        <f t="shared" si="63"/>
        <v>0</v>
      </c>
      <c r="K111" s="183">
        <f t="shared" si="63"/>
        <v>0</v>
      </c>
      <c r="L111" s="183">
        <f t="shared" si="63"/>
        <v>0</v>
      </c>
      <c r="M111" s="183">
        <f t="shared" si="63"/>
        <v>0</v>
      </c>
      <c r="N111" s="28"/>
    </row>
    <row r="112" spans="1:14" ht="13" hidden="1" customHeight="1">
      <c r="A112" s="5"/>
      <c r="B112" s="138"/>
      <c r="C112" s="5" t="s">
        <v>769</v>
      </c>
      <c r="D112" s="183" t="e">
        <f t="shared" ref="D112:M112" si="64">PPMT(D105/$B109,1,ROUND(($B107-(D$5-YEAR($B105))+MONTH($B105)/12)*$B109,0),D106)</f>
        <v>#NUM!</v>
      </c>
      <c r="E112" s="183" t="e">
        <f t="shared" si="64"/>
        <v>#NUM!</v>
      </c>
      <c r="F112" s="183" t="e">
        <f t="shared" si="64"/>
        <v>#NUM!</v>
      </c>
      <c r="G112" s="183" t="e">
        <f t="shared" si="64"/>
        <v>#NUM!</v>
      </c>
      <c r="H112" s="183" t="e">
        <f t="shared" si="64"/>
        <v>#NUM!</v>
      </c>
      <c r="I112" s="183" t="e">
        <f t="shared" si="64"/>
        <v>#NUM!</v>
      </c>
      <c r="J112" s="183" t="e">
        <f t="shared" si="64"/>
        <v>#NUM!</v>
      </c>
      <c r="K112" s="183" t="e">
        <f t="shared" si="64"/>
        <v>#NUM!</v>
      </c>
      <c r="L112" s="183" t="e">
        <f t="shared" si="64"/>
        <v>#NUM!</v>
      </c>
      <c r="M112" s="183" t="e">
        <f t="shared" si="64"/>
        <v>#NUM!</v>
      </c>
    </row>
    <row r="113" spans="1:14" ht="13" hidden="1" customHeight="1">
      <c r="A113" s="5"/>
      <c r="B113" s="5"/>
      <c r="C113" s="5" t="s">
        <v>770</v>
      </c>
      <c r="D113" s="183">
        <f t="shared" ref="D113:M113" si="65">IF(YEAR($B105)+$B107&gt;D$5,D106/(YEAR($B105)+$B107-D$5+MONTH($B105)/12),D106)</f>
        <v>0</v>
      </c>
      <c r="E113" s="183">
        <f t="shared" si="65"/>
        <v>0</v>
      </c>
      <c r="F113" s="183">
        <f t="shared" si="65"/>
        <v>0</v>
      </c>
      <c r="G113" s="183">
        <f t="shared" si="65"/>
        <v>0</v>
      </c>
      <c r="H113" s="183">
        <f t="shared" si="65"/>
        <v>0</v>
      </c>
      <c r="I113" s="183">
        <f t="shared" si="65"/>
        <v>0</v>
      </c>
      <c r="J113" s="183">
        <f t="shared" si="65"/>
        <v>0</v>
      </c>
      <c r="K113" s="183">
        <f t="shared" si="65"/>
        <v>0</v>
      </c>
      <c r="L113" s="183">
        <f t="shared" si="65"/>
        <v>0</v>
      </c>
      <c r="M113" s="183">
        <f t="shared" si="65"/>
        <v>0</v>
      </c>
    </row>
    <row r="114" spans="1:14" ht="13" customHeight="1">
      <c r="C114" s="5"/>
      <c r="D114" s="183"/>
      <c r="E114" s="183"/>
      <c r="F114" s="183"/>
      <c r="G114" s="183"/>
      <c r="H114" s="183"/>
      <c r="I114" s="183"/>
      <c r="J114" s="183"/>
      <c r="K114" s="183"/>
      <c r="L114" s="183"/>
      <c r="M114" s="183"/>
    </row>
    <row r="115" spans="1:14" ht="13" customHeight="1">
      <c r="A115" s="30" t="s">
        <v>867</v>
      </c>
      <c r="B115" s="99"/>
      <c r="C115" t="s">
        <v>800</v>
      </c>
      <c r="D115" s="179" t="s">
        <v>801</v>
      </c>
      <c r="E115" s="1"/>
      <c r="N115" s="46"/>
    </row>
    <row r="116" spans="1:14" ht="13" customHeight="1">
      <c r="A116" s="26" t="s">
        <v>677</v>
      </c>
      <c r="B116" s="133">
        <v>29373</v>
      </c>
      <c r="C116" s="5" t="s">
        <v>639</v>
      </c>
      <c r="D116" s="180">
        <f>IF($D115="V",Input!G$69,IF(AND($B122=D$5,Input!G$64&gt;0),Input!G$64,$B119))</f>
        <v>5.2499999999999998E-2</v>
      </c>
      <c r="E116" s="180">
        <f>IF($D115="V",Input!H$69,IF(AND($B122=E$5,Input!H$64&gt;0),Input!H$64,D116))</f>
        <v>5.2499999999999998E-2</v>
      </c>
      <c r="F116" s="180">
        <f>IF($D115="V",Input!I$69,IF(AND($B122=F$5,Input!I$64&gt;0),Input!I$64,E116))</f>
        <v>5.2499999999999998E-2</v>
      </c>
      <c r="G116" s="180">
        <f>IF($D115="V",Input!J$69,IF(AND($B122=G$5,Input!J$64&gt;0),Input!J$64,F116))</f>
        <v>5.2499999999999998E-2</v>
      </c>
      <c r="H116" s="180">
        <f>IF($D115="V",Input!K$69,IF(AND($B122=H$5,Input!K$64&gt;0),Input!K$64,G116))</f>
        <v>5.2499999999999998E-2</v>
      </c>
      <c r="I116" s="180">
        <f>IF($D115="V",Input!L$69,IF(AND($B122=I$5,Input!L$64&gt;0),Input!L$64,H116))</f>
        <v>5.2499999999999998E-2</v>
      </c>
      <c r="J116" s="180">
        <f>IF($D115="V",Input!M$69,IF(AND($B122=J$5,Input!M$64&gt;0),Input!M$64,I116))</f>
        <v>5.2499999999999998E-2</v>
      </c>
      <c r="K116" s="180">
        <f>IF($D115="V",Input!N$69,IF(AND($B122=K$5,Input!N$64&gt;0),Input!N$64,J116))</f>
        <v>5.2499999999999998E-2</v>
      </c>
      <c r="L116" s="180">
        <f>IF($D115="V",Input!O$69,IF(AND($B122=L$5,Input!O$64&gt;0),Input!O$64,K116))</f>
        <v>5.2499999999999998E-2</v>
      </c>
      <c r="M116" s="180">
        <f>IF($D115="V",Input!P$69,IF(AND($B122=M$5,Input!P$64&gt;0),Input!P$64,L116))</f>
        <v>5.2499999999999998E-2</v>
      </c>
      <c r="N116" s="46"/>
    </row>
    <row r="117" spans="1:14" ht="13" customHeight="1">
      <c r="A117" s="5" t="s">
        <v>361</v>
      </c>
      <c r="B117" s="181">
        <v>0</v>
      </c>
      <c r="C117" s="27" t="s">
        <v>173</v>
      </c>
      <c r="D117" s="188">
        <v>0</v>
      </c>
      <c r="E117" s="183">
        <f t="shared" ref="E117:M117" si="66">D122</f>
        <v>0</v>
      </c>
      <c r="F117" s="183">
        <f t="shared" si="66"/>
        <v>0</v>
      </c>
      <c r="G117" s="183">
        <f t="shared" si="66"/>
        <v>0</v>
      </c>
      <c r="H117" s="183">
        <f t="shared" si="66"/>
        <v>0</v>
      </c>
      <c r="I117" s="183">
        <f t="shared" si="66"/>
        <v>0</v>
      </c>
      <c r="J117" s="183">
        <f t="shared" si="66"/>
        <v>0</v>
      </c>
      <c r="K117" s="183">
        <f t="shared" si="66"/>
        <v>0</v>
      </c>
      <c r="L117" s="183">
        <f t="shared" si="66"/>
        <v>0</v>
      </c>
      <c r="M117" s="183">
        <f t="shared" si="66"/>
        <v>0</v>
      </c>
      <c r="N117" s="46"/>
    </row>
    <row r="118" spans="1:14" ht="13" customHeight="1">
      <c r="A118" s="26" t="s">
        <v>170</v>
      </c>
      <c r="B118" s="131">
        <v>35</v>
      </c>
      <c r="C118" s="184" t="s">
        <v>169</v>
      </c>
      <c r="D118" s="183">
        <f t="shared" ref="D118:M118" si="67">D120-D119</f>
        <v>0</v>
      </c>
      <c r="E118" s="183">
        <f t="shared" si="67"/>
        <v>0</v>
      </c>
      <c r="F118" s="183">
        <f t="shared" si="67"/>
        <v>0</v>
      </c>
      <c r="G118" s="183">
        <f t="shared" si="67"/>
        <v>0</v>
      </c>
      <c r="H118" s="183">
        <f t="shared" si="67"/>
        <v>0</v>
      </c>
      <c r="I118" s="183">
        <f t="shared" si="67"/>
        <v>0</v>
      </c>
      <c r="J118" s="183">
        <f t="shared" si="67"/>
        <v>0</v>
      </c>
      <c r="K118" s="183">
        <f t="shared" si="67"/>
        <v>0</v>
      </c>
      <c r="L118" s="183">
        <f t="shared" si="67"/>
        <v>0</v>
      </c>
      <c r="M118" s="183">
        <f t="shared" si="67"/>
        <v>0</v>
      </c>
      <c r="N118" s="46"/>
    </row>
    <row r="119" spans="1:14" ht="13" customHeight="1">
      <c r="A119" s="5" t="s">
        <v>172</v>
      </c>
      <c r="B119" s="185">
        <f>B108</f>
        <v>5.2499999999999998E-2</v>
      </c>
      <c r="C119" s="5" t="s">
        <v>174</v>
      </c>
      <c r="D119" s="183">
        <f t="shared" ref="D119:M119" si="68">IF(AND($B121="Y",YEAR($B116)+$B118&gt;D$5),D124,IF((YEAR($B116)+$B118)&gt;D$5,FV(D116/$B120,$B120,D123),D117))</f>
        <v>0</v>
      </c>
      <c r="E119" s="183">
        <f t="shared" si="68"/>
        <v>0</v>
      </c>
      <c r="F119" s="183">
        <f t="shared" si="68"/>
        <v>0</v>
      </c>
      <c r="G119" s="183">
        <f t="shared" si="68"/>
        <v>0</v>
      </c>
      <c r="H119" s="183">
        <f t="shared" si="68"/>
        <v>0</v>
      </c>
      <c r="I119" s="183">
        <f t="shared" si="68"/>
        <v>0</v>
      </c>
      <c r="J119" s="183">
        <f t="shared" si="68"/>
        <v>0</v>
      </c>
      <c r="K119" s="183">
        <f t="shared" si="68"/>
        <v>0</v>
      </c>
      <c r="L119" s="183">
        <f t="shared" si="68"/>
        <v>0</v>
      </c>
      <c r="M119" s="183">
        <f t="shared" si="68"/>
        <v>0</v>
      </c>
      <c r="N119" s="46"/>
    </row>
    <row r="120" spans="1:14" ht="13" customHeight="1">
      <c r="A120" s="5" t="s">
        <v>171</v>
      </c>
      <c r="B120" s="131">
        <v>4</v>
      </c>
      <c r="C120" s="186" t="s">
        <v>640</v>
      </c>
      <c r="D120" s="183">
        <f t="shared" ref="D120:M120" si="69">IF(AND($B121="Y",YEAR($B116)+$B118&gt;D$5),D124+D116*(D117-D124*0.5),IF((YEAR($B116)+$B118)&gt;D$5,(D117*D116/$B120-D123)*$B120,(D117*(1+D116*MONTH($B116)/12))))</f>
        <v>0</v>
      </c>
      <c r="E120" s="183">
        <f t="shared" si="69"/>
        <v>0</v>
      </c>
      <c r="F120" s="183">
        <f t="shared" si="69"/>
        <v>0</v>
      </c>
      <c r="G120" s="183">
        <f t="shared" si="69"/>
        <v>0</v>
      </c>
      <c r="H120" s="183">
        <f t="shared" si="69"/>
        <v>0</v>
      </c>
      <c r="I120" s="183">
        <f t="shared" si="69"/>
        <v>0</v>
      </c>
      <c r="J120" s="183">
        <f t="shared" si="69"/>
        <v>0</v>
      </c>
      <c r="K120" s="183">
        <f t="shared" si="69"/>
        <v>0</v>
      </c>
      <c r="L120" s="183">
        <f t="shared" si="69"/>
        <v>0</v>
      </c>
      <c r="M120" s="183">
        <f t="shared" si="69"/>
        <v>0</v>
      </c>
      <c r="N120" s="28"/>
    </row>
    <row r="121" spans="1:14" ht="13" customHeight="1">
      <c r="A121" s="5" t="s">
        <v>767</v>
      </c>
      <c r="B121" s="131" t="s">
        <v>719</v>
      </c>
      <c r="C121" s="187" t="s">
        <v>768</v>
      </c>
      <c r="D121" s="188">
        <v>0</v>
      </c>
      <c r="E121" s="188">
        <v>0</v>
      </c>
      <c r="F121" s="188">
        <v>0</v>
      </c>
      <c r="G121" s="188">
        <v>0</v>
      </c>
      <c r="H121" s="188">
        <v>0</v>
      </c>
      <c r="I121" s="188">
        <v>0</v>
      </c>
      <c r="J121" s="188">
        <v>0</v>
      </c>
      <c r="K121" s="188">
        <v>0</v>
      </c>
      <c r="L121" s="188">
        <v>0</v>
      </c>
      <c r="M121" s="188">
        <v>0</v>
      </c>
    </row>
    <row r="122" spans="1:14" ht="13" customHeight="1">
      <c r="A122" s="5" t="s">
        <v>182</v>
      </c>
      <c r="B122" s="131"/>
      <c r="C122" s="30" t="s">
        <v>175</v>
      </c>
      <c r="D122" s="183">
        <f t="shared" ref="D122:M122" si="70">D117+D118-D120-D121</f>
        <v>0</v>
      </c>
      <c r="E122" s="183">
        <f t="shared" si="70"/>
        <v>0</v>
      </c>
      <c r="F122" s="183">
        <f t="shared" si="70"/>
        <v>0</v>
      </c>
      <c r="G122" s="183">
        <f t="shared" si="70"/>
        <v>0</v>
      </c>
      <c r="H122" s="183">
        <f t="shared" si="70"/>
        <v>0</v>
      </c>
      <c r="I122" s="183">
        <f t="shared" si="70"/>
        <v>0</v>
      </c>
      <c r="J122" s="183">
        <f t="shared" si="70"/>
        <v>0</v>
      </c>
      <c r="K122" s="183">
        <f t="shared" si="70"/>
        <v>0</v>
      </c>
      <c r="L122" s="183">
        <f t="shared" si="70"/>
        <v>0</v>
      </c>
      <c r="M122" s="183">
        <f t="shared" si="70"/>
        <v>0</v>
      </c>
    </row>
    <row r="123" spans="1:14" ht="13" hidden="1" customHeight="1">
      <c r="A123" s="5"/>
      <c r="B123" s="138"/>
      <c r="C123" s="5" t="s">
        <v>769</v>
      </c>
      <c r="D123" s="183" t="e">
        <f t="shared" ref="D123:M123" si="71">PPMT(D116/$B120,1,ROUND(($B118-(D$5-YEAR($B116))+MONTH($B116)/12)*$B120,0),D117)</f>
        <v>#NUM!</v>
      </c>
      <c r="E123" s="183" t="e">
        <f t="shared" si="71"/>
        <v>#NUM!</v>
      </c>
      <c r="F123" s="183" t="e">
        <f t="shared" si="71"/>
        <v>#NUM!</v>
      </c>
      <c r="G123" s="183" t="e">
        <f t="shared" si="71"/>
        <v>#NUM!</v>
      </c>
      <c r="H123" s="183" t="e">
        <f t="shared" si="71"/>
        <v>#NUM!</v>
      </c>
      <c r="I123" s="183" t="e">
        <f t="shared" si="71"/>
        <v>#NUM!</v>
      </c>
      <c r="J123" s="183" t="e">
        <f t="shared" si="71"/>
        <v>#NUM!</v>
      </c>
      <c r="K123" s="183" t="e">
        <f t="shared" si="71"/>
        <v>#NUM!</v>
      </c>
      <c r="L123" s="183" t="e">
        <f t="shared" si="71"/>
        <v>#NUM!</v>
      </c>
      <c r="M123" s="183" t="e">
        <f t="shared" si="71"/>
        <v>#NUM!</v>
      </c>
    </row>
    <row r="124" spans="1:14" ht="13" hidden="1" customHeight="1">
      <c r="A124" s="5"/>
      <c r="B124" s="5"/>
      <c r="C124" s="5" t="s">
        <v>770</v>
      </c>
      <c r="D124" s="183">
        <f t="shared" ref="D124:M124" si="72">IF(YEAR($B116)+$B118&gt;D$5,D117/(YEAR($B116)+$B118-D$5+MONTH($B116)/12),D117)</f>
        <v>0</v>
      </c>
      <c r="E124" s="183">
        <f t="shared" si="72"/>
        <v>0</v>
      </c>
      <c r="F124" s="183">
        <f t="shared" si="72"/>
        <v>0</v>
      </c>
      <c r="G124" s="183">
        <f t="shared" si="72"/>
        <v>0</v>
      </c>
      <c r="H124" s="183">
        <f t="shared" si="72"/>
        <v>0</v>
      </c>
      <c r="I124" s="183">
        <f t="shared" si="72"/>
        <v>0</v>
      </c>
      <c r="J124" s="183">
        <f t="shared" si="72"/>
        <v>0</v>
      </c>
      <c r="K124" s="183">
        <f t="shared" si="72"/>
        <v>0</v>
      </c>
      <c r="L124" s="183">
        <f t="shared" si="72"/>
        <v>0</v>
      </c>
      <c r="M124" s="183">
        <f t="shared" si="72"/>
        <v>0</v>
      </c>
      <c r="N124" s="46"/>
    </row>
    <row r="125" spans="1:14" ht="13" customHeight="1">
      <c r="C125" s="5"/>
      <c r="D125" s="183"/>
      <c r="E125" s="183"/>
      <c r="F125" s="183"/>
      <c r="G125" s="183"/>
      <c r="H125" s="183"/>
      <c r="I125" s="183"/>
      <c r="J125" s="183"/>
      <c r="K125" s="183"/>
      <c r="L125" s="183"/>
      <c r="M125" s="183"/>
      <c r="N125" s="46"/>
    </row>
    <row r="126" spans="1:14" ht="13" customHeight="1">
      <c r="A126" s="30" t="s">
        <v>868</v>
      </c>
      <c r="B126" s="99"/>
      <c r="C126" t="s">
        <v>800</v>
      </c>
      <c r="D126" s="179" t="s">
        <v>801</v>
      </c>
      <c r="E126" s="1"/>
      <c r="N126" s="46"/>
    </row>
    <row r="127" spans="1:14" ht="13" customHeight="1">
      <c r="A127" s="26" t="s">
        <v>677</v>
      </c>
      <c r="B127" s="133">
        <v>29373</v>
      </c>
      <c r="C127" s="5" t="s">
        <v>639</v>
      </c>
      <c r="D127" s="180">
        <f>IF($D126="V",Input!G$69,IF(AND($B133=D$5,Input!G$64&gt;0),Input!G$64,$B130))</f>
        <v>5.2499999999999998E-2</v>
      </c>
      <c r="E127" s="180">
        <f>IF($D126="V",Input!H$69,IF(AND($B133=E$5,Input!H$64&gt;0),Input!H$64,D127))</f>
        <v>5.2499999999999998E-2</v>
      </c>
      <c r="F127" s="180">
        <f>IF($D126="V",Input!I$69,IF(AND($B133=F$5,Input!I$64&gt;0),Input!I$64,E127))</f>
        <v>5.2499999999999998E-2</v>
      </c>
      <c r="G127" s="180">
        <f>IF($D126="V",Input!J$69,IF(AND($B133=G$5,Input!J$64&gt;0),Input!J$64,F127))</f>
        <v>5.2499999999999998E-2</v>
      </c>
      <c r="H127" s="180">
        <f>IF($D126="V",Input!K$69,IF(AND($B133=H$5,Input!K$64&gt;0),Input!K$64,G127))</f>
        <v>5.2499999999999998E-2</v>
      </c>
      <c r="I127" s="180">
        <f>IF($D126="V",Input!L$69,IF(AND($B133=I$5,Input!L$64&gt;0),Input!L$64,H127))</f>
        <v>5.2499999999999998E-2</v>
      </c>
      <c r="J127" s="180">
        <f>IF($D126="V",Input!M$69,IF(AND($B133=J$5,Input!M$64&gt;0),Input!M$64,I127))</f>
        <v>5.2499999999999998E-2</v>
      </c>
      <c r="K127" s="180">
        <f>IF($D126="V",Input!N$69,IF(AND($B133=K$5,Input!N$64&gt;0),Input!N$64,J127))</f>
        <v>5.2499999999999998E-2</v>
      </c>
      <c r="L127" s="180">
        <f>IF($D126="V",Input!O$69,IF(AND($B133=L$5,Input!O$64&gt;0),Input!O$64,K127))</f>
        <v>5.2499999999999998E-2</v>
      </c>
      <c r="M127" s="180">
        <f>IF($D126="V",Input!P$69,IF(AND($B133=M$5,Input!P$64&gt;0),Input!P$64,L127))</f>
        <v>5.2499999999999998E-2</v>
      </c>
      <c r="N127" s="46"/>
    </row>
    <row r="128" spans="1:14" ht="13" customHeight="1">
      <c r="A128" s="5" t="s">
        <v>361</v>
      </c>
      <c r="B128" s="181">
        <v>0</v>
      </c>
      <c r="C128" s="27" t="s">
        <v>173</v>
      </c>
      <c r="D128" s="188">
        <v>0</v>
      </c>
      <c r="E128" s="183">
        <f t="shared" ref="E128:M128" si="73">D133</f>
        <v>0</v>
      </c>
      <c r="F128" s="183">
        <f t="shared" si="73"/>
        <v>0</v>
      </c>
      <c r="G128" s="183">
        <f t="shared" si="73"/>
        <v>0</v>
      </c>
      <c r="H128" s="183">
        <f t="shared" si="73"/>
        <v>0</v>
      </c>
      <c r="I128" s="183">
        <f t="shared" si="73"/>
        <v>0</v>
      </c>
      <c r="J128" s="183">
        <f t="shared" si="73"/>
        <v>0</v>
      </c>
      <c r="K128" s="183">
        <f t="shared" si="73"/>
        <v>0</v>
      </c>
      <c r="L128" s="183">
        <f t="shared" si="73"/>
        <v>0</v>
      </c>
      <c r="M128" s="183">
        <f t="shared" si="73"/>
        <v>0</v>
      </c>
      <c r="N128" s="46"/>
    </row>
    <row r="129" spans="1:14" ht="13" customHeight="1">
      <c r="A129" s="26" t="s">
        <v>170</v>
      </c>
      <c r="B129" s="131">
        <v>35</v>
      </c>
      <c r="C129" s="184" t="s">
        <v>169</v>
      </c>
      <c r="D129" s="183">
        <f t="shared" ref="D129:M129" si="74">D131-D130</f>
        <v>0</v>
      </c>
      <c r="E129" s="183">
        <f t="shared" si="74"/>
        <v>0</v>
      </c>
      <c r="F129" s="183">
        <f t="shared" si="74"/>
        <v>0</v>
      </c>
      <c r="G129" s="183">
        <f t="shared" si="74"/>
        <v>0</v>
      </c>
      <c r="H129" s="183">
        <f t="shared" si="74"/>
        <v>0</v>
      </c>
      <c r="I129" s="183">
        <f t="shared" si="74"/>
        <v>0</v>
      </c>
      <c r="J129" s="183">
        <f t="shared" si="74"/>
        <v>0</v>
      </c>
      <c r="K129" s="183">
        <f t="shared" si="74"/>
        <v>0</v>
      </c>
      <c r="L129" s="183">
        <f t="shared" si="74"/>
        <v>0</v>
      </c>
      <c r="M129" s="183">
        <f t="shared" si="74"/>
        <v>0</v>
      </c>
      <c r="N129" s="46"/>
    </row>
    <row r="130" spans="1:14" ht="13" customHeight="1">
      <c r="A130" s="5" t="s">
        <v>172</v>
      </c>
      <c r="B130" s="185">
        <f>B119</f>
        <v>5.2499999999999998E-2</v>
      </c>
      <c r="C130" s="5" t="s">
        <v>174</v>
      </c>
      <c r="D130" s="183">
        <f t="shared" ref="D130:M130" si="75">IF(AND($B132="Y",YEAR($B127)+$B129&gt;D$5),D135,IF((YEAR($B127)+$B129)&gt;D$5,FV(D127/$B131,$B131,D134),D128))</f>
        <v>0</v>
      </c>
      <c r="E130" s="183">
        <f t="shared" si="75"/>
        <v>0</v>
      </c>
      <c r="F130" s="183">
        <f t="shared" si="75"/>
        <v>0</v>
      </c>
      <c r="G130" s="183">
        <f t="shared" si="75"/>
        <v>0</v>
      </c>
      <c r="H130" s="183">
        <f t="shared" si="75"/>
        <v>0</v>
      </c>
      <c r="I130" s="183">
        <f t="shared" si="75"/>
        <v>0</v>
      </c>
      <c r="J130" s="183">
        <f t="shared" si="75"/>
        <v>0</v>
      </c>
      <c r="K130" s="183">
        <f t="shared" si="75"/>
        <v>0</v>
      </c>
      <c r="L130" s="183">
        <f t="shared" si="75"/>
        <v>0</v>
      </c>
      <c r="M130" s="183">
        <f t="shared" si="75"/>
        <v>0</v>
      </c>
      <c r="N130" s="46"/>
    </row>
    <row r="131" spans="1:14" ht="13" customHeight="1">
      <c r="A131" s="5" t="s">
        <v>171</v>
      </c>
      <c r="B131" s="131">
        <v>4</v>
      </c>
      <c r="C131" s="186" t="s">
        <v>640</v>
      </c>
      <c r="D131" s="183">
        <f t="shared" ref="D131:M131" si="76">IF(AND($B132="Y",YEAR($B127)+$B129&gt;D$5),D135+D127*(D128-D135*0.5),IF((YEAR($B127)+$B129)&gt;D$5,(D128*D127/$B131-D134)*$B131,(D128*(1+D127*MONTH($B127)/12))))</f>
        <v>0</v>
      </c>
      <c r="E131" s="183">
        <f t="shared" si="76"/>
        <v>0</v>
      </c>
      <c r="F131" s="183">
        <f t="shared" si="76"/>
        <v>0</v>
      </c>
      <c r="G131" s="183">
        <f t="shared" si="76"/>
        <v>0</v>
      </c>
      <c r="H131" s="183">
        <f t="shared" si="76"/>
        <v>0</v>
      </c>
      <c r="I131" s="183">
        <f t="shared" si="76"/>
        <v>0</v>
      </c>
      <c r="J131" s="183">
        <f t="shared" si="76"/>
        <v>0</v>
      </c>
      <c r="K131" s="183">
        <f t="shared" si="76"/>
        <v>0</v>
      </c>
      <c r="L131" s="183">
        <f t="shared" si="76"/>
        <v>0</v>
      </c>
      <c r="M131" s="183">
        <f t="shared" si="76"/>
        <v>0</v>
      </c>
      <c r="N131" s="46"/>
    </row>
    <row r="132" spans="1:14" ht="13" customHeight="1">
      <c r="A132" s="5" t="s">
        <v>767</v>
      </c>
      <c r="B132" s="131" t="s">
        <v>719</v>
      </c>
      <c r="C132" s="187" t="s">
        <v>768</v>
      </c>
      <c r="D132" s="188">
        <v>0</v>
      </c>
      <c r="E132" s="188">
        <v>0</v>
      </c>
      <c r="F132" s="188">
        <v>0</v>
      </c>
      <c r="G132" s="188">
        <v>0</v>
      </c>
      <c r="H132" s="188">
        <v>0</v>
      </c>
      <c r="I132" s="188">
        <v>0</v>
      </c>
      <c r="J132" s="188">
        <v>0</v>
      </c>
      <c r="K132" s="188">
        <v>0</v>
      </c>
      <c r="L132" s="188">
        <v>0</v>
      </c>
      <c r="M132" s="188">
        <v>0</v>
      </c>
      <c r="N132" s="28"/>
    </row>
    <row r="133" spans="1:14" ht="13" customHeight="1">
      <c r="A133" s="5" t="s">
        <v>182</v>
      </c>
      <c r="B133" s="131"/>
      <c r="C133" s="30" t="s">
        <v>175</v>
      </c>
      <c r="D133" s="183">
        <f t="shared" ref="D133:M133" si="77">D128+D129-D131-D132</f>
        <v>0</v>
      </c>
      <c r="E133" s="183">
        <f t="shared" si="77"/>
        <v>0</v>
      </c>
      <c r="F133" s="183">
        <f t="shared" si="77"/>
        <v>0</v>
      </c>
      <c r="G133" s="183">
        <f t="shared" si="77"/>
        <v>0</v>
      </c>
      <c r="H133" s="183">
        <f t="shared" si="77"/>
        <v>0</v>
      </c>
      <c r="I133" s="183">
        <f t="shared" si="77"/>
        <v>0</v>
      </c>
      <c r="J133" s="183">
        <f t="shared" si="77"/>
        <v>0</v>
      </c>
      <c r="K133" s="183">
        <f t="shared" si="77"/>
        <v>0</v>
      </c>
      <c r="L133" s="183">
        <f t="shared" si="77"/>
        <v>0</v>
      </c>
      <c r="M133" s="183">
        <f t="shared" si="77"/>
        <v>0</v>
      </c>
    </row>
    <row r="134" spans="1:14" ht="13" hidden="1" customHeight="1">
      <c r="A134" s="5"/>
      <c r="B134" s="138"/>
      <c r="C134" s="5" t="s">
        <v>769</v>
      </c>
      <c r="D134" s="183" t="e">
        <f t="shared" ref="D134:M134" si="78">PPMT(D127/$B131,1,ROUND(($B129-(D$5-YEAR($B127))+MONTH($B127)/12)*$B131,0),D128)</f>
        <v>#NUM!</v>
      </c>
      <c r="E134" s="183" t="e">
        <f t="shared" si="78"/>
        <v>#NUM!</v>
      </c>
      <c r="F134" s="183" t="e">
        <f t="shared" si="78"/>
        <v>#NUM!</v>
      </c>
      <c r="G134" s="183" t="e">
        <f t="shared" si="78"/>
        <v>#NUM!</v>
      </c>
      <c r="H134" s="183" t="e">
        <f t="shared" si="78"/>
        <v>#NUM!</v>
      </c>
      <c r="I134" s="183" t="e">
        <f t="shared" si="78"/>
        <v>#NUM!</v>
      </c>
      <c r="J134" s="183" t="e">
        <f t="shared" si="78"/>
        <v>#NUM!</v>
      </c>
      <c r="K134" s="183" t="e">
        <f t="shared" si="78"/>
        <v>#NUM!</v>
      </c>
      <c r="L134" s="183" t="e">
        <f t="shared" si="78"/>
        <v>#NUM!</v>
      </c>
      <c r="M134" s="183" t="e">
        <f t="shared" si="78"/>
        <v>#NUM!</v>
      </c>
    </row>
    <row r="135" spans="1:14" ht="13" hidden="1" customHeight="1">
      <c r="A135" s="5"/>
      <c r="B135" s="5"/>
      <c r="C135" s="5" t="s">
        <v>770</v>
      </c>
      <c r="D135" s="183">
        <f t="shared" ref="D135:M135" si="79">IF(YEAR($B127)+$B129&gt;D$5,D128/(YEAR($B127)+$B129-D$5+MONTH($B127)/12),D128)</f>
        <v>0</v>
      </c>
      <c r="E135" s="183">
        <f t="shared" si="79"/>
        <v>0</v>
      </c>
      <c r="F135" s="183">
        <f t="shared" si="79"/>
        <v>0</v>
      </c>
      <c r="G135" s="183">
        <f t="shared" si="79"/>
        <v>0</v>
      </c>
      <c r="H135" s="183">
        <f t="shared" si="79"/>
        <v>0</v>
      </c>
      <c r="I135" s="183">
        <f t="shared" si="79"/>
        <v>0</v>
      </c>
      <c r="J135" s="183">
        <f t="shared" si="79"/>
        <v>0</v>
      </c>
      <c r="K135" s="183">
        <f t="shared" si="79"/>
        <v>0</v>
      </c>
      <c r="L135" s="183">
        <f t="shared" si="79"/>
        <v>0</v>
      </c>
      <c r="M135" s="183">
        <f t="shared" si="79"/>
        <v>0</v>
      </c>
    </row>
    <row r="136" spans="1:14" ht="13" customHeight="1">
      <c r="A136" s="5"/>
      <c r="B136" s="5"/>
      <c r="C136" s="5"/>
      <c r="D136" s="191"/>
      <c r="E136" s="191"/>
      <c r="F136" s="191"/>
      <c r="G136" s="191"/>
      <c r="H136" s="191"/>
      <c r="I136" s="191"/>
      <c r="J136" s="191"/>
      <c r="K136" s="191"/>
      <c r="L136" s="191"/>
      <c r="M136" s="191"/>
    </row>
    <row r="137" spans="1:14" ht="13" customHeight="1">
      <c r="A137" s="30" t="s">
        <v>869</v>
      </c>
      <c r="B137" s="99"/>
      <c r="C137" t="s">
        <v>800</v>
      </c>
      <c r="D137" s="179" t="s">
        <v>801</v>
      </c>
      <c r="E137" s="1"/>
    </row>
    <row r="138" spans="1:14" ht="13" customHeight="1">
      <c r="A138" s="26" t="s">
        <v>677</v>
      </c>
      <c r="B138" s="133">
        <v>29373</v>
      </c>
      <c r="C138" s="5" t="s">
        <v>639</v>
      </c>
      <c r="D138" s="180">
        <f>IF($D137="V",Input!G$69,IF(AND($B144=D$5,Input!G$64&gt;0),Input!G$64,$B141))</f>
        <v>5.2499999999999998E-2</v>
      </c>
      <c r="E138" s="180">
        <f>IF($D137="V",Input!H$69,IF(AND($B144=E$5,Input!H$64&gt;0),Input!H$64,D138))</f>
        <v>5.2499999999999998E-2</v>
      </c>
      <c r="F138" s="180">
        <f>IF($D137="V",Input!I$69,IF(AND($B144=F$5,Input!I$64&gt;0),Input!I$64,E138))</f>
        <v>5.2499999999999998E-2</v>
      </c>
      <c r="G138" s="180">
        <f>IF($D137="V",Input!J$69,IF(AND($B144=G$5,Input!J$64&gt;0),Input!J$64,F138))</f>
        <v>5.2499999999999998E-2</v>
      </c>
      <c r="H138" s="180">
        <f>IF($D137="V",Input!K$69,IF(AND($B144=H$5,Input!K$64&gt;0),Input!K$64,G138))</f>
        <v>5.2499999999999998E-2</v>
      </c>
      <c r="I138" s="180">
        <f>IF($D137="V",Input!L$69,IF(AND($B144=I$5,Input!L$64&gt;0),Input!L$64,H138))</f>
        <v>5.2499999999999998E-2</v>
      </c>
      <c r="J138" s="180">
        <f>IF($D137="V",Input!M$69,IF(AND($B144=J$5,Input!M$64&gt;0),Input!M$64,I138))</f>
        <v>5.2499999999999998E-2</v>
      </c>
      <c r="K138" s="180">
        <f>IF($D137="V",Input!N$69,IF(AND($B144=K$5,Input!N$64&gt;0),Input!N$64,J138))</f>
        <v>5.2499999999999998E-2</v>
      </c>
      <c r="L138" s="180">
        <f>IF($D137="V",Input!O$69,IF(AND($B144=L$5,Input!O$64&gt;0),Input!O$64,K138))</f>
        <v>5.2499999999999998E-2</v>
      </c>
      <c r="M138" s="180">
        <f>IF($D137="V",Input!P$69,IF(AND($B144=M$5,Input!P$64&gt;0),Input!P$64,L138))</f>
        <v>5.2499999999999998E-2</v>
      </c>
    </row>
    <row r="139" spans="1:14" ht="13" customHeight="1">
      <c r="A139" s="5" t="s">
        <v>361</v>
      </c>
      <c r="B139" s="181">
        <v>0</v>
      </c>
      <c r="C139" s="27" t="s">
        <v>173</v>
      </c>
      <c r="D139" s="188">
        <v>0</v>
      </c>
      <c r="E139" s="183">
        <f t="shared" ref="E139:M139" si="80">D144</f>
        <v>0</v>
      </c>
      <c r="F139" s="183">
        <f t="shared" si="80"/>
        <v>0</v>
      </c>
      <c r="G139" s="183">
        <f t="shared" si="80"/>
        <v>0</v>
      </c>
      <c r="H139" s="183">
        <f t="shared" si="80"/>
        <v>0</v>
      </c>
      <c r="I139" s="183">
        <f t="shared" si="80"/>
        <v>0</v>
      </c>
      <c r="J139" s="183">
        <f t="shared" si="80"/>
        <v>0</v>
      </c>
      <c r="K139" s="183">
        <f t="shared" si="80"/>
        <v>0</v>
      </c>
      <c r="L139" s="183">
        <f t="shared" si="80"/>
        <v>0</v>
      </c>
      <c r="M139" s="183">
        <f t="shared" si="80"/>
        <v>0</v>
      </c>
    </row>
    <row r="140" spans="1:14" ht="13" customHeight="1">
      <c r="A140" s="26" t="s">
        <v>170</v>
      </c>
      <c r="B140" s="131">
        <v>35</v>
      </c>
      <c r="C140" s="184" t="s">
        <v>169</v>
      </c>
      <c r="D140" s="183">
        <f t="shared" ref="D140:M140" si="81">D142-D141</f>
        <v>0</v>
      </c>
      <c r="E140" s="183">
        <f t="shared" si="81"/>
        <v>0</v>
      </c>
      <c r="F140" s="183">
        <f t="shared" si="81"/>
        <v>0</v>
      </c>
      <c r="G140" s="183">
        <f t="shared" si="81"/>
        <v>0</v>
      </c>
      <c r="H140" s="183">
        <f t="shared" si="81"/>
        <v>0</v>
      </c>
      <c r="I140" s="183">
        <f t="shared" si="81"/>
        <v>0</v>
      </c>
      <c r="J140" s="183">
        <f t="shared" si="81"/>
        <v>0</v>
      </c>
      <c r="K140" s="183">
        <f t="shared" si="81"/>
        <v>0</v>
      </c>
      <c r="L140" s="183">
        <f t="shared" si="81"/>
        <v>0</v>
      </c>
      <c r="M140" s="183">
        <f t="shared" si="81"/>
        <v>0</v>
      </c>
    </row>
    <row r="141" spans="1:14" ht="13" customHeight="1">
      <c r="A141" s="5" t="s">
        <v>172</v>
      </c>
      <c r="B141" s="185">
        <f>B130</f>
        <v>5.2499999999999998E-2</v>
      </c>
      <c r="C141" s="5" t="s">
        <v>174</v>
      </c>
      <c r="D141" s="183">
        <f t="shared" ref="D141:M141" si="82">IF(AND($B143="Y",YEAR($B138)+$B140&gt;D$5),D146,IF((YEAR($B138)+$B140)&gt;D$5,FV(D138/$B142,$B142,D145),D139))</f>
        <v>0</v>
      </c>
      <c r="E141" s="183">
        <f t="shared" si="82"/>
        <v>0</v>
      </c>
      <c r="F141" s="183">
        <f t="shared" si="82"/>
        <v>0</v>
      </c>
      <c r="G141" s="183">
        <f t="shared" si="82"/>
        <v>0</v>
      </c>
      <c r="H141" s="183">
        <f t="shared" si="82"/>
        <v>0</v>
      </c>
      <c r="I141" s="183">
        <f t="shared" si="82"/>
        <v>0</v>
      </c>
      <c r="J141" s="183">
        <f t="shared" si="82"/>
        <v>0</v>
      </c>
      <c r="K141" s="183">
        <f t="shared" si="82"/>
        <v>0</v>
      </c>
      <c r="L141" s="183">
        <f t="shared" si="82"/>
        <v>0</v>
      </c>
      <c r="M141" s="183">
        <f t="shared" si="82"/>
        <v>0</v>
      </c>
    </row>
    <row r="142" spans="1:14" ht="13" customHeight="1">
      <c r="A142" s="5" t="s">
        <v>171</v>
      </c>
      <c r="B142" s="131">
        <v>4</v>
      </c>
      <c r="C142" s="186" t="s">
        <v>640</v>
      </c>
      <c r="D142" s="183">
        <f t="shared" ref="D142:M142" si="83">IF(AND($B143="Y",YEAR($B138)+$B140&gt;D$5),D146+D138*(D139-D146*0.5),IF((YEAR($B138)+$B140)&gt;D$5,(D139*D138/$B142-D145)*$B142,(D139*(1+D138*MONTH($B138)/12))))</f>
        <v>0</v>
      </c>
      <c r="E142" s="183">
        <f t="shared" si="83"/>
        <v>0</v>
      </c>
      <c r="F142" s="183">
        <f t="shared" si="83"/>
        <v>0</v>
      </c>
      <c r="G142" s="183">
        <f t="shared" si="83"/>
        <v>0</v>
      </c>
      <c r="H142" s="183">
        <f t="shared" si="83"/>
        <v>0</v>
      </c>
      <c r="I142" s="183">
        <f t="shared" si="83"/>
        <v>0</v>
      </c>
      <c r="J142" s="183">
        <f t="shared" si="83"/>
        <v>0</v>
      </c>
      <c r="K142" s="183">
        <f t="shared" si="83"/>
        <v>0</v>
      </c>
      <c r="L142" s="183">
        <f t="shared" si="83"/>
        <v>0</v>
      </c>
      <c r="M142" s="183">
        <f t="shared" si="83"/>
        <v>0</v>
      </c>
    </row>
    <row r="143" spans="1:14" ht="13" customHeight="1">
      <c r="A143" s="5" t="s">
        <v>767</v>
      </c>
      <c r="B143" s="131" t="s">
        <v>719</v>
      </c>
      <c r="C143" s="187" t="s">
        <v>768</v>
      </c>
      <c r="D143" s="188">
        <v>0</v>
      </c>
      <c r="E143" s="188">
        <v>0</v>
      </c>
      <c r="F143" s="188">
        <v>0</v>
      </c>
      <c r="G143" s="188">
        <v>0</v>
      </c>
      <c r="H143" s="188">
        <v>0</v>
      </c>
      <c r="I143" s="188">
        <v>0</v>
      </c>
      <c r="J143" s="188">
        <v>0</v>
      </c>
      <c r="K143" s="188">
        <v>0</v>
      </c>
      <c r="L143" s="188">
        <v>0</v>
      </c>
      <c r="M143" s="188">
        <v>0</v>
      </c>
    </row>
    <row r="144" spans="1:14" ht="13" customHeight="1">
      <c r="A144" s="5" t="s">
        <v>182</v>
      </c>
      <c r="B144" s="131"/>
      <c r="C144" s="30" t="s">
        <v>175</v>
      </c>
      <c r="D144" s="183">
        <f t="shared" ref="D144:M144" si="84">D139+D140-D142-D143</f>
        <v>0</v>
      </c>
      <c r="E144" s="183">
        <f t="shared" si="84"/>
        <v>0</v>
      </c>
      <c r="F144" s="183">
        <f t="shared" si="84"/>
        <v>0</v>
      </c>
      <c r="G144" s="183">
        <f t="shared" si="84"/>
        <v>0</v>
      </c>
      <c r="H144" s="183">
        <f t="shared" si="84"/>
        <v>0</v>
      </c>
      <c r="I144" s="183">
        <f t="shared" si="84"/>
        <v>0</v>
      </c>
      <c r="J144" s="183">
        <f t="shared" si="84"/>
        <v>0</v>
      </c>
      <c r="K144" s="183">
        <f t="shared" si="84"/>
        <v>0</v>
      </c>
      <c r="L144" s="183">
        <f t="shared" si="84"/>
        <v>0</v>
      </c>
      <c r="M144" s="183">
        <f t="shared" si="84"/>
        <v>0</v>
      </c>
    </row>
    <row r="145" spans="1:13" ht="13" hidden="1" customHeight="1">
      <c r="A145" s="5"/>
      <c r="B145" s="138"/>
      <c r="C145" s="5" t="s">
        <v>769</v>
      </c>
      <c r="D145" s="183" t="e">
        <f t="shared" ref="D145:M145" si="85">PPMT(D138/$B142,1,ROUND(($B140-(D$5-YEAR($B138))+MONTH($B138)/12)*$B142,0),D139)</f>
        <v>#NUM!</v>
      </c>
      <c r="E145" s="183" t="e">
        <f t="shared" si="85"/>
        <v>#NUM!</v>
      </c>
      <c r="F145" s="183" t="e">
        <f t="shared" si="85"/>
        <v>#NUM!</v>
      </c>
      <c r="G145" s="183" t="e">
        <f t="shared" si="85"/>
        <v>#NUM!</v>
      </c>
      <c r="H145" s="183" t="e">
        <f t="shared" si="85"/>
        <v>#NUM!</v>
      </c>
      <c r="I145" s="183" t="e">
        <f t="shared" si="85"/>
        <v>#NUM!</v>
      </c>
      <c r="J145" s="183" t="e">
        <f t="shared" si="85"/>
        <v>#NUM!</v>
      </c>
      <c r="K145" s="183" t="e">
        <f t="shared" si="85"/>
        <v>#NUM!</v>
      </c>
      <c r="L145" s="183" t="e">
        <f t="shared" si="85"/>
        <v>#NUM!</v>
      </c>
      <c r="M145" s="183" t="e">
        <f t="shared" si="85"/>
        <v>#NUM!</v>
      </c>
    </row>
    <row r="146" spans="1:13" ht="12.75" hidden="1" customHeight="1">
      <c r="A146" s="5"/>
      <c r="B146" s="5"/>
      <c r="C146" s="5" t="s">
        <v>770</v>
      </c>
      <c r="D146" s="183">
        <f t="shared" ref="D146:M146" si="86">IF(YEAR($B138)+$B140&gt;D$5,D139/(YEAR($B138)+$B140-D$5+MONTH($B138)/12),D139)</f>
        <v>0</v>
      </c>
      <c r="E146" s="183">
        <f t="shared" si="86"/>
        <v>0</v>
      </c>
      <c r="F146" s="183">
        <f t="shared" si="86"/>
        <v>0</v>
      </c>
      <c r="G146" s="183">
        <f t="shared" si="86"/>
        <v>0</v>
      </c>
      <c r="H146" s="183">
        <f t="shared" si="86"/>
        <v>0</v>
      </c>
      <c r="I146" s="183">
        <f t="shared" si="86"/>
        <v>0</v>
      </c>
      <c r="J146" s="183">
        <f t="shared" si="86"/>
        <v>0</v>
      </c>
      <c r="K146" s="183">
        <f t="shared" si="86"/>
        <v>0</v>
      </c>
      <c r="L146" s="183">
        <f t="shared" si="86"/>
        <v>0</v>
      </c>
      <c r="M146" s="183">
        <f t="shared" si="86"/>
        <v>0</v>
      </c>
    </row>
    <row r="147" spans="1:13" ht="13" customHeight="1">
      <c r="A147" s="5"/>
      <c r="B147" s="5"/>
      <c r="C147" s="5"/>
      <c r="D147" s="191"/>
      <c r="E147" s="191"/>
      <c r="F147" s="191"/>
      <c r="G147" s="191"/>
      <c r="H147" s="191"/>
      <c r="I147" s="191"/>
      <c r="J147" s="191"/>
      <c r="K147" s="191"/>
      <c r="L147" s="191"/>
      <c r="M147" s="191"/>
    </row>
    <row r="148" spans="1:13" ht="13" customHeight="1">
      <c r="A148" s="30" t="s">
        <v>870</v>
      </c>
      <c r="B148" s="99"/>
      <c r="C148" t="s">
        <v>800</v>
      </c>
      <c r="D148" s="179" t="s">
        <v>801</v>
      </c>
      <c r="E148" s="1"/>
    </row>
    <row r="149" spans="1:13" ht="13" customHeight="1">
      <c r="A149" s="26" t="s">
        <v>677</v>
      </c>
      <c r="B149" s="133">
        <v>29373</v>
      </c>
      <c r="C149" s="5" t="s">
        <v>639</v>
      </c>
      <c r="D149" s="180">
        <f>IF($D148="V",Input!G$69,IF(AND($B155=D$5,Input!G$64&gt;0),Input!G$64,$B152))</f>
        <v>5.2499999999999998E-2</v>
      </c>
      <c r="E149" s="180">
        <f>IF($D148="V",Input!H$69,IF(AND($B155=E$5,Input!H$64&gt;0),Input!H$64,D149))</f>
        <v>5.2499999999999998E-2</v>
      </c>
      <c r="F149" s="180">
        <f>IF($D148="V",Input!I$69,IF(AND($B155=F$5,Input!I$64&gt;0),Input!I$64,E149))</f>
        <v>5.2499999999999998E-2</v>
      </c>
      <c r="G149" s="180">
        <f>IF($D148="V",Input!J$69,IF(AND($B155=G$5,Input!J$64&gt;0),Input!J$64,F149))</f>
        <v>5.2499999999999998E-2</v>
      </c>
      <c r="H149" s="180">
        <f>IF($D148="V",Input!K$69,IF(AND($B155=H$5,Input!K$64&gt;0),Input!K$64,G149))</f>
        <v>5.2499999999999998E-2</v>
      </c>
      <c r="I149" s="180">
        <f>IF($D148="V",Input!L$69,IF(AND($B155=I$5,Input!L$64&gt;0),Input!L$64,H149))</f>
        <v>5.2499999999999998E-2</v>
      </c>
      <c r="J149" s="180">
        <f>IF($D148="V",Input!M$69,IF(AND($B155=J$5,Input!M$64&gt;0),Input!M$64,I149))</f>
        <v>5.2499999999999998E-2</v>
      </c>
      <c r="K149" s="180">
        <f>IF($D148="V",Input!N$69,IF(AND($B155=K$5,Input!N$64&gt;0),Input!N$64,J149))</f>
        <v>5.2499999999999998E-2</v>
      </c>
      <c r="L149" s="180">
        <f>IF($D148="V",Input!O$69,IF(AND($B155=L$5,Input!O$64&gt;0),Input!O$64,K149))</f>
        <v>5.2499999999999998E-2</v>
      </c>
      <c r="M149" s="180">
        <f>IF($D148="V",Input!P$69,IF(AND($B155=M$5,Input!P$64&gt;0),Input!P$64,L149))</f>
        <v>5.2499999999999998E-2</v>
      </c>
    </row>
    <row r="150" spans="1:13" ht="13" customHeight="1">
      <c r="A150" s="5" t="s">
        <v>361</v>
      </c>
      <c r="B150" s="181">
        <v>0</v>
      </c>
      <c r="C150" s="27" t="s">
        <v>173</v>
      </c>
      <c r="D150" s="188">
        <v>0</v>
      </c>
      <c r="E150" s="183">
        <f t="shared" ref="E150:M150" si="87">D155</f>
        <v>0</v>
      </c>
      <c r="F150" s="183">
        <f t="shared" si="87"/>
        <v>0</v>
      </c>
      <c r="G150" s="183">
        <f t="shared" si="87"/>
        <v>0</v>
      </c>
      <c r="H150" s="183">
        <f t="shared" si="87"/>
        <v>0</v>
      </c>
      <c r="I150" s="183">
        <f t="shared" si="87"/>
        <v>0</v>
      </c>
      <c r="J150" s="183">
        <f t="shared" si="87"/>
        <v>0</v>
      </c>
      <c r="K150" s="183">
        <f t="shared" si="87"/>
        <v>0</v>
      </c>
      <c r="L150" s="183">
        <f t="shared" si="87"/>
        <v>0</v>
      </c>
      <c r="M150" s="183">
        <f t="shared" si="87"/>
        <v>0</v>
      </c>
    </row>
    <row r="151" spans="1:13" ht="13" customHeight="1">
      <c r="A151" s="26" t="s">
        <v>170</v>
      </c>
      <c r="B151" s="131">
        <v>35</v>
      </c>
      <c r="C151" s="184" t="s">
        <v>169</v>
      </c>
      <c r="D151" s="183">
        <f t="shared" ref="D151:M151" si="88">D153-D152</f>
        <v>0</v>
      </c>
      <c r="E151" s="183">
        <f t="shared" si="88"/>
        <v>0</v>
      </c>
      <c r="F151" s="183">
        <f t="shared" si="88"/>
        <v>0</v>
      </c>
      <c r="G151" s="183">
        <f t="shared" si="88"/>
        <v>0</v>
      </c>
      <c r="H151" s="183">
        <f t="shared" si="88"/>
        <v>0</v>
      </c>
      <c r="I151" s="183">
        <f t="shared" si="88"/>
        <v>0</v>
      </c>
      <c r="J151" s="183">
        <f t="shared" si="88"/>
        <v>0</v>
      </c>
      <c r="K151" s="183">
        <f t="shared" si="88"/>
        <v>0</v>
      </c>
      <c r="L151" s="183">
        <f t="shared" si="88"/>
        <v>0</v>
      </c>
      <c r="M151" s="183">
        <f t="shared" si="88"/>
        <v>0</v>
      </c>
    </row>
    <row r="152" spans="1:13" ht="13" customHeight="1">
      <c r="A152" s="5" t="s">
        <v>172</v>
      </c>
      <c r="B152" s="185">
        <f>B141</f>
        <v>5.2499999999999998E-2</v>
      </c>
      <c r="C152" s="5" t="s">
        <v>174</v>
      </c>
      <c r="D152" s="183">
        <f t="shared" ref="D152:M152" si="89">IF(AND($B154="Y",YEAR($B149)+$B151&gt;D$5),D157,IF((YEAR($B149)+$B151)&gt;D$5,FV(D149/$B153,$B153,D156),D150))</f>
        <v>0</v>
      </c>
      <c r="E152" s="183">
        <f t="shared" si="89"/>
        <v>0</v>
      </c>
      <c r="F152" s="183">
        <f t="shared" si="89"/>
        <v>0</v>
      </c>
      <c r="G152" s="183">
        <f t="shared" si="89"/>
        <v>0</v>
      </c>
      <c r="H152" s="183">
        <f t="shared" si="89"/>
        <v>0</v>
      </c>
      <c r="I152" s="183">
        <f t="shared" si="89"/>
        <v>0</v>
      </c>
      <c r="J152" s="183">
        <f t="shared" si="89"/>
        <v>0</v>
      </c>
      <c r="K152" s="183">
        <f t="shared" si="89"/>
        <v>0</v>
      </c>
      <c r="L152" s="183">
        <f t="shared" si="89"/>
        <v>0</v>
      </c>
      <c r="M152" s="183">
        <f t="shared" si="89"/>
        <v>0</v>
      </c>
    </row>
    <row r="153" spans="1:13" ht="13" customHeight="1">
      <c r="A153" s="5" t="s">
        <v>171</v>
      </c>
      <c r="B153" s="131">
        <v>4</v>
      </c>
      <c r="C153" s="186" t="s">
        <v>640</v>
      </c>
      <c r="D153" s="183">
        <f t="shared" ref="D153:M153" si="90">IF(AND($B154="Y",YEAR($B149)+$B151&gt;D$5),D157+D149*(D150-D157*0.5),IF((YEAR($B149)+$B151)&gt;D$5,(D150*D149/$B153-D156)*$B153,(D150*(1+D149*MONTH($B149)/12))))</f>
        <v>0</v>
      </c>
      <c r="E153" s="183">
        <f t="shared" si="90"/>
        <v>0</v>
      </c>
      <c r="F153" s="183">
        <f t="shared" si="90"/>
        <v>0</v>
      </c>
      <c r="G153" s="183">
        <f t="shared" si="90"/>
        <v>0</v>
      </c>
      <c r="H153" s="183">
        <f t="shared" si="90"/>
        <v>0</v>
      </c>
      <c r="I153" s="183">
        <f t="shared" si="90"/>
        <v>0</v>
      </c>
      <c r="J153" s="183">
        <f t="shared" si="90"/>
        <v>0</v>
      </c>
      <c r="K153" s="183">
        <f t="shared" si="90"/>
        <v>0</v>
      </c>
      <c r="L153" s="183">
        <f t="shared" si="90"/>
        <v>0</v>
      </c>
      <c r="M153" s="183">
        <f t="shared" si="90"/>
        <v>0</v>
      </c>
    </row>
    <row r="154" spans="1:13" ht="13" customHeight="1">
      <c r="A154" s="5" t="s">
        <v>767</v>
      </c>
      <c r="B154" s="131" t="s">
        <v>719</v>
      </c>
      <c r="C154" s="187" t="s">
        <v>768</v>
      </c>
      <c r="D154" s="188">
        <v>0</v>
      </c>
      <c r="E154" s="188">
        <v>0</v>
      </c>
      <c r="F154" s="188">
        <v>0</v>
      </c>
      <c r="G154" s="188">
        <v>0</v>
      </c>
      <c r="H154" s="188">
        <v>0</v>
      </c>
      <c r="I154" s="188">
        <v>0</v>
      </c>
      <c r="J154" s="188">
        <v>0</v>
      </c>
      <c r="K154" s="188">
        <v>0</v>
      </c>
      <c r="L154" s="188">
        <v>0</v>
      </c>
      <c r="M154" s="188">
        <v>0</v>
      </c>
    </row>
    <row r="155" spans="1:13" ht="13" customHeight="1">
      <c r="A155" s="5" t="s">
        <v>182</v>
      </c>
      <c r="B155" s="131"/>
      <c r="C155" s="30" t="s">
        <v>175</v>
      </c>
      <c r="D155" s="183">
        <f t="shared" ref="D155:M155" si="91">D150+D151-D153-D154</f>
        <v>0</v>
      </c>
      <c r="E155" s="183">
        <f t="shared" si="91"/>
        <v>0</v>
      </c>
      <c r="F155" s="183">
        <f t="shared" si="91"/>
        <v>0</v>
      </c>
      <c r="G155" s="183">
        <f t="shared" si="91"/>
        <v>0</v>
      </c>
      <c r="H155" s="183">
        <f t="shared" si="91"/>
        <v>0</v>
      </c>
      <c r="I155" s="183">
        <f t="shared" si="91"/>
        <v>0</v>
      </c>
      <c r="J155" s="183">
        <f t="shared" si="91"/>
        <v>0</v>
      </c>
      <c r="K155" s="183">
        <f t="shared" si="91"/>
        <v>0</v>
      </c>
      <c r="L155" s="183">
        <f t="shared" si="91"/>
        <v>0</v>
      </c>
      <c r="M155" s="183">
        <f t="shared" si="91"/>
        <v>0</v>
      </c>
    </row>
    <row r="156" spans="1:13" ht="13" hidden="1" customHeight="1">
      <c r="A156" s="5"/>
      <c r="B156" s="138"/>
      <c r="C156" s="5" t="s">
        <v>769</v>
      </c>
      <c r="D156" s="183" t="e">
        <f t="shared" ref="D156:M156" si="92">PPMT(D149/$B153,1,ROUND(($B151-(D$5-YEAR($B149))+MONTH($B149)/12)*$B153,0),D150)</f>
        <v>#NUM!</v>
      </c>
      <c r="E156" s="183" t="e">
        <f t="shared" si="92"/>
        <v>#NUM!</v>
      </c>
      <c r="F156" s="183" t="e">
        <f t="shared" si="92"/>
        <v>#NUM!</v>
      </c>
      <c r="G156" s="183" t="e">
        <f t="shared" si="92"/>
        <v>#NUM!</v>
      </c>
      <c r="H156" s="183" t="e">
        <f t="shared" si="92"/>
        <v>#NUM!</v>
      </c>
      <c r="I156" s="183" t="e">
        <f t="shared" si="92"/>
        <v>#NUM!</v>
      </c>
      <c r="J156" s="183" t="e">
        <f t="shared" si="92"/>
        <v>#NUM!</v>
      </c>
      <c r="K156" s="183" t="e">
        <f t="shared" si="92"/>
        <v>#NUM!</v>
      </c>
      <c r="L156" s="183" t="e">
        <f t="shared" si="92"/>
        <v>#NUM!</v>
      </c>
      <c r="M156" s="183" t="e">
        <f t="shared" si="92"/>
        <v>#NUM!</v>
      </c>
    </row>
    <row r="157" spans="1:13" ht="13" hidden="1" customHeight="1">
      <c r="A157" s="5"/>
      <c r="B157" s="5"/>
      <c r="C157" s="5" t="s">
        <v>770</v>
      </c>
      <c r="D157" s="183">
        <f t="shared" ref="D157:M157" si="93">IF(YEAR($B149)+$B151&gt;D$5,D150/(YEAR($B149)+$B151-D$5+MONTH($B149)/12),D150)</f>
        <v>0</v>
      </c>
      <c r="E157" s="183">
        <f t="shared" si="93"/>
        <v>0</v>
      </c>
      <c r="F157" s="183">
        <f t="shared" si="93"/>
        <v>0</v>
      </c>
      <c r="G157" s="183">
        <f t="shared" si="93"/>
        <v>0</v>
      </c>
      <c r="H157" s="183">
        <f t="shared" si="93"/>
        <v>0</v>
      </c>
      <c r="I157" s="183">
        <f t="shared" si="93"/>
        <v>0</v>
      </c>
      <c r="J157" s="183">
        <f t="shared" si="93"/>
        <v>0</v>
      </c>
      <c r="K157" s="183">
        <f t="shared" si="93"/>
        <v>0</v>
      </c>
      <c r="L157" s="183">
        <f t="shared" si="93"/>
        <v>0</v>
      </c>
      <c r="M157" s="183">
        <f t="shared" si="93"/>
        <v>0</v>
      </c>
    </row>
    <row r="158" spans="1:13" ht="13" customHeight="1">
      <c r="A158" s="5"/>
      <c r="B158" s="5"/>
      <c r="C158" s="5"/>
      <c r="D158" s="191"/>
      <c r="E158" s="191"/>
      <c r="F158" s="191"/>
      <c r="G158" s="191"/>
      <c r="H158" s="191"/>
      <c r="I158" s="191"/>
      <c r="J158" s="191"/>
      <c r="K158" s="191"/>
      <c r="L158" s="191"/>
      <c r="M158" s="191"/>
    </row>
    <row r="159" spans="1:13" ht="13" customHeight="1">
      <c r="A159" s="5"/>
      <c r="B159" s="5"/>
      <c r="C159" s="5"/>
      <c r="D159" s="191"/>
      <c r="E159" s="191"/>
      <c r="F159" s="191"/>
      <c r="G159" s="191"/>
      <c r="H159" s="191"/>
      <c r="I159" s="191"/>
      <c r="J159" s="191"/>
      <c r="K159" s="191"/>
      <c r="L159" s="191"/>
      <c r="M159" s="191"/>
    </row>
    <row r="160" spans="1:13" ht="13" customHeight="1">
      <c r="A160" s="5" t="s">
        <v>888</v>
      </c>
      <c r="B160" s="5"/>
      <c r="C160" s="5"/>
      <c r="D160" s="193">
        <f t="shared" ref="D160:M160" si="94">+D5</f>
        <v>2024</v>
      </c>
      <c r="E160" s="193">
        <f t="shared" si="94"/>
        <v>2025</v>
      </c>
      <c r="F160" s="193">
        <f t="shared" si="94"/>
        <v>2026</v>
      </c>
      <c r="G160" s="193">
        <f t="shared" si="94"/>
        <v>2027</v>
      </c>
      <c r="H160" s="193">
        <f t="shared" si="94"/>
        <v>2028</v>
      </c>
      <c r="I160" s="193">
        <f t="shared" si="94"/>
        <v>2029</v>
      </c>
      <c r="J160" s="193">
        <f t="shared" si="94"/>
        <v>2030</v>
      </c>
      <c r="K160" s="193">
        <f t="shared" si="94"/>
        <v>2031</v>
      </c>
      <c r="L160" s="193">
        <f t="shared" si="94"/>
        <v>2032</v>
      </c>
      <c r="M160" s="193">
        <f t="shared" si="94"/>
        <v>2033</v>
      </c>
    </row>
    <row r="161" spans="1:13" ht="13" customHeight="1">
      <c r="A161" s="5"/>
      <c r="B161" s="5"/>
      <c r="C161" s="5"/>
      <c r="D161" s="194" t="str">
        <f t="shared" ref="D161:M161" si="95">+D81</f>
        <v xml:space="preserve">  -----------</v>
      </c>
      <c r="E161" s="194" t="str">
        <f t="shared" si="95"/>
        <v xml:space="preserve">  -----------</v>
      </c>
      <c r="F161" s="194" t="str">
        <f t="shared" si="95"/>
        <v xml:space="preserve">  -----------</v>
      </c>
      <c r="G161" s="194" t="str">
        <f t="shared" si="95"/>
        <v xml:space="preserve">  -----------</v>
      </c>
      <c r="H161" s="194" t="str">
        <f t="shared" si="95"/>
        <v xml:space="preserve">  -----------</v>
      </c>
      <c r="I161" s="194" t="str">
        <f t="shared" si="95"/>
        <v xml:space="preserve">  -----------</v>
      </c>
      <c r="J161" s="194" t="str">
        <f t="shared" si="95"/>
        <v xml:space="preserve">  -----------</v>
      </c>
      <c r="K161" s="194" t="str">
        <f t="shared" si="95"/>
        <v xml:space="preserve">  -----------</v>
      </c>
      <c r="L161" s="194" t="str">
        <f t="shared" si="95"/>
        <v xml:space="preserve">  -----------</v>
      </c>
      <c r="M161" s="194" t="str">
        <f t="shared" si="95"/>
        <v xml:space="preserve">  -----------</v>
      </c>
    </row>
    <row r="162" spans="1:13" ht="13" customHeight="1">
      <c r="A162" s="30" t="s">
        <v>871</v>
      </c>
      <c r="B162" s="99"/>
      <c r="C162" t="s">
        <v>800</v>
      </c>
      <c r="D162" s="179" t="s">
        <v>801</v>
      </c>
      <c r="E162" s="1"/>
    </row>
    <row r="163" spans="1:13" ht="13" customHeight="1">
      <c r="A163" s="26" t="s">
        <v>677</v>
      </c>
      <c r="B163" s="133">
        <v>29373</v>
      </c>
      <c r="C163" s="5" t="s">
        <v>639</v>
      </c>
      <c r="D163" s="180">
        <f>IF($D162="V",Input!G$69,IF(AND($B169=D$5,Input!G$64&gt;0),Input!G$64,$B166))</f>
        <v>5.2499999999999998E-2</v>
      </c>
      <c r="E163" s="180">
        <f>IF($D162="V",Input!H$69,IF(AND($B169=E$5,Input!H$64&gt;0),Input!H$64,D163))</f>
        <v>5.2499999999999998E-2</v>
      </c>
      <c r="F163" s="180">
        <f>IF($D162="V",Input!I$69,IF(AND($B169=F$5,Input!I$64&gt;0),Input!I$64,E163))</f>
        <v>5.2499999999999998E-2</v>
      </c>
      <c r="G163" s="180">
        <f>IF($D162="V",Input!J$69,IF(AND($B169=G$5,Input!J$64&gt;0),Input!J$64,F163))</f>
        <v>5.2499999999999998E-2</v>
      </c>
      <c r="H163" s="180">
        <f>IF($D162="V",Input!K$69,IF(AND($B169=H$5,Input!K$64&gt;0),Input!K$64,G163))</f>
        <v>5.2499999999999998E-2</v>
      </c>
      <c r="I163" s="180">
        <f>IF($D162="V",Input!L$69,IF(AND($B169=I$5,Input!L$64&gt;0),Input!L$64,H163))</f>
        <v>5.2499999999999998E-2</v>
      </c>
      <c r="J163" s="180">
        <f>IF($D162="V",Input!M$69,IF(AND($B169=J$5,Input!M$64&gt;0),Input!M$64,I163))</f>
        <v>5.2499999999999998E-2</v>
      </c>
      <c r="K163" s="180">
        <f>IF($D162="V",Input!N$69,IF(AND($B169=K$5,Input!N$64&gt;0),Input!N$64,J163))</f>
        <v>5.2499999999999998E-2</v>
      </c>
      <c r="L163" s="180">
        <f>IF($D162="V",Input!O$69,IF(AND($B169=L$5,Input!O$64&gt;0),Input!O$64,K163))</f>
        <v>5.2499999999999998E-2</v>
      </c>
      <c r="M163" s="180">
        <f>IF($D162="V",Input!P$69,IF(AND($B169=M$5,Input!P$64&gt;0),Input!P$64,L163))</f>
        <v>5.2499999999999998E-2</v>
      </c>
    </row>
    <row r="164" spans="1:13" ht="13" customHeight="1">
      <c r="A164" s="5" t="s">
        <v>361</v>
      </c>
      <c r="B164" s="181">
        <v>0</v>
      </c>
      <c r="C164" s="27" t="s">
        <v>173</v>
      </c>
      <c r="D164" s="188">
        <v>0</v>
      </c>
      <c r="E164" s="183">
        <f t="shared" ref="E164:M164" si="96">D169</f>
        <v>0</v>
      </c>
      <c r="F164" s="183">
        <f t="shared" si="96"/>
        <v>0</v>
      </c>
      <c r="G164" s="183">
        <f t="shared" si="96"/>
        <v>0</v>
      </c>
      <c r="H164" s="183">
        <f t="shared" si="96"/>
        <v>0</v>
      </c>
      <c r="I164" s="183">
        <f t="shared" si="96"/>
        <v>0</v>
      </c>
      <c r="J164" s="183">
        <f t="shared" si="96"/>
        <v>0</v>
      </c>
      <c r="K164" s="183">
        <f t="shared" si="96"/>
        <v>0</v>
      </c>
      <c r="L164" s="183">
        <f t="shared" si="96"/>
        <v>0</v>
      </c>
      <c r="M164" s="183">
        <f t="shared" si="96"/>
        <v>0</v>
      </c>
    </row>
    <row r="165" spans="1:13" ht="13" customHeight="1">
      <c r="A165" s="26" t="s">
        <v>170</v>
      </c>
      <c r="B165" s="131">
        <v>35</v>
      </c>
      <c r="C165" s="184" t="s">
        <v>169</v>
      </c>
      <c r="D165" s="183">
        <f t="shared" ref="D165:M165" si="97">D167-D166</f>
        <v>0</v>
      </c>
      <c r="E165" s="183">
        <f t="shared" si="97"/>
        <v>0</v>
      </c>
      <c r="F165" s="183">
        <f t="shared" si="97"/>
        <v>0</v>
      </c>
      <c r="G165" s="183">
        <f t="shared" si="97"/>
        <v>0</v>
      </c>
      <c r="H165" s="183">
        <f t="shared" si="97"/>
        <v>0</v>
      </c>
      <c r="I165" s="183">
        <f t="shared" si="97"/>
        <v>0</v>
      </c>
      <c r="J165" s="183">
        <f t="shared" si="97"/>
        <v>0</v>
      </c>
      <c r="K165" s="183">
        <f t="shared" si="97"/>
        <v>0</v>
      </c>
      <c r="L165" s="183">
        <f t="shared" si="97"/>
        <v>0</v>
      </c>
      <c r="M165" s="183">
        <f t="shared" si="97"/>
        <v>0</v>
      </c>
    </row>
    <row r="166" spans="1:13" ht="13" customHeight="1">
      <c r="A166" s="5" t="s">
        <v>172</v>
      </c>
      <c r="B166" s="185">
        <f>B152</f>
        <v>5.2499999999999998E-2</v>
      </c>
      <c r="C166" s="5" t="s">
        <v>174</v>
      </c>
      <c r="D166" s="183">
        <f t="shared" ref="D166:M166" si="98">IF(AND($B168="Y",YEAR($B163)+$B165&gt;D$5),D171,IF((YEAR($B163)+$B165)&gt;D$5,FV(D163/$B167,$B167,D170),D164))</f>
        <v>0</v>
      </c>
      <c r="E166" s="183">
        <f t="shared" si="98"/>
        <v>0</v>
      </c>
      <c r="F166" s="183">
        <f t="shared" si="98"/>
        <v>0</v>
      </c>
      <c r="G166" s="183">
        <f t="shared" si="98"/>
        <v>0</v>
      </c>
      <c r="H166" s="183">
        <f t="shared" si="98"/>
        <v>0</v>
      </c>
      <c r="I166" s="183">
        <f t="shared" si="98"/>
        <v>0</v>
      </c>
      <c r="J166" s="183">
        <f t="shared" si="98"/>
        <v>0</v>
      </c>
      <c r="K166" s="183">
        <f t="shared" si="98"/>
        <v>0</v>
      </c>
      <c r="L166" s="183">
        <f t="shared" si="98"/>
        <v>0</v>
      </c>
      <c r="M166" s="183">
        <f t="shared" si="98"/>
        <v>0</v>
      </c>
    </row>
    <row r="167" spans="1:13" ht="13" customHeight="1">
      <c r="A167" s="5" t="s">
        <v>171</v>
      </c>
      <c r="B167" s="131">
        <v>4</v>
      </c>
      <c r="C167" s="186" t="s">
        <v>640</v>
      </c>
      <c r="D167" s="183">
        <f t="shared" ref="D167:M167" si="99">IF(AND($B168="Y",YEAR($B163)+$B165&gt;D$5),D171+D163*(D164-D171*0.5),IF((YEAR($B163)+$B165)&gt;D$5,(D164*D163/$B167-D170)*$B167,(D164*(1+D163*MONTH($B163)/12))))</f>
        <v>0</v>
      </c>
      <c r="E167" s="183">
        <f t="shared" si="99"/>
        <v>0</v>
      </c>
      <c r="F167" s="183">
        <f t="shared" si="99"/>
        <v>0</v>
      </c>
      <c r="G167" s="183">
        <f t="shared" si="99"/>
        <v>0</v>
      </c>
      <c r="H167" s="183">
        <f t="shared" si="99"/>
        <v>0</v>
      </c>
      <c r="I167" s="183">
        <f t="shared" si="99"/>
        <v>0</v>
      </c>
      <c r="J167" s="183">
        <f t="shared" si="99"/>
        <v>0</v>
      </c>
      <c r="K167" s="183">
        <f t="shared" si="99"/>
        <v>0</v>
      </c>
      <c r="L167" s="183">
        <f t="shared" si="99"/>
        <v>0</v>
      </c>
      <c r="M167" s="183">
        <f t="shared" si="99"/>
        <v>0</v>
      </c>
    </row>
    <row r="168" spans="1:13" ht="13" customHeight="1">
      <c r="A168" s="5" t="s">
        <v>767</v>
      </c>
      <c r="B168" s="131" t="s">
        <v>719</v>
      </c>
      <c r="C168" s="187" t="s">
        <v>768</v>
      </c>
      <c r="D168" s="188">
        <v>0</v>
      </c>
      <c r="E168" s="188">
        <v>0</v>
      </c>
      <c r="F168" s="188">
        <v>0</v>
      </c>
      <c r="G168" s="188">
        <v>0</v>
      </c>
      <c r="H168" s="188">
        <v>0</v>
      </c>
      <c r="I168" s="188">
        <v>0</v>
      </c>
      <c r="J168" s="188">
        <v>0</v>
      </c>
      <c r="K168" s="188">
        <v>0</v>
      </c>
      <c r="L168" s="188">
        <v>0</v>
      </c>
      <c r="M168" s="188">
        <v>0</v>
      </c>
    </row>
    <row r="169" spans="1:13" ht="13" customHeight="1">
      <c r="A169" s="5" t="s">
        <v>182</v>
      </c>
      <c r="B169" s="131"/>
      <c r="C169" s="30" t="s">
        <v>175</v>
      </c>
      <c r="D169" s="183">
        <f t="shared" ref="D169:M169" si="100">D164+D165-D167-D168</f>
        <v>0</v>
      </c>
      <c r="E169" s="183">
        <f t="shared" si="100"/>
        <v>0</v>
      </c>
      <c r="F169" s="183">
        <f t="shared" si="100"/>
        <v>0</v>
      </c>
      <c r="G169" s="183">
        <f t="shared" si="100"/>
        <v>0</v>
      </c>
      <c r="H169" s="183">
        <f t="shared" si="100"/>
        <v>0</v>
      </c>
      <c r="I169" s="183">
        <f t="shared" si="100"/>
        <v>0</v>
      </c>
      <c r="J169" s="183">
        <f t="shared" si="100"/>
        <v>0</v>
      </c>
      <c r="K169" s="183">
        <f t="shared" si="100"/>
        <v>0</v>
      </c>
      <c r="L169" s="183">
        <f t="shared" si="100"/>
        <v>0</v>
      </c>
      <c r="M169" s="183">
        <f t="shared" si="100"/>
        <v>0</v>
      </c>
    </row>
    <row r="170" spans="1:13" ht="13" hidden="1" customHeight="1">
      <c r="A170" s="5"/>
      <c r="B170" s="138"/>
      <c r="C170" s="5" t="s">
        <v>769</v>
      </c>
      <c r="D170" s="183" t="e">
        <f t="shared" ref="D170:M170" si="101">PPMT(D163/$B167,1,ROUND(($B165-(D$5-YEAR($B163))+MONTH($B163)/12)*$B167,0),D164)</f>
        <v>#NUM!</v>
      </c>
      <c r="E170" s="183" t="e">
        <f t="shared" si="101"/>
        <v>#NUM!</v>
      </c>
      <c r="F170" s="183" t="e">
        <f t="shared" si="101"/>
        <v>#NUM!</v>
      </c>
      <c r="G170" s="183" t="e">
        <f t="shared" si="101"/>
        <v>#NUM!</v>
      </c>
      <c r="H170" s="183" t="e">
        <f t="shared" si="101"/>
        <v>#NUM!</v>
      </c>
      <c r="I170" s="183" t="e">
        <f t="shared" si="101"/>
        <v>#NUM!</v>
      </c>
      <c r="J170" s="183" t="e">
        <f t="shared" si="101"/>
        <v>#NUM!</v>
      </c>
      <c r="K170" s="183" t="e">
        <f t="shared" si="101"/>
        <v>#NUM!</v>
      </c>
      <c r="L170" s="183" t="e">
        <f t="shared" si="101"/>
        <v>#NUM!</v>
      </c>
      <c r="M170" s="183" t="e">
        <f t="shared" si="101"/>
        <v>#NUM!</v>
      </c>
    </row>
    <row r="171" spans="1:13" ht="13" hidden="1" customHeight="1">
      <c r="A171" s="5"/>
      <c r="B171" s="5"/>
      <c r="C171" s="5" t="s">
        <v>770</v>
      </c>
      <c r="D171" s="183">
        <f t="shared" ref="D171:M171" si="102">IF(YEAR($B163)+$B165&gt;D$5,D164/(YEAR($B163)+$B165-D$5+MONTH($B163)/12),D164)</f>
        <v>0</v>
      </c>
      <c r="E171" s="183">
        <f t="shared" si="102"/>
        <v>0</v>
      </c>
      <c r="F171" s="183">
        <f t="shared" si="102"/>
        <v>0</v>
      </c>
      <c r="G171" s="183">
        <f t="shared" si="102"/>
        <v>0</v>
      </c>
      <c r="H171" s="183">
        <f t="shared" si="102"/>
        <v>0</v>
      </c>
      <c r="I171" s="183">
        <f t="shared" si="102"/>
        <v>0</v>
      </c>
      <c r="J171" s="183">
        <f t="shared" si="102"/>
        <v>0</v>
      </c>
      <c r="K171" s="183">
        <f t="shared" si="102"/>
        <v>0</v>
      </c>
      <c r="L171" s="183">
        <f t="shared" si="102"/>
        <v>0</v>
      </c>
      <c r="M171" s="183">
        <f t="shared" si="102"/>
        <v>0</v>
      </c>
    </row>
    <row r="172" spans="1:13" ht="13" customHeight="1">
      <c r="A172" s="5"/>
      <c r="B172" s="5"/>
      <c r="C172" s="5"/>
      <c r="D172" s="191"/>
      <c r="E172" s="191"/>
      <c r="F172" s="191"/>
      <c r="G172" s="191"/>
      <c r="H172" s="191"/>
      <c r="I172" s="191"/>
      <c r="J172" s="191"/>
      <c r="K172" s="191"/>
      <c r="L172" s="191"/>
      <c r="M172" s="191"/>
    </row>
    <row r="173" spans="1:13" ht="13" customHeight="1">
      <c r="A173" s="30" t="s">
        <v>872</v>
      </c>
      <c r="B173" s="99"/>
      <c r="C173" t="s">
        <v>800</v>
      </c>
      <c r="D173" s="179" t="s">
        <v>801</v>
      </c>
      <c r="E173" s="1"/>
    </row>
    <row r="174" spans="1:13" ht="13" customHeight="1">
      <c r="A174" s="26" t="s">
        <v>677</v>
      </c>
      <c r="B174" s="133">
        <v>29373</v>
      </c>
      <c r="C174" s="5" t="s">
        <v>639</v>
      </c>
      <c r="D174" s="180">
        <f>IF($D173="V",Input!G$69,IF(AND($B180=D$5,Input!G$64&gt;0),Input!G$64,$B177))</f>
        <v>5.2499999999999998E-2</v>
      </c>
      <c r="E174" s="180">
        <f>IF($D173="V",Input!H$69,IF(AND($B180=E$5,Input!H$64&gt;0),Input!H$64,D174))</f>
        <v>5.2499999999999998E-2</v>
      </c>
      <c r="F174" s="180">
        <f>IF($D173="V",Input!I$69,IF(AND($B180=F$5,Input!I$64&gt;0),Input!I$64,E174))</f>
        <v>5.2499999999999998E-2</v>
      </c>
      <c r="G174" s="180">
        <f>IF($D173="V",Input!J$69,IF(AND($B180=G$5,Input!J$64&gt;0),Input!J$64,F174))</f>
        <v>5.2499999999999998E-2</v>
      </c>
      <c r="H174" s="180">
        <f>IF($D173="V",Input!K$69,IF(AND($B180=H$5,Input!K$64&gt;0),Input!K$64,G174))</f>
        <v>5.2499999999999998E-2</v>
      </c>
      <c r="I174" s="180">
        <f>IF($D173="V",Input!L$69,IF(AND($B180=I$5,Input!L$64&gt;0),Input!L$64,H174))</f>
        <v>5.2499999999999998E-2</v>
      </c>
      <c r="J174" s="180">
        <f>IF($D173="V",Input!M$69,IF(AND($B180=J$5,Input!M$64&gt;0),Input!M$64,I174))</f>
        <v>5.2499999999999998E-2</v>
      </c>
      <c r="K174" s="180">
        <f>IF($D173="V",Input!N$69,IF(AND($B180=K$5,Input!N$64&gt;0),Input!N$64,J174))</f>
        <v>5.2499999999999998E-2</v>
      </c>
      <c r="L174" s="180">
        <f>IF($D173="V",Input!O$69,IF(AND($B180=L$5,Input!O$64&gt;0),Input!O$64,K174))</f>
        <v>5.2499999999999998E-2</v>
      </c>
      <c r="M174" s="180">
        <f>IF($D173="V",Input!P$69,IF(AND($B180=M$5,Input!P$64&gt;0),Input!P$64,L174))</f>
        <v>5.2499999999999998E-2</v>
      </c>
    </row>
    <row r="175" spans="1:13" ht="13" customHeight="1">
      <c r="A175" s="5" t="s">
        <v>361</v>
      </c>
      <c r="B175" s="181">
        <v>0</v>
      </c>
      <c r="C175" s="27" t="s">
        <v>173</v>
      </c>
      <c r="D175" s="188">
        <v>0</v>
      </c>
      <c r="E175" s="183">
        <f t="shared" ref="E175:M175" si="103">D180</f>
        <v>0</v>
      </c>
      <c r="F175" s="183">
        <f t="shared" si="103"/>
        <v>0</v>
      </c>
      <c r="G175" s="183">
        <f t="shared" si="103"/>
        <v>0</v>
      </c>
      <c r="H175" s="183">
        <f t="shared" si="103"/>
        <v>0</v>
      </c>
      <c r="I175" s="183">
        <f t="shared" si="103"/>
        <v>0</v>
      </c>
      <c r="J175" s="183">
        <f t="shared" si="103"/>
        <v>0</v>
      </c>
      <c r="K175" s="183">
        <f t="shared" si="103"/>
        <v>0</v>
      </c>
      <c r="L175" s="183">
        <f t="shared" si="103"/>
        <v>0</v>
      </c>
      <c r="M175" s="183">
        <f t="shared" si="103"/>
        <v>0</v>
      </c>
    </row>
    <row r="176" spans="1:13" ht="13" customHeight="1">
      <c r="A176" s="26" t="s">
        <v>170</v>
      </c>
      <c r="B176" s="131">
        <v>35</v>
      </c>
      <c r="C176" s="184" t="s">
        <v>169</v>
      </c>
      <c r="D176" s="183">
        <f t="shared" ref="D176:M176" si="104">D178-D177</f>
        <v>0</v>
      </c>
      <c r="E176" s="183">
        <f t="shared" si="104"/>
        <v>0</v>
      </c>
      <c r="F176" s="183">
        <f t="shared" si="104"/>
        <v>0</v>
      </c>
      <c r="G176" s="183">
        <f t="shared" si="104"/>
        <v>0</v>
      </c>
      <c r="H176" s="183">
        <f t="shared" si="104"/>
        <v>0</v>
      </c>
      <c r="I176" s="183">
        <f t="shared" si="104"/>
        <v>0</v>
      </c>
      <c r="J176" s="183">
        <f t="shared" si="104"/>
        <v>0</v>
      </c>
      <c r="K176" s="183">
        <f t="shared" si="104"/>
        <v>0</v>
      </c>
      <c r="L176" s="183">
        <f t="shared" si="104"/>
        <v>0</v>
      </c>
      <c r="M176" s="183">
        <f t="shared" si="104"/>
        <v>0</v>
      </c>
    </row>
    <row r="177" spans="1:13" ht="13" customHeight="1">
      <c r="A177" s="5" t="s">
        <v>172</v>
      </c>
      <c r="B177" s="185">
        <f>B166</f>
        <v>5.2499999999999998E-2</v>
      </c>
      <c r="C177" s="5" t="s">
        <v>174</v>
      </c>
      <c r="D177" s="183">
        <f t="shared" ref="D177:M177" si="105">IF(AND($B179="Y",YEAR($B174)+$B176&gt;D$5),D182,IF((YEAR($B174)+$B176)&gt;D$5,FV(D174/$B178,$B178,D181),D175))</f>
        <v>0</v>
      </c>
      <c r="E177" s="183">
        <f t="shared" si="105"/>
        <v>0</v>
      </c>
      <c r="F177" s="183">
        <f t="shared" si="105"/>
        <v>0</v>
      </c>
      <c r="G177" s="183">
        <f t="shared" si="105"/>
        <v>0</v>
      </c>
      <c r="H177" s="183">
        <f t="shared" si="105"/>
        <v>0</v>
      </c>
      <c r="I177" s="183">
        <f t="shared" si="105"/>
        <v>0</v>
      </c>
      <c r="J177" s="183">
        <f t="shared" si="105"/>
        <v>0</v>
      </c>
      <c r="K177" s="183">
        <f t="shared" si="105"/>
        <v>0</v>
      </c>
      <c r="L177" s="183">
        <f t="shared" si="105"/>
        <v>0</v>
      </c>
      <c r="M177" s="183">
        <f t="shared" si="105"/>
        <v>0</v>
      </c>
    </row>
    <row r="178" spans="1:13" ht="13" customHeight="1">
      <c r="A178" s="5" t="s">
        <v>171</v>
      </c>
      <c r="B178" s="131">
        <v>4</v>
      </c>
      <c r="C178" s="186" t="s">
        <v>640</v>
      </c>
      <c r="D178" s="183">
        <f t="shared" ref="D178:M178" si="106">IF(AND($B179="Y",YEAR($B174)+$B176&gt;D$5),D182+D174*(D175-D182*0.5),IF((YEAR($B174)+$B176)&gt;D$5,(D175*D174/$B178-D181)*$B178,(D175*(1+D174*MONTH($B174)/12))))</f>
        <v>0</v>
      </c>
      <c r="E178" s="183">
        <f t="shared" si="106"/>
        <v>0</v>
      </c>
      <c r="F178" s="183">
        <f t="shared" si="106"/>
        <v>0</v>
      </c>
      <c r="G178" s="183">
        <f t="shared" si="106"/>
        <v>0</v>
      </c>
      <c r="H178" s="183">
        <f t="shared" si="106"/>
        <v>0</v>
      </c>
      <c r="I178" s="183">
        <f t="shared" si="106"/>
        <v>0</v>
      </c>
      <c r="J178" s="183">
        <f t="shared" si="106"/>
        <v>0</v>
      </c>
      <c r="K178" s="183">
        <f t="shared" si="106"/>
        <v>0</v>
      </c>
      <c r="L178" s="183">
        <f t="shared" si="106"/>
        <v>0</v>
      </c>
      <c r="M178" s="183">
        <f t="shared" si="106"/>
        <v>0</v>
      </c>
    </row>
    <row r="179" spans="1:13" ht="13" customHeight="1">
      <c r="A179" s="5" t="s">
        <v>767</v>
      </c>
      <c r="B179" s="131" t="s">
        <v>719</v>
      </c>
      <c r="C179" s="187" t="s">
        <v>768</v>
      </c>
      <c r="D179" s="188">
        <v>0</v>
      </c>
      <c r="E179" s="188">
        <v>0</v>
      </c>
      <c r="F179" s="188">
        <v>0</v>
      </c>
      <c r="G179" s="188">
        <v>0</v>
      </c>
      <c r="H179" s="188">
        <v>0</v>
      </c>
      <c r="I179" s="188">
        <v>0</v>
      </c>
      <c r="J179" s="188">
        <v>0</v>
      </c>
      <c r="K179" s="188">
        <v>0</v>
      </c>
      <c r="L179" s="188">
        <v>0</v>
      </c>
      <c r="M179" s="188">
        <v>0</v>
      </c>
    </row>
    <row r="180" spans="1:13" ht="13" customHeight="1">
      <c r="A180" s="5" t="s">
        <v>182</v>
      </c>
      <c r="B180" s="131"/>
      <c r="C180" s="30" t="s">
        <v>175</v>
      </c>
      <c r="D180" s="183">
        <f t="shared" ref="D180:M180" si="107">D175+D176-D178-D179</f>
        <v>0</v>
      </c>
      <c r="E180" s="183">
        <f t="shared" si="107"/>
        <v>0</v>
      </c>
      <c r="F180" s="183">
        <f t="shared" si="107"/>
        <v>0</v>
      </c>
      <c r="G180" s="183">
        <f t="shared" si="107"/>
        <v>0</v>
      </c>
      <c r="H180" s="183">
        <f t="shared" si="107"/>
        <v>0</v>
      </c>
      <c r="I180" s="183">
        <f t="shared" si="107"/>
        <v>0</v>
      </c>
      <c r="J180" s="183">
        <f t="shared" si="107"/>
        <v>0</v>
      </c>
      <c r="K180" s="183">
        <f t="shared" si="107"/>
        <v>0</v>
      </c>
      <c r="L180" s="183">
        <f t="shared" si="107"/>
        <v>0</v>
      </c>
      <c r="M180" s="183">
        <f t="shared" si="107"/>
        <v>0</v>
      </c>
    </row>
    <row r="181" spans="1:13" ht="13" hidden="1" customHeight="1">
      <c r="A181" s="5"/>
      <c r="B181" s="138"/>
      <c r="C181" s="5" t="s">
        <v>769</v>
      </c>
      <c r="D181" s="183" t="e">
        <f t="shared" ref="D181:M181" si="108">PPMT(D174/$B178,1,ROUND(($B176-(D$5-YEAR($B174))+MONTH($B174)/12)*$B178,0),D175)</f>
        <v>#NUM!</v>
      </c>
      <c r="E181" s="183" t="e">
        <f t="shared" si="108"/>
        <v>#NUM!</v>
      </c>
      <c r="F181" s="183" t="e">
        <f t="shared" si="108"/>
        <v>#NUM!</v>
      </c>
      <c r="G181" s="183" t="e">
        <f t="shared" si="108"/>
        <v>#NUM!</v>
      </c>
      <c r="H181" s="183" t="e">
        <f t="shared" si="108"/>
        <v>#NUM!</v>
      </c>
      <c r="I181" s="183" t="e">
        <f t="shared" si="108"/>
        <v>#NUM!</v>
      </c>
      <c r="J181" s="183" t="e">
        <f t="shared" si="108"/>
        <v>#NUM!</v>
      </c>
      <c r="K181" s="183" t="e">
        <f t="shared" si="108"/>
        <v>#NUM!</v>
      </c>
      <c r="L181" s="183" t="e">
        <f t="shared" si="108"/>
        <v>#NUM!</v>
      </c>
      <c r="M181" s="183" t="e">
        <f t="shared" si="108"/>
        <v>#NUM!</v>
      </c>
    </row>
    <row r="182" spans="1:13" ht="13" hidden="1" customHeight="1">
      <c r="A182" s="5"/>
      <c r="B182" s="5"/>
      <c r="C182" s="5" t="s">
        <v>770</v>
      </c>
      <c r="D182" s="183">
        <f t="shared" ref="D182:M182" si="109">IF(YEAR($B174)+$B176&gt;D$5,D175/(YEAR($B174)+$B176-D$5+MONTH($B174)/12),D175)</f>
        <v>0</v>
      </c>
      <c r="E182" s="183">
        <f t="shared" si="109"/>
        <v>0</v>
      </c>
      <c r="F182" s="183">
        <f t="shared" si="109"/>
        <v>0</v>
      </c>
      <c r="G182" s="183">
        <f t="shared" si="109"/>
        <v>0</v>
      </c>
      <c r="H182" s="183">
        <f t="shared" si="109"/>
        <v>0</v>
      </c>
      <c r="I182" s="183">
        <f t="shared" si="109"/>
        <v>0</v>
      </c>
      <c r="J182" s="183">
        <f t="shared" si="109"/>
        <v>0</v>
      </c>
      <c r="K182" s="183">
        <f t="shared" si="109"/>
        <v>0</v>
      </c>
      <c r="L182" s="183">
        <f t="shared" si="109"/>
        <v>0</v>
      </c>
      <c r="M182" s="183">
        <f t="shared" si="109"/>
        <v>0</v>
      </c>
    </row>
    <row r="183" spans="1:13" ht="13" customHeight="1">
      <c r="C183" s="5"/>
      <c r="D183" s="191"/>
      <c r="E183" s="191"/>
      <c r="F183" s="191"/>
      <c r="G183" s="191"/>
      <c r="H183" s="191"/>
      <c r="I183" s="191"/>
      <c r="J183" s="191"/>
      <c r="K183" s="191"/>
      <c r="L183" s="191"/>
      <c r="M183" s="191"/>
    </row>
    <row r="184" spans="1:13" ht="13" customHeight="1">
      <c r="A184" s="30" t="s">
        <v>873</v>
      </c>
      <c r="B184" s="99"/>
      <c r="C184" t="s">
        <v>800</v>
      </c>
      <c r="D184" s="179" t="s">
        <v>801</v>
      </c>
      <c r="E184" s="1"/>
    </row>
    <row r="185" spans="1:13" ht="13" customHeight="1">
      <c r="A185" s="26" t="s">
        <v>677</v>
      </c>
      <c r="B185" s="133">
        <v>29373</v>
      </c>
      <c r="C185" s="5" t="s">
        <v>639</v>
      </c>
      <c r="D185" s="180">
        <f>IF($D184="V",Input!G$69,IF(AND($B191=D$5,Input!G$64&gt;0),Input!G$64,$B188))</f>
        <v>5.2499999999999998E-2</v>
      </c>
      <c r="E185" s="180">
        <f>IF($D184="V",Input!H$69,IF(AND($B191=E$5,Input!H$64&gt;0),Input!H$64,D185))</f>
        <v>5.2499999999999998E-2</v>
      </c>
      <c r="F185" s="180">
        <f>IF($D184="V",Input!I$69,IF(AND($B191=F$5,Input!I$64&gt;0),Input!I$64,E185))</f>
        <v>5.2499999999999998E-2</v>
      </c>
      <c r="G185" s="180">
        <f>IF($D184="V",Input!J$69,IF(AND($B191=G$5,Input!J$64&gt;0),Input!J$64,F185))</f>
        <v>5.2499999999999998E-2</v>
      </c>
      <c r="H185" s="180">
        <f>IF($D184="V",Input!K$69,IF(AND($B191=H$5,Input!K$64&gt;0),Input!K$64,G185))</f>
        <v>5.2499999999999998E-2</v>
      </c>
      <c r="I185" s="180">
        <f>IF($D184="V",Input!L$69,IF(AND($B191=I$5,Input!L$64&gt;0),Input!L$64,H185))</f>
        <v>5.2499999999999998E-2</v>
      </c>
      <c r="J185" s="180">
        <f>IF($D184="V",Input!M$69,IF(AND($B191=J$5,Input!M$64&gt;0),Input!M$64,I185))</f>
        <v>5.2499999999999998E-2</v>
      </c>
      <c r="K185" s="180">
        <f>IF($D184="V",Input!N$69,IF(AND($B191=K$5,Input!N$64&gt;0),Input!N$64,J185))</f>
        <v>5.2499999999999998E-2</v>
      </c>
      <c r="L185" s="180">
        <f>IF($D184="V",Input!O$69,IF(AND($B191=L$5,Input!O$64&gt;0),Input!O$64,K185))</f>
        <v>5.2499999999999998E-2</v>
      </c>
      <c r="M185" s="180">
        <f>IF($D184="V",Input!P$69,IF(AND($B191=M$5,Input!P$64&gt;0),Input!P$64,L185))</f>
        <v>5.2499999999999998E-2</v>
      </c>
    </row>
    <row r="186" spans="1:13" ht="13" customHeight="1">
      <c r="A186" s="5" t="s">
        <v>361</v>
      </c>
      <c r="B186" s="181">
        <v>0</v>
      </c>
      <c r="C186" s="27" t="s">
        <v>173</v>
      </c>
      <c r="D186" s="188">
        <v>0</v>
      </c>
      <c r="E186" s="183">
        <f t="shared" ref="E186:M186" si="110">D191</f>
        <v>0</v>
      </c>
      <c r="F186" s="183">
        <f t="shared" si="110"/>
        <v>0</v>
      </c>
      <c r="G186" s="183">
        <f t="shared" si="110"/>
        <v>0</v>
      </c>
      <c r="H186" s="183">
        <f t="shared" si="110"/>
        <v>0</v>
      </c>
      <c r="I186" s="183">
        <f t="shared" si="110"/>
        <v>0</v>
      </c>
      <c r="J186" s="183">
        <f t="shared" si="110"/>
        <v>0</v>
      </c>
      <c r="K186" s="183">
        <f t="shared" si="110"/>
        <v>0</v>
      </c>
      <c r="L186" s="183">
        <f t="shared" si="110"/>
        <v>0</v>
      </c>
      <c r="M186" s="183">
        <f t="shared" si="110"/>
        <v>0</v>
      </c>
    </row>
    <row r="187" spans="1:13" ht="13" customHeight="1">
      <c r="A187" s="26" t="s">
        <v>170</v>
      </c>
      <c r="B187" s="131">
        <v>35</v>
      </c>
      <c r="C187" s="184" t="s">
        <v>169</v>
      </c>
      <c r="D187" s="183">
        <f t="shared" ref="D187:M187" si="111">D189-D188</f>
        <v>0</v>
      </c>
      <c r="E187" s="183">
        <f t="shared" si="111"/>
        <v>0</v>
      </c>
      <c r="F187" s="183">
        <f t="shared" si="111"/>
        <v>0</v>
      </c>
      <c r="G187" s="183">
        <f t="shared" si="111"/>
        <v>0</v>
      </c>
      <c r="H187" s="183">
        <f t="shared" si="111"/>
        <v>0</v>
      </c>
      <c r="I187" s="183">
        <f t="shared" si="111"/>
        <v>0</v>
      </c>
      <c r="J187" s="183">
        <f t="shared" si="111"/>
        <v>0</v>
      </c>
      <c r="K187" s="183">
        <f t="shared" si="111"/>
        <v>0</v>
      </c>
      <c r="L187" s="183">
        <f t="shared" si="111"/>
        <v>0</v>
      </c>
      <c r="M187" s="183">
        <f t="shared" si="111"/>
        <v>0</v>
      </c>
    </row>
    <row r="188" spans="1:13" ht="13" customHeight="1">
      <c r="A188" s="5" t="s">
        <v>172</v>
      </c>
      <c r="B188" s="185">
        <f>B177</f>
        <v>5.2499999999999998E-2</v>
      </c>
      <c r="C188" s="5" t="s">
        <v>174</v>
      </c>
      <c r="D188" s="183">
        <f t="shared" ref="D188:M188" si="112">IF(AND($B190="Y",YEAR($B185)+$B187&gt;D$5),D193,IF((YEAR($B185)+$B187)&gt;D$5,FV(D185/$B189,$B189,D192),D186))</f>
        <v>0</v>
      </c>
      <c r="E188" s="183">
        <f t="shared" si="112"/>
        <v>0</v>
      </c>
      <c r="F188" s="183">
        <f t="shared" si="112"/>
        <v>0</v>
      </c>
      <c r="G188" s="183">
        <f t="shared" si="112"/>
        <v>0</v>
      </c>
      <c r="H188" s="183">
        <f t="shared" si="112"/>
        <v>0</v>
      </c>
      <c r="I188" s="183">
        <f t="shared" si="112"/>
        <v>0</v>
      </c>
      <c r="J188" s="183">
        <f t="shared" si="112"/>
        <v>0</v>
      </c>
      <c r="K188" s="183">
        <f t="shared" si="112"/>
        <v>0</v>
      </c>
      <c r="L188" s="183">
        <f t="shared" si="112"/>
        <v>0</v>
      </c>
      <c r="M188" s="183">
        <f t="shared" si="112"/>
        <v>0</v>
      </c>
    </row>
    <row r="189" spans="1:13" ht="13" customHeight="1">
      <c r="A189" s="5" t="s">
        <v>171</v>
      </c>
      <c r="B189" s="131">
        <v>4</v>
      </c>
      <c r="C189" s="186" t="s">
        <v>640</v>
      </c>
      <c r="D189" s="183">
        <f t="shared" ref="D189:M189" si="113">IF(AND($B190="Y",YEAR($B185)+$B187&gt;D$5),D193+D185*(D186-D193*0.5),IF((YEAR($B185)+$B187)&gt;D$5,(D186*D185/$B189-D192)*$B189,(D186*(1+D185*MONTH($B185)/12))))</f>
        <v>0</v>
      </c>
      <c r="E189" s="183">
        <f t="shared" si="113"/>
        <v>0</v>
      </c>
      <c r="F189" s="183">
        <f t="shared" si="113"/>
        <v>0</v>
      </c>
      <c r="G189" s="183">
        <f t="shared" si="113"/>
        <v>0</v>
      </c>
      <c r="H189" s="183">
        <f t="shared" si="113"/>
        <v>0</v>
      </c>
      <c r="I189" s="183">
        <f t="shared" si="113"/>
        <v>0</v>
      </c>
      <c r="J189" s="183">
        <f t="shared" si="113"/>
        <v>0</v>
      </c>
      <c r="K189" s="183">
        <f t="shared" si="113"/>
        <v>0</v>
      </c>
      <c r="L189" s="183">
        <f t="shared" si="113"/>
        <v>0</v>
      </c>
      <c r="M189" s="183">
        <f t="shared" si="113"/>
        <v>0</v>
      </c>
    </row>
    <row r="190" spans="1:13" ht="13" customHeight="1">
      <c r="A190" s="5" t="s">
        <v>767</v>
      </c>
      <c r="B190" s="131" t="s">
        <v>719</v>
      </c>
      <c r="C190" s="187" t="s">
        <v>768</v>
      </c>
      <c r="D190" s="188">
        <v>0</v>
      </c>
      <c r="E190" s="188">
        <v>0</v>
      </c>
      <c r="F190" s="188">
        <v>0</v>
      </c>
      <c r="G190" s="188">
        <v>0</v>
      </c>
      <c r="H190" s="188">
        <v>0</v>
      </c>
      <c r="I190" s="188">
        <v>0</v>
      </c>
      <c r="J190" s="188">
        <v>0</v>
      </c>
      <c r="K190" s="188">
        <v>0</v>
      </c>
      <c r="L190" s="188">
        <v>0</v>
      </c>
      <c r="M190" s="188">
        <v>0</v>
      </c>
    </row>
    <row r="191" spans="1:13" ht="13" customHeight="1">
      <c r="A191" s="5" t="s">
        <v>182</v>
      </c>
      <c r="B191" s="131"/>
      <c r="C191" s="30" t="s">
        <v>175</v>
      </c>
      <c r="D191" s="183">
        <f t="shared" ref="D191:M191" si="114">D186+D187-D189-D190</f>
        <v>0</v>
      </c>
      <c r="E191" s="183">
        <f t="shared" si="114"/>
        <v>0</v>
      </c>
      <c r="F191" s="183">
        <f t="shared" si="114"/>
        <v>0</v>
      </c>
      <c r="G191" s="183">
        <f t="shared" si="114"/>
        <v>0</v>
      </c>
      <c r="H191" s="183">
        <f t="shared" si="114"/>
        <v>0</v>
      </c>
      <c r="I191" s="183">
        <f t="shared" si="114"/>
        <v>0</v>
      </c>
      <c r="J191" s="183">
        <f t="shared" si="114"/>
        <v>0</v>
      </c>
      <c r="K191" s="183">
        <f t="shared" si="114"/>
        <v>0</v>
      </c>
      <c r="L191" s="183">
        <f t="shared" si="114"/>
        <v>0</v>
      </c>
      <c r="M191" s="183">
        <f t="shared" si="114"/>
        <v>0</v>
      </c>
    </row>
    <row r="192" spans="1:13" ht="13" hidden="1" customHeight="1">
      <c r="A192" s="5"/>
      <c r="B192" s="138"/>
      <c r="C192" s="5" t="s">
        <v>769</v>
      </c>
      <c r="D192" s="183" t="e">
        <f t="shared" ref="D192:M192" si="115">PPMT(D185/$B189,1,ROUND(($B187-(D$5-YEAR($B185))+MONTH($B185)/12)*$B189,0),D186)</f>
        <v>#NUM!</v>
      </c>
      <c r="E192" s="183" t="e">
        <f t="shared" si="115"/>
        <v>#NUM!</v>
      </c>
      <c r="F192" s="183" t="e">
        <f t="shared" si="115"/>
        <v>#NUM!</v>
      </c>
      <c r="G192" s="183" t="e">
        <f t="shared" si="115"/>
        <v>#NUM!</v>
      </c>
      <c r="H192" s="183" t="e">
        <f t="shared" si="115"/>
        <v>#NUM!</v>
      </c>
      <c r="I192" s="183" t="e">
        <f t="shared" si="115"/>
        <v>#NUM!</v>
      </c>
      <c r="J192" s="183" t="e">
        <f t="shared" si="115"/>
        <v>#NUM!</v>
      </c>
      <c r="K192" s="183" t="e">
        <f t="shared" si="115"/>
        <v>#NUM!</v>
      </c>
      <c r="L192" s="183" t="e">
        <f t="shared" si="115"/>
        <v>#NUM!</v>
      </c>
      <c r="M192" s="183" t="e">
        <f t="shared" si="115"/>
        <v>#NUM!</v>
      </c>
    </row>
    <row r="193" spans="1:13" ht="13" hidden="1" customHeight="1">
      <c r="A193" s="5"/>
      <c r="B193" s="5"/>
      <c r="C193" s="5" t="s">
        <v>770</v>
      </c>
      <c r="D193" s="183">
        <f t="shared" ref="D193:M193" si="116">IF(YEAR($B185)+$B187&gt;D$5,D186/(YEAR($B185)+$B187-D$5+MONTH($B185)/12),D186)</f>
        <v>0</v>
      </c>
      <c r="E193" s="183">
        <f t="shared" si="116"/>
        <v>0</v>
      </c>
      <c r="F193" s="183">
        <f t="shared" si="116"/>
        <v>0</v>
      </c>
      <c r="G193" s="183">
        <f t="shared" si="116"/>
        <v>0</v>
      </c>
      <c r="H193" s="183">
        <f t="shared" si="116"/>
        <v>0</v>
      </c>
      <c r="I193" s="183">
        <f t="shared" si="116"/>
        <v>0</v>
      </c>
      <c r="J193" s="183">
        <f t="shared" si="116"/>
        <v>0</v>
      </c>
      <c r="K193" s="183">
        <f t="shared" si="116"/>
        <v>0</v>
      </c>
      <c r="L193" s="183">
        <f t="shared" si="116"/>
        <v>0</v>
      </c>
      <c r="M193" s="183">
        <f t="shared" si="116"/>
        <v>0</v>
      </c>
    </row>
    <row r="194" spans="1:13" ht="13" customHeight="1">
      <c r="C194" s="5"/>
      <c r="D194" s="191"/>
      <c r="E194" s="191"/>
      <c r="F194" s="191"/>
      <c r="G194" s="191"/>
      <c r="H194" s="191"/>
      <c r="I194" s="191"/>
      <c r="J194" s="191"/>
      <c r="K194" s="191"/>
      <c r="L194" s="191"/>
      <c r="M194" s="191"/>
    </row>
    <row r="195" spans="1:13" ht="13" customHeight="1">
      <c r="A195" s="30" t="s">
        <v>874</v>
      </c>
      <c r="B195" s="99"/>
      <c r="C195" t="s">
        <v>800</v>
      </c>
      <c r="D195" s="179" t="s">
        <v>801</v>
      </c>
      <c r="E195" s="1"/>
    </row>
    <row r="196" spans="1:13" ht="13" customHeight="1">
      <c r="A196" s="26" t="s">
        <v>677</v>
      </c>
      <c r="B196" s="133">
        <v>29373</v>
      </c>
      <c r="C196" s="5" t="s">
        <v>639</v>
      </c>
      <c r="D196" s="180">
        <f>IF($D195="V",Input!G$69,IF(AND($B202=D$5,Input!G$64&gt;0),Input!G$64,$B199))</f>
        <v>5.2499999999999998E-2</v>
      </c>
      <c r="E196" s="180">
        <f>IF($D195="V",Input!H$69,IF(AND($B202=E$5,Input!H$64&gt;0),Input!H$64,D196))</f>
        <v>5.2499999999999998E-2</v>
      </c>
      <c r="F196" s="180">
        <f>IF($D195="V",Input!I$69,IF(AND($B202=F$5,Input!I$64&gt;0),Input!I$64,E196))</f>
        <v>5.2499999999999998E-2</v>
      </c>
      <c r="G196" s="180">
        <f>IF($D195="V",Input!J$69,IF(AND($B202=G$5,Input!J$64&gt;0),Input!J$64,F196))</f>
        <v>5.2499999999999998E-2</v>
      </c>
      <c r="H196" s="180">
        <f>IF($D195="V",Input!K$69,IF(AND($B202=H$5,Input!K$64&gt;0),Input!K$64,G196))</f>
        <v>5.2499999999999998E-2</v>
      </c>
      <c r="I196" s="180">
        <f>IF($D195="V",Input!L$69,IF(AND($B202=I$5,Input!L$64&gt;0),Input!L$64,H196))</f>
        <v>5.2499999999999998E-2</v>
      </c>
      <c r="J196" s="180">
        <f>IF($D195="V",Input!M$69,IF(AND($B202=J$5,Input!M$64&gt;0),Input!M$64,I196))</f>
        <v>5.2499999999999998E-2</v>
      </c>
      <c r="K196" s="180">
        <f>IF($D195="V",Input!N$69,IF(AND($B202=K$5,Input!N$64&gt;0),Input!N$64,J196))</f>
        <v>5.2499999999999998E-2</v>
      </c>
      <c r="L196" s="180">
        <f>IF($D195="V",Input!O$69,IF(AND($B202=L$5,Input!O$64&gt;0),Input!O$64,K196))</f>
        <v>5.2499999999999998E-2</v>
      </c>
      <c r="M196" s="180">
        <f>IF($D195="V",Input!P$69,IF(AND($B202=M$5,Input!P$64&gt;0),Input!P$64,L196))</f>
        <v>5.2499999999999998E-2</v>
      </c>
    </row>
    <row r="197" spans="1:13" ht="13" customHeight="1">
      <c r="A197" s="5" t="s">
        <v>361</v>
      </c>
      <c r="B197" s="181">
        <v>0</v>
      </c>
      <c r="C197" s="27" t="s">
        <v>173</v>
      </c>
      <c r="D197" s="188">
        <v>0</v>
      </c>
      <c r="E197" s="183">
        <f t="shared" ref="E197:M197" si="117">D202</f>
        <v>0</v>
      </c>
      <c r="F197" s="183">
        <f t="shared" si="117"/>
        <v>0</v>
      </c>
      <c r="G197" s="183">
        <f t="shared" si="117"/>
        <v>0</v>
      </c>
      <c r="H197" s="183">
        <f t="shared" si="117"/>
        <v>0</v>
      </c>
      <c r="I197" s="183">
        <f t="shared" si="117"/>
        <v>0</v>
      </c>
      <c r="J197" s="183">
        <f t="shared" si="117"/>
        <v>0</v>
      </c>
      <c r="K197" s="183">
        <f t="shared" si="117"/>
        <v>0</v>
      </c>
      <c r="L197" s="183">
        <f t="shared" si="117"/>
        <v>0</v>
      </c>
      <c r="M197" s="183">
        <f t="shared" si="117"/>
        <v>0</v>
      </c>
    </row>
    <row r="198" spans="1:13" ht="13" customHeight="1">
      <c r="A198" s="26" t="s">
        <v>170</v>
      </c>
      <c r="B198" s="131">
        <v>35</v>
      </c>
      <c r="C198" s="184" t="s">
        <v>169</v>
      </c>
      <c r="D198" s="183">
        <f t="shared" ref="D198:M198" si="118">D200-D199</f>
        <v>0</v>
      </c>
      <c r="E198" s="183">
        <f t="shared" si="118"/>
        <v>0</v>
      </c>
      <c r="F198" s="183">
        <f t="shared" si="118"/>
        <v>0</v>
      </c>
      <c r="G198" s="183">
        <f t="shared" si="118"/>
        <v>0</v>
      </c>
      <c r="H198" s="183">
        <f t="shared" si="118"/>
        <v>0</v>
      </c>
      <c r="I198" s="183">
        <f t="shared" si="118"/>
        <v>0</v>
      </c>
      <c r="J198" s="183">
        <f t="shared" si="118"/>
        <v>0</v>
      </c>
      <c r="K198" s="183">
        <f t="shared" si="118"/>
        <v>0</v>
      </c>
      <c r="L198" s="183">
        <f t="shared" si="118"/>
        <v>0</v>
      </c>
      <c r="M198" s="183">
        <f t="shared" si="118"/>
        <v>0</v>
      </c>
    </row>
    <row r="199" spans="1:13" ht="13" customHeight="1">
      <c r="A199" s="5" t="s">
        <v>172</v>
      </c>
      <c r="B199" s="185">
        <f>B188</f>
        <v>5.2499999999999998E-2</v>
      </c>
      <c r="C199" s="5" t="s">
        <v>174</v>
      </c>
      <c r="D199" s="183">
        <f t="shared" ref="D199:M199" si="119">IF(AND($B201="Y",YEAR($B196)+$B198&gt;D$5),D204,IF((YEAR($B196)+$B198)&gt;D$5,FV(D196/$B200,$B200,D203),D197))</f>
        <v>0</v>
      </c>
      <c r="E199" s="183">
        <f t="shared" si="119"/>
        <v>0</v>
      </c>
      <c r="F199" s="183">
        <f t="shared" si="119"/>
        <v>0</v>
      </c>
      <c r="G199" s="183">
        <f t="shared" si="119"/>
        <v>0</v>
      </c>
      <c r="H199" s="183">
        <f t="shared" si="119"/>
        <v>0</v>
      </c>
      <c r="I199" s="183">
        <f t="shared" si="119"/>
        <v>0</v>
      </c>
      <c r="J199" s="183">
        <f t="shared" si="119"/>
        <v>0</v>
      </c>
      <c r="K199" s="183">
        <f t="shared" si="119"/>
        <v>0</v>
      </c>
      <c r="L199" s="183">
        <f t="shared" si="119"/>
        <v>0</v>
      </c>
      <c r="M199" s="183">
        <f t="shared" si="119"/>
        <v>0</v>
      </c>
    </row>
    <row r="200" spans="1:13" ht="13" customHeight="1">
      <c r="A200" s="5" t="s">
        <v>171</v>
      </c>
      <c r="B200" s="131">
        <v>4</v>
      </c>
      <c r="C200" s="186" t="s">
        <v>640</v>
      </c>
      <c r="D200" s="183">
        <f t="shared" ref="D200:M200" si="120">IF(AND($B201="Y",YEAR($B196)+$B198&gt;D$5),D204+D196*(D197-D204*0.5),IF((YEAR($B196)+$B198)&gt;D$5,(D197*D196/$B200-D203)*$B200,(D197*(1+D196*MONTH($B196)/12))))</f>
        <v>0</v>
      </c>
      <c r="E200" s="183">
        <f t="shared" si="120"/>
        <v>0</v>
      </c>
      <c r="F200" s="183">
        <f t="shared" si="120"/>
        <v>0</v>
      </c>
      <c r="G200" s="183">
        <f t="shared" si="120"/>
        <v>0</v>
      </c>
      <c r="H200" s="183">
        <f t="shared" si="120"/>
        <v>0</v>
      </c>
      <c r="I200" s="183">
        <f t="shared" si="120"/>
        <v>0</v>
      </c>
      <c r="J200" s="183">
        <f t="shared" si="120"/>
        <v>0</v>
      </c>
      <c r="K200" s="183">
        <f t="shared" si="120"/>
        <v>0</v>
      </c>
      <c r="L200" s="183">
        <f t="shared" si="120"/>
        <v>0</v>
      </c>
      <c r="M200" s="183">
        <f t="shared" si="120"/>
        <v>0</v>
      </c>
    </row>
    <row r="201" spans="1:13" ht="13" customHeight="1">
      <c r="A201" s="5" t="s">
        <v>767</v>
      </c>
      <c r="B201" s="131" t="s">
        <v>719</v>
      </c>
      <c r="C201" s="187" t="s">
        <v>768</v>
      </c>
      <c r="D201" s="188">
        <v>0</v>
      </c>
      <c r="E201" s="188">
        <v>0</v>
      </c>
      <c r="F201" s="188">
        <v>0</v>
      </c>
      <c r="G201" s="188">
        <v>0</v>
      </c>
      <c r="H201" s="188">
        <v>0</v>
      </c>
      <c r="I201" s="188">
        <v>0</v>
      </c>
      <c r="J201" s="188">
        <v>0</v>
      </c>
      <c r="K201" s="188">
        <v>0</v>
      </c>
      <c r="L201" s="188">
        <v>0</v>
      </c>
      <c r="M201" s="188">
        <v>0</v>
      </c>
    </row>
    <row r="202" spans="1:13" ht="13" customHeight="1">
      <c r="A202" s="5" t="s">
        <v>182</v>
      </c>
      <c r="B202" s="131"/>
      <c r="C202" s="30" t="s">
        <v>175</v>
      </c>
      <c r="D202" s="183">
        <f t="shared" ref="D202:M202" si="121">D197+D198-D200-D201</f>
        <v>0</v>
      </c>
      <c r="E202" s="183">
        <f t="shared" si="121"/>
        <v>0</v>
      </c>
      <c r="F202" s="183">
        <f t="shared" si="121"/>
        <v>0</v>
      </c>
      <c r="G202" s="183">
        <f t="shared" si="121"/>
        <v>0</v>
      </c>
      <c r="H202" s="183">
        <f t="shared" si="121"/>
        <v>0</v>
      </c>
      <c r="I202" s="183">
        <f t="shared" si="121"/>
        <v>0</v>
      </c>
      <c r="J202" s="183">
        <f t="shared" si="121"/>
        <v>0</v>
      </c>
      <c r="K202" s="183">
        <f t="shared" si="121"/>
        <v>0</v>
      </c>
      <c r="L202" s="183">
        <f t="shared" si="121"/>
        <v>0</v>
      </c>
      <c r="M202" s="183">
        <f t="shared" si="121"/>
        <v>0</v>
      </c>
    </row>
    <row r="203" spans="1:13" ht="13" hidden="1" customHeight="1">
      <c r="A203" s="5"/>
      <c r="B203" s="138"/>
      <c r="C203" s="5" t="s">
        <v>769</v>
      </c>
      <c r="D203" s="183" t="e">
        <f t="shared" ref="D203:M203" si="122">PPMT(D196/$B200,1,ROUND(($B198-(D$5-YEAR($B196))+MONTH($B196)/12)*$B200,0),D197)</f>
        <v>#NUM!</v>
      </c>
      <c r="E203" s="183" t="e">
        <f t="shared" si="122"/>
        <v>#NUM!</v>
      </c>
      <c r="F203" s="183" t="e">
        <f t="shared" si="122"/>
        <v>#NUM!</v>
      </c>
      <c r="G203" s="183" t="e">
        <f t="shared" si="122"/>
        <v>#NUM!</v>
      </c>
      <c r="H203" s="183" t="e">
        <f t="shared" si="122"/>
        <v>#NUM!</v>
      </c>
      <c r="I203" s="183" t="e">
        <f t="shared" si="122"/>
        <v>#NUM!</v>
      </c>
      <c r="J203" s="183" t="e">
        <f t="shared" si="122"/>
        <v>#NUM!</v>
      </c>
      <c r="K203" s="183" t="e">
        <f t="shared" si="122"/>
        <v>#NUM!</v>
      </c>
      <c r="L203" s="183" t="e">
        <f t="shared" si="122"/>
        <v>#NUM!</v>
      </c>
      <c r="M203" s="183" t="e">
        <f t="shared" si="122"/>
        <v>#NUM!</v>
      </c>
    </row>
    <row r="204" spans="1:13" ht="13" hidden="1" customHeight="1">
      <c r="A204" s="5"/>
      <c r="B204" s="5"/>
      <c r="C204" s="5" t="s">
        <v>770</v>
      </c>
      <c r="D204" s="183">
        <f t="shared" ref="D204:M204" si="123">IF(YEAR($B196)+$B198&gt;D$5,D197/(YEAR($B196)+$B198-D$5+MONTH($B196)/12),D197)</f>
        <v>0</v>
      </c>
      <c r="E204" s="183">
        <f t="shared" si="123"/>
        <v>0</v>
      </c>
      <c r="F204" s="183">
        <f t="shared" si="123"/>
        <v>0</v>
      </c>
      <c r="G204" s="183">
        <f t="shared" si="123"/>
        <v>0</v>
      </c>
      <c r="H204" s="183">
        <f t="shared" si="123"/>
        <v>0</v>
      </c>
      <c r="I204" s="183">
        <f t="shared" si="123"/>
        <v>0</v>
      </c>
      <c r="J204" s="183">
        <f t="shared" si="123"/>
        <v>0</v>
      </c>
      <c r="K204" s="183">
        <f t="shared" si="123"/>
        <v>0</v>
      </c>
      <c r="L204" s="183">
        <f t="shared" si="123"/>
        <v>0</v>
      </c>
      <c r="M204" s="183">
        <f t="shared" si="123"/>
        <v>0</v>
      </c>
    </row>
    <row r="205" spans="1:13" ht="13" customHeight="1">
      <c r="A205" s="5"/>
      <c r="B205" s="5"/>
      <c r="C205" s="5"/>
      <c r="D205" s="191"/>
      <c r="E205" s="191"/>
      <c r="F205" s="191"/>
      <c r="G205" s="191"/>
      <c r="H205" s="191"/>
      <c r="I205" s="191"/>
      <c r="J205" s="191"/>
      <c r="K205" s="191"/>
      <c r="L205" s="191"/>
      <c r="M205" s="191"/>
    </row>
    <row r="206" spans="1:13" ht="13" customHeight="1">
      <c r="A206" s="30" t="s">
        <v>875</v>
      </c>
      <c r="B206" s="99"/>
      <c r="C206" s="5"/>
      <c r="D206" s="179" t="s">
        <v>801</v>
      </c>
      <c r="E206" s="191"/>
      <c r="F206" s="191"/>
      <c r="G206" s="191"/>
      <c r="H206" s="191"/>
      <c r="I206" s="191"/>
      <c r="J206" s="191"/>
      <c r="K206" s="191"/>
      <c r="L206" s="191"/>
      <c r="M206" s="191"/>
    </row>
    <row r="207" spans="1:13" ht="13" customHeight="1">
      <c r="A207" s="26" t="s">
        <v>677</v>
      </c>
      <c r="B207" s="133">
        <v>29373</v>
      </c>
      <c r="C207" s="5" t="s">
        <v>639</v>
      </c>
      <c r="D207" s="180">
        <f>IF($D206="V",Input!G$69,IF(AND($B213=D$5,Input!G$64&gt;0),Input!G$64,$B210))</f>
        <v>5.2499999999999998E-2</v>
      </c>
      <c r="E207" s="180">
        <f>IF($D206="V",Input!H$69,IF(AND($B213=E$5,Input!H$64&gt;0),Input!H$64,D207))</f>
        <v>5.2499999999999998E-2</v>
      </c>
      <c r="F207" s="180">
        <f>IF($D206="V",Input!I$69,IF(AND($B213=F$5,Input!I$64&gt;0),Input!I$64,E207))</f>
        <v>5.2499999999999998E-2</v>
      </c>
      <c r="G207" s="180">
        <f>IF($D206="V",Input!J$69,IF(AND($B213=G$5,Input!J$64&gt;0),Input!J$64,F207))</f>
        <v>5.2499999999999998E-2</v>
      </c>
      <c r="H207" s="180">
        <f>IF($D206="V",Input!K$69,IF(AND($B213=H$5,Input!K$64&gt;0),Input!K$64,G207))</f>
        <v>5.2499999999999998E-2</v>
      </c>
      <c r="I207" s="180">
        <f>IF($D206="V",Input!L$69,IF(AND($B213=I$5,Input!L$64&gt;0),Input!L$64,H207))</f>
        <v>5.2499999999999998E-2</v>
      </c>
      <c r="J207" s="180">
        <f>IF($D206="V",Input!M$69,IF(AND($B213=J$5,Input!M$64&gt;0),Input!M$64,I207))</f>
        <v>5.2499999999999998E-2</v>
      </c>
      <c r="K207" s="180">
        <f>IF($D206="V",Input!N$69,IF(AND($B213=K$5,Input!N$64&gt;0),Input!N$64,J207))</f>
        <v>5.2499999999999998E-2</v>
      </c>
      <c r="L207" s="180">
        <f>IF($D206="V",Input!O$69,IF(AND($B213=L$5,Input!O$64&gt;0),Input!O$64,K207))</f>
        <v>5.2499999999999998E-2</v>
      </c>
      <c r="M207" s="180">
        <f>IF($D206="V",Input!P$69,IF(AND($B213=M$5,Input!P$64&gt;0),Input!P$64,L207))</f>
        <v>5.2499999999999998E-2</v>
      </c>
    </row>
    <row r="208" spans="1:13" ht="13" customHeight="1">
      <c r="A208" s="5" t="s">
        <v>361</v>
      </c>
      <c r="B208" s="181">
        <v>0</v>
      </c>
      <c r="C208" s="27" t="s">
        <v>173</v>
      </c>
      <c r="D208" s="188">
        <v>0</v>
      </c>
      <c r="E208" s="183">
        <f t="shared" ref="E208:M208" si="124">D213</f>
        <v>0</v>
      </c>
      <c r="F208" s="183">
        <f t="shared" si="124"/>
        <v>0</v>
      </c>
      <c r="G208" s="183">
        <f t="shared" si="124"/>
        <v>0</v>
      </c>
      <c r="H208" s="183">
        <f t="shared" si="124"/>
        <v>0</v>
      </c>
      <c r="I208" s="183">
        <f t="shared" si="124"/>
        <v>0</v>
      </c>
      <c r="J208" s="183">
        <f t="shared" si="124"/>
        <v>0</v>
      </c>
      <c r="K208" s="183">
        <f t="shared" si="124"/>
        <v>0</v>
      </c>
      <c r="L208" s="183">
        <f t="shared" si="124"/>
        <v>0</v>
      </c>
      <c r="M208" s="183">
        <f t="shared" si="124"/>
        <v>0</v>
      </c>
    </row>
    <row r="209" spans="1:13" ht="13" customHeight="1">
      <c r="A209" s="26" t="s">
        <v>170</v>
      </c>
      <c r="B209" s="131">
        <v>35</v>
      </c>
      <c r="C209" s="184" t="s">
        <v>169</v>
      </c>
      <c r="D209" s="183">
        <f t="shared" ref="D209:M209" si="125">D211-D210</f>
        <v>0</v>
      </c>
      <c r="E209" s="183">
        <f t="shared" si="125"/>
        <v>0</v>
      </c>
      <c r="F209" s="183">
        <f t="shared" si="125"/>
        <v>0</v>
      </c>
      <c r="G209" s="183">
        <f t="shared" si="125"/>
        <v>0</v>
      </c>
      <c r="H209" s="183">
        <f t="shared" si="125"/>
        <v>0</v>
      </c>
      <c r="I209" s="183">
        <f t="shared" si="125"/>
        <v>0</v>
      </c>
      <c r="J209" s="183">
        <f t="shared" si="125"/>
        <v>0</v>
      </c>
      <c r="K209" s="183">
        <f t="shared" si="125"/>
        <v>0</v>
      </c>
      <c r="L209" s="183">
        <f t="shared" si="125"/>
        <v>0</v>
      </c>
      <c r="M209" s="183">
        <f t="shared" si="125"/>
        <v>0</v>
      </c>
    </row>
    <row r="210" spans="1:13" ht="13" customHeight="1">
      <c r="A210" s="5" t="s">
        <v>172</v>
      </c>
      <c r="B210" s="185">
        <f>B199</f>
        <v>5.2499999999999998E-2</v>
      </c>
      <c r="C210" s="5" t="s">
        <v>174</v>
      </c>
      <c r="D210" s="183">
        <f t="shared" ref="D210:M210" si="126">IF(AND($B212="Y",YEAR($B207)+$B209&gt;D$5),D215,IF((YEAR($B207)+$B209)&gt;D$5,FV(D207/$B211,$B211,D214),D208))</f>
        <v>0</v>
      </c>
      <c r="E210" s="183">
        <f t="shared" si="126"/>
        <v>0</v>
      </c>
      <c r="F210" s="183">
        <f t="shared" si="126"/>
        <v>0</v>
      </c>
      <c r="G210" s="183">
        <f t="shared" si="126"/>
        <v>0</v>
      </c>
      <c r="H210" s="183">
        <f t="shared" si="126"/>
        <v>0</v>
      </c>
      <c r="I210" s="183">
        <f t="shared" si="126"/>
        <v>0</v>
      </c>
      <c r="J210" s="183">
        <f t="shared" si="126"/>
        <v>0</v>
      </c>
      <c r="K210" s="183">
        <f t="shared" si="126"/>
        <v>0</v>
      </c>
      <c r="L210" s="183">
        <f t="shared" si="126"/>
        <v>0</v>
      </c>
      <c r="M210" s="183">
        <f t="shared" si="126"/>
        <v>0</v>
      </c>
    </row>
    <row r="211" spans="1:13" ht="13" customHeight="1">
      <c r="A211" s="5" t="s">
        <v>171</v>
      </c>
      <c r="B211" s="131">
        <v>4</v>
      </c>
      <c r="C211" s="186" t="s">
        <v>640</v>
      </c>
      <c r="D211" s="183">
        <f t="shared" ref="D211:M211" si="127">IF(AND($B212="Y",YEAR($B207)+$B209&gt;D$5),D215+D207*(D208-D215*0.5),IF((YEAR($B207)+$B209)&gt;D$5,(D208*D207/$B211-D214)*$B211,(D208*(1+D207*MONTH($B207)/12))))</f>
        <v>0</v>
      </c>
      <c r="E211" s="183">
        <f t="shared" si="127"/>
        <v>0</v>
      </c>
      <c r="F211" s="183">
        <f t="shared" si="127"/>
        <v>0</v>
      </c>
      <c r="G211" s="183">
        <f t="shared" si="127"/>
        <v>0</v>
      </c>
      <c r="H211" s="183">
        <f t="shared" si="127"/>
        <v>0</v>
      </c>
      <c r="I211" s="183">
        <f t="shared" si="127"/>
        <v>0</v>
      </c>
      <c r="J211" s="183">
        <f t="shared" si="127"/>
        <v>0</v>
      </c>
      <c r="K211" s="183">
        <f t="shared" si="127"/>
        <v>0</v>
      </c>
      <c r="L211" s="183">
        <f t="shared" si="127"/>
        <v>0</v>
      </c>
      <c r="M211" s="183">
        <f t="shared" si="127"/>
        <v>0</v>
      </c>
    </row>
    <row r="212" spans="1:13" ht="13" customHeight="1">
      <c r="A212" s="5" t="s">
        <v>767</v>
      </c>
      <c r="B212" s="131" t="s">
        <v>719</v>
      </c>
      <c r="C212" s="187" t="s">
        <v>768</v>
      </c>
      <c r="D212" s="188">
        <v>0</v>
      </c>
      <c r="E212" s="188">
        <v>0</v>
      </c>
      <c r="F212" s="188">
        <v>0</v>
      </c>
      <c r="G212" s="188">
        <v>0</v>
      </c>
      <c r="H212" s="188">
        <v>0</v>
      </c>
      <c r="I212" s="188">
        <v>0</v>
      </c>
      <c r="J212" s="188">
        <v>0</v>
      </c>
      <c r="K212" s="188">
        <v>0</v>
      </c>
      <c r="L212" s="188">
        <v>0</v>
      </c>
      <c r="M212" s="188">
        <v>0</v>
      </c>
    </row>
    <row r="213" spans="1:13" ht="13" customHeight="1">
      <c r="A213" s="5" t="s">
        <v>182</v>
      </c>
      <c r="B213" s="131"/>
      <c r="C213" s="30" t="s">
        <v>175</v>
      </c>
      <c r="D213" s="183">
        <f t="shared" ref="D213:M213" si="128">D208+D209-D211-D212</f>
        <v>0</v>
      </c>
      <c r="E213" s="183">
        <f t="shared" si="128"/>
        <v>0</v>
      </c>
      <c r="F213" s="183">
        <f t="shared" si="128"/>
        <v>0</v>
      </c>
      <c r="G213" s="183">
        <f t="shared" si="128"/>
        <v>0</v>
      </c>
      <c r="H213" s="183">
        <f t="shared" si="128"/>
        <v>0</v>
      </c>
      <c r="I213" s="183">
        <f t="shared" si="128"/>
        <v>0</v>
      </c>
      <c r="J213" s="183">
        <f t="shared" si="128"/>
        <v>0</v>
      </c>
      <c r="K213" s="183">
        <f t="shared" si="128"/>
        <v>0</v>
      </c>
      <c r="L213" s="183">
        <f t="shared" si="128"/>
        <v>0</v>
      </c>
      <c r="M213" s="183">
        <f t="shared" si="128"/>
        <v>0</v>
      </c>
    </row>
    <row r="214" spans="1:13" ht="13" hidden="1" customHeight="1">
      <c r="A214" s="5"/>
      <c r="B214" s="138"/>
      <c r="C214" s="5" t="s">
        <v>769</v>
      </c>
      <c r="D214" s="183" t="e">
        <f t="shared" ref="D214:M214" si="129">PPMT(D207/$B211,1,ROUND(($B209-(D$5-YEAR($B207))+MONTH($B207)/12)*$B211,0),D208)</f>
        <v>#NUM!</v>
      </c>
      <c r="E214" s="183" t="e">
        <f t="shared" si="129"/>
        <v>#NUM!</v>
      </c>
      <c r="F214" s="183" t="e">
        <f t="shared" si="129"/>
        <v>#NUM!</v>
      </c>
      <c r="G214" s="183" t="e">
        <f t="shared" si="129"/>
        <v>#NUM!</v>
      </c>
      <c r="H214" s="183" t="e">
        <f t="shared" si="129"/>
        <v>#NUM!</v>
      </c>
      <c r="I214" s="183" t="e">
        <f t="shared" si="129"/>
        <v>#NUM!</v>
      </c>
      <c r="J214" s="183" t="e">
        <f t="shared" si="129"/>
        <v>#NUM!</v>
      </c>
      <c r="K214" s="183" t="e">
        <f t="shared" si="129"/>
        <v>#NUM!</v>
      </c>
      <c r="L214" s="183" t="e">
        <f t="shared" si="129"/>
        <v>#NUM!</v>
      </c>
      <c r="M214" s="183" t="e">
        <f t="shared" si="129"/>
        <v>#NUM!</v>
      </c>
    </row>
    <row r="215" spans="1:13" ht="13" hidden="1" customHeight="1">
      <c r="A215" s="5"/>
      <c r="B215" s="5"/>
      <c r="C215" s="5" t="s">
        <v>770</v>
      </c>
      <c r="D215" s="183">
        <f t="shared" ref="D215:M215" si="130">IF(YEAR($B207)+$B209&gt;D$5,D208/(YEAR($B207)+$B209-D$5+MONTH($B207)/12),D208)</f>
        <v>0</v>
      </c>
      <c r="E215" s="183">
        <f t="shared" si="130"/>
        <v>0</v>
      </c>
      <c r="F215" s="183">
        <f t="shared" si="130"/>
        <v>0</v>
      </c>
      <c r="G215" s="183">
        <f t="shared" si="130"/>
        <v>0</v>
      </c>
      <c r="H215" s="183">
        <f t="shared" si="130"/>
        <v>0</v>
      </c>
      <c r="I215" s="183">
        <f t="shared" si="130"/>
        <v>0</v>
      </c>
      <c r="J215" s="183">
        <f t="shared" si="130"/>
        <v>0</v>
      </c>
      <c r="K215" s="183">
        <f t="shared" si="130"/>
        <v>0</v>
      </c>
      <c r="L215" s="183">
        <f t="shared" si="130"/>
        <v>0</v>
      </c>
      <c r="M215" s="183">
        <f t="shared" si="130"/>
        <v>0</v>
      </c>
    </row>
    <row r="216" spans="1:13" ht="13" customHeight="1">
      <c r="A216" s="5"/>
      <c r="B216" s="5"/>
      <c r="C216" s="5"/>
      <c r="D216" s="191"/>
      <c r="E216" s="191"/>
      <c r="F216" s="191"/>
      <c r="G216" s="191"/>
      <c r="H216" s="191"/>
      <c r="I216" s="191"/>
      <c r="J216" s="191"/>
      <c r="K216" s="191"/>
      <c r="L216" s="191"/>
      <c r="M216" s="191"/>
    </row>
    <row r="217" spans="1:13" ht="13" customHeight="1">
      <c r="A217" s="30" t="s">
        <v>876</v>
      </c>
      <c r="B217" s="99"/>
      <c r="C217" t="s">
        <v>800</v>
      </c>
      <c r="D217" s="179" t="s">
        <v>801</v>
      </c>
      <c r="E217" s="1"/>
    </row>
    <row r="218" spans="1:13" ht="13" customHeight="1">
      <c r="A218" s="26" t="s">
        <v>677</v>
      </c>
      <c r="B218" s="133">
        <v>29373</v>
      </c>
      <c r="C218" s="5" t="s">
        <v>639</v>
      </c>
      <c r="D218" s="180">
        <f>IF($D217="V",Input!G$69,IF(AND($B224=D$5,Input!G$64&gt;0),Input!G$64,$B221))</f>
        <v>5.2499999999999998E-2</v>
      </c>
      <c r="E218" s="180">
        <f>IF($D217="V",Input!H$69,IF(AND($B224=E$5,Input!H$64&gt;0),Input!H$64,D218))</f>
        <v>5.2499999999999998E-2</v>
      </c>
      <c r="F218" s="180">
        <f>IF($D217="V",Input!I$69,IF(AND($B224=F$5,Input!I$64&gt;0),Input!I$64,E218))</f>
        <v>5.2499999999999998E-2</v>
      </c>
      <c r="G218" s="180">
        <f>IF($D217="V",Input!J$69,IF(AND($B224=G$5,Input!J$64&gt;0),Input!J$64,F218))</f>
        <v>5.2499999999999998E-2</v>
      </c>
      <c r="H218" s="180">
        <f>IF($D217="V",Input!K$69,IF(AND($B224=H$5,Input!K$64&gt;0),Input!K$64,G218))</f>
        <v>5.2499999999999998E-2</v>
      </c>
      <c r="I218" s="180">
        <f>IF($D217="V",Input!L$69,IF(AND($B224=I$5,Input!L$64&gt;0),Input!L$64,H218))</f>
        <v>5.2499999999999998E-2</v>
      </c>
      <c r="J218" s="180">
        <f>IF($D217="V",Input!M$69,IF(AND($B224=J$5,Input!M$64&gt;0),Input!M$64,I218))</f>
        <v>5.2499999999999998E-2</v>
      </c>
      <c r="K218" s="180">
        <f>IF($D217="V",Input!N$69,IF(AND($B224=K$5,Input!N$64&gt;0),Input!N$64,J218))</f>
        <v>5.2499999999999998E-2</v>
      </c>
      <c r="L218" s="180">
        <f>IF($D217="V",Input!O$69,IF(AND($B224=L$5,Input!O$64&gt;0),Input!O$64,K218))</f>
        <v>5.2499999999999998E-2</v>
      </c>
      <c r="M218" s="180">
        <f>IF($D217="V",Input!P$69,IF(AND($B224=M$5,Input!P$64&gt;0),Input!P$64,L218))</f>
        <v>5.2499999999999998E-2</v>
      </c>
    </row>
    <row r="219" spans="1:13" ht="13" customHeight="1">
      <c r="A219" s="5" t="s">
        <v>361</v>
      </c>
      <c r="B219" s="181">
        <v>0</v>
      </c>
      <c r="C219" s="27" t="s">
        <v>173</v>
      </c>
      <c r="D219" s="188">
        <v>0</v>
      </c>
      <c r="E219" s="183">
        <f t="shared" ref="E219:M219" si="131">D224</f>
        <v>0</v>
      </c>
      <c r="F219" s="183">
        <f t="shared" si="131"/>
        <v>0</v>
      </c>
      <c r="G219" s="183">
        <f t="shared" si="131"/>
        <v>0</v>
      </c>
      <c r="H219" s="183">
        <f t="shared" si="131"/>
        <v>0</v>
      </c>
      <c r="I219" s="183">
        <f t="shared" si="131"/>
        <v>0</v>
      </c>
      <c r="J219" s="183">
        <f t="shared" si="131"/>
        <v>0</v>
      </c>
      <c r="K219" s="183">
        <f t="shared" si="131"/>
        <v>0</v>
      </c>
      <c r="L219" s="183">
        <f t="shared" si="131"/>
        <v>0</v>
      </c>
      <c r="M219" s="183">
        <f t="shared" si="131"/>
        <v>0</v>
      </c>
    </row>
    <row r="220" spans="1:13" ht="13" customHeight="1">
      <c r="A220" s="26" t="s">
        <v>170</v>
      </c>
      <c r="B220" s="131">
        <v>35</v>
      </c>
      <c r="C220" s="184" t="s">
        <v>169</v>
      </c>
      <c r="D220" s="183">
        <f t="shared" ref="D220:M220" si="132">D222-D221</f>
        <v>0</v>
      </c>
      <c r="E220" s="183">
        <f t="shared" si="132"/>
        <v>0</v>
      </c>
      <c r="F220" s="183">
        <f t="shared" si="132"/>
        <v>0</v>
      </c>
      <c r="G220" s="183">
        <f t="shared" si="132"/>
        <v>0</v>
      </c>
      <c r="H220" s="183">
        <f t="shared" si="132"/>
        <v>0</v>
      </c>
      <c r="I220" s="183">
        <f t="shared" si="132"/>
        <v>0</v>
      </c>
      <c r="J220" s="183">
        <f t="shared" si="132"/>
        <v>0</v>
      </c>
      <c r="K220" s="183">
        <f t="shared" si="132"/>
        <v>0</v>
      </c>
      <c r="L220" s="183">
        <f t="shared" si="132"/>
        <v>0</v>
      </c>
      <c r="M220" s="183">
        <f t="shared" si="132"/>
        <v>0</v>
      </c>
    </row>
    <row r="221" spans="1:13" ht="13" customHeight="1">
      <c r="A221" s="5" t="s">
        <v>172</v>
      </c>
      <c r="B221" s="185">
        <f>B210</f>
        <v>5.2499999999999998E-2</v>
      </c>
      <c r="C221" s="5" t="s">
        <v>174</v>
      </c>
      <c r="D221" s="183">
        <f t="shared" ref="D221:M221" si="133">IF(AND($B223="Y",YEAR($B218)+$B220&gt;D$5),D226,IF((YEAR($B218)+$B220)&gt;D$5,FV(D218/$B222,$B222,D225),D219))</f>
        <v>0</v>
      </c>
      <c r="E221" s="183">
        <f t="shared" si="133"/>
        <v>0</v>
      </c>
      <c r="F221" s="183">
        <f t="shared" si="133"/>
        <v>0</v>
      </c>
      <c r="G221" s="183">
        <f t="shared" si="133"/>
        <v>0</v>
      </c>
      <c r="H221" s="183">
        <f t="shared" si="133"/>
        <v>0</v>
      </c>
      <c r="I221" s="183">
        <f t="shared" si="133"/>
        <v>0</v>
      </c>
      <c r="J221" s="183">
        <f t="shared" si="133"/>
        <v>0</v>
      </c>
      <c r="K221" s="183">
        <f t="shared" si="133"/>
        <v>0</v>
      </c>
      <c r="L221" s="183">
        <f t="shared" si="133"/>
        <v>0</v>
      </c>
      <c r="M221" s="183">
        <f t="shared" si="133"/>
        <v>0</v>
      </c>
    </row>
    <row r="222" spans="1:13" ht="13" customHeight="1">
      <c r="A222" s="5" t="s">
        <v>171</v>
      </c>
      <c r="B222" s="131">
        <v>4</v>
      </c>
      <c r="C222" s="186" t="s">
        <v>640</v>
      </c>
      <c r="D222" s="183">
        <f t="shared" ref="D222:M222" si="134">IF(AND($B223="Y",YEAR($B218)+$B220&gt;D$5),D226+D218*(D219-D226*0.5),IF((YEAR($B218)+$B220)&gt;D$5,(D219*D218/$B222-D225)*$B222,(D219*(1+D218*MONTH($B218)/12))))</f>
        <v>0</v>
      </c>
      <c r="E222" s="183">
        <f t="shared" si="134"/>
        <v>0</v>
      </c>
      <c r="F222" s="183">
        <f t="shared" si="134"/>
        <v>0</v>
      </c>
      <c r="G222" s="183">
        <f t="shared" si="134"/>
        <v>0</v>
      </c>
      <c r="H222" s="183">
        <f t="shared" si="134"/>
        <v>0</v>
      </c>
      <c r="I222" s="183">
        <f t="shared" si="134"/>
        <v>0</v>
      </c>
      <c r="J222" s="183">
        <f t="shared" si="134"/>
        <v>0</v>
      </c>
      <c r="K222" s="183">
        <f t="shared" si="134"/>
        <v>0</v>
      </c>
      <c r="L222" s="183">
        <f t="shared" si="134"/>
        <v>0</v>
      </c>
      <c r="M222" s="183">
        <f t="shared" si="134"/>
        <v>0</v>
      </c>
    </row>
    <row r="223" spans="1:13" ht="13" customHeight="1">
      <c r="A223" s="5" t="s">
        <v>767</v>
      </c>
      <c r="B223" s="131" t="s">
        <v>719</v>
      </c>
      <c r="C223" s="187" t="s">
        <v>768</v>
      </c>
      <c r="D223" s="188">
        <v>0</v>
      </c>
      <c r="E223" s="188">
        <v>0</v>
      </c>
      <c r="F223" s="188">
        <v>0</v>
      </c>
      <c r="G223" s="188">
        <v>0</v>
      </c>
      <c r="H223" s="188">
        <v>0</v>
      </c>
      <c r="I223" s="188">
        <v>0</v>
      </c>
      <c r="J223" s="188">
        <v>0</v>
      </c>
      <c r="K223" s="188">
        <v>0</v>
      </c>
      <c r="L223" s="188">
        <v>0</v>
      </c>
      <c r="M223" s="188">
        <v>0</v>
      </c>
    </row>
    <row r="224" spans="1:13" ht="13" customHeight="1">
      <c r="A224" s="5" t="s">
        <v>182</v>
      </c>
      <c r="B224" s="131"/>
      <c r="C224" s="30" t="s">
        <v>175</v>
      </c>
      <c r="D224" s="183">
        <f t="shared" ref="D224:M224" si="135">D219+D220-D222-D223</f>
        <v>0</v>
      </c>
      <c r="E224" s="183">
        <f t="shared" si="135"/>
        <v>0</v>
      </c>
      <c r="F224" s="183">
        <f t="shared" si="135"/>
        <v>0</v>
      </c>
      <c r="G224" s="183">
        <f t="shared" si="135"/>
        <v>0</v>
      </c>
      <c r="H224" s="183">
        <f t="shared" si="135"/>
        <v>0</v>
      </c>
      <c r="I224" s="183">
        <f t="shared" si="135"/>
        <v>0</v>
      </c>
      <c r="J224" s="183">
        <f t="shared" si="135"/>
        <v>0</v>
      </c>
      <c r="K224" s="183">
        <f t="shared" si="135"/>
        <v>0</v>
      </c>
      <c r="L224" s="183">
        <f t="shared" si="135"/>
        <v>0</v>
      </c>
      <c r="M224" s="183">
        <f t="shared" si="135"/>
        <v>0</v>
      </c>
    </row>
    <row r="225" spans="1:13" ht="13" hidden="1" customHeight="1">
      <c r="A225" s="5"/>
      <c r="B225" s="138"/>
      <c r="C225" s="5" t="s">
        <v>769</v>
      </c>
      <c r="D225" s="183" t="e">
        <f t="shared" ref="D225:M225" si="136">PPMT(D218/$B222,1,ROUND(($B220-(D$5-YEAR($B218))+MONTH($B218)/12)*$B222,0),D219)</f>
        <v>#NUM!</v>
      </c>
      <c r="E225" s="183" t="e">
        <f t="shared" si="136"/>
        <v>#NUM!</v>
      </c>
      <c r="F225" s="183" t="e">
        <f t="shared" si="136"/>
        <v>#NUM!</v>
      </c>
      <c r="G225" s="183" t="e">
        <f t="shared" si="136"/>
        <v>#NUM!</v>
      </c>
      <c r="H225" s="183" t="e">
        <f t="shared" si="136"/>
        <v>#NUM!</v>
      </c>
      <c r="I225" s="183" t="e">
        <f t="shared" si="136"/>
        <v>#NUM!</v>
      </c>
      <c r="J225" s="183" t="e">
        <f t="shared" si="136"/>
        <v>#NUM!</v>
      </c>
      <c r="K225" s="183" t="e">
        <f t="shared" si="136"/>
        <v>#NUM!</v>
      </c>
      <c r="L225" s="183" t="e">
        <f t="shared" si="136"/>
        <v>#NUM!</v>
      </c>
      <c r="M225" s="183" t="e">
        <f t="shared" si="136"/>
        <v>#NUM!</v>
      </c>
    </row>
    <row r="226" spans="1:13" ht="13" hidden="1" customHeight="1">
      <c r="A226" s="5"/>
      <c r="B226" s="5"/>
      <c r="C226" s="5" t="s">
        <v>770</v>
      </c>
      <c r="D226" s="183">
        <f t="shared" ref="D226:M226" si="137">IF(YEAR($B218)+$B220&gt;D$5,D219/(YEAR($B218)+$B220-D$5+MONTH($B218)/12),D219)</f>
        <v>0</v>
      </c>
      <c r="E226" s="183">
        <f t="shared" si="137"/>
        <v>0</v>
      </c>
      <c r="F226" s="183">
        <f t="shared" si="137"/>
        <v>0</v>
      </c>
      <c r="G226" s="183">
        <f t="shared" si="137"/>
        <v>0</v>
      </c>
      <c r="H226" s="183">
        <f t="shared" si="137"/>
        <v>0</v>
      </c>
      <c r="I226" s="183">
        <f t="shared" si="137"/>
        <v>0</v>
      </c>
      <c r="J226" s="183">
        <f t="shared" si="137"/>
        <v>0</v>
      </c>
      <c r="K226" s="183">
        <f t="shared" si="137"/>
        <v>0</v>
      </c>
      <c r="L226" s="183">
        <f t="shared" si="137"/>
        <v>0</v>
      </c>
      <c r="M226" s="183">
        <f t="shared" si="137"/>
        <v>0</v>
      </c>
    </row>
    <row r="227" spans="1:13" ht="13" customHeight="1">
      <c r="A227" s="5"/>
      <c r="B227" s="5"/>
      <c r="C227" s="5"/>
      <c r="D227" s="191"/>
      <c r="E227" s="191"/>
      <c r="F227" s="191"/>
      <c r="G227" s="191"/>
      <c r="H227" s="191"/>
      <c r="I227" s="191"/>
      <c r="J227" s="191"/>
      <c r="K227" s="191"/>
      <c r="L227" s="191"/>
      <c r="M227" s="191"/>
    </row>
    <row r="228" spans="1:13" ht="13" customHeight="1">
      <c r="A228" s="30" t="s">
        <v>877</v>
      </c>
      <c r="B228" s="99"/>
      <c r="C228" t="s">
        <v>800</v>
      </c>
      <c r="D228" s="179" t="s">
        <v>801</v>
      </c>
      <c r="E228" s="1"/>
    </row>
    <row r="229" spans="1:13" ht="13" customHeight="1">
      <c r="A229" s="26" t="s">
        <v>677</v>
      </c>
      <c r="B229" s="133">
        <v>29373</v>
      </c>
      <c r="C229" s="5" t="s">
        <v>639</v>
      </c>
      <c r="D229" s="180">
        <f>IF($D228="V",Input!G$69,IF(AND($B235=D$5,Input!G$64&gt;0),Input!G$64,$B232))</f>
        <v>5.2499999999999998E-2</v>
      </c>
      <c r="E229" s="180">
        <f>IF($D228="V",Input!H$69,IF(AND($B235=E$5,Input!H$64&gt;0),Input!H$64,D229))</f>
        <v>5.2499999999999998E-2</v>
      </c>
      <c r="F229" s="180">
        <f>IF($D228="V",Input!I$69,IF(AND($B235=F$5,Input!I$64&gt;0),Input!I$64,E229))</f>
        <v>5.2499999999999998E-2</v>
      </c>
      <c r="G229" s="180">
        <f>IF($D228="V",Input!J$69,IF(AND($B235=G$5,Input!J$64&gt;0),Input!J$64,F229))</f>
        <v>5.2499999999999998E-2</v>
      </c>
      <c r="H229" s="180">
        <f>IF($D228="V",Input!K$69,IF(AND($B235=H$5,Input!K$64&gt;0),Input!K$64,G229))</f>
        <v>5.2499999999999998E-2</v>
      </c>
      <c r="I229" s="180">
        <f>IF($D228="V",Input!L$69,IF(AND($B235=I$5,Input!L$64&gt;0),Input!L$64,H229))</f>
        <v>5.2499999999999998E-2</v>
      </c>
      <c r="J229" s="180">
        <f>IF($D228="V",Input!M$69,IF(AND($B235=J$5,Input!M$64&gt;0),Input!M$64,I229))</f>
        <v>5.2499999999999998E-2</v>
      </c>
      <c r="K229" s="180">
        <f>IF($D228="V",Input!N$69,IF(AND($B235=K$5,Input!N$64&gt;0),Input!N$64,J229))</f>
        <v>5.2499999999999998E-2</v>
      </c>
      <c r="L229" s="180">
        <f>IF($D228="V",Input!O$69,IF(AND($B235=L$5,Input!O$64&gt;0),Input!O$64,K229))</f>
        <v>5.2499999999999998E-2</v>
      </c>
      <c r="M229" s="180">
        <f>IF($D228="V",Input!P$69,IF(AND($B235=M$5,Input!P$64&gt;0),Input!P$64,L229))</f>
        <v>5.2499999999999998E-2</v>
      </c>
    </row>
    <row r="230" spans="1:13" ht="13" customHeight="1">
      <c r="A230" s="5" t="s">
        <v>361</v>
      </c>
      <c r="B230" s="181">
        <v>0</v>
      </c>
      <c r="C230" s="27" t="s">
        <v>173</v>
      </c>
      <c r="D230" s="188">
        <v>0</v>
      </c>
      <c r="E230" s="183">
        <f t="shared" ref="E230:M230" si="138">D235</f>
        <v>0</v>
      </c>
      <c r="F230" s="183">
        <f t="shared" si="138"/>
        <v>0</v>
      </c>
      <c r="G230" s="183">
        <f t="shared" si="138"/>
        <v>0</v>
      </c>
      <c r="H230" s="183">
        <f t="shared" si="138"/>
        <v>0</v>
      </c>
      <c r="I230" s="183">
        <f t="shared" si="138"/>
        <v>0</v>
      </c>
      <c r="J230" s="183">
        <f t="shared" si="138"/>
        <v>0</v>
      </c>
      <c r="K230" s="183">
        <f t="shared" si="138"/>
        <v>0</v>
      </c>
      <c r="L230" s="183">
        <f t="shared" si="138"/>
        <v>0</v>
      </c>
      <c r="M230" s="183">
        <f t="shared" si="138"/>
        <v>0</v>
      </c>
    </row>
    <row r="231" spans="1:13" ht="13" customHeight="1">
      <c r="A231" s="26" t="s">
        <v>170</v>
      </c>
      <c r="B231" s="131">
        <v>35</v>
      </c>
      <c r="C231" s="184" t="s">
        <v>169</v>
      </c>
      <c r="D231" s="183">
        <f t="shared" ref="D231:M231" si="139">D233-D232</f>
        <v>0</v>
      </c>
      <c r="E231" s="183">
        <f t="shared" si="139"/>
        <v>0</v>
      </c>
      <c r="F231" s="183">
        <f t="shared" si="139"/>
        <v>0</v>
      </c>
      <c r="G231" s="183">
        <f t="shared" si="139"/>
        <v>0</v>
      </c>
      <c r="H231" s="183">
        <f t="shared" si="139"/>
        <v>0</v>
      </c>
      <c r="I231" s="183">
        <f t="shared" si="139"/>
        <v>0</v>
      </c>
      <c r="J231" s="183">
        <f t="shared" si="139"/>
        <v>0</v>
      </c>
      <c r="K231" s="183">
        <f t="shared" si="139"/>
        <v>0</v>
      </c>
      <c r="L231" s="183">
        <f t="shared" si="139"/>
        <v>0</v>
      </c>
      <c r="M231" s="183">
        <f t="shared" si="139"/>
        <v>0</v>
      </c>
    </row>
    <row r="232" spans="1:13" ht="13" customHeight="1">
      <c r="A232" s="5" t="s">
        <v>172</v>
      </c>
      <c r="B232" s="185">
        <f>B221</f>
        <v>5.2499999999999998E-2</v>
      </c>
      <c r="C232" s="5" t="s">
        <v>174</v>
      </c>
      <c r="D232" s="183">
        <f t="shared" ref="D232:M232" si="140">IF(AND($B234="Y",YEAR($B229)+$B231&gt;D$5),D237,IF((YEAR($B229)+$B231)&gt;D$5,FV(D229/$B233,$B233,D236),D230))</f>
        <v>0</v>
      </c>
      <c r="E232" s="183">
        <f t="shared" si="140"/>
        <v>0</v>
      </c>
      <c r="F232" s="183">
        <f t="shared" si="140"/>
        <v>0</v>
      </c>
      <c r="G232" s="183">
        <f t="shared" si="140"/>
        <v>0</v>
      </c>
      <c r="H232" s="183">
        <f t="shared" si="140"/>
        <v>0</v>
      </c>
      <c r="I232" s="183">
        <f t="shared" si="140"/>
        <v>0</v>
      </c>
      <c r="J232" s="183">
        <f t="shared" si="140"/>
        <v>0</v>
      </c>
      <c r="K232" s="183">
        <f t="shared" si="140"/>
        <v>0</v>
      </c>
      <c r="L232" s="183">
        <f t="shared" si="140"/>
        <v>0</v>
      </c>
      <c r="M232" s="183">
        <f t="shared" si="140"/>
        <v>0</v>
      </c>
    </row>
    <row r="233" spans="1:13" ht="13" customHeight="1">
      <c r="A233" s="5" t="s">
        <v>171</v>
      </c>
      <c r="B233" s="131">
        <v>4</v>
      </c>
      <c r="C233" s="186" t="s">
        <v>640</v>
      </c>
      <c r="D233" s="183">
        <f t="shared" ref="D233:M233" si="141">IF(AND($B234="Y",YEAR($B229)+$B231&gt;D$5),D237+D229*(D230-D237*0.5),IF((YEAR($B229)+$B231)&gt;D$5,(D230*D229/$B233-D236)*$B233,(D230*(1+D229*MONTH($B229)/12))))</f>
        <v>0</v>
      </c>
      <c r="E233" s="183">
        <f t="shared" si="141"/>
        <v>0</v>
      </c>
      <c r="F233" s="183">
        <f t="shared" si="141"/>
        <v>0</v>
      </c>
      <c r="G233" s="183">
        <f t="shared" si="141"/>
        <v>0</v>
      </c>
      <c r="H233" s="183">
        <f t="shared" si="141"/>
        <v>0</v>
      </c>
      <c r="I233" s="183">
        <f t="shared" si="141"/>
        <v>0</v>
      </c>
      <c r="J233" s="183">
        <f t="shared" si="141"/>
        <v>0</v>
      </c>
      <c r="K233" s="183">
        <f t="shared" si="141"/>
        <v>0</v>
      </c>
      <c r="L233" s="183">
        <f t="shared" si="141"/>
        <v>0</v>
      </c>
      <c r="M233" s="183">
        <f t="shared" si="141"/>
        <v>0</v>
      </c>
    </row>
    <row r="234" spans="1:13" ht="13" customHeight="1">
      <c r="A234" s="5" t="s">
        <v>767</v>
      </c>
      <c r="B234" s="131" t="s">
        <v>719</v>
      </c>
      <c r="C234" s="187" t="s">
        <v>768</v>
      </c>
      <c r="D234" s="188">
        <v>0</v>
      </c>
      <c r="E234" s="188">
        <v>0</v>
      </c>
      <c r="F234" s="188">
        <v>0</v>
      </c>
      <c r="G234" s="188">
        <v>0</v>
      </c>
      <c r="H234" s="188">
        <v>0</v>
      </c>
      <c r="I234" s="188">
        <v>0</v>
      </c>
      <c r="J234" s="188">
        <v>0</v>
      </c>
      <c r="K234" s="188">
        <v>0</v>
      </c>
      <c r="L234" s="188">
        <v>0</v>
      </c>
      <c r="M234" s="188">
        <v>0</v>
      </c>
    </row>
    <row r="235" spans="1:13" ht="13" customHeight="1">
      <c r="A235" s="5" t="s">
        <v>182</v>
      </c>
      <c r="B235" s="131"/>
      <c r="C235" s="30" t="s">
        <v>175</v>
      </c>
      <c r="D235" s="183">
        <f t="shared" ref="D235:M235" si="142">D230+D231-D233-D234</f>
        <v>0</v>
      </c>
      <c r="E235" s="183">
        <f t="shared" si="142"/>
        <v>0</v>
      </c>
      <c r="F235" s="183">
        <f t="shared" si="142"/>
        <v>0</v>
      </c>
      <c r="G235" s="183">
        <f t="shared" si="142"/>
        <v>0</v>
      </c>
      <c r="H235" s="183">
        <f t="shared" si="142"/>
        <v>0</v>
      </c>
      <c r="I235" s="183">
        <f t="shared" si="142"/>
        <v>0</v>
      </c>
      <c r="J235" s="183">
        <f t="shared" si="142"/>
        <v>0</v>
      </c>
      <c r="K235" s="183">
        <f t="shared" si="142"/>
        <v>0</v>
      </c>
      <c r="L235" s="183">
        <f t="shared" si="142"/>
        <v>0</v>
      </c>
      <c r="M235" s="183">
        <f t="shared" si="142"/>
        <v>0</v>
      </c>
    </row>
    <row r="236" spans="1:13" ht="13" hidden="1" customHeight="1">
      <c r="A236" s="5"/>
      <c r="B236" s="138"/>
      <c r="C236" s="5" t="s">
        <v>769</v>
      </c>
      <c r="D236" s="183" t="e">
        <f t="shared" ref="D236:M236" si="143">PPMT(D229/$B233,1,ROUND(($B231-(D$5-YEAR($B229))+MONTH($B229)/12)*$B233,0),D230)</f>
        <v>#NUM!</v>
      </c>
      <c r="E236" s="183" t="e">
        <f t="shared" si="143"/>
        <v>#NUM!</v>
      </c>
      <c r="F236" s="183" t="e">
        <f t="shared" si="143"/>
        <v>#NUM!</v>
      </c>
      <c r="G236" s="183" t="e">
        <f t="shared" si="143"/>
        <v>#NUM!</v>
      </c>
      <c r="H236" s="183" t="e">
        <f t="shared" si="143"/>
        <v>#NUM!</v>
      </c>
      <c r="I236" s="183" t="e">
        <f t="shared" si="143"/>
        <v>#NUM!</v>
      </c>
      <c r="J236" s="183" t="e">
        <f t="shared" si="143"/>
        <v>#NUM!</v>
      </c>
      <c r="K236" s="183" t="e">
        <f t="shared" si="143"/>
        <v>#NUM!</v>
      </c>
      <c r="L236" s="183" t="e">
        <f t="shared" si="143"/>
        <v>#NUM!</v>
      </c>
      <c r="M236" s="183" t="e">
        <f t="shared" si="143"/>
        <v>#NUM!</v>
      </c>
    </row>
    <row r="237" spans="1:13" ht="13" hidden="1" customHeight="1">
      <c r="A237" s="5"/>
      <c r="B237" s="5"/>
      <c r="C237" s="5" t="s">
        <v>770</v>
      </c>
      <c r="D237" s="183">
        <f t="shared" ref="D237:M237" si="144">IF(YEAR($B229)+$B231&gt;D$5,D230/(YEAR($B229)+$B231-D$5+MONTH($B229)/12),D230)</f>
        <v>0</v>
      </c>
      <c r="E237" s="183">
        <f t="shared" si="144"/>
        <v>0</v>
      </c>
      <c r="F237" s="183">
        <f t="shared" si="144"/>
        <v>0</v>
      </c>
      <c r="G237" s="183">
        <f t="shared" si="144"/>
        <v>0</v>
      </c>
      <c r="H237" s="183">
        <f t="shared" si="144"/>
        <v>0</v>
      </c>
      <c r="I237" s="183">
        <f t="shared" si="144"/>
        <v>0</v>
      </c>
      <c r="J237" s="183">
        <f t="shared" si="144"/>
        <v>0</v>
      </c>
      <c r="K237" s="183">
        <f t="shared" si="144"/>
        <v>0</v>
      </c>
      <c r="L237" s="183">
        <f t="shared" si="144"/>
        <v>0</v>
      </c>
      <c r="M237" s="183">
        <f t="shared" si="144"/>
        <v>0</v>
      </c>
    </row>
    <row r="238" spans="1:13" ht="13" customHeight="1">
      <c r="A238" s="5"/>
      <c r="B238" s="5"/>
      <c r="C238" s="5"/>
      <c r="D238" s="191"/>
      <c r="E238" s="191"/>
      <c r="F238" s="191"/>
      <c r="G238" s="191"/>
      <c r="H238" s="191"/>
      <c r="I238" s="191"/>
      <c r="J238" s="191"/>
      <c r="K238" s="191"/>
      <c r="L238" s="191"/>
      <c r="M238" s="191"/>
    </row>
    <row r="239" spans="1:13" ht="13" customHeight="1">
      <c r="A239" s="5"/>
      <c r="B239" s="5"/>
      <c r="C239" s="5"/>
      <c r="D239" s="191"/>
      <c r="E239" s="191"/>
      <c r="F239" s="191"/>
      <c r="G239" s="191"/>
      <c r="H239" s="191"/>
      <c r="I239" s="191"/>
      <c r="J239" s="191"/>
      <c r="K239" s="191"/>
      <c r="L239" s="191"/>
      <c r="M239" s="191"/>
    </row>
    <row r="240" spans="1:13" ht="13" customHeight="1">
      <c r="A240" s="5"/>
      <c r="B240" s="5"/>
      <c r="C240" s="5"/>
      <c r="D240" s="191"/>
      <c r="E240" s="191"/>
      <c r="F240" s="191"/>
      <c r="G240" s="191"/>
      <c r="H240" s="191"/>
      <c r="I240" s="191"/>
      <c r="J240" s="191"/>
      <c r="K240" s="191"/>
      <c r="L240" s="191"/>
      <c r="M240" s="191"/>
    </row>
    <row r="241" spans="1:13" ht="13" customHeight="1">
      <c r="A241" s="5" t="s">
        <v>889</v>
      </c>
      <c r="B241" s="5"/>
      <c r="C241" s="5"/>
      <c r="D241" s="193">
        <f t="shared" ref="D241:M241" si="145">+D5</f>
        <v>2024</v>
      </c>
      <c r="E241" s="193">
        <f t="shared" si="145"/>
        <v>2025</v>
      </c>
      <c r="F241" s="193">
        <f t="shared" si="145"/>
        <v>2026</v>
      </c>
      <c r="G241" s="193">
        <f t="shared" si="145"/>
        <v>2027</v>
      </c>
      <c r="H241" s="193">
        <f t="shared" si="145"/>
        <v>2028</v>
      </c>
      <c r="I241" s="193">
        <f t="shared" si="145"/>
        <v>2029</v>
      </c>
      <c r="J241" s="193">
        <f t="shared" si="145"/>
        <v>2030</v>
      </c>
      <c r="K241" s="193">
        <f t="shared" si="145"/>
        <v>2031</v>
      </c>
      <c r="L241" s="193">
        <f t="shared" si="145"/>
        <v>2032</v>
      </c>
      <c r="M241" s="193">
        <f t="shared" si="145"/>
        <v>2033</v>
      </c>
    </row>
    <row r="242" spans="1:13" ht="13" customHeight="1">
      <c r="A242" s="5"/>
      <c r="B242" s="5"/>
      <c r="C242" s="5"/>
      <c r="D242" s="194" t="str">
        <f t="shared" ref="D242:M242" si="146">+D6</f>
        <v xml:space="preserve">  -----------</v>
      </c>
      <c r="E242" s="194" t="str">
        <f t="shared" si="146"/>
        <v xml:space="preserve">  -----------</v>
      </c>
      <c r="F242" s="194" t="str">
        <f t="shared" si="146"/>
        <v xml:space="preserve">  -----------</v>
      </c>
      <c r="G242" s="194" t="str">
        <f t="shared" si="146"/>
        <v xml:space="preserve">  -----------</v>
      </c>
      <c r="H242" s="194" t="str">
        <f t="shared" si="146"/>
        <v xml:space="preserve">  -----------</v>
      </c>
      <c r="I242" s="194" t="str">
        <f t="shared" si="146"/>
        <v xml:space="preserve">  -----------</v>
      </c>
      <c r="J242" s="194" t="str">
        <f t="shared" si="146"/>
        <v xml:space="preserve">  -----------</v>
      </c>
      <c r="K242" s="194" t="str">
        <f t="shared" si="146"/>
        <v xml:space="preserve">  -----------</v>
      </c>
      <c r="L242" s="194" t="str">
        <f t="shared" si="146"/>
        <v xml:space="preserve">  -----------</v>
      </c>
      <c r="M242" s="194" t="str">
        <f t="shared" si="146"/>
        <v xml:space="preserve">  -----------</v>
      </c>
    </row>
    <row r="243" spans="1:13" ht="13" customHeight="1">
      <c r="A243" s="30" t="s">
        <v>878</v>
      </c>
      <c r="B243" s="99"/>
      <c r="C243" t="s">
        <v>800</v>
      </c>
      <c r="D243" s="179" t="s">
        <v>801</v>
      </c>
      <c r="E243" s="1"/>
    </row>
    <row r="244" spans="1:13" ht="13" customHeight="1">
      <c r="A244" s="26" t="s">
        <v>677</v>
      </c>
      <c r="B244" s="133">
        <v>29373</v>
      </c>
      <c r="C244" s="5" t="s">
        <v>639</v>
      </c>
      <c r="D244" s="180">
        <f>IF($D243="V",Input!G$69,IF(AND($B250=D$5,Input!G$64&gt;0),Input!G$64,$B247))</f>
        <v>5.2499999999999998E-2</v>
      </c>
      <c r="E244" s="180">
        <f>IF($D243="V",Input!H$69,IF(AND($B250=E$5,Input!H$64&gt;0),Input!H$64,D244))</f>
        <v>5.2499999999999998E-2</v>
      </c>
      <c r="F244" s="180">
        <f>IF($D243="V",Input!I$69,IF(AND($B250=F$5,Input!I$64&gt;0),Input!I$64,E244))</f>
        <v>5.2499999999999998E-2</v>
      </c>
      <c r="G244" s="180">
        <f>IF($D243="V",Input!J$69,IF(AND($B250=G$5,Input!J$64&gt;0),Input!J$64,F244))</f>
        <v>5.2499999999999998E-2</v>
      </c>
      <c r="H244" s="180">
        <f>IF($D243="V",Input!K$69,IF(AND($B250=H$5,Input!K$64&gt;0),Input!K$64,G244))</f>
        <v>5.2499999999999998E-2</v>
      </c>
      <c r="I244" s="180">
        <f>IF($D243="V",Input!L$69,IF(AND($B250=I$5,Input!L$64&gt;0),Input!L$64,H244))</f>
        <v>5.2499999999999998E-2</v>
      </c>
      <c r="J244" s="180">
        <f>IF($D243="V",Input!M$69,IF(AND($B250=J$5,Input!M$64&gt;0),Input!M$64,I244))</f>
        <v>5.2499999999999998E-2</v>
      </c>
      <c r="K244" s="180">
        <f>IF($D243="V",Input!N$69,IF(AND($B250=K$5,Input!N$64&gt;0),Input!N$64,J244))</f>
        <v>5.2499999999999998E-2</v>
      </c>
      <c r="L244" s="180">
        <f>IF($D243="V",Input!O$69,IF(AND($B250=L$5,Input!O$64&gt;0),Input!O$64,K244))</f>
        <v>5.2499999999999998E-2</v>
      </c>
      <c r="M244" s="180">
        <f>IF($D243="V",Input!P$69,IF(AND($B250=M$5,Input!P$64&gt;0),Input!P$64,L244))</f>
        <v>5.2499999999999998E-2</v>
      </c>
    </row>
    <row r="245" spans="1:13" ht="13" customHeight="1">
      <c r="A245" s="5" t="s">
        <v>361</v>
      </c>
      <c r="B245" s="181">
        <v>0</v>
      </c>
      <c r="C245" s="27" t="s">
        <v>173</v>
      </c>
      <c r="D245" s="188">
        <v>0</v>
      </c>
      <c r="E245" s="183">
        <f t="shared" ref="E245:M245" si="147">D250</f>
        <v>0</v>
      </c>
      <c r="F245" s="183">
        <f t="shared" si="147"/>
        <v>0</v>
      </c>
      <c r="G245" s="183">
        <f t="shared" si="147"/>
        <v>0</v>
      </c>
      <c r="H245" s="183">
        <f t="shared" si="147"/>
        <v>0</v>
      </c>
      <c r="I245" s="183">
        <f t="shared" si="147"/>
        <v>0</v>
      </c>
      <c r="J245" s="183">
        <f t="shared" si="147"/>
        <v>0</v>
      </c>
      <c r="K245" s="183">
        <f t="shared" si="147"/>
        <v>0</v>
      </c>
      <c r="L245" s="183">
        <f t="shared" si="147"/>
        <v>0</v>
      </c>
      <c r="M245" s="183">
        <f t="shared" si="147"/>
        <v>0</v>
      </c>
    </row>
    <row r="246" spans="1:13" ht="13" customHeight="1">
      <c r="A246" s="26" t="s">
        <v>170</v>
      </c>
      <c r="B246" s="131">
        <v>35</v>
      </c>
      <c r="C246" s="184" t="s">
        <v>169</v>
      </c>
      <c r="D246" s="183">
        <f t="shared" ref="D246:M246" si="148">D248-D247</f>
        <v>0</v>
      </c>
      <c r="E246" s="183">
        <f t="shared" si="148"/>
        <v>0</v>
      </c>
      <c r="F246" s="183">
        <f t="shared" si="148"/>
        <v>0</v>
      </c>
      <c r="G246" s="183">
        <f t="shared" si="148"/>
        <v>0</v>
      </c>
      <c r="H246" s="183">
        <f t="shared" si="148"/>
        <v>0</v>
      </c>
      <c r="I246" s="183">
        <f t="shared" si="148"/>
        <v>0</v>
      </c>
      <c r="J246" s="183">
        <f t="shared" si="148"/>
        <v>0</v>
      </c>
      <c r="K246" s="183">
        <f t="shared" si="148"/>
        <v>0</v>
      </c>
      <c r="L246" s="183">
        <f t="shared" si="148"/>
        <v>0</v>
      </c>
      <c r="M246" s="183">
        <f t="shared" si="148"/>
        <v>0</v>
      </c>
    </row>
    <row r="247" spans="1:13" ht="13" customHeight="1">
      <c r="A247" s="5" t="s">
        <v>172</v>
      </c>
      <c r="B247" s="185">
        <f>B232</f>
        <v>5.2499999999999998E-2</v>
      </c>
      <c r="C247" s="5" t="s">
        <v>174</v>
      </c>
      <c r="D247" s="183">
        <f t="shared" ref="D247:M247" si="149">IF(AND($B249="Y",YEAR($B244)+$B246&gt;D$5),D252,IF((YEAR($B244)+$B246)&gt;D$5,FV(D244/$B248,$B248,D251),D245))</f>
        <v>0</v>
      </c>
      <c r="E247" s="183">
        <f t="shared" si="149"/>
        <v>0</v>
      </c>
      <c r="F247" s="183">
        <f t="shared" si="149"/>
        <v>0</v>
      </c>
      <c r="G247" s="183">
        <f t="shared" si="149"/>
        <v>0</v>
      </c>
      <c r="H247" s="183">
        <f t="shared" si="149"/>
        <v>0</v>
      </c>
      <c r="I247" s="183">
        <f t="shared" si="149"/>
        <v>0</v>
      </c>
      <c r="J247" s="183">
        <f t="shared" si="149"/>
        <v>0</v>
      </c>
      <c r="K247" s="183">
        <f t="shared" si="149"/>
        <v>0</v>
      </c>
      <c r="L247" s="183">
        <f t="shared" si="149"/>
        <v>0</v>
      </c>
      <c r="M247" s="183">
        <f t="shared" si="149"/>
        <v>0</v>
      </c>
    </row>
    <row r="248" spans="1:13" ht="13" customHeight="1">
      <c r="A248" s="5" t="s">
        <v>171</v>
      </c>
      <c r="B248" s="131">
        <v>4</v>
      </c>
      <c r="C248" s="186" t="s">
        <v>640</v>
      </c>
      <c r="D248" s="183">
        <f t="shared" ref="D248:M248" si="150">IF(AND($B249="Y",YEAR($B244)+$B246&gt;D$5),D252+D244*(D245-D252*0.5),IF((YEAR($B244)+$B246)&gt;D$5,(D245*D244/$B248-D251)*$B248,(D245*(1+D244*MONTH($B244)/12))))</f>
        <v>0</v>
      </c>
      <c r="E248" s="183">
        <f t="shared" si="150"/>
        <v>0</v>
      </c>
      <c r="F248" s="183">
        <f t="shared" si="150"/>
        <v>0</v>
      </c>
      <c r="G248" s="183">
        <f t="shared" si="150"/>
        <v>0</v>
      </c>
      <c r="H248" s="183">
        <f t="shared" si="150"/>
        <v>0</v>
      </c>
      <c r="I248" s="183">
        <f t="shared" si="150"/>
        <v>0</v>
      </c>
      <c r="J248" s="183">
        <f t="shared" si="150"/>
        <v>0</v>
      </c>
      <c r="K248" s="183">
        <f t="shared" si="150"/>
        <v>0</v>
      </c>
      <c r="L248" s="183">
        <f t="shared" si="150"/>
        <v>0</v>
      </c>
      <c r="M248" s="183">
        <f t="shared" si="150"/>
        <v>0</v>
      </c>
    </row>
    <row r="249" spans="1:13" ht="13" customHeight="1">
      <c r="A249" s="5" t="s">
        <v>767</v>
      </c>
      <c r="B249" s="131" t="s">
        <v>719</v>
      </c>
      <c r="C249" s="187" t="s">
        <v>768</v>
      </c>
      <c r="D249" s="188">
        <v>0</v>
      </c>
      <c r="E249" s="188">
        <v>0</v>
      </c>
      <c r="F249" s="188">
        <v>0</v>
      </c>
      <c r="G249" s="188">
        <v>0</v>
      </c>
      <c r="H249" s="188">
        <v>0</v>
      </c>
      <c r="I249" s="188">
        <v>0</v>
      </c>
      <c r="J249" s="188">
        <v>0</v>
      </c>
      <c r="K249" s="188">
        <v>0</v>
      </c>
      <c r="L249" s="188">
        <v>0</v>
      </c>
      <c r="M249" s="188">
        <v>0</v>
      </c>
    </row>
    <row r="250" spans="1:13" ht="13" customHeight="1">
      <c r="A250" s="5" t="s">
        <v>182</v>
      </c>
      <c r="B250" s="131"/>
      <c r="C250" s="30" t="s">
        <v>175</v>
      </c>
      <c r="D250" s="183">
        <f t="shared" ref="D250:M250" si="151">D245+D246-D248-D249</f>
        <v>0</v>
      </c>
      <c r="E250" s="183">
        <f t="shared" si="151"/>
        <v>0</v>
      </c>
      <c r="F250" s="183">
        <f t="shared" si="151"/>
        <v>0</v>
      </c>
      <c r="G250" s="183">
        <f t="shared" si="151"/>
        <v>0</v>
      </c>
      <c r="H250" s="183">
        <f t="shared" si="151"/>
        <v>0</v>
      </c>
      <c r="I250" s="183">
        <f t="shared" si="151"/>
        <v>0</v>
      </c>
      <c r="J250" s="183">
        <f t="shared" si="151"/>
        <v>0</v>
      </c>
      <c r="K250" s="183">
        <f t="shared" si="151"/>
        <v>0</v>
      </c>
      <c r="L250" s="183">
        <f t="shared" si="151"/>
        <v>0</v>
      </c>
      <c r="M250" s="183">
        <f t="shared" si="151"/>
        <v>0</v>
      </c>
    </row>
    <row r="251" spans="1:13" ht="13" hidden="1" customHeight="1">
      <c r="A251" s="5"/>
      <c r="B251" s="138"/>
      <c r="C251" s="5" t="s">
        <v>769</v>
      </c>
      <c r="D251" s="183" t="e">
        <f t="shared" ref="D251:M251" si="152">PPMT(D244/$B248,1,ROUND(($B246-(D$5-YEAR($B244))+MONTH($B244)/12)*$B248,0),D245)</f>
        <v>#NUM!</v>
      </c>
      <c r="E251" s="183" t="e">
        <f t="shared" si="152"/>
        <v>#NUM!</v>
      </c>
      <c r="F251" s="183" t="e">
        <f t="shared" si="152"/>
        <v>#NUM!</v>
      </c>
      <c r="G251" s="183" t="e">
        <f t="shared" si="152"/>
        <v>#NUM!</v>
      </c>
      <c r="H251" s="183" t="e">
        <f t="shared" si="152"/>
        <v>#NUM!</v>
      </c>
      <c r="I251" s="183" t="e">
        <f t="shared" si="152"/>
        <v>#NUM!</v>
      </c>
      <c r="J251" s="183" t="e">
        <f t="shared" si="152"/>
        <v>#NUM!</v>
      </c>
      <c r="K251" s="183" t="e">
        <f t="shared" si="152"/>
        <v>#NUM!</v>
      </c>
      <c r="L251" s="183" t="e">
        <f t="shared" si="152"/>
        <v>#NUM!</v>
      </c>
      <c r="M251" s="183" t="e">
        <f t="shared" si="152"/>
        <v>#NUM!</v>
      </c>
    </row>
    <row r="252" spans="1:13" ht="13" hidden="1" customHeight="1">
      <c r="A252" s="5"/>
      <c r="B252" s="5"/>
      <c r="C252" s="5" t="s">
        <v>770</v>
      </c>
      <c r="D252" s="183">
        <f t="shared" ref="D252:M252" si="153">IF(YEAR($B244)+$B246&gt;D$5,D245/(YEAR($B244)+$B246-D$5+MONTH($B244)/12),D245)</f>
        <v>0</v>
      </c>
      <c r="E252" s="183">
        <f t="shared" si="153"/>
        <v>0</v>
      </c>
      <c r="F252" s="183">
        <f t="shared" si="153"/>
        <v>0</v>
      </c>
      <c r="G252" s="183">
        <f t="shared" si="153"/>
        <v>0</v>
      </c>
      <c r="H252" s="183">
        <f t="shared" si="153"/>
        <v>0</v>
      </c>
      <c r="I252" s="183">
        <f t="shared" si="153"/>
        <v>0</v>
      </c>
      <c r="J252" s="183">
        <f t="shared" si="153"/>
        <v>0</v>
      </c>
      <c r="K252" s="183">
        <f t="shared" si="153"/>
        <v>0</v>
      </c>
      <c r="L252" s="183">
        <f t="shared" si="153"/>
        <v>0</v>
      </c>
      <c r="M252" s="183">
        <f t="shared" si="153"/>
        <v>0</v>
      </c>
    </row>
    <row r="253" spans="1:13" ht="13" customHeight="1">
      <c r="C253" s="5"/>
      <c r="D253" s="191"/>
      <c r="E253" s="191"/>
      <c r="F253" s="191"/>
      <c r="G253" s="191"/>
      <c r="H253" s="191"/>
      <c r="I253" s="191"/>
      <c r="J253" s="191"/>
      <c r="K253" s="191"/>
      <c r="L253" s="191"/>
      <c r="M253" s="191"/>
    </row>
    <row r="254" spans="1:13" ht="13" customHeight="1">
      <c r="A254" s="30" t="s">
        <v>879</v>
      </c>
      <c r="B254" s="99"/>
      <c r="C254" t="s">
        <v>800</v>
      </c>
      <c r="D254" s="179" t="s">
        <v>801</v>
      </c>
      <c r="E254" s="1"/>
    </row>
    <row r="255" spans="1:13" ht="13" customHeight="1">
      <c r="A255" s="26" t="s">
        <v>677</v>
      </c>
      <c r="B255" s="133">
        <v>29373</v>
      </c>
      <c r="C255" s="5" t="s">
        <v>639</v>
      </c>
      <c r="D255" s="180">
        <f>IF($D254="V",Input!G$69,IF(AND($B261=D$5,Input!G$64&gt;0),Input!G$64,$B258))</f>
        <v>5.2499999999999998E-2</v>
      </c>
      <c r="E255" s="180">
        <f>IF($D254="V",Input!H$69,IF(AND($B261=E$5,Input!H$64&gt;0),Input!H$64,D255))</f>
        <v>5.2499999999999998E-2</v>
      </c>
      <c r="F255" s="180">
        <f>IF($D254="V",Input!I$69,IF(AND($B261=F$5,Input!I$64&gt;0),Input!I$64,E255))</f>
        <v>5.2499999999999998E-2</v>
      </c>
      <c r="G255" s="180">
        <f>IF($D254="V",Input!J$69,IF(AND($B261=G$5,Input!J$64&gt;0),Input!J$64,F255))</f>
        <v>5.2499999999999998E-2</v>
      </c>
      <c r="H255" s="180">
        <f>IF($D254="V",Input!K$69,IF(AND($B261=H$5,Input!K$64&gt;0),Input!K$64,G255))</f>
        <v>5.2499999999999998E-2</v>
      </c>
      <c r="I255" s="180">
        <f>IF($D254="V",Input!L$69,IF(AND($B261=I$5,Input!L$64&gt;0),Input!L$64,H255))</f>
        <v>5.2499999999999998E-2</v>
      </c>
      <c r="J255" s="180">
        <f>IF($D254="V",Input!M$69,IF(AND($B261=J$5,Input!M$64&gt;0),Input!M$64,I255))</f>
        <v>5.2499999999999998E-2</v>
      </c>
      <c r="K255" s="180">
        <f>IF($D254="V",Input!N$69,IF(AND($B261=K$5,Input!N$64&gt;0),Input!N$64,J255))</f>
        <v>5.2499999999999998E-2</v>
      </c>
      <c r="L255" s="180">
        <f>IF($D254="V",Input!O$69,IF(AND($B261=L$5,Input!O$64&gt;0),Input!O$64,K255))</f>
        <v>5.2499999999999998E-2</v>
      </c>
      <c r="M255" s="180">
        <f>IF($D254="V",Input!P$69,IF(AND($B261=M$5,Input!P$64&gt;0),Input!P$64,L255))</f>
        <v>5.2499999999999998E-2</v>
      </c>
    </row>
    <row r="256" spans="1:13" ht="13" customHeight="1">
      <c r="A256" s="5" t="s">
        <v>361</v>
      </c>
      <c r="B256" s="181">
        <v>0</v>
      </c>
      <c r="C256" s="27" t="s">
        <v>173</v>
      </c>
      <c r="D256" s="188">
        <v>0</v>
      </c>
      <c r="E256" s="183">
        <f t="shared" ref="E256:M256" si="154">D261</f>
        <v>0</v>
      </c>
      <c r="F256" s="183">
        <f t="shared" si="154"/>
        <v>0</v>
      </c>
      <c r="G256" s="183">
        <f t="shared" si="154"/>
        <v>0</v>
      </c>
      <c r="H256" s="183">
        <f t="shared" si="154"/>
        <v>0</v>
      </c>
      <c r="I256" s="183">
        <f t="shared" si="154"/>
        <v>0</v>
      </c>
      <c r="J256" s="183">
        <f t="shared" si="154"/>
        <v>0</v>
      </c>
      <c r="K256" s="183">
        <f t="shared" si="154"/>
        <v>0</v>
      </c>
      <c r="L256" s="183">
        <f t="shared" si="154"/>
        <v>0</v>
      </c>
      <c r="M256" s="183">
        <f t="shared" si="154"/>
        <v>0</v>
      </c>
    </row>
    <row r="257" spans="1:13" ht="13" customHeight="1">
      <c r="A257" s="26" t="s">
        <v>170</v>
      </c>
      <c r="B257" s="131">
        <v>35</v>
      </c>
      <c r="C257" s="184" t="s">
        <v>169</v>
      </c>
      <c r="D257" s="183">
        <f t="shared" ref="D257:M257" si="155">D259-D258</f>
        <v>0</v>
      </c>
      <c r="E257" s="183">
        <f t="shared" si="155"/>
        <v>0</v>
      </c>
      <c r="F257" s="183">
        <f t="shared" si="155"/>
        <v>0</v>
      </c>
      <c r="G257" s="183">
        <f t="shared" si="155"/>
        <v>0</v>
      </c>
      <c r="H257" s="183">
        <f t="shared" si="155"/>
        <v>0</v>
      </c>
      <c r="I257" s="183">
        <f t="shared" si="155"/>
        <v>0</v>
      </c>
      <c r="J257" s="183">
        <f t="shared" si="155"/>
        <v>0</v>
      </c>
      <c r="K257" s="183">
        <f t="shared" si="155"/>
        <v>0</v>
      </c>
      <c r="L257" s="183">
        <f t="shared" si="155"/>
        <v>0</v>
      </c>
      <c r="M257" s="183">
        <f t="shared" si="155"/>
        <v>0</v>
      </c>
    </row>
    <row r="258" spans="1:13" ht="13" customHeight="1">
      <c r="A258" s="5" t="s">
        <v>172</v>
      </c>
      <c r="B258" s="185">
        <f>B247</f>
        <v>5.2499999999999998E-2</v>
      </c>
      <c r="C258" s="5" t="s">
        <v>174</v>
      </c>
      <c r="D258" s="183">
        <f t="shared" ref="D258:M258" si="156">IF(AND($B260="Y",YEAR($B255)+$B257&gt;D$5),D263,IF((YEAR($B255)+$B257)&gt;D$5,FV(D255/$B259,$B259,D262),D256))</f>
        <v>0</v>
      </c>
      <c r="E258" s="183">
        <f t="shared" si="156"/>
        <v>0</v>
      </c>
      <c r="F258" s="183">
        <f t="shared" si="156"/>
        <v>0</v>
      </c>
      <c r="G258" s="183">
        <f t="shared" si="156"/>
        <v>0</v>
      </c>
      <c r="H258" s="183">
        <f t="shared" si="156"/>
        <v>0</v>
      </c>
      <c r="I258" s="183">
        <f t="shared" si="156"/>
        <v>0</v>
      </c>
      <c r="J258" s="183">
        <f t="shared" si="156"/>
        <v>0</v>
      </c>
      <c r="K258" s="183">
        <f t="shared" si="156"/>
        <v>0</v>
      </c>
      <c r="L258" s="183">
        <f t="shared" si="156"/>
        <v>0</v>
      </c>
      <c r="M258" s="183">
        <f t="shared" si="156"/>
        <v>0</v>
      </c>
    </row>
    <row r="259" spans="1:13" ht="13" customHeight="1">
      <c r="A259" s="5" t="s">
        <v>171</v>
      </c>
      <c r="B259" s="131">
        <v>4</v>
      </c>
      <c r="C259" s="186" t="s">
        <v>640</v>
      </c>
      <c r="D259" s="183">
        <f t="shared" ref="D259:M259" si="157">IF(AND($B260="Y",YEAR($B255)+$B257&gt;D$5),D263+D255*(D256-D263*0.5),IF((YEAR($B255)+$B257)&gt;D$5,(D256*D255/$B259-D262)*$B259,(D256*(1+D255*MONTH($B255)/12))))</f>
        <v>0</v>
      </c>
      <c r="E259" s="183">
        <f t="shared" si="157"/>
        <v>0</v>
      </c>
      <c r="F259" s="183">
        <f t="shared" si="157"/>
        <v>0</v>
      </c>
      <c r="G259" s="183">
        <f t="shared" si="157"/>
        <v>0</v>
      </c>
      <c r="H259" s="183">
        <f t="shared" si="157"/>
        <v>0</v>
      </c>
      <c r="I259" s="183">
        <f t="shared" si="157"/>
        <v>0</v>
      </c>
      <c r="J259" s="183">
        <f t="shared" si="157"/>
        <v>0</v>
      </c>
      <c r="K259" s="183">
        <f t="shared" si="157"/>
        <v>0</v>
      </c>
      <c r="L259" s="183">
        <f t="shared" si="157"/>
        <v>0</v>
      </c>
      <c r="M259" s="183">
        <f t="shared" si="157"/>
        <v>0</v>
      </c>
    </row>
    <row r="260" spans="1:13" ht="13" customHeight="1">
      <c r="A260" s="5" t="s">
        <v>767</v>
      </c>
      <c r="B260" s="131" t="s">
        <v>719</v>
      </c>
      <c r="C260" s="187" t="s">
        <v>768</v>
      </c>
      <c r="D260" s="188">
        <v>0</v>
      </c>
      <c r="E260" s="188">
        <v>0</v>
      </c>
      <c r="F260" s="188">
        <v>0</v>
      </c>
      <c r="G260" s="188">
        <v>0</v>
      </c>
      <c r="H260" s="188">
        <v>0</v>
      </c>
      <c r="I260" s="188">
        <v>0</v>
      </c>
      <c r="J260" s="188">
        <v>0</v>
      </c>
      <c r="K260" s="188">
        <v>0</v>
      </c>
      <c r="L260" s="188">
        <v>0</v>
      </c>
      <c r="M260" s="188">
        <v>0</v>
      </c>
    </row>
    <row r="261" spans="1:13" ht="13" customHeight="1">
      <c r="A261" s="5" t="s">
        <v>182</v>
      </c>
      <c r="B261" s="131"/>
      <c r="C261" s="30" t="s">
        <v>175</v>
      </c>
      <c r="D261" s="183">
        <f t="shared" ref="D261:M261" si="158">D256+D257-D259-D260</f>
        <v>0</v>
      </c>
      <c r="E261" s="183">
        <f t="shared" si="158"/>
        <v>0</v>
      </c>
      <c r="F261" s="183">
        <f t="shared" si="158"/>
        <v>0</v>
      </c>
      <c r="G261" s="183">
        <f t="shared" si="158"/>
        <v>0</v>
      </c>
      <c r="H261" s="183">
        <f t="shared" si="158"/>
        <v>0</v>
      </c>
      <c r="I261" s="183">
        <f t="shared" si="158"/>
        <v>0</v>
      </c>
      <c r="J261" s="183">
        <f t="shared" si="158"/>
        <v>0</v>
      </c>
      <c r="K261" s="183">
        <f t="shared" si="158"/>
        <v>0</v>
      </c>
      <c r="L261" s="183">
        <f t="shared" si="158"/>
        <v>0</v>
      </c>
      <c r="M261" s="183">
        <f t="shared" si="158"/>
        <v>0</v>
      </c>
    </row>
    <row r="262" spans="1:13" ht="13" hidden="1" customHeight="1">
      <c r="A262" s="5"/>
      <c r="B262" s="138"/>
      <c r="C262" s="5" t="s">
        <v>769</v>
      </c>
      <c r="D262" s="183" t="e">
        <f t="shared" ref="D262:M262" si="159">PPMT(D255/$B259,1,ROUND(($B257-(D$5-YEAR($B255))+MONTH($B255)/12)*$B259,0),D256)</f>
        <v>#NUM!</v>
      </c>
      <c r="E262" s="183" t="e">
        <f t="shared" si="159"/>
        <v>#NUM!</v>
      </c>
      <c r="F262" s="183" t="e">
        <f t="shared" si="159"/>
        <v>#NUM!</v>
      </c>
      <c r="G262" s="183" t="e">
        <f t="shared" si="159"/>
        <v>#NUM!</v>
      </c>
      <c r="H262" s="183" t="e">
        <f t="shared" si="159"/>
        <v>#NUM!</v>
      </c>
      <c r="I262" s="183" t="e">
        <f t="shared" si="159"/>
        <v>#NUM!</v>
      </c>
      <c r="J262" s="183" t="e">
        <f t="shared" si="159"/>
        <v>#NUM!</v>
      </c>
      <c r="K262" s="183" t="e">
        <f t="shared" si="159"/>
        <v>#NUM!</v>
      </c>
      <c r="L262" s="183" t="e">
        <f t="shared" si="159"/>
        <v>#NUM!</v>
      </c>
      <c r="M262" s="183" t="e">
        <f t="shared" si="159"/>
        <v>#NUM!</v>
      </c>
    </row>
    <row r="263" spans="1:13" ht="13" hidden="1" customHeight="1">
      <c r="A263" s="5"/>
      <c r="B263" s="5"/>
      <c r="C263" s="5" t="s">
        <v>770</v>
      </c>
      <c r="D263" s="183">
        <f t="shared" ref="D263:M263" si="160">IF(YEAR($B255)+$B257&gt;D$5,D256/(YEAR($B255)+$B257-D$5+MONTH($B255)/12),D256)</f>
        <v>0</v>
      </c>
      <c r="E263" s="183">
        <f t="shared" si="160"/>
        <v>0</v>
      </c>
      <c r="F263" s="183">
        <f t="shared" si="160"/>
        <v>0</v>
      </c>
      <c r="G263" s="183">
        <f t="shared" si="160"/>
        <v>0</v>
      </c>
      <c r="H263" s="183">
        <f t="shared" si="160"/>
        <v>0</v>
      </c>
      <c r="I263" s="183">
        <f t="shared" si="160"/>
        <v>0</v>
      </c>
      <c r="J263" s="183">
        <f t="shared" si="160"/>
        <v>0</v>
      </c>
      <c r="K263" s="183">
        <f t="shared" si="160"/>
        <v>0</v>
      </c>
      <c r="L263" s="183">
        <f t="shared" si="160"/>
        <v>0</v>
      </c>
      <c r="M263" s="183">
        <f t="shared" si="160"/>
        <v>0</v>
      </c>
    </row>
    <row r="264" spans="1:13" ht="13" customHeight="1">
      <c r="A264" s="5"/>
      <c r="B264" s="5"/>
      <c r="C264" s="5"/>
      <c r="D264" s="191"/>
      <c r="E264" s="191"/>
      <c r="F264" s="191"/>
      <c r="G264" s="191"/>
      <c r="H264" s="191"/>
      <c r="I264" s="191"/>
      <c r="J264" s="191"/>
      <c r="K264" s="191"/>
      <c r="L264" s="191"/>
      <c r="M264" s="191"/>
    </row>
    <row r="265" spans="1:13" ht="13" customHeight="1">
      <c r="A265" s="30" t="s">
        <v>880</v>
      </c>
      <c r="B265" s="99"/>
      <c r="C265" t="s">
        <v>800</v>
      </c>
      <c r="D265" s="179" t="s">
        <v>801</v>
      </c>
      <c r="E265" s="1"/>
    </row>
    <row r="266" spans="1:13" ht="13" customHeight="1">
      <c r="A266" s="26" t="s">
        <v>677</v>
      </c>
      <c r="B266" s="133">
        <v>29373</v>
      </c>
      <c r="C266" s="5" t="s">
        <v>639</v>
      </c>
      <c r="D266" s="180">
        <f>IF($D265="V",Input!G$69,IF(AND($B272=D$5,Input!G$64&gt;0),Input!G$64,$B269))</f>
        <v>5.2499999999999998E-2</v>
      </c>
      <c r="E266" s="180">
        <f>IF($D265="V",Input!H$69,IF(AND($B272=E$5,Input!H$64&gt;0),Input!H$64,D266))</f>
        <v>5.2499999999999998E-2</v>
      </c>
      <c r="F266" s="180">
        <f>IF($D265="V",Input!I$69,IF(AND($B272=F$5,Input!I$64&gt;0),Input!I$64,E266))</f>
        <v>5.2499999999999998E-2</v>
      </c>
      <c r="G266" s="180">
        <f>IF($D265="V",Input!J$69,IF(AND($B272=G$5,Input!J$64&gt;0),Input!J$64,F266))</f>
        <v>5.2499999999999998E-2</v>
      </c>
      <c r="H266" s="180">
        <f>IF($D265="V",Input!K$69,IF(AND($B272=H$5,Input!K$64&gt;0),Input!K$64,G266))</f>
        <v>5.2499999999999998E-2</v>
      </c>
      <c r="I266" s="180">
        <f>IF($D265="V",Input!L$69,IF(AND($B272=I$5,Input!L$64&gt;0),Input!L$64,H266))</f>
        <v>5.2499999999999998E-2</v>
      </c>
      <c r="J266" s="180">
        <f>IF($D265="V",Input!M$69,IF(AND($B272=J$5,Input!M$64&gt;0),Input!M$64,I266))</f>
        <v>5.2499999999999998E-2</v>
      </c>
      <c r="K266" s="180">
        <f>IF($D265="V",Input!N$69,IF(AND($B272=K$5,Input!N$64&gt;0),Input!N$64,J266))</f>
        <v>5.2499999999999998E-2</v>
      </c>
      <c r="L266" s="180">
        <f>IF($D265="V",Input!O$69,IF(AND($B272=L$5,Input!O$64&gt;0),Input!O$64,K266))</f>
        <v>5.2499999999999998E-2</v>
      </c>
      <c r="M266" s="180">
        <f>IF($D265="V",Input!P$69,IF(AND($B272=M$5,Input!P$64&gt;0),Input!P$64,L266))</f>
        <v>5.2499999999999998E-2</v>
      </c>
    </row>
    <row r="267" spans="1:13" ht="13" customHeight="1">
      <c r="A267" s="5" t="s">
        <v>361</v>
      </c>
      <c r="B267" s="181">
        <v>0</v>
      </c>
      <c r="C267" s="27" t="s">
        <v>173</v>
      </c>
      <c r="D267" s="188">
        <v>0</v>
      </c>
      <c r="E267" s="183">
        <f t="shared" ref="E267:M267" si="161">D272</f>
        <v>0</v>
      </c>
      <c r="F267" s="183">
        <f t="shared" si="161"/>
        <v>0</v>
      </c>
      <c r="G267" s="183">
        <f t="shared" si="161"/>
        <v>0</v>
      </c>
      <c r="H267" s="183">
        <f t="shared" si="161"/>
        <v>0</v>
      </c>
      <c r="I267" s="183">
        <f t="shared" si="161"/>
        <v>0</v>
      </c>
      <c r="J267" s="183">
        <f t="shared" si="161"/>
        <v>0</v>
      </c>
      <c r="K267" s="183">
        <f t="shared" si="161"/>
        <v>0</v>
      </c>
      <c r="L267" s="183">
        <f t="shared" si="161"/>
        <v>0</v>
      </c>
      <c r="M267" s="183">
        <f t="shared" si="161"/>
        <v>0</v>
      </c>
    </row>
    <row r="268" spans="1:13" ht="13" customHeight="1">
      <c r="A268" s="26" t="s">
        <v>170</v>
      </c>
      <c r="B268" s="131">
        <v>35</v>
      </c>
      <c r="C268" s="184" t="s">
        <v>169</v>
      </c>
      <c r="D268" s="183">
        <f t="shared" ref="D268:M268" si="162">D270-D269</f>
        <v>0</v>
      </c>
      <c r="E268" s="183">
        <f t="shared" si="162"/>
        <v>0</v>
      </c>
      <c r="F268" s="183">
        <f t="shared" si="162"/>
        <v>0</v>
      </c>
      <c r="G268" s="183">
        <f t="shared" si="162"/>
        <v>0</v>
      </c>
      <c r="H268" s="183">
        <f t="shared" si="162"/>
        <v>0</v>
      </c>
      <c r="I268" s="183">
        <f t="shared" si="162"/>
        <v>0</v>
      </c>
      <c r="J268" s="183">
        <f t="shared" si="162"/>
        <v>0</v>
      </c>
      <c r="K268" s="183">
        <f t="shared" si="162"/>
        <v>0</v>
      </c>
      <c r="L268" s="183">
        <f t="shared" si="162"/>
        <v>0</v>
      </c>
      <c r="M268" s="183">
        <f t="shared" si="162"/>
        <v>0</v>
      </c>
    </row>
    <row r="269" spans="1:13" ht="13" customHeight="1">
      <c r="A269" s="5" t="s">
        <v>172</v>
      </c>
      <c r="B269" s="185">
        <f>B258</f>
        <v>5.2499999999999998E-2</v>
      </c>
      <c r="C269" s="5" t="s">
        <v>174</v>
      </c>
      <c r="D269" s="183">
        <f t="shared" ref="D269:M269" si="163">IF(AND($B271="Y",YEAR($B266)+$B268&gt;D$5),D274,IF((YEAR($B266)+$B268)&gt;D$5,FV(D266/$B270,$B270,D273),D267))</f>
        <v>0</v>
      </c>
      <c r="E269" s="183">
        <f t="shared" si="163"/>
        <v>0</v>
      </c>
      <c r="F269" s="183">
        <f t="shared" si="163"/>
        <v>0</v>
      </c>
      <c r="G269" s="183">
        <f t="shared" si="163"/>
        <v>0</v>
      </c>
      <c r="H269" s="183">
        <f t="shared" si="163"/>
        <v>0</v>
      </c>
      <c r="I269" s="183">
        <f t="shared" si="163"/>
        <v>0</v>
      </c>
      <c r="J269" s="183">
        <f t="shared" si="163"/>
        <v>0</v>
      </c>
      <c r="K269" s="183">
        <f t="shared" si="163"/>
        <v>0</v>
      </c>
      <c r="L269" s="183">
        <f t="shared" si="163"/>
        <v>0</v>
      </c>
      <c r="M269" s="183">
        <f t="shared" si="163"/>
        <v>0</v>
      </c>
    </row>
    <row r="270" spans="1:13" ht="13" customHeight="1">
      <c r="A270" s="5" t="s">
        <v>171</v>
      </c>
      <c r="B270" s="131">
        <v>4</v>
      </c>
      <c r="C270" s="186" t="s">
        <v>640</v>
      </c>
      <c r="D270" s="183">
        <f t="shared" ref="D270:M270" si="164">IF(AND($B271="Y",YEAR($B266)+$B268&gt;D$5),D274+D266*(D267-D274*0.5),IF((YEAR($B266)+$B268)&gt;D$5,(D267*D266/$B270-D273)*$B270,(D267*(1+D266*MONTH($B266)/12))))</f>
        <v>0</v>
      </c>
      <c r="E270" s="183">
        <f t="shared" si="164"/>
        <v>0</v>
      </c>
      <c r="F270" s="183">
        <f t="shared" si="164"/>
        <v>0</v>
      </c>
      <c r="G270" s="183">
        <f t="shared" si="164"/>
        <v>0</v>
      </c>
      <c r="H270" s="183">
        <f t="shared" si="164"/>
        <v>0</v>
      </c>
      <c r="I270" s="183">
        <f t="shared" si="164"/>
        <v>0</v>
      </c>
      <c r="J270" s="183">
        <f t="shared" si="164"/>
        <v>0</v>
      </c>
      <c r="K270" s="183">
        <f t="shared" si="164"/>
        <v>0</v>
      </c>
      <c r="L270" s="183">
        <f t="shared" si="164"/>
        <v>0</v>
      </c>
      <c r="M270" s="183">
        <f t="shared" si="164"/>
        <v>0</v>
      </c>
    </row>
    <row r="271" spans="1:13" ht="13" customHeight="1">
      <c r="A271" s="5" t="s">
        <v>767</v>
      </c>
      <c r="B271" s="131" t="s">
        <v>719</v>
      </c>
      <c r="C271" s="187" t="s">
        <v>768</v>
      </c>
      <c r="D271" s="188">
        <v>0</v>
      </c>
      <c r="E271" s="188">
        <v>0</v>
      </c>
      <c r="F271" s="188">
        <v>0</v>
      </c>
      <c r="G271" s="188">
        <v>0</v>
      </c>
      <c r="H271" s="188">
        <v>0</v>
      </c>
      <c r="I271" s="188">
        <v>0</v>
      </c>
      <c r="J271" s="188">
        <v>0</v>
      </c>
      <c r="K271" s="188">
        <v>0</v>
      </c>
      <c r="L271" s="188">
        <v>0</v>
      </c>
      <c r="M271" s="188">
        <v>0</v>
      </c>
    </row>
    <row r="272" spans="1:13" ht="13" customHeight="1">
      <c r="A272" s="5" t="s">
        <v>182</v>
      </c>
      <c r="B272" s="131"/>
      <c r="C272" s="30" t="s">
        <v>175</v>
      </c>
      <c r="D272" s="183">
        <f t="shared" ref="D272:M272" si="165">D267+D268-D270-D271</f>
        <v>0</v>
      </c>
      <c r="E272" s="183">
        <f t="shared" si="165"/>
        <v>0</v>
      </c>
      <c r="F272" s="183">
        <f t="shared" si="165"/>
        <v>0</v>
      </c>
      <c r="G272" s="183">
        <f t="shared" si="165"/>
        <v>0</v>
      </c>
      <c r="H272" s="183">
        <f t="shared" si="165"/>
        <v>0</v>
      </c>
      <c r="I272" s="183">
        <f t="shared" si="165"/>
        <v>0</v>
      </c>
      <c r="J272" s="183">
        <f t="shared" si="165"/>
        <v>0</v>
      </c>
      <c r="K272" s="183">
        <f t="shared" si="165"/>
        <v>0</v>
      </c>
      <c r="L272" s="183">
        <f t="shared" si="165"/>
        <v>0</v>
      </c>
      <c r="M272" s="183">
        <f t="shared" si="165"/>
        <v>0</v>
      </c>
    </row>
    <row r="273" spans="1:13" ht="13" hidden="1" customHeight="1">
      <c r="A273" s="5"/>
      <c r="B273" s="138"/>
      <c r="C273" s="5" t="s">
        <v>769</v>
      </c>
      <c r="D273" s="183" t="e">
        <f t="shared" ref="D273:M273" si="166">PPMT(D266/$B270,1,ROUND(($B268-(D$5-YEAR($B266))+MONTH($B266)/12)*$B270,0),D267)</f>
        <v>#NUM!</v>
      </c>
      <c r="E273" s="183" t="e">
        <f t="shared" si="166"/>
        <v>#NUM!</v>
      </c>
      <c r="F273" s="183" t="e">
        <f t="shared" si="166"/>
        <v>#NUM!</v>
      </c>
      <c r="G273" s="183" t="e">
        <f t="shared" si="166"/>
        <v>#NUM!</v>
      </c>
      <c r="H273" s="183" t="e">
        <f t="shared" si="166"/>
        <v>#NUM!</v>
      </c>
      <c r="I273" s="183" t="e">
        <f t="shared" si="166"/>
        <v>#NUM!</v>
      </c>
      <c r="J273" s="183" t="e">
        <f t="shared" si="166"/>
        <v>#NUM!</v>
      </c>
      <c r="K273" s="183" t="e">
        <f t="shared" si="166"/>
        <v>#NUM!</v>
      </c>
      <c r="L273" s="183" t="e">
        <f t="shared" si="166"/>
        <v>#NUM!</v>
      </c>
      <c r="M273" s="183" t="e">
        <f t="shared" si="166"/>
        <v>#NUM!</v>
      </c>
    </row>
    <row r="274" spans="1:13" ht="13" hidden="1" customHeight="1">
      <c r="A274" s="5"/>
      <c r="B274" s="5"/>
      <c r="C274" s="5" t="s">
        <v>770</v>
      </c>
      <c r="D274" s="183">
        <f t="shared" ref="D274:M274" si="167">IF(YEAR($B266)+$B268&gt;D$5,D267/(YEAR($B266)+$B268-D$5+MONTH($B266)/12),D267)</f>
        <v>0</v>
      </c>
      <c r="E274" s="183">
        <f t="shared" si="167"/>
        <v>0</v>
      </c>
      <c r="F274" s="183">
        <f t="shared" si="167"/>
        <v>0</v>
      </c>
      <c r="G274" s="183">
        <f t="shared" si="167"/>
        <v>0</v>
      </c>
      <c r="H274" s="183">
        <f t="shared" si="167"/>
        <v>0</v>
      </c>
      <c r="I274" s="183">
        <f t="shared" si="167"/>
        <v>0</v>
      </c>
      <c r="J274" s="183">
        <f t="shared" si="167"/>
        <v>0</v>
      </c>
      <c r="K274" s="183">
        <f t="shared" si="167"/>
        <v>0</v>
      </c>
      <c r="L274" s="183">
        <f t="shared" si="167"/>
        <v>0</v>
      </c>
      <c r="M274" s="183">
        <f t="shared" si="167"/>
        <v>0</v>
      </c>
    </row>
    <row r="275" spans="1:13" ht="13" customHeight="1">
      <c r="A275" s="5"/>
      <c r="B275" s="5"/>
      <c r="C275" s="5"/>
      <c r="D275" s="191"/>
      <c r="E275" s="191"/>
      <c r="F275" s="191"/>
      <c r="G275" s="191"/>
      <c r="H275" s="191"/>
      <c r="I275" s="191"/>
      <c r="J275" s="191"/>
      <c r="K275" s="191"/>
      <c r="L275" s="191"/>
      <c r="M275" s="191"/>
    </row>
    <row r="276" spans="1:13" ht="13" customHeight="1">
      <c r="A276" s="30" t="s">
        <v>881</v>
      </c>
      <c r="B276" s="99"/>
      <c r="C276" t="s">
        <v>800</v>
      </c>
      <c r="D276" s="179" t="s">
        <v>801</v>
      </c>
      <c r="E276" s="1"/>
    </row>
    <row r="277" spans="1:13" ht="13" customHeight="1">
      <c r="A277" s="26" t="s">
        <v>677</v>
      </c>
      <c r="B277" s="133">
        <v>29373</v>
      </c>
      <c r="C277" s="5" t="s">
        <v>639</v>
      </c>
      <c r="D277" s="180">
        <f>IF($D276="V",Input!G$69,IF(AND($B283=D$5,Input!G$64&gt;0),Input!G$64,$B280))</f>
        <v>5.2499999999999998E-2</v>
      </c>
      <c r="E277" s="180">
        <f>IF($D276="V",Input!H$69,IF(AND($B283=E$5,Input!H$64&gt;0),Input!H$64,D277))</f>
        <v>5.2499999999999998E-2</v>
      </c>
      <c r="F277" s="180">
        <f>IF($D276="V",Input!I$69,IF(AND($B283=F$5,Input!I$64&gt;0),Input!I$64,E277))</f>
        <v>5.2499999999999998E-2</v>
      </c>
      <c r="G277" s="180">
        <f>IF($D276="V",Input!J$69,IF(AND($B283=G$5,Input!J$64&gt;0),Input!J$64,F277))</f>
        <v>5.2499999999999998E-2</v>
      </c>
      <c r="H277" s="180">
        <f>IF($D276="V",Input!K$69,IF(AND($B283=H$5,Input!K$64&gt;0),Input!K$64,G277))</f>
        <v>5.2499999999999998E-2</v>
      </c>
      <c r="I277" s="180">
        <f>IF($D276="V",Input!L$69,IF(AND($B283=I$5,Input!L$64&gt;0),Input!L$64,H277))</f>
        <v>5.2499999999999998E-2</v>
      </c>
      <c r="J277" s="180">
        <f>IF($D276="V",Input!M$69,IF(AND($B283=J$5,Input!M$64&gt;0),Input!M$64,I277))</f>
        <v>5.2499999999999998E-2</v>
      </c>
      <c r="K277" s="180">
        <f>IF($D276="V",Input!N$69,IF(AND($B283=K$5,Input!N$64&gt;0),Input!N$64,J277))</f>
        <v>5.2499999999999998E-2</v>
      </c>
      <c r="L277" s="180">
        <f>IF($D276="V",Input!O$69,IF(AND($B283=L$5,Input!O$64&gt;0),Input!O$64,K277))</f>
        <v>5.2499999999999998E-2</v>
      </c>
      <c r="M277" s="180">
        <f>IF($D276="V",Input!P$69,IF(AND($B283=M$5,Input!P$64&gt;0),Input!P$64,L277))</f>
        <v>5.2499999999999998E-2</v>
      </c>
    </row>
    <row r="278" spans="1:13" ht="13" customHeight="1">
      <c r="A278" s="5" t="s">
        <v>361</v>
      </c>
      <c r="B278" s="181">
        <v>0</v>
      </c>
      <c r="C278" s="27" t="s">
        <v>173</v>
      </c>
      <c r="D278" s="188">
        <v>0</v>
      </c>
      <c r="E278" s="183">
        <f t="shared" ref="E278:M278" si="168">D283</f>
        <v>0</v>
      </c>
      <c r="F278" s="183">
        <f t="shared" si="168"/>
        <v>0</v>
      </c>
      <c r="G278" s="183">
        <f t="shared" si="168"/>
        <v>0</v>
      </c>
      <c r="H278" s="183">
        <f t="shared" si="168"/>
        <v>0</v>
      </c>
      <c r="I278" s="183">
        <f t="shared" si="168"/>
        <v>0</v>
      </c>
      <c r="J278" s="183">
        <f t="shared" si="168"/>
        <v>0</v>
      </c>
      <c r="K278" s="183">
        <f t="shared" si="168"/>
        <v>0</v>
      </c>
      <c r="L278" s="183">
        <f t="shared" si="168"/>
        <v>0</v>
      </c>
      <c r="M278" s="183">
        <f t="shared" si="168"/>
        <v>0</v>
      </c>
    </row>
    <row r="279" spans="1:13" ht="13" customHeight="1">
      <c r="A279" s="26" t="s">
        <v>170</v>
      </c>
      <c r="B279" s="131">
        <v>35</v>
      </c>
      <c r="C279" s="184" t="s">
        <v>169</v>
      </c>
      <c r="D279" s="183">
        <f t="shared" ref="D279:M279" si="169">D281-D280</f>
        <v>0</v>
      </c>
      <c r="E279" s="183">
        <f t="shared" si="169"/>
        <v>0</v>
      </c>
      <c r="F279" s="183">
        <f t="shared" si="169"/>
        <v>0</v>
      </c>
      <c r="G279" s="183">
        <f t="shared" si="169"/>
        <v>0</v>
      </c>
      <c r="H279" s="183">
        <f t="shared" si="169"/>
        <v>0</v>
      </c>
      <c r="I279" s="183">
        <f t="shared" si="169"/>
        <v>0</v>
      </c>
      <c r="J279" s="183">
        <f t="shared" si="169"/>
        <v>0</v>
      </c>
      <c r="K279" s="183">
        <f t="shared" si="169"/>
        <v>0</v>
      </c>
      <c r="L279" s="183">
        <f t="shared" si="169"/>
        <v>0</v>
      </c>
      <c r="M279" s="183">
        <f t="shared" si="169"/>
        <v>0</v>
      </c>
    </row>
    <row r="280" spans="1:13" ht="13" customHeight="1">
      <c r="A280" s="5" t="s">
        <v>172</v>
      </c>
      <c r="B280" s="185">
        <f>B269</f>
        <v>5.2499999999999998E-2</v>
      </c>
      <c r="C280" s="5" t="s">
        <v>174</v>
      </c>
      <c r="D280" s="183">
        <f t="shared" ref="D280:M280" si="170">IF(AND($B282="Y",YEAR($B277)+$B279&gt;D$5),D285,IF((YEAR($B277)+$B279)&gt;D$5,FV(D277/$B281,$B281,D284),D278))</f>
        <v>0</v>
      </c>
      <c r="E280" s="183">
        <f t="shared" si="170"/>
        <v>0</v>
      </c>
      <c r="F280" s="183">
        <f t="shared" si="170"/>
        <v>0</v>
      </c>
      <c r="G280" s="183">
        <f t="shared" si="170"/>
        <v>0</v>
      </c>
      <c r="H280" s="183">
        <f t="shared" si="170"/>
        <v>0</v>
      </c>
      <c r="I280" s="183">
        <f t="shared" si="170"/>
        <v>0</v>
      </c>
      <c r="J280" s="183">
        <f t="shared" si="170"/>
        <v>0</v>
      </c>
      <c r="K280" s="183">
        <f t="shared" si="170"/>
        <v>0</v>
      </c>
      <c r="L280" s="183">
        <f t="shared" si="170"/>
        <v>0</v>
      </c>
      <c r="M280" s="183">
        <f t="shared" si="170"/>
        <v>0</v>
      </c>
    </row>
    <row r="281" spans="1:13" ht="13" customHeight="1">
      <c r="A281" s="5" t="s">
        <v>171</v>
      </c>
      <c r="B281" s="131">
        <v>4</v>
      </c>
      <c r="C281" s="186" t="s">
        <v>640</v>
      </c>
      <c r="D281" s="183">
        <f t="shared" ref="D281:M281" si="171">IF(AND($B282="Y",YEAR($B277)+$B279&gt;D$5),D285+D277*(D278-D285*0.5),IF((YEAR($B277)+$B279)&gt;D$5,(D278*D277/$B281-D284)*$B281,(D278*(1+D277*MONTH($B277)/12))))</f>
        <v>0</v>
      </c>
      <c r="E281" s="183">
        <f t="shared" si="171"/>
        <v>0</v>
      </c>
      <c r="F281" s="183">
        <f t="shared" si="171"/>
        <v>0</v>
      </c>
      <c r="G281" s="183">
        <f t="shared" si="171"/>
        <v>0</v>
      </c>
      <c r="H281" s="183">
        <f t="shared" si="171"/>
        <v>0</v>
      </c>
      <c r="I281" s="183">
        <f t="shared" si="171"/>
        <v>0</v>
      </c>
      <c r="J281" s="183">
        <f t="shared" si="171"/>
        <v>0</v>
      </c>
      <c r="K281" s="183">
        <f t="shared" si="171"/>
        <v>0</v>
      </c>
      <c r="L281" s="183">
        <f t="shared" si="171"/>
        <v>0</v>
      </c>
      <c r="M281" s="183">
        <f t="shared" si="171"/>
        <v>0</v>
      </c>
    </row>
    <row r="282" spans="1:13" ht="13" customHeight="1">
      <c r="A282" s="5" t="s">
        <v>767</v>
      </c>
      <c r="B282" s="131" t="s">
        <v>719</v>
      </c>
      <c r="C282" s="187" t="s">
        <v>768</v>
      </c>
      <c r="D282" s="188">
        <v>0</v>
      </c>
      <c r="E282" s="188">
        <v>0</v>
      </c>
      <c r="F282" s="188">
        <v>0</v>
      </c>
      <c r="G282" s="188">
        <v>0</v>
      </c>
      <c r="H282" s="188">
        <v>0</v>
      </c>
      <c r="I282" s="188">
        <v>0</v>
      </c>
      <c r="J282" s="188">
        <v>0</v>
      </c>
      <c r="K282" s="188">
        <v>0</v>
      </c>
      <c r="L282" s="188">
        <v>0</v>
      </c>
      <c r="M282" s="188">
        <v>0</v>
      </c>
    </row>
    <row r="283" spans="1:13" ht="13" customHeight="1">
      <c r="A283" s="5" t="s">
        <v>182</v>
      </c>
      <c r="B283" s="131"/>
      <c r="C283" s="30" t="s">
        <v>175</v>
      </c>
      <c r="D283" s="183">
        <f t="shared" ref="D283:M283" si="172">D278+D279-D281-D282</f>
        <v>0</v>
      </c>
      <c r="E283" s="183">
        <f t="shared" si="172"/>
        <v>0</v>
      </c>
      <c r="F283" s="183">
        <f t="shared" si="172"/>
        <v>0</v>
      </c>
      <c r="G283" s="183">
        <f t="shared" si="172"/>
        <v>0</v>
      </c>
      <c r="H283" s="183">
        <f t="shared" si="172"/>
        <v>0</v>
      </c>
      <c r="I283" s="183">
        <f t="shared" si="172"/>
        <v>0</v>
      </c>
      <c r="J283" s="183">
        <f t="shared" si="172"/>
        <v>0</v>
      </c>
      <c r="K283" s="183">
        <f t="shared" si="172"/>
        <v>0</v>
      </c>
      <c r="L283" s="183">
        <f t="shared" si="172"/>
        <v>0</v>
      </c>
      <c r="M283" s="183">
        <f t="shared" si="172"/>
        <v>0</v>
      </c>
    </row>
    <row r="284" spans="1:13" ht="13" hidden="1" customHeight="1">
      <c r="A284" s="5"/>
      <c r="B284" s="138"/>
      <c r="C284" s="5" t="s">
        <v>769</v>
      </c>
      <c r="D284" s="183" t="e">
        <f t="shared" ref="D284:M284" si="173">PPMT(D277/$B281,1,ROUND(($B279-(D$5-YEAR($B277))+MONTH($B277)/12)*$B281,0),D278)</f>
        <v>#NUM!</v>
      </c>
      <c r="E284" s="183" t="e">
        <f t="shared" si="173"/>
        <v>#NUM!</v>
      </c>
      <c r="F284" s="183" t="e">
        <f t="shared" si="173"/>
        <v>#NUM!</v>
      </c>
      <c r="G284" s="183" t="e">
        <f t="shared" si="173"/>
        <v>#NUM!</v>
      </c>
      <c r="H284" s="183" t="e">
        <f t="shared" si="173"/>
        <v>#NUM!</v>
      </c>
      <c r="I284" s="183" t="e">
        <f t="shared" si="173"/>
        <v>#NUM!</v>
      </c>
      <c r="J284" s="183" t="e">
        <f t="shared" si="173"/>
        <v>#NUM!</v>
      </c>
      <c r="K284" s="183" t="e">
        <f t="shared" si="173"/>
        <v>#NUM!</v>
      </c>
      <c r="L284" s="183" t="e">
        <f t="shared" si="173"/>
        <v>#NUM!</v>
      </c>
      <c r="M284" s="183" t="e">
        <f t="shared" si="173"/>
        <v>#NUM!</v>
      </c>
    </row>
    <row r="285" spans="1:13" ht="13" hidden="1" customHeight="1">
      <c r="A285" s="5"/>
      <c r="B285" s="5"/>
      <c r="C285" s="5" t="s">
        <v>770</v>
      </c>
      <c r="D285" s="183">
        <f t="shared" ref="D285:M285" si="174">IF(YEAR($B277)+$B279&gt;D$5,D278/(YEAR($B277)+$B279-D$5+MONTH($B277)/12),D278)</f>
        <v>0</v>
      </c>
      <c r="E285" s="183">
        <f t="shared" si="174"/>
        <v>0</v>
      </c>
      <c r="F285" s="183">
        <f t="shared" si="174"/>
        <v>0</v>
      </c>
      <c r="G285" s="183">
        <f t="shared" si="174"/>
        <v>0</v>
      </c>
      <c r="H285" s="183">
        <f t="shared" si="174"/>
        <v>0</v>
      </c>
      <c r="I285" s="183">
        <f t="shared" si="174"/>
        <v>0</v>
      </c>
      <c r="J285" s="183">
        <f t="shared" si="174"/>
        <v>0</v>
      </c>
      <c r="K285" s="183">
        <f t="shared" si="174"/>
        <v>0</v>
      </c>
      <c r="L285" s="183">
        <f t="shared" si="174"/>
        <v>0</v>
      </c>
      <c r="M285" s="183">
        <f t="shared" si="174"/>
        <v>0</v>
      </c>
    </row>
    <row r="286" spans="1:13" ht="13" customHeight="1">
      <c r="A286" s="5"/>
      <c r="B286" s="5"/>
      <c r="C286" s="5"/>
      <c r="D286" s="191"/>
      <c r="E286" s="191"/>
      <c r="F286" s="191"/>
      <c r="G286" s="191"/>
      <c r="H286" s="191"/>
      <c r="I286" s="191"/>
      <c r="J286" s="191"/>
      <c r="K286" s="191"/>
      <c r="L286" s="191"/>
      <c r="M286" s="191"/>
    </row>
    <row r="287" spans="1:13" ht="13" customHeight="1">
      <c r="A287" s="30" t="s">
        <v>882</v>
      </c>
      <c r="B287" s="99"/>
      <c r="C287" t="s">
        <v>800</v>
      </c>
      <c r="D287" s="179" t="s">
        <v>801</v>
      </c>
      <c r="E287" s="1"/>
    </row>
    <row r="288" spans="1:13" ht="13" customHeight="1">
      <c r="A288" s="26" t="s">
        <v>677</v>
      </c>
      <c r="B288" s="133">
        <v>29373</v>
      </c>
      <c r="C288" s="5" t="s">
        <v>639</v>
      </c>
      <c r="D288" s="180">
        <f>IF($D287="V",Input!G$69,IF(AND($B294=D$5,Input!G$64&gt;0),Input!G$64,$B291))</f>
        <v>5.2499999999999998E-2</v>
      </c>
      <c r="E288" s="180">
        <f>IF($D287="V",Input!H$69,IF(AND($B294=E$5,Input!H$64&gt;0),Input!H$64,D288))</f>
        <v>5.2499999999999998E-2</v>
      </c>
      <c r="F288" s="180">
        <f>IF($D287="V",Input!I$69,IF(AND($B294=F$5,Input!I$64&gt;0),Input!I$64,E288))</f>
        <v>5.2499999999999998E-2</v>
      </c>
      <c r="G288" s="180">
        <f>IF($D287="V",Input!J$69,IF(AND($B294=G$5,Input!J$64&gt;0),Input!J$64,F288))</f>
        <v>5.2499999999999998E-2</v>
      </c>
      <c r="H288" s="180">
        <f>IF($D287="V",Input!K$69,IF(AND($B294=H$5,Input!K$64&gt;0),Input!K$64,G288))</f>
        <v>5.2499999999999998E-2</v>
      </c>
      <c r="I288" s="180">
        <f>IF($D287="V",Input!L$69,IF(AND($B294=I$5,Input!L$64&gt;0),Input!L$64,H288))</f>
        <v>5.2499999999999998E-2</v>
      </c>
      <c r="J288" s="180">
        <f>IF($D287="V",Input!M$69,IF(AND($B294=J$5,Input!M$64&gt;0),Input!M$64,I288))</f>
        <v>5.2499999999999998E-2</v>
      </c>
      <c r="K288" s="180">
        <f>IF($D287="V",Input!N$69,IF(AND($B294=K$5,Input!N$64&gt;0),Input!N$64,J288))</f>
        <v>5.2499999999999998E-2</v>
      </c>
      <c r="L288" s="180">
        <f>IF($D287="V",Input!O$69,IF(AND($B294=L$5,Input!O$64&gt;0),Input!O$64,K288))</f>
        <v>5.2499999999999998E-2</v>
      </c>
      <c r="M288" s="180">
        <f>IF($D287="V",Input!P$69,IF(AND($B294=M$5,Input!P$64&gt;0),Input!P$64,L288))</f>
        <v>5.2499999999999998E-2</v>
      </c>
    </row>
    <row r="289" spans="1:13" ht="13" customHeight="1">
      <c r="A289" s="5" t="s">
        <v>361</v>
      </c>
      <c r="B289" s="181">
        <v>0</v>
      </c>
      <c r="C289" s="27" t="s">
        <v>173</v>
      </c>
      <c r="D289" s="188">
        <v>0</v>
      </c>
      <c r="E289" s="183">
        <f t="shared" ref="E289:M289" si="175">D294</f>
        <v>0</v>
      </c>
      <c r="F289" s="183">
        <f t="shared" si="175"/>
        <v>0</v>
      </c>
      <c r="G289" s="183">
        <f t="shared" si="175"/>
        <v>0</v>
      </c>
      <c r="H289" s="183">
        <f t="shared" si="175"/>
        <v>0</v>
      </c>
      <c r="I289" s="183">
        <f t="shared" si="175"/>
        <v>0</v>
      </c>
      <c r="J289" s="183">
        <f t="shared" si="175"/>
        <v>0</v>
      </c>
      <c r="K289" s="183">
        <f t="shared" si="175"/>
        <v>0</v>
      </c>
      <c r="L289" s="183">
        <f t="shared" si="175"/>
        <v>0</v>
      </c>
      <c r="M289" s="183">
        <f t="shared" si="175"/>
        <v>0</v>
      </c>
    </row>
    <row r="290" spans="1:13" ht="13" customHeight="1">
      <c r="A290" s="26" t="s">
        <v>170</v>
      </c>
      <c r="B290" s="131">
        <v>35</v>
      </c>
      <c r="C290" s="184" t="s">
        <v>169</v>
      </c>
      <c r="D290" s="183">
        <f t="shared" ref="D290:M290" si="176">D292-D291</f>
        <v>0</v>
      </c>
      <c r="E290" s="183">
        <f t="shared" si="176"/>
        <v>0</v>
      </c>
      <c r="F290" s="183">
        <f t="shared" si="176"/>
        <v>0</v>
      </c>
      <c r="G290" s="183">
        <f t="shared" si="176"/>
        <v>0</v>
      </c>
      <c r="H290" s="183">
        <f t="shared" si="176"/>
        <v>0</v>
      </c>
      <c r="I290" s="183">
        <f t="shared" si="176"/>
        <v>0</v>
      </c>
      <c r="J290" s="183">
        <f t="shared" si="176"/>
        <v>0</v>
      </c>
      <c r="K290" s="183">
        <f t="shared" si="176"/>
        <v>0</v>
      </c>
      <c r="L290" s="183">
        <f t="shared" si="176"/>
        <v>0</v>
      </c>
      <c r="M290" s="183">
        <f t="shared" si="176"/>
        <v>0</v>
      </c>
    </row>
    <row r="291" spans="1:13" ht="13" customHeight="1">
      <c r="A291" s="5" t="s">
        <v>172</v>
      </c>
      <c r="B291" s="185">
        <f>B280</f>
        <v>5.2499999999999998E-2</v>
      </c>
      <c r="C291" s="5" t="s">
        <v>174</v>
      </c>
      <c r="D291" s="183">
        <f t="shared" ref="D291:M291" si="177">IF(AND($B293="Y",YEAR($B288)+$B290&gt;D$5),D296,IF((YEAR($B288)+$B290)&gt;D$5,FV(D288/$B292,$B292,D295),D289))</f>
        <v>0</v>
      </c>
      <c r="E291" s="183">
        <f t="shared" si="177"/>
        <v>0</v>
      </c>
      <c r="F291" s="183">
        <f t="shared" si="177"/>
        <v>0</v>
      </c>
      <c r="G291" s="183">
        <f t="shared" si="177"/>
        <v>0</v>
      </c>
      <c r="H291" s="183">
        <f t="shared" si="177"/>
        <v>0</v>
      </c>
      <c r="I291" s="183">
        <f t="shared" si="177"/>
        <v>0</v>
      </c>
      <c r="J291" s="183">
        <f t="shared" si="177"/>
        <v>0</v>
      </c>
      <c r="K291" s="183">
        <f t="shared" si="177"/>
        <v>0</v>
      </c>
      <c r="L291" s="183">
        <f t="shared" si="177"/>
        <v>0</v>
      </c>
      <c r="M291" s="183">
        <f t="shared" si="177"/>
        <v>0</v>
      </c>
    </row>
    <row r="292" spans="1:13" ht="13" customHeight="1">
      <c r="A292" s="5" t="s">
        <v>171</v>
      </c>
      <c r="B292" s="131">
        <v>4</v>
      </c>
      <c r="C292" s="186" t="s">
        <v>640</v>
      </c>
      <c r="D292" s="183">
        <f t="shared" ref="D292:M292" si="178">IF(AND($B293="Y",YEAR($B288)+$B290&gt;D$5),D296+D288*(D289-D296*0.5),IF((YEAR($B288)+$B290)&gt;D$5,(D289*D288/$B292-D295)*$B292,(D289*(1+D288*MONTH($B288)/12))))</f>
        <v>0</v>
      </c>
      <c r="E292" s="183">
        <f t="shared" si="178"/>
        <v>0</v>
      </c>
      <c r="F292" s="183">
        <f t="shared" si="178"/>
        <v>0</v>
      </c>
      <c r="G292" s="183">
        <f t="shared" si="178"/>
        <v>0</v>
      </c>
      <c r="H292" s="183">
        <f t="shared" si="178"/>
        <v>0</v>
      </c>
      <c r="I292" s="183">
        <f t="shared" si="178"/>
        <v>0</v>
      </c>
      <c r="J292" s="183">
        <f t="shared" si="178"/>
        <v>0</v>
      </c>
      <c r="K292" s="183">
        <f t="shared" si="178"/>
        <v>0</v>
      </c>
      <c r="L292" s="183">
        <f t="shared" si="178"/>
        <v>0</v>
      </c>
      <c r="M292" s="183">
        <f t="shared" si="178"/>
        <v>0</v>
      </c>
    </row>
    <row r="293" spans="1:13" ht="13" customHeight="1">
      <c r="A293" s="5" t="s">
        <v>767</v>
      </c>
      <c r="B293" s="131" t="s">
        <v>719</v>
      </c>
      <c r="C293" s="187" t="s">
        <v>768</v>
      </c>
      <c r="D293" s="188">
        <v>0</v>
      </c>
      <c r="E293" s="188">
        <v>0</v>
      </c>
      <c r="F293" s="188">
        <v>0</v>
      </c>
      <c r="G293" s="188">
        <v>0</v>
      </c>
      <c r="H293" s="188">
        <v>0</v>
      </c>
      <c r="I293" s="188">
        <v>0</v>
      </c>
      <c r="J293" s="188">
        <v>0</v>
      </c>
      <c r="K293" s="188">
        <v>0</v>
      </c>
      <c r="L293" s="188">
        <v>0</v>
      </c>
      <c r="M293" s="188">
        <v>0</v>
      </c>
    </row>
    <row r="294" spans="1:13" ht="13" customHeight="1">
      <c r="A294" s="5" t="s">
        <v>182</v>
      </c>
      <c r="B294" s="131"/>
      <c r="C294" s="30" t="s">
        <v>175</v>
      </c>
      <c r="D294" s="183">
        <f t="shared" ref="D294:M294" si="179">D289+D290-D292-D293</f>
        <v>0</v>
      </c>
      <c r="E294" s="183">
        <f t="shared" si="179"/>
        <v>0</v>
      </c>
      <c r="F294" s="183">
        <f t="shared" si="179"/>
        <v>0</v>
      </c>
      <c r="G294" s="183">
        <f t="shared" si="179"/>
        <v>0</v>
      </c>
      <c r="H294" s="183">
        <f t="shared" si="179"/>
        <v>0</v>
      </c>
      <c r="I294" s="183">
        <f t="shared" si="179"/>
        <v>0</v>
      </c>
      <c r="J294" s="183">
        <f t="shared" si="179"/>
        <v>0</v>
      </c>
      <c r="K294" s="183">
        <f t="shared" si="179"/>
        <v>0</v>
      </c>
      <c r="L294" s="183">
        <f t="shared" si="179"/>
        <v>0</v>
      </c>
      <c r="M294" s="183">
        <f t="shared" si="179"/>
        <v>0</v>
      </c>
    </row>
    <row r="295" spans="1:13" ht="13" hidden="1" customHeight="1">
      <c r="A295" s="5"/>
      <c r="B295" s="138"/>
      <c r="C295" s="5" t="s">
        <v>769</v>
      </c>
      <c r="D295" s="183" t="e">
        <f t="shared" ref="D295:M295" si="180">PPMT(D288/$B292,1,ROUND(($B290-(D$5-YEAR($B288))+MONTH($B288)/12)*$B292,0),D289)</f>
        <v>#NUM!</v>
      </c>
      <c r="E295" s="183" t="e">
        <f t="shared" si="180"/>
        <v>#NUM!</v>
      </c>
      <c r="F295" s="183" t="e">
        <f t="shared" si="180"/>
        <v>#NUM!</v>
      </c>
      <c r="G295" s="183" t="e">
        <f t="shared" si="180"/>
        <v>#NUM!</v>
      </c>
      <c r="H295" s="183" t="e">
        <f t="shared" si="180"/>
        <v>#NUM!</v>
      </c>
      <c r="I295" s="183" t="e">
        <f t="shared" si="180"/>
        <v>#NUM!</v>
      </c>
      <c r="J295" s="183" t="e">
        <f t="shared" si="180"/>
        <v>#NUM!</v>
      </c>
      <c r="K295" s="183" t="e">
        <f t="shared" si="180"/>
        <v>#NUM!</v>
      </c>
      <c r="L295" s="183" t="e">
        <f t="shared" si="180"/>
        <v>#NUM!</v>
      </c>
      <c r="M295" s="183" t="e">
        <f t="shared" si="180"/>
        <v>#NUM!</v>
      </c>
    </row>
    <row r="296" spans="1:13" ht="13" hidden="1" customHeight="1">
      <c r="A296" s="5"/>
      <c r="B296" s="5"/>
      <c r="C296" s="5" t="s">
        <v>770</v>
      </c>
      <c r="D296" s="183">
        <f t="shared" ref="D296:M296" si="181">IF(YEAR($B288)+$B290&gt;D$5,D289/(YEAR($B288)+$B290-D$5+MONTH($B288)/12),D289)</f>
        <v>0</v>
      </c>
      <c r="E296" s="183">
        <f t="shared" si="181"/>
        <v>0</v>
      </c>
      <c r="F296" s="183">
        <f t="shared" si="181"/>
        <v>0</v>
      </c>
      <c r="G296" s="183">
        <f t="shared" si="181"/>
        <v>0</v>
      </c>
      <c r="H296" s="183">
        <f t="shared" si="181"/>
        <v>0</v>
      </c>
      <c r="I296" s="183">
        <f t="shared" si="181"/>
        <v>0</v>
      </c>
      <c r="J296" s="183">
        <f t="shared" si="181"/>
        <v>0</v>
      </c>
      <c r="K296" s="183">
        <f t="shared" si="181"/>
        <v>0</v>
      </c>
      <c r="L296" s="183">
        <f t="shared" si="181"/>
        <v>0</v>
      </c>
      <c r="M296" s="183">
        <f t="shared" si="181"/>
        <v>0</v>
      </c>
    </row>
    <row r="297" spans="1:13" ht="13" customHeight="1">
      <c r="A297" s="5"/>
      <c r="B297" s="5"/>
      <c r="C297" s="5"/>
      <c r="D297" s="191"/>
      <c r="E297" s="191"/>
      <c r="F297" s="191"/>
      <c r="G297" s="191"/>
      <c r="H297" s="191"/>
      <c r="I297" s="191"/>
      <c r="J297" s="191"/>
      <c r="K297" s="191"/>
      <c r="L297" s="191"/>
      <c r="M297" s="191"/>
    </row>
    <row r="298" spans="1:13" ht="13" customHeight="1">
      <c r="A298" s="5"/>
      <c r="B298" s="5"/>
      <c r="C298" s="5"/>
      <c r="D298" s="191"/>
      <c r="E298" s="191"/>
      <c r="F298" s="191"/>
      <c r="G298" s="191"/>
      <c r="H298" s="191"/>
      <c r="I298" s="191"/>
      <c r="J298" s="191"/>
      <c r="K298" s="191"/>
      <c r="L298" s="191"/>
      <c r="M298" s="191"/>
    </row>
    <row r="299" spans="1:13" ht="13" customHeight="1">
      <c r="A299" s="5"/>
      <c r="B299" s="5"/>
      <c r="C299" s="5"/>
      <c r="D299" s="191"/>
      <c r="E299" s="191"/>
      <c r="F299" s="191"/>
      <c r="G299" s="191"/>
      <c r="H299" s="191"/>
      <c r="I299" s="191"/>
      <c r="J299" s="191"/>
      <c r="K299" s="191"/>
      <c r="L299" s="191"/>
      <c r="M299" s="191"/>
    </row>
    <row r="300" spans="1:13" ht="13" customHeight="1">
      <c r="A300" s="5" t="s">
        <v>176</v>
      </c>
      <c r="B300" s="30" t="s">
        <v>181</v>
      </c>
      <c r="C300" s="5"/>
      <c r="D300" s="191">
        <f>'h3(a) - Debt Guar'!D300+D289+D278+D267+D256+D245+D230+D219+D208+D197+D186+D175+D164+D150+D139+D128+D117+D106+D95+D84+D69+D57+D45+D33+D21+D9</f>
        <v>0</v>
      </c>
      <c r="E300" s="191">
        <f>'h3(a) - Debt Guar'!E300+E289+E278+E267+E256+E245+E230+E219+E208+E197+E186+E175+E164+E150+E139+E128+E117+E106+E95+E84+E69+E57+E45+E33+E21+E9</f>
        <v>0</v>
      </c>
      <c r="F300" s="191">
        <f>'h3(a) - Debt Guar'!F300+F289+F278+F267+F256+F245+F230+F219+F208+F197+F186+F175+F164+F150+F139+F128+F117+F106+F95+F84+F69+F57+F45+F33+F21+F9</f>
        <v>0</v>
      </c>
      <c r="G300" s="191">
        <f>'h3(a) - Debt Guar'!G300+G289+G278+G267+G256+G245+G230+G219+G208+G197+G186+G175+G164+G150+G139+G128+G117+G106+G95+G84+G69+G57+G45+G33+G21+G9</f>
        <v>0</v>
      </c>
      <c r="H300" s="191">
        <f>'h3(a) - Debt Guar'!H300+H289+H278+H267+H256+H245+H230+H219+H208+H197+H186+H175+H164+H150+H139+H128+H117+H106+H95+H84+H69+H57+H45+H33+H21+H9</f>
        <v>0</v>
      </c>
      <c r="I300" s="191">
        <f>'h3(a) - Debt Guar'!I300+I289+I278+I267+I256+I245+I230+I219+I208+I197+I186+I175+I164+I150+I139+I128+I117+I106+I95+I84+I69+I57+I45+I33+I21+I9</f>
        <v>0</v>
      </c>
      <c r="J300" s="191">
        <f>'h3(a) - Debt Guar'!J300+J289+J278+J267+J256+J245+J230+J219+J208+J197+J186+J175+J164+J150+J139+J128+J117+J106+J95+J84+J69+J57+J45+J33+J21+J9</f>
        <v>0</v>
      </c>
      <c r="K300" s="191">
        <f>'h3(a) - Debt Guar'!K300+K289+K278+K267+K256+K245+K230+K219+K208+K197+K186+K175+K164+K150+K139+K128+K117+K106+K95+K84+K69+K57+K45+K33+K21+K9</f>
        <v>0</v>
      </c>
      <c r="L300" s="191">
        <f>'h3(a) - Debt Guar'!L300+L289+L278+L267+L256+L245+L230+L219+L208+L197+L186+L175+L164+L150+L139+L128+L117+L106+L95+L84+L69+L57+L45+L33+L21+L9</f>
        <v>0</v>
      </c>
      <c r="M300" s="191">
        <f>'h3(a) - Debt Guar'!M300+M289+M278+M267+M256+M245+M230+M219+M208+M197+M186+M175+M164+M150+M139+M128+M117+M106+M95+M84+M69+M57+M45+M33+M21+M9</f>
        <v>0</v>
      </c>
    </row>
    <row r="301" spans="1:13" ht="13" customHeight="1">
      <c r="B301" t="s">
        <v>177</v>
      </c>
      <c r="D301" s="191">
        <f>'h3(a) - Debt Guar'!D301+D290+D279+D268+D257+D246+D231+D220+D209+D198+D187+D176+D165+D151+D140+D129+D118+D107+D96+D85+D70+D58+D46+D34+D22+D10</f>
        <v>0</v>
      </c>
      <c r="E301" s="191">
        <f>'h3(a) - Debt Guar'!E301+E290+E279+E268+E257+E246+E231+E220+E209+E198+E187+E176+E165+E151+E140+E129+E118+E107+E96+E85+E70+E58+E46+E34+E22+E10</f>
        <v>0</v>
      </c>
      <c r="F301" s="191">
        <f>'h3(a) - Debt Guar'!F301+F290+F279+F268+F257+F246+F231+F220+F209+F198+F187+F176+F165+F151+F140+F129+F118+F107+F96+F85+F70+F58+F46+F34+F22+F10</f>
        <v>0</v>
      </c>
      <c r="G301" s="191">
        <f>'h3(a) - Debt Guar'!G301+G290+G279+G268+G257+G246+G231+G220+G209+G198+G187+G176+G165+G151+G140+G129+G118+G107+G96+G85+G70+G58+G46+G34+G22+G10</f>
        <v>0</v>
      </c>
      <c r="H301" s="191">
        <f>'h3(a) - Debt Guar'!H301+H290+H279+H268+H257+H246+H231+H220+H209+H198+H187+H176+H165+H151+H140+H129+H118+H107+H96+H85+H70+H58+H46+H34+H22+H10</f>
        <v>0</v>
      </c>
      <c r="I301" s="191">
        <f>'h3(a) - Debt Guar'!I301+I290+I279+I268+I257+I246+I231+I220+I209+I198+I187+I176+I165+I151+I140+I129+I118+I107+I96+I85+I70+I58+I46+I34+I22+I10</f>
        <v>0</v>
      </c>
      <c r="J301" s="191">
        <f>'h3(a) - Debt Guar'!J301+J290+J279+J268+J257+J246+J231+J220+J209+J198+J187+J176+J165+J151+J140+J129+J118+J107+J96+J85+J70+J58+J46+J34+J22+J10</f>
        <v>0</v>
      </c>
      <c r="K301" s="191">
        <f>'h3(a) - Debt Guar'!K301+K290+K279+K268+K257+K246+K231+K220+K209+K198+K187+K176+K165+K151+K140+K129+K118+K107+K96+K85+K70+K58+K46+K34+K22+K10</f>
        <v>0</v>
      </c>
      <c r="L301" s="191">
        <f>'h3(a) - Debt Guar'!L301+L290+L279+L268+L257+L246+L231+L220+L209+L198+L187+L176+L165+L151+L140+L129+L118+L107+L96+L85+L70+L58+L46+L34+L22+L10</f>
        <v>0</v>
      </c>
      <c r="M301" s="191">
        <f>'h3(a) - Debt Guar'!M301+M290+M279+M268+M257+M246+M231+M220+M209+M198+M187+M176+M165+M151+M140+M129+M118+M107+M96+M85+M70+M58+M46+M34+M22+M10</f>
        <v>0</v>
      </c>
    </row>
    <row r="302" spans="1:13" ht="13" customHeight="1">
      <c r="A302" s="5"/>
      <c r="B302" s="5" t="s">
        <v>178</v>
      </c>
      <c r="C302" s="5"/>
      <c r="D302" s="191">
        <f>'h3(a) - Debt Guar'!D302+D291+D280+D269+D258+D247+D232+D221+D210+D199+D188+D177+D166+D152+D141+D130+D119+D108+D97+D86+D71+D59+D47+D35+D23+D11</f>
        <v>0</v>
      </c>
      <c r="E302" s="191">
        <f>'h3(a) - Debt Guar'!E302+E291+E280+E269+E258+E247+E232+E221+E210+E199+E188+E177+E166+E152+E141+E130+E119+E108+E97+E86+E71+E59+E47+E35+E23+E11</f>
        <v>0</v>
      </c>
      <c r="F302" s="191">
        <f>'h3(a) - Debt Guar'!F302+F291+F280+F269+F258+F247+F232+F221+F210+F199+F188+F177+F166+F152+F141+F130+F119+F108+F97+F86+F71+F59+F47+F35+F23+F11</f>
        <v>0</v>
      </c>
      <c r="G302" s="191">
        <f>'h3(a) - Debt Guar'!G302+G291+G280+G269+G258+G247+G232+G221+G210+G199+G188+G177+G166+G152+G141+G130+G119+G108+G97+G86+G71+G59+G47+G35+G23+G11</f>
        <v>0</v>
      </c>
      <c r="H302" s="191">
        <f>'h3(a) - Debt Guar'!H302+H291+H280+H269+H258+H247+H232+H221+H210+H199+H188+H177+H166+H152+H141+H130+H119+H108+H97+H86+H71+H59+H47+H35+H23+H11</f>
        <v>0</v>
      </c>
      <c r="I302" s="191">
        <f>'h3(a) - Debt Guar'!I302+I291+I280+I269+I258+I247+I232+I221+I210+I199+I188+I177+I166+I152+I141+I130+I119+I108+I97+I86+I71+I59+I47+I35+I23+I11</f>
        <v>0</v>
      </c>
      <c r="J302" s="191">
        <f>'h3(a) - Debt Guar'!J302+J291+J280+J269+J258+J247+J232+J221+J210+J199+J188+J177+J166+J152+J141+J130+J119+J108+J97+J86+J71+J59+J47+J35+J23+J11</f>
        <v>0</v>
      </c>
      <c r="K302" s="191">
        <f>'h3(a) - Debt Guar'!K302+K291+K280+K269+K258+K247+K232+K221+K210+K199+K188+K177+K166+K152+K141+K130+K119+K108+K97+K86+K71+K59+K47+K35+K23+K11</f>
        <v>0</v>
      </c>
      <c r="L302" s="191">
        <f>'h3(a) - Debt Guar'!L302+L291+L280+L269+L258+L247+L232+L221+L210+L199+L188+L177+L166+L152+L141+L130+L119+L108+L97+L86+L71+L59+L47+L35+L23+L11</f>
        <v>0</v>
      </c>
      <c r="M302" s="191">
        <f>'h3(a) - Debt Guar'!M302+M291+M280+M269+M258+M247+M232+M221+M210+M199+M188+M177+M166+M152+M141+M130+M119+M108+M97+M86+M71+M59+M47+M35+M23+M11</f>
        <v>0</v>
      </c>
    </row>
    <row r="303" spans="1:13" ht="13" customHeight="1">
      <c r="A303" s="26"/>
      <c r="B303" s="32" t="s">
        <v>179</v>
      </c>
      <c r="C303" s="27"/>
      <c r="D303" s="191">
        <f>'h3(a) - Debt Guar'!D303+D292+D281+D270+D259+D248+D233+D222+D211+D200+D189+D178+D167+D153+D142+D131+D120+D109+D98+D87+D72+D60+D48+D36+D24+D12</f>
        <v>0</v>
      </c>
      <c r="E303" s="191">
        <f>'h3(a) - Debt Guar'!E303+E292+E281+E270+E259+E248+E233+E222+E211+E200+E189+E178+E167+E153+E142+E131+E120+E109+E98+E87+E72+E60+E48+E36+E24+E12</f>
        <v>0</v>
      </c>
      <c r="F303" s="191">
        <f>'h3(a) - Debt Guar'!F303+F292+F281+F270+F259+F248+F233+F222+F211+F200+F189+F178+F167+F153+F142+F131+F120+F109+F98+F87+F72+F60+F48+F36+F24+F12</f>
        <v>0</v>
      </c>
      <c r="G303" s="191">
        <f>'h3(a) - Debt Guar'!G303+G292+G281+G270+G259+G248+G233+G222+G211+G200+G189+G178+G167+G153+G142+G131+G120+G109+G98+G87+G72+G60+G48+G36+G24+G12</f>
        <v>0</v>
      </c>
      <c r="H303" s="191">
        <f>'h3(a) - Debt Guar'!H303+H292+H281+H270+H259+H248+H233+H222+H211+H200+H189+H178+H167+H153+H142+H131+H120+H109+H98+H87+H72+H60+H48+H36+H24+H12</f>
        <v>0</v>
      </c>
      <c r="I303" s="191">
        <f>'h3(a) - Debt Guar'!I303+I292+I281+I270+I259+I248+I233+I222+I211+I200+I189+I178+I167+I153+I142+I131+I120+I109+I98+I87+I72+I60+I48+I36+I24+I12</f>
        <v>0</v>
      </c>
      <c r="J303" s="191">
        <f>'h3(a) - Debt Guar'!J303+J292+J281+J270+J259+J248+J233+J222+J211+J200+J189+J178+J167+J153+J142+J131+J120+J109+J98+J87+J72+J60+J48+J36+J24+J12</f>
        <v>0</v>
      </c>
      <c r="K303" s="191">
        <f>'h3(a) - Debt Guar'!K303+K292+K281+K270+K259+K248+K233+K222+K211+K200+K189+K178+K167+K153+K142+K131+K120+K109+K98+K87+K72+K60+K48+K36+K24+K12</f>
        <v>0</v>
      </c>
      <c r="L303" s="191">
        <f>'h3(a) - Debt Guar'!L303+L292+L281+L270+L259+L248+L233+L222+L211+L200+L189+L178+L167+L153+L142+L131+L120+L109+L98+L87+L72+L60+L48+L36+L24+L12</f>
        <v>0</v>
      </c>
      <c r="M303" s="191">
        <f>'h3(a) - Debt Guar'!M303+M292+M281+M270+M259+M248+M233+M222+M211+M200+M189+M178+M167+M153+M142+M131+M120+M109+M98+M87+M72+M60+M48+M36+M24+M12</f>
        <v>0</v>
      </c>
    </row>
    <row r="304" spans="1:13" ht="13" customHeight="1">
      <c r="A304" s="26"/>
      <c r="B304" s="137" t="s">
        <v>771</v>
      </c>
      <c r="C304" s="27"/>
      <c r="D304" s="191">
        <f>'h3(a) - Debt Guar'!D304+D293+D282+D271+D260+D249+D234+D223+D212+D201+D190+D179+D168+D154+D143+D132+D121+D110+D99+D88+D73+D61+D49+D37+D25+D13</f>
        <v>0</v>
      </c>
      <c r="E304" s="191">
        <f>'h3(a) - Debt Guar'!E304+E293+E282+E271+E260+E249+E234+E223+E212+E201+E190+E179+E168+E154+E143+E132+E121+E110+E99+E88+E73+E61+E49+E37+E25+E13</f>
        <v>0</v>
      </c>
      <c r="F304" s="191">
        <f>'h3(a) - Debt Guar'!F304+F293+F282+F271+F260+F249+F234+F223+F212+F201+F190+F179+F168+F154+F143+F132+F121+F110+F99+F88+F73+F61+F49+F37+F25+F13</f>
        <v>0</v>
      </c>
      <c r="G304" s="191">
        <f>'h3(a) - Debt Guar'!G304+G293+G282+G271+G260+G249+G234+G223+G212+G201+G190+G179+G168+G154+G143+G132+G121+G110+G99+G88+G73+G61+G49+G37+G25+G13</f>
        <v>0</v>
      </c>
      <c r="H304" s="191">
        <f>'h3(a) - Debt Guar'!H304+H293+H282+H271+H260+H249+H234+H223+H212+H201+H190+H179+H168+H154+H143+H132+H121+H110+H99+H88+H73+H61+H49+H37+H25+H13</f>
        <v>0</v>
      </c>
      <c r="I304" s="191">
        <f>'h3(a) - Debt Guar'!I304+I293+I282+I271+I260+I249+I234+I223+I212+I201+I190+I179+I168+I154+I143+I132+I121+I110+I99+I88+I73+I61+I49+I37+I25+I13</f>
        <v>0</v>
      </c>
      <c r="J304" s="191">
        <f>'h3(a) - Debt Guar'!J304+J293+J282+J271+J260+J249+J234+J223+J212+J201+J190+J179+J168+J154+J143+J132+J121+J110+J99+J88+J73+J61+J49+J37+J25+J13</f>
        <v>0</v>
      </c>
      <c r="K304" s="191">
        <f>'h3(a) - Debt Guar'!K304+K293+K282+K271+K260+K249+K234+K223+K212+K201+K190+K179+K168+K154+K143+K132+K121+K110+K99+K88+K73+K61+K49+K37+K25+K13</f>
        <v>0</v>
      </c>
      <c r="L304" s="191">
        <f>'h3(a) - Debt Guar'!L304+L293+L282+L271+L260+L249+L234+L223+L212+L201+L190+L179+L168+L154+L143+L132+L121+L110+L99+L88+L73+L61+L49+L37+L25+L13</f>
        <v>0</v>
      </c>
      <c r="M304" s="191">
        <f>'h3(a) - Debt Guar'!M304+M293+M282+M271+M260+M249+M234+M223+M212+M201+M190+M179+M168+M154+M143+M132+M121+M110+M99+M88+M73+M61+M49+M37+M25+M13</f>
        <v>0</v>
      </c>
    </row>
    <row r="305" spans="1:13" ht="13" customHeight="1">
      <c r="A305" s="5"/>
      <c r="B305" s="137" t="s">
        <v>180</v>
      </c>
      <c r="C305" s="184"/>
      <c r="D305" s="191">
        <f>'h3(a) - Debt Guar'!D305+D294+D283+D272+D261+D250+D235+D224+D213+D202+D191+D180+D169+D155+D144+D133+D122+D111+D100+D89+D74+D62+D50+D38+D26+D14</f>
        <v>0</v>
      </c>
      <c r="E305" s="191">
        <f>'h3(a) - Debt Guar'!E305+E294+E283+E272+E261+E250+E235+E224+E213+E202+E191+E180+E169+E155+E144+E133+E122+E111+E100+E89+E74+E62+E50+E38+E26+E14</f>
        <v>0</v>
      </c>
      <c r="F305" s="191">
        <f>'h3(a) - Debt Guar'!F305+F294+F283+F272+F261+F250+F235+F224+F213+F202+F191+F180+F169+F155+F144+F133+F122+F111+F100+F89+F74+F62+F50+F38+F26+F14</f>
        <v>0</v>
      </c>
      <c r="G305" s="191">
        <f>'h3(a) - Debt Guar'!G305+G294+G283+G272+G261+G250+G235+G224+G213+G202+G191+G180+G169+G155+G144+G133+G122+G111+G100+G89+G74+G62+G50+G38+G26+G14</f>
        <v>0</v>
      </c>
      <c r="H305" s="191">
        <f>'h3(a) - Debt Guar'!H305+H294+H283+H272+H261+H250+H235+H224+H213+H202+H191+H180+H169+H155+H144+H133+H122+H111+H100+H89+H74+H62+H50+H38+H26+H14</f>
        <v>0</v>
      </c>
      <c r="I305" s="191">
        <f>'h3(a) - Debt Guar'!I305+I294+I283+I272+I261+I250+I235+I224+I213+I202+I191+I180+I169+I155+I144+I133+I122+I111+I100+I89+I74+I62+I50+I38+I26+I14</f>
        <v>0</v>
      </c>
      <c r="J305" s="191">
        <f>'h3(a) - Debt Guar'!J305+J294+J283+J272+J261+J250+J235+J224+J213+J202+J191+J180+J169+J155+J144+J133+J122+J111+J100+J89+J74+J62+J50+J38+J26+J14</f>
        <v>0</v>
      </c>
      <c r="K305" s="191">
        <f>'h3(a) - Debt Guar'!K305+K294+K283+K272+K261+K250+K235+K224+K213+K202+K191+K180+K169+K155+K144+K133+K122+K111+K100+K89+K74+K62+K50+K38+K26+K14</f>
        <v>0</v>
      </c>
      <c r="L305" s="191">
        <f>'h3(a) - Debt Guar'!L305+L294+L283+L272+L261+L250+L235+L224+L213+L202+L191+L180+L169+L155+L144+L133+L122+L111+L100+L89+L74+L62+L50+L38+L26+L14</f>
        <v>0</v>
      </c>
      <c r="M305" s="191">
        <f>'h3(a) - Debt Guar'!M305+M294+M283+M272+M261+M250+M235+M224+M213+M202+M191+M180+M169+M155+M144+M133+M122+M111+M100+M89+M74+M62+M50+M38+M26+M14</f>
        <v>0</v>
      </c>
    </row>
    <row r="306" spans="1:13" ht="13" customHeight="1">
      <c r="A306" s="26"/>
      <c r="B306" s="5"/>
      <c r="C306" s="5"/>
      <c r="D306" s="28"/>
      <c r="E306" s="28"/>
      <c r="F306" s="28"/>
      <c r="G306" s="28"/>
      <c r="H306" s="28"/>
      <c r="I306" s="28"/>
      <c r="J306" s="28"/>
      <c r="K306" s="28"/>
      <c r="L306" s="28"/>
      <c r="M306" s="28"/>
    </row>
    <row r="307" spans="1:13" ht="13" customHeight="1">
      <c r="D307" s="46"/>
      <c r="E307" s="46"/>
      <c r="F307" s="46"/>
      <c r="G307" s="46"/>
      <c r="H307" s="46"/>
      <c r="I307" s="46"/>
      <c r="J307" s="46"/>
      <c r="K307" s="46"/>
      <c r="L307" s="46"/>
      <c r="M307" s="46"/>
    </row>
    <row r="308" spans="1:13" ht="16.5" customHeight="1">
      <c r="D308" s="46"/>
      <c r="E308" s="46"/>
      <c r="F308" s="46"/>
      <c r="G308" s="46"/>
      <c r="H308" s="46"/>
      <c r="I308" s="46"/>
      <c r="J308" s="46"/>
      <c r="K308" s="46"/>
      <c r="L308" s="46"/>
      <c r="M308" s="46"/>
    </row>
    <row r="309" spans="1:13" ht="16.5" customHeight="1">
      <c r="D309" s="172">
        <f>+D305-'h3(a) - Debt Guar'!D305</f>
        <v>0</v>
      </c>
      <c r="E309" s="46"/>
      <c r="F309" s="46"/>
      <c r="G309" s="46"/>
      <c r="H309" s="46"/>
      <c r="I309" s="46"/>
      <c r="J309" s="46"/>
      <c r="K309" s="46"/>
      <c r="L309" s="46"/>
      <c r="M309" s="46"/>
    </row>
    <row r="310" spans="1:13" ht="16.5" hidden="1" customHeight="1">
      <c r="D310" s="46"/>
      <c r="E310" s="46"/>
      <c r="F310" s="46"/>
      <c r="G310" s="46"/>
      <c r="H310" s="46"/>
      <c r="I310" s="46"/>
      <c r="J310" s="46"/>
      <c r="K310" s="46"/>
      <c r="L310" s="46"/>
      <c r="M310" s="46"/>
    </row>
    <row r="311" spans="1:13" ht="16.5" hidden="1" customHeight="1">
      <c r="A311" s="5"/>
      <c r="B311" s="29"/>
      <c r="C311" s="29"/>
      <c r="D311" s="46"/>
      <c r="E311" s="46"/>
      <c r="F311" s="46"/>
      <c r="G311" s="46"/>
      <c r="H311" s="46"/>
      <c r="I311" s="46"/>
      <c r="J311" s="46"/>
      <c r="K311" s="46"/>
      <c r="L311" s="46"/>
      <c r="M311" s="46"/>
    </row>
    <row r="312" spans="1:13" ht="16.5" hidden="1" customHeight="1">
      <c r="A312" s="5"/>
      <c r="B312" s="29"/>
      <c r="C312" s="29"/>
      <c r="D312" s="46"/>
      <c r="E312" s="46"/>
      <c r="F312" s="46"/>
      <c r="G312" s="46"/>
      <c r="H312" s="46"/>
      <c r="I312" s="46"/>
      <c r="J312" s="46"/>
      <c r="K312" s="46"/>
      <c r="L312" s="46"/>
      <c r="M312" s="46"/>
    </row>
    <row r="313" spans="1:13" ht="16.5" hidden="1" customHeight="1">
      <c r="A313" s="5"/>
      <c r="B313" s="29"/>
      <c r="C313" s="29"/>
      <c r="D313" s="46"/>
      <c r="E313" s="46"/>
      <c r="F313" s="46"/>
      <c r="G313" s="46"/>
      <c r="H313" s="46"/>
      <c r="I313" s="46"/>
      <c r="J313" s="46"/>
      <c r="K313" s="46"/>
      <c r="L313" s="46"/>
      <c r="M313" s="46"/>
    </row>
    <row r="314" spans="1:13" ht="16.5" hidden="1" customHeight="1">
      <c r="A314" s="5"/>
      <c r="B314" s="29"/>
      <c r="C314" s="29"/>
      <c r="D314" s="46"/>
      <c r="E314" s="46"/>
      <c r="F314" s="46"/>
      <c r="G314" s="46"/>
      <c r="H314" s="46"/>
      <c r="I314" s="46"/>
      <c r="J314" s="46"/>
      <c r="K314" s="46"/>
      <c r="L314" s="46"/>
      <c r="M314" s="46"/>
    </row>
    <row r="315" spans="1:13" ht="16.5" hidden="1" customHeight="1">
      <c r="A315" s="5"/>
      <c r="B315" s="29"/>
      <c r="C315" s="29"/>
      <c r="D315" s="46"/>
      <c r="E315" s="46"/>
      <c r="F315" s="46"/>
      <c r="G315" s="46"/>
      <c r="H315" s="46"/>
      <c r="I315" s="46"/>
      <c r="J315" s="46"/>
      <c r="K315" s="46"/>
      <c r="L315" s="46"/>
      <c r="M315" s="46"/>
    </row>
    <row r="316" spans="1:13" ht="16.5" hidden="1" customHeight="1">
      <c r="A316" s="5"/>
      <c r="B316" s="29"/>
      <c r="C316" s="29"/>
      <c r="D316" s="46"/>
      <c r="E316" s="46"/>
      <c r="F316" s="46"/>
      <c r="G316" s="46"/>
      <c r="H316" s="46"/>
      <c r="I316" s="46"/>
      <c r="J316" s="46"/>
      <c r="K316" s="46"/>
      <c r="L316" s="46"/>
      <c r="M316" s="46"/>
    </row>
    <row r="317" spans="1:13" ht="16.5" hidden="1" customHeight="1">
      <c r="A317" s="5"/>
      <c r="B317" s="29"/>
      <c r="C317" s="29"/>
      <c r="D317" s="46"/>
      <c r="E317" s="46"/>
      <c r="F317" s="46"/>
      <c r="G317" s="46"/>
      <c r="H317" s="46"/>
      <c r="I317" s="46"/>
      <c r="J317" s="46"/>
      <c r="K317" s="46"/>
      <c r="L317" s="46"/>
      <c r="M317" s="46"/>
    </row>
    <row r="318" spans="1:13" ht="16.5" hidden="1" customHeight="1">
      <c r="A318" s="5"/>
      <c r="B318" s="29"/>
      <c r="C318" s="29"/>
      <c r="D318" s="46"/>
      <c r="E318" s="46"/>
      <c r="F318" s="46"/>
      <c r="G318" s="46"/>
      <c r="H318" s="46"/>
      <c r="I318" s="46"/>
      <c r="J318" s="46"/>
      <c r="K318" s="46"/>
      <c r="L318" s="46"/>
      <c r="M318" s="46"/>
    </row>
    <row r="319" spans="1:13" ht="16.5" hidden="1" customHeight="1">
      <c r="A319" s="5"/>
      <c r="B319" s="29"/>
      <c r="C319" s="29"/>
      <c r="D319" s="46"/>
      <c r="E319" s="46"/>
      <c r="F319" s="46"/>
      <c r="G319" s="46"/>
      <c r="H319" s="46"/>
      <c r="I319" s="46"/>
      <c r="J319" s="46"/>
      <c r="K319" s="46"/>
      <c r="L319" s="46"/>
      <c r="M319" s="46"/>
    </row>
    <row r="320" spans="1:13" ht="16.5" hidden="1" customHeight="1">
      <c r="A320" s="5"/>
      <c r="B320" s="29"/>
      <c r="C320" s="29"/>
      <c r="D320" s="46"/>
      <c r="E320" s="46"/>
      <c r="F320" s="46"/>
      <c r="G320" s="46"/>
      <c r="H320" s="46"/>
      <c r="I320" s="46"/>
      <c r="J320" s="46"/>
      <c r="K320" s="46"/>
      <c r="L320" s="46"/>
      <c r="M320" s="46"/>
    </row>
    <row r="321" spans="1:14" ht="16.5" hidden="1" customHeight="1">
      <c r="A321" s="5"/>
      <c r="B321" s="29"/>
      <c r="C321" s="29"/>
      <c r="D321" s="46"/>
      <c r="E321" s="46"/>
      <c r="F321" s="46"/>
      <c r="G321" s="46"/>
      <c r="H321" s="46"/>
      <c r="I321" s="46"/>
      <c r="J321" s="46"/>
      <c r="K321" s="46"/>
      <c r="L321" s="46"/>
      <c r="M321" s="46"/>
    </row>
    <row r="322" spans="1:14" ht="16.5" hidden="1" customHeight="1">
      <c r="A322" s="5"/>
      <c r="B322" s="29"/>
      <c r="C322" s="29"/>
      <c r="D322" s="46"/>
      <c r="E322" s="46"/>
      <c r="F322" s="46"/>
      <c r="G322" s="46"/>
      <c r="H322" s="46"/>
      <c r="I322" s="46"/>
      <c r="J322" s="46"/>
      <c r="K322" s="46"/>
      <c r="L322" s="46"/>
      <c r="M322" s="46"/>
    </row>
    <row r="323" spans="1:14" ht="16.5" hidden="1" customHeight="1">
      <c r="A323" s="5"/>
      <c r="B323" s="29"/>
      <c r="C323" s="29"/>
      <c r="D323" s="46"/>
      <c r="E323" s="46"/>
      <c r="F323" s="46"/>
      <c r="G323" s="46"/>
      <c r="H323" s="46"/>
      <c r="I323" s="46"/>
      <c r="J323" s="46"/>
      <c r="K323" s="46"/>
      <c r="L323" s="46"/>
      <c r="M323" s="46"/>
    </row>
    <row r="324" spans="1:14" ht="16.5" hidden="1" customHeight="1">
      <c r="A324" s="5"/>
      <c r="B324" s="29"/>
      <c r="C324" s="29"/>
      <c r="D324" s="46"/>
      <c r="E324" s="46"/>
      <c r="F324" s="46"/>
      <c r="G324" s="46"/>
      <c r="H324" s="46"/>
      <c r="I324" s="46"/>
      <c r="J324" s="46"/>
      <c r="K324" s="46"/>
      <c r="L324" s="46"/>
      <c r="M324" s="46"/>
    </row>
    <row r="325" spans="1:14" ht="16.5" hidden="1" customHeight="1">
      <c r="A325" s="5"/>
      <c r="B325" s="29"/>
      <c r="C325" s="29"/>
      <c r="D325" s="46"/>
      <c r="E325" s="46"/>
      <c r="F325" s="46"/>
      <c r="G325" s="46"/>
      <c r="H325" s="46"/>
      <c r="I325" s="46"/>
      <c r="J325" s="46"/>
      <c r="K325" s="46"/>
      <c r="L325" s="46"/>
      <c r="M325" s="46"/>
    </row>
    <row r="326" spans="1:14" ht="16.5" hidden="1" customHeight="1">
      <c r="A326" s="5"/>
      <c r="B326" s="29"/>
      <c r="C326" s="29"/>
      <c r="D326" s="46"/>
      <c r="E326" s="46"/>
      <c r="F326" s="46"/>
      <c r="G326" s="46"/>
      <c r="H326" s="46"/>
      <c r="I326" s="46"/>
      <c r="J326" s="46"/>
      <c r="K326" s="46"/>
      <c r="L326" s="46"/>
      <c r="M326" s="46"/>
    </row>
    <row r="327" spans="1:14" ht="16.5" hidden="1" customHeight="1">
      <c r="A327" s="26"/>
      <c r="B327" s="5"/>
      <c r="C327" s="5"/>
      <c r="D327" s="28"/>
      <c r="E327" s="28"/>
      <c r="F327" s="28"/>
      <c r="G327" s="28"/>
      <c r="H327" s="28"/>
      <c r="I327" s="28"/>
      <c r="J327" s="28"/>
      <c r="K327" s="28"/>
      <c r="L327" s="28"/>
      <c r="M327" s="28"/>
      <c r="N327" s="46"/>
    </row>
  </sheetData>
  <sheetProtection sheet="1" objects="1" scenarios="1"/>
  <phoneticPr fontId="0" type="noConversion"/>
  <pageMargins left="0.25" right="0.25" top="0.48" bottom="0.51" header="0.5" footer="0.5"/>
  <pageSetup scale="65" fitToHeight="0" orientation="landscape" horizontalDpi="300" verticalDpi="300" r:id="rId1"/>
  <headerFooter alignWithMargins="0"/>
  <rowBreaks count="3" manualBreakCount="3">
    <brk id="78" max="12" man="1"/>
    <brk id="158" max="12" man="1"/>
    <brk id="238" max="12"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M316"/>
  <sheetViews>
    <sheetView showGridLines="0" zoomScale="86" zoomScaleNormal="86" workbookViewId="0">
      <pane xSplit="3" ySplit="6" topLeftCell="D7" activePane="bottomRight" state="frozen"/>
      <selection pane="topRight" activeCell="D1" sqref="D1"/>
      <selection pane="bottomLeft" activeCell="A5" sqref="A5"/>
      <selection pane="bottomRight" activeCell="B7" sqref="B7"/>
    </sheetView>
  </sheetViews>
  <sheetFormatPr defaultColWidth="0" defaultRowHeight="12.5" zeroHeight="1"/>
  <cols>
    <col min="1" max="1" width="20.54296875" customWidth="1"/>
    <col min="2" max="2" width="16.7265625" customWidth="1"/>
    <col min="3" max="3" width="21.7265625" customWidth="1"/>
    <col min="4" max="14" width="14.54296875" customWidth="1"/>
  </cols>
  <sheetData>
    <row r="1" spans="1:13"/>
    <row r="2" spans="1:13"/>
    <row r="3" spans="1:13" s="13" customFormat="1" ht="16.5" customHeight="1">
      <c r="A3" s="34"/>
      <c r="B3" s="18"/>
      <c r="C3" s="18"/>
      <c r="F3" s="14" t="s">
        <v>42</v>
      </c>
      <c r="H3" s="34" t="s">
        <v>788</v>
      </c>
      <c r="M3" s="14"/>
    </row>
    <row r="4" spans="1:13" s="13" customFormat="1" ht="16.5" customHeight="1">
      <c r="A4" s="34"/>
      <c r="D4" s="18"/>
      <c r="E4" s="14"/>
    </row>
    <row r="5" spans="1:13" s="13" customFormat="1" ht="16.5" customHeight="1">
      <c r="A5" s="14"/>
      <c r="D5" s="15">
        <f>Input!G8</f>
        <v>2024</v>
      </c>
      <c r="E5" s="15">
        <f>D5+1</f>
        <v>2025</v>
      </c>
      <c r="F5" s="15">
        <f t="shared" ref="F5:M5" si="0">E5+1</f>
        <v>2026</v>
      </c>
      <c r="G5" s="15">
        <f t="shared" si="0"/>
        <v>2027</v>
      </c>
      <c r="H5" s="15">
        <f t="shared" si="0"/>
        <v>2028</v>
      </c>
      <c r="I5" s="15">
        <f t="shared" si="0"/>
        <v>2029</v>
      </c>
      <c r="J5" s="15">
        <f t="shared" si="0"/>
        <v>2030</v>
      </c>
      <c r="K5" s="15">
        <f t="shared" si="0"/>
        <v>2031</v>
      </c>
      <c r="L5" s="15">
        <f t="shared" si="0"/>
        <v>2032</v>
      </c>
      <c r="M5" s="15">
        <f t="shared" si="0"/>
        <v>2033</v>
      </c>
    </row>
    <row r="6" spans="1:13" s="13" customFormat="1" ht="16.5" customHeight="1">
      <c r="A6" s="34"/>
      <c r="B6" s="14"/>
      <c r="C6" s="14"/>
      <c r="D6" s="15" t="s">
        <v>46</v>
      </c>
      <c r="E6" s="15" t="s">
        <v>46</v>
      </c>
      <c r="F6" s="15" t="s">
        <v>46</v>
      </c>
      <c r="G6" s="15" t="s">
        <v>46</v>
      </c>
      <c r="H6" s="15" t="s">
        <v>46</v>
      </c>
      <c r="I6" s="15" t="s">
        <v>46</v>
      </c>
      <c r="J6" s="15" t="s">
        <v>46</v>
      </c>
      <c r="K6" s="15" t="s">
        <v>46</v>
      </c>
      <c r="L6" s="15" t="s">
        <v>46</v>
      </c>
      <c r="M6" s="15" t="s">
        <v>46</v>
      </c>
    </row>
    <row r="7" spans="1:13" s="13" customFormat="1" ht="12.75" customHeight="1">
      <c r="A7" s="30" t="s">
        <v>641</v>
      </c>
      <c r="B7" s="99"/>
      <c r="C7" t="s">
        <v>800</v>
      </c>
      <c r="D7" s="161" t="s">
        <v>801</v>
      </c>
      <c r="E7" s="1"/>
      <c r="F7"/>
      <c r="G7"/>
      <c r="H7"/>
      <c r="I7"/>
      <c r="J7"/>
      <c r="K7"/>
      <c r="L7"/>
      <c r="M7"/>
    </row>
    <row r="8" spans="1:13" s="13" customFormat="1" ht="12.75" customHeight="1">
      <c r="A8" s="26" t="s">
        <v>677</v>
      </c>
      <c r="B8" s="133">
        <v>29373</v>
      </c>
      <c r="C8" s="5" t="s">
        <v>639</v>
      </c>
      <c r="D8" s="75">
        <f>IF($D7="V",Input!G$70,IF(AND($B14=D$5,Input!G$65&gt;0),Input!G$65,$B11))</f>
        <v>7.0000000000000007E-2</v>
      </c>
      <c r="E8" s="75">
        <f>IF($D7="V",Input!H$70,IF(AND($B14=E$5,Input!H$65&gt;0),Input!H$65,D8))</f>
        <v>7.0000000000000007E-2</v>
      </c>
      <c r="F8" s="75">
        <f>IF($D7="V",Input!I$70,IF(AND($B14=F$5,Input!I$65&gt;0),Input!I$65,E8))</f>
        <v>7.0000000000000007E-2</v>
      </c>
      <c r="G8" s="75">
        <f>IF($D7="V",Input!J$70,IF(AND($B14=G$5,Input!J$65&gt;0),Input!J$65,F8))</f>
        <v>7.0000000000000007E-2</v>
      </c>
      <c r="H8" s="75">
        <f>IF($D7="V",Input!K$70,IF(AND($B14=H$5,Input!K$65&gt;0),Input!K$65,G8))</f>
        <v>7.0000000000000007E-2</v>
      </c>
      <c r="I8" s="75">
        <f>IF($D7="V",Input!L$70,IF(AND($B14=I$5,Input!L$65&gt;0),Input!L$65,H8))</f>
        <v>7.0000000000000007E-2</v>
      </c>
      <c r="J8" s="75">
        <f>IF($D7="V",Input!M$70,IF(AND($B14=J$5,Input!M$65&gt;0),Input!M$65,I8))</f>
        <v>7.0000000000000007E-2</v>
      </c>
      <c r="K8" s="75">
        <f>IF($D7="V",Input!N$70,IF(AND($B14=K$5,Input!N$65&gt;0),Input!N$65,J8))</f>
        <v>7.0000000000000007E-2</v>
      </c>
      <c r="L8" s="75">
        <f>IF($D7="V",Input!O$70,IF(AND($B14=L$5,Input!O$65&gt;0),Input!O$65,K8))</f>
        <v>7.0000000000000007E-2</v>
      </c>
      <c r="M8" s="75">
        <f>IF($D7="V",Input!P$70,IF(AND($B14=M$5,Input!P$65&gt;0),Input!P$65,L8))</f>
        <v>7.0000000000000007E-2</v>
      </c>
    </row>
    <row r="9" spans="1:13" s="13" customFormat="1" ht="12.75" customHeight="1">
      <c r="A9" s="5" t="s">
        <v>361</v>
      </c>
      <c r="B9" s="135">
        <v>0</v>
      </c>
      <c r="C9" s="27" t="s">
        <v>173</v>
      </c>
      <c r="D9" s="136">
        <v>0</v>
      </c>
      <c r="E9" s="28">
        <f t="shared" ref="E9:M9" si="1">D14</f>
        <v>0</v>
      </c>
      <c r="F9" s="28">
        <f t="shared" si="1"/>
        <v>0</v>
      </c>
      <c r="G9" s="28">
        <f t="shared" si="1"/>
        <v>0</v>
      </c>
      <c r="H9" s="28">
        <f t="shared" si="1"/>
        <v>0</v>
      </c>
      <c r="I9" s="28">
        <f t="shared" si="1"/>
        <v>0</v>
      </c>
      <c r="J9" s="28">
        <f t="shared" si="1"/>
        <v>0</v>
      </c>
      <c r="K9" s="28">
        <f t="shared" si="1"/>
        <v>0</v>
      </c>
      <c r="L9" s="28">
        <f t="shared" si="1"/>
        <v>0</v>
      </c>
      <c r="M9" s="28">
        <f t="shared" si="1"/>
        <v>0</v>
      </c>
    </row>
    <row r="10" spans="1:13" s="13" customFormat="1" ht="12.75" customHeight="1">
      <c r="A10" s="26" t="s">
        <v>170</v>
      </c>
      <c r="B10" s="131">
        <v>35</v>
      </c>
      <c r="C10" s="29" t="s">
        <v>169</v>
      </c>
      <c r="D10" s="28">
        <f>D12-D11</f>
        <v>0</v>
      </c>
      <c r="E10" s="28">
        <f>E12-E11</f>
        <v>0</v>
      </c>
      <c r="F10" s="28">
        <f t="shared" ref="F10:M10" si="2">F12-F11</f>
        <v>0</v>
      </c>
      <c r="G10" s="28">
        <f t="shared" si="2"/>
        <v>0</v>
      </c>
      <c r="H10" s="28">
        <f t="shared" si="2"/>
        <v>0</v>
      </c>
      <c r="I10" s="28">
        <f t="shared" si="2"/>
        <v>0</v>
      </c>
      <c r="J10" s="28">
        <f t="shared" si="2"/>
        <v>0</v>
      </c>
      <c r="K10" s="28">
        <f t="shared" si="2"/>
        <v>0</v>
      </c>
      <c r="L10" s="28">
        <f t="shared" si="2"/>
        <v>0</v>
      </c>
      <c r="M10" s="28">
        <f t="shared" si="2"/>
        <v>0</v>
      </c>
    </row>
    <row r="11" spans="1:13" s="13" customFormat="1" ht="12.75" customHeight="1">
      <c r="A11" s="5" t="s">
        <v>172</v>
      </c>
      <c r="B11" s="134">
        <v>7.0000000000000007E-2</v>
      </c>
      <c r="C11" s="5" t="s">
        <v>174</v>
      </c>
      <c r="D11" s="28">
        <f>IF(AND($B13="Y",YEAR($B8)+$B10&gt;D$5),D16,IF((YEAR($B8)+$B10)&gt;D$5,FV(D8/$B12,$B12,D15),D9))</f>
        <v>0</v>
      </c>
      <c r="E11" s="28">
        <f>IF(AND($B13="Y",YEAR($B8)+$B10&gt;E$5),E16,IF((YEAR($B8)+$B10)&gt;E$5,FV(E8/$B12,$B12,E15),E9))</f>
        <v>0</v>
      </c>
      <c r="F11" s="28">
        <f t="shared" ref="F11:M11" si="3">IF(AND($B13="Y",YEAR($B8)+$B10&gt;F$5),F16,IF((YEAR($B8)+$B10)&gt;F$5,FV(F8/$B12,$B12,F15),F9))</f>
        <v>0</v>
      </c>
      <c r="G11" s="28">
        <f t="shared" si="3"/>
        <v>0</v>
      </c>
      <c r="H11" s="28">
        <f t="shared" si="3"/>
        <v>0</v>
      </c>
      <c r="I11" s="28">
        <f t="shared" si="3"/>
        <v>0</v>
      </c>
      <c r="J11" s="28">
        <f t="shared" si="3"/>
        <v>0</v>
      </c>
      <c r="K11" s="28">
        <f t="shared" si="3"/>
        <v>0</v>
      </c>
      <c r="L11" s="28">
        <f t="shared" si="3"/>
        <v>0</v>
      </c>
      <c r="M11" s="28">
        <f t="shared" si="3"/>
        <v>0</v>
      </c>
    </row>
    <row r="12" spans="1:13" s="13" customFormat="1" ht="12.75" customHeight="1">
      <c r="A12" s="5" t="s">
        <v>171</v>
      </c>
      <c r="B12" s="131">
        <v>4</v>
      </c>
      <c r="C12" s="78" t="s">
        <v>640</v>
      </c>
      <c r="D12" s="28">
        <f>IF(AND($B13="Y",YEAR($B8)+$B10&gt;D$5),D16+D8*(D9-D16*0.5),IF((YEAR($B8)+$B10)&gt;D$5,(D9*D8/$B12-D15)*$B12,(D9*(1+D8*MONTH($B8)/12))))</f>
        <v>0</v>
      </c>
      <c r="E12" s="28">
        <f>IF(AND($B13="Y",YEAR($B8)+$B10&gt;E$5),E16+E8*(E9-E16*0.5),IF((YEAR($B8)+$B10)&gt;E$5,(E9*E8/$B12-E15)*$B12,(E9*(1+E8*MONTH($B8)/12))))</f>
        <v>0</v>
      </c>
      <c r="F12" s="28">
        <f t="shared" ref="F12:M12" si="4">IF(AND($B13="Y",YEAR($B8)+$B10&gt;F$5),F16+F8*(F9-F16*0.5),IF((YEAR($B8)+$B10)&gt;F$5,(F9*F8/$B12-F15)*$B12,(F9*(1+F8*MONTH($B8)/12))))</f>
        <v>0</v>
      </c>
      <c r="G12" s="28">
        <f t="shared" si="4"/>
        <v>0</v>
      </c>
      <c r="H12" s="28">
        <f t="shared" si="4"/>
        <v>0</v>
      </c>
      <c r="I12" s="28">
        <f t="shared" si="4"/>
        <v>0</v>
      </c>
      <c r="J12" s="28">
        <f t="shared" si="4"/>
        <v>0</v>
      </c>
      <c r="K12" s="28">
        <f t="shared" si="4"/>
        <v>0</v>
      </c>
      <c r="L12" s="28">
        <f t="shared" si="4"/>
        <v>0</v>
      </c>
      <c r="M12" s="28">
        <f t="shared" si="4"/>
        <v>0</v>
      </c>
    </row>
    <row r="13" spans="1:13" s="13" customFormat="1" ht="12.75" customHeight="1">
      <c r="A13" s="5" t="s">
        <v>767</v>
      </c>
      <c r="B13" s="131" t="s">
        <v>719</v>
      </c>
      <c r="C13" s="132" t="s">
        <v>768</v>
      </c>
      <c r="D13" s="140">
        <v>0</v>
      </c>
      <c r="E13" s="140">
        <v>0</v>
      </c>
      <c r="F13" s="140">
        <v>0</v>
      </c>
      <c r="G13" s="140">
        <v>0</v>
      </c>
      <c r="H13" s="140">
        <v>0</v>
      </c>
      <c r="I13" s="140">
        <v>0</v>
      </c>
      <c r="J13" s="140">
        <v>0</v>
      </c>
      <c r="K13" s="140">
        <v>0</v>
      </c>
      <c r="L13" s="140">
        <v>0</v>
      </c>
      <c r="M13" s="140">
        <v>0</v>
      </c>
    </row>
    <row r="14" spans="1:13" s="13" customFormat="1" ht="12.75" customHeight="1">
      <c r="A14" s="5" t="s">
        <v>182</v>
      </c>
      <c r="B14" s="131"/>
      <c r="C14" s="30" t="s">
        <v>175</v>
      </c>
      <c r="D14" s="28">
        <f t="shared" ref="D14:M14" si="5">D9+D10-D12-D13</f>
        <v>0</v>
      </c>
      <c r="E14" s="28">
        <f t="shared" si="5"/>
        <v>0</v>
      </c>
      <c r="F14" s="28">
        <f t="shared" si="5"/>
        <v>0</v>
      </c>
      <c r="G14" s="28">
        <f t="shared" si="5"/>
        <v>0</v>
      </c>
      <c r="H14" s="28">
        <f t="shared" si="5"/>
        <v>0</v>
      </c>
      <c r="I14" s="28">
        <f t="shared" si="5"/>
        <v>0</v>
      </c>
      <c r="J14" s="28">
        <f t="shared" si="5"/>
        <v>0</v>
      </c>
      <c r="K14" s="28">
        <f t="shared" si="5"/>
        <v>0</v>
      </c>
      <c r="L14" s="28">
        <f t="shared" si="5"/>
        <v>0</v>
      </c>
      <c r="M14" s="28">
        <f t="shared" si="5"/>
        <v>0</v>
      </c>
    </row>
    <row r="15" spans="1:13" s="13" customFormat="1" ht="12.75" hidden="1" customHeight="1">
      <c r="A15" s="5"/>
      <c r="B15" s="138"/>
      <c r="C15" s="5" t="s">
        <v>769</v>
      </c>
      <c r="D15" s="28" t="e">
        <f>PPMT(D8/$B12,1,ROUND(($B10-(D$5-YEAR($B8))+MONTH($B8)/12)*$B12,0),D9)</f>
        <v>#NUM!</v>
      </c>
      <c r="E15" s="28" t="e">
        <f>PPMT(E8/$B12,1,ROUND(($B10-(E$5-YEAR($B8))+MONTH($B8)/12)*$B12,0),E9)</f>
        <v>#NUM!</v>
      </c>
      <c r="F15" s="28" t="e">
        <f t="shared" ref="F15:M15" si="6">PPMT(F8/$B12,1,ROUND(($B10-(F$5-YEAR($B8))+MONTH($B8)/12)*$B12,0),F9)</f>
        <v>#NUM!</v>
      </c>
      <c r="G15" s="28" t="e">
        <f t="shared" si="6"/>
        <v>#NUM!</v>
      </c>
      <c r="H15" s="28" t="e">
        <f t="shared" si="6"/>
        <v>#NUM!</v>
      </c>
      <c r="I15" s="28" t="e">
        <f t="shared" si="6"/>
        <v>#NUM!</v>
      </c>
      <c r="J15" s="28" t="e">
        <f t="shared" si="6"/>
        <v>#NUM!</v>
      </c>
      <c r="K15" s="28" t="e">
        <f t="shared" si="6"/>
        <v>#NUM!</v>
      </c>
      <c r="L15" s="28" t="e">
        <f t="shared" si="6"/>
        <v>#NUM!</v>
      </c>
      <c r="M15" s="28" t="e">
        <f t="shared" si="6"/>
        <v>#NUM!</v>
      </c>
    </row>
    <row r="16" spans="1:13" s="13" customFormat="1" ht="12.75" hidden="1" customHeight="1">
      <c r="A16" s="5"/>
      <c r="B16" s="5"/>
      <c r="C16" s="5" t="s">
        <v>770</v>
      </c>
      <c r="D16" s="28">
        <f>IF(YEAR($B8)+$B10&gt;D$5,D9/(YEAR($B8)+$B10-D$5+MONTH($B8)/12),D9)</f>
        <v>0</v>
      </c>
      <c r="E16" s="28">
        <f t="shared" ref="E16:M16" si="7">IF(YEAR($B8)+$B10&gt;E$5,E9/(YEAR($B8)+$B10-E$5+MONTH($B8)/12),E9)</f>
        <v>0</v>
      </c>
      <c r="F16" s="28">
        <f t="shared" si="7"/>
        <v>0</v>
      </c>
      <c r="G16" s="28">
        <f t="shared" si="7"/>
        <v>0</v>
      </c>
      <c r="H16" s="28">
        <f t="shared" si="7"/>
        <v>0</v>
      </c>
      <c r="I16" s="28">
        <f t="shared" si="7"/>
        <v>0</v>
      </c>
      <c r="J16" s="28">
        <f t="shared" si="7"/>
        <v>0</v>
      </c>
      <c r="K16" s="28">
        <f t="shared" si="7"/>
        <v>0</v>
      </c>
      <c r="L16" s="28">
        <f t="shared" si="7"/>
        <v>0</v>
      </c>
      <c r="M16" s="28">
        <f t="shared" si="7"/>
        <v>0</v>
      </c>
    </row>
    <row r="17" spans="1:13" s="13" customFormat="1" ht="12.75" customHeight="1">
      <c r="A17" s="5"/>
      <c r="B17" s="5"/>
      <c r="C17" s="5"/>
      <c r="D17" s="28"/>
      <c r="E17" s="28"/>
      <c r="F17" s="28"/>
      <c r="G17" s="28"/>
      <c r="H17" s="28"/>
      <c r="I17" s="28"/>
      <c r="J17" s="28"/>
      <c r="K17" s="28"/>
      <c r="L17" s="28"/>
      <c r="M17" s="28"/>
    </row>
    <row r="18" spans="1:13" s="13" customFormat="1" ht="12.75" customHeight="1">
      <c r="A18" s="5"/>
      <c r="B18" s="5"/>
      <c r="C18" s="5"/>
      <c r="D18" s="28"/>
      <c r="E18" s="28"/>
      <c r="F18" s="28"/>
      <c r="G18" s="28"/>
      <c r="H18" s="28"/>
      <c r="I18" s="28"/>
      <c r="J18" s="28"/>
      <c r="K18" s="28"/>
      <c r="L18" s="28"/>
      <c r="M18" s="28"/>
    </row>
    <row r="19" spans="1:13" s="13" customFormat="1" ht="12.75" customHeight="1">
      <c r="A19" s="30" t="s">
        <v>642</v>
      </c>
      <c r="B19" s="99"/>
      <c r="C19" t="s">
        <v>800</v>
      </c>
      <c r="D19" s="161" t="s">
        <v>801</v>
      </c>
      <c r="E19" s="1"/>
      <c r="F19"/>
      <c r="G19"/>
      <c r="H19"/>
      <c r="I19"/>
      <c r="J19"/>
      <c r="K19"/>
      <c r="L19"/>
      <c r="M19"/>
    </row>
    <row r="20" spans="1:13" s="13" customFormat="1" ht="12.75" customHeight="1">
      <c r="A20" s="26" t="s">
        <v>677</v>
      </c>
      <c r="B20" s="133">
        <v>29373</v>
      </c>
      <c r="C20" s="5" t="s">
        <v>639</v>
      </c>
      <c r="D20" s="75">
        <f>IF($D19="V",Input!G$70,IF(AND($B26=D$5,Input!G$65&gt;0),Input!G$65,$B23))</f>
        <v>7.0000000000000007E-2</v>
      </c>
      <c r="E20" s="75">
        <f>IF($D19="V",Input!H$70,IF(AND($B26=E$5,Input!H$65&gt;0),Input!H$65,D20))</f>
        <v>7.0000000000000007E-2</v>
      </c>
      <c r="F20" s="75">
        <f>IF($D19="V",Input!I$70,IF(AND($B26=F$5,Input!I$65&gt;0),Input!I$65,E20))</f>
        <v>7.0000000000000007E-2</v>
      </c>
      <c r="G20" s="75">
        <f>IF($D19="V",Input!J$70,IF(AND($B26=G$5,Input!J$65&gt;0),Input!J$65,F20))</f>
        <v>7.0000000000000007E-2</v>
      </c>
      <c r="H20" s="75">
        <f>IF($D19="V",Input!K$70,IF(AND($B26=H$5,Input!K$65&gt;0),Input!K$65,G20))</f>
        <v>7.0000000000000007E-2</v>
      </c>
      <c r="I20" s="75">
        <f>IF($D19="V",Input!L$70,IF(AND($B26=I$5,Input!L$65&gt;0),Input!L$65,H20))</f>
        <v>7.0000000000000007E-2</v>
      </c>
      <c r="J20" s="75">
        <f>IF($D19="V",Input!M$70,IF(AND($B26=J$5,Input!M$65&gt;0),Input!M$65,I20))</f>
        <v>7.0000000000000007E-2</v>
      </c>
      <c r="K20" s="75">
        <f>IF($D19="V",Input!N$70,IF(AND($B26=K$5,Input!N$65&gt;0),Input!N$65,J20))</f>
        <v>7.0000000000000007E-2</v>
      </c>
      <c r="L20" s="75">
        <f>IF($D19="V",Input!O$70,IF(AND($B26=L$5,Input!O$65&gt;0),Input!O$65,K20))</f>
        <v>7.0000000000000007E-2</v>
      </c>
      <c r="M20" s="75">
        <f>IF($D19="V",Input!P$70,IF(AND($B26=M$5,Input!P$65&gt;0),Input!P$65,L20))</f>
        <v>7.0000000000000007E-2</v>
      </c>
    </row>
    <row r="21" spans="1:13" s="13" customFormat="1" ht="12.75" customHeight="1">
      <c r="A21" s="5" t="s">
        <v>361</v>
      </c>
      <c r="B21" s="135">
        <v>0</v>
      </c>
      <c r="C21" s="27" t="s">
        <v>173</v>
      </c>
      <c r="D21" s="140">
        <v>0</v>
      </c>
      <c r="E21" s="28">
        <f t="shared" ref="E21:M21" si="8">D26</f>
        <v>0</v>
      </c>
      <c r="F21" s="28">
        <f t="shared" si="8"/>
        <v>0</v>
      </c>
      <c r="G21" s="28">
        <f t="shared" si="8"/>
        <v>0</v>
      </c>
      <c r="H21" s="28">
        <f t="shared" si="8"/>
        <v>0</v>
      </c>
      <c r="I21" s="28">
        <f t="shared" si="8"/>
        <v>0</v>
      </c>
      <c r="J21" s="28">
        <f t="shared" si="8"/>
        <v>0</v>
      </c>
      <c r="K21" s="28">
        <f t="shared" si="8"/>
        <v>0</v>
      </c>
      <c r="L21" s="28">
        <f t="shared" si="8"/>
        <v>0</v>
      </c>
      <c r="M21" s="28">
        <f t="shared" si="8"/>
        <v>0</v>
      </c>
    </row>
    <row r="22" spans="1:13" s="13" customFormat="1" ht="12.75" customHeight="1">
      <c r="A22" s="26" t="s">
        <v>170</v>
      </c>
      <c r="B22" s="131">
        <v>35</v>
      </c>
      <c r="C22" s="29" t="s">
        <v>169</v>
      </c>
      <c r="D22" s="28">
        <f>D24-D23</f>
        <v>0</v>
      </c>
      <c r="E22" s="28">
        <f>E24-E23</f>
        <v>0</v>
      </c>
      <c r="F22" s="28">
        <f>F24-F23</f>
        <v>0</v>
      </c>
      <c r="G22" s="28">
        <f>G24-G23</f>
        <v>0</v>
      </c>
      <c r="H22" s="28">
        <f t="shared" ref="H22:M22" si="9">H24-H23</f>
        <v>0</v>
      </c>
      <c r="I22" s="28">
        <f t="shared" si="9"/>
        <v>0</v>
      </c>
      <c r="J22" s="28">
        <f t="shared" si="9"/>
        <v>0</v>
      </c>
      <c r="K22" s="28">
        <f t="shared" si="9"/>
        <v>0</v>
      </c>
      <c r="L22" s="28">
        <f t="shared" si="9"/>
        <v>0</v>
      </c>
      <c r="M22" s="28">
        <f t="shared" si="9"/>
        <v>0</v>
      </c>
    </row>
    <row r="23" spans="1:13" s="13" customFormat="1" ht="12.75" customHeight="1">
      <c r="A23" s="5" t="s">
        <v>172</v>
      </c>
      <c r="B23" s="134">
        <f>B11</f>
        <v>7.0000000000000007E-2</v>
      </c>
      <c r="C23" s="5" t="s">
        <v>174</v>
      </c>
      <c r="D23" s="28">
        <f>IF(AND($B25="Y",YEAR($B20)+$B22&gt;D$5),D28,IF((YEAR($B20)+$B22)&gt;D$5,FV(D20/$B24,$B24,D27),D21))</f>
        <v>0</v>
      </c>
      <c r="E23" s="28">
        <f>IF(AND($B25="Y",YEAR($B20)+$B22&gt;E$5),E28,IF((YEAR($B20)+$B22)&gt;E$5,FV(E20/$B24,$B24,E27),E21))</f>
        <v>0</v>
      </c>
      <c r="F23" s="28">
        <f>IF(AND($B25="Y",YEAR($B20)+$B22&gt;F$5),F28,IF((YEAR($B20)+$B22)&gt;F$5,FV(F20/$B24,$B24,F27),F21))</f>
        <v>0</v>
      </c>
      <c r="G23" s="28">
        <f>IF(AND($B25="Y",YEAR($B20)+$B22&gt;G$5),G28,IF((YEAR($B20)+$B22)&gt;G$5,FV(G20/$B24,$B24,G27),G21))</f>
        <v>0</v>
      </c>
      <c r="H23" s="28">
        <f t="shared" ref="H23:M23" si="10">IF(AND($B25="Y",YEAR($B20)+$B22&gt;H$5),H28,IF((YEAR($B20)+$B22)&gt;H$5,FV(H20/$B24,$B24,H27),H21))</f>
        <v>0</v>
      </c>
      <c r="I23" s="28">
        <f t="shared" si="10"/>
        <v>0</v>
      </c>
      <c r="J23" s="28">
        <f t="shared" si="10"/>
        <v>0</v>
      </c>
      <c r="K23" s="28">
        <f t="shared" si="10"/>
        <v>0</v>
      </c>
      <c r="L23" s="28">
        <f t="shared" si="10"/>
        <v>0</v>
      </c>
      <c r="M23" s="28">
        <f t="shared" si="10"/>
        <v>0</v>
      </c>
    </row>
    <row r="24" spans="1:13" s="13" customFormat="1" ht="12.75" customHeight="1">
      <c r="A24" s="5" t="s">
        <v>171</v>
      </c>
      <c r="B24" s="131">
        <v>4</v>
      </c>
      <c r="C24" s="78" t="s">
        <v>640</v>
      </c>
      <c r="D24" s="28">
        <f>IF(AND($B25="Y",YEAR($B20)+$B22&gt;D$5),D28+D20*(D21-D28*0.5),IF((YEAR($B20)+$B22)&gt;D$5,(D21*D20/$B24-D27)*$B24,(D21*(1+D20*MONTH($B20)/12))))</f>
        <v>0</v>
      </c>
      <c r="E24" s="28">
        <f>IF(AND($B25="Y",YEAR($B20)+$B22&gt;E$5),E28+E20*(E21-E28*0.5),IF((YEAR($B20)+$B22)&gt;E$5,(E21*E20/$B24-E27)*$B24,(E21*(1+E20*MONTH($B20)/12))))</f>
        <v>0</v>
      </c>
      <c r="F24" s="28">
        <f>IF(AND($B25="Y",YEAR($B20)+$B22&gt;F$5),F28+F20*(F21-F28*0.5),IF((YEAR($B20)+$B22)&gt;F$5,(F21*F20/$B24-F27)*$B24,(F21*(1+F20*MONTH($B20)/12))))</f>
        <v>0</v>
      </c>
      <c r="G24" s="28">
        <f>IF(AND($B25="Y",YEAR($B20)+$B22&gt;G$5),G28+G20*(G21-G28*0.5),IF((YEAR($B20)+$B22)&gt;G$5,(G21*G20/$B24-G27)*$B24,(G21*(1+G20*MONTH($B20)/12))))</f>
        <v>0</v>
      </c>
      <c r="H24" s="28">
        <f t="shared" ref="H24:M24" si="11">IF(AND($B25="Y",YEAR($B20)+$B22&gt;H$5),H28+H20*(H21-H28*0.5),IF((YEAR($B20)+$B22)&gt;H$5,(H21*H20/$B24-H27)*$B24,(H21*(1+H20*MONTH($B20)/12))))</f>
        <v>0</v>
      </c>
      <c r="I24" s="28">
        <f t="shared" si="11"/>
        <v>0</v>
      </c>
      <c r="J24" s="28">
        <f t="shared" si="11"/>
        <v>0</v>
      </c>
      <c r="K24" s="28">
        <f t="shared" si="11"/>
        <v>0</v>
      </c>
      <c r="L24" s="28">
        <f t="shared" si="11"/>
        <v>0</v>
      </c>
      <c r="M24" s="28">
        <f t="shared" si="11"/>
        <v>0</v>
      </c>
    </row>
    <row r="25" spans="1:13" s="13" customFormat="1" ht="12.75" customHeight="1">
      <c r="A25" s="5" t="s">
        <v>767</v>
      </c>
      <c r="B25" s="131" t="s">
        <v>719</v>
      </c>
      <c r="C25" s="132" t="s">
        <v>768</v>
      </c>
      <c r="D25" s="140">
        <v>0</v>
      </c>
      <c r="E25" s="140">
        <v>0</v>
      </c>
      <c r="F25" s="140">
        <v>0</v>
      </c>
      <c r="G25" s="140">
        <v>0</v>
      </c>
      <c r="H25" s="140">
        <v>0</v>
      </c>
      <c r="I25" s="140">
        <v>0</v>
      </c>
      <c r="J25" s="140">
        <v>0</v>
      </c>
      <c r="K25" s="140">
        <v>0</v>
      </c>
      <c r="L25" s="140">
        <v>0</v>
      </c>
      <c r="M25" s="140">
        <v>0</v>
      </c>
    </row>
    <row r="26" spans="1:13" s="13" customFormat="1" ht="12.75" customHeight="1">
      <c r="A26" s="5" t="s">
        <v>182</v>
      </c>
      <c r="B26" s="131"/>
      <c r="C26" s="30" t="s">
        <v>175</v>
      </c>
      <c r="D26" s="28">
        <f t="shared" ref="D26:M26" si="12">D21+D22-D24-D25</f>
        <v>0</v>
      </c>
      <c r="E26" s="28">
        <f t="shared" si="12"/>
        <v>0</v>
      </c>
      <c r="F26" s="28">
        <f t="shared" si="12"/>
        <v>0</v>
      </c>
      <c r="G26" s="28">
        <f t="shared" si="12"/>
        <v>0</v>
      </c>
      <c r="H26" s="28">
        <f t="shared" si="12"/>
        <v>0</v>
      </c>
      <c r="I26" s="28">
        <f t="shared" si="12"/>
        <v>0</v>
      </c>
      <c r="J26" s="28">
        <f t="shared" si="12"/>
        <v>0</v>
      </c>
      <c r="K26" s="28">
        <f t="shared" si="12"/>
        <v>0</v>
      </c>
      <c r="L26" s="28">
        <f t="shared" si="12"/>
        <v>0</v>
      </c>
      <c r="M26" s="28">
        <f t="shared" si="12"/>
        <v>0</v>
      </c>
    </row>
    <row r="27" spans="1:13" s="13" customFormat="1" ht="12.75" hidden="1" customHeight="1">
      <c r="A27" s="5"/>
      <c r="B27" s="138"/>
      <c r="C27" s="5" t="s">
        <v>769</v>
      </c>
      <c r="D27" s="28" t="e">
        <f>PPMT(D20/$B24,1,ROUND(($B22-(D$5-YEAR($B20))+MONTH($B20)/12)*$B24,0),D21)</f>
        <v>#NUM!</v>
      </c>
      <c r="E27" s="28" t="e">
        <f>PPMT(E20/$B24,1,ROUND(($B22-(E$5-YEAR($B20))+MONTH($B20)/12)*$B24,0),E21)</f>
        <v>#NUM!</v>
      </c>
      <c r="F27" s="28" t="e">
        <f>PPMT(F20/$B24,1,ROUND(($B22-(F$5-YEAR($B20))+MONTH($B20)/12)*$B24,0),F21)</f>
        <v>#NUM!</v>
      </c>
      <c r="G27" s="28" t="e">
        <f>PPMT(G20/$B24,1,ROUND(($B22-(G$5-YEAR($B20))+MONTH($B20)/12)*$B24,0),G21)</f>
        <v>#NUM!</v>
      </c>
      <c r="H27" s="28" t="e">
        <f t="shared" ref="H27:M27" si="13">PPMT(H20/$B24,1,ROUND(($B22-(H$5-YEAR($B20))+MONTH($B20)/12)*$B24,0),H21)</f>
        <v>#NUM!</v>
      </c>
      <c r="I27" s="28" t="e">
        <f t="shared" si="13"/>
        <v>#NUM!</v>
      </c>
      <c r="J27" s="28" t="e">
        <f t="shared" si="13"/>
        <v>#NUM!</v>
      </c>
      <c r="K27" s="28" t="e">
        <f t="shared" si="13"/>
        <v>#NUM!</v>
      </c>
      <c r="L27" s="28" t="e">
        <f t="shared" si="13"/>
        <v>#NUM!</v>
      </c>
      <c r="M27" s="28" t="e">
        <f t="shared" si="13"/>
        <v>#NUM!</v>
      </c>
    </row>
    <row r="28" spans="1:13" s="13" customFormat="1" ht="12.75" hidden="1" customHeight="1">
      <c r="A28" s="5"/>
      <c r="B28" s="5"/>
      <c r="C28" s="5" t="s">
        <v>770</v>
      </c>
      <c r="D28" s="28">
        <f>IF(YEAR($B20)+$B22&gt;D$5,D21/(YEAR($B20)+$B22-D$5+MONTH($B20)/12),D21)</f>
        <v>0</v>
      </c>
      <c r="E28" s="28">
        <f>IF(YEAR($B20)+$B22&gt;E$5,E21/(YEAR($B20)+$B22-E$5+MONTH($B20)/12),E21)</f>
        <v>0</v>
      </c>
      <c r="F28" s="28">
        <f>IF(YEAR($B20)+$B22&gt;F$5,F21/(YEAR($B20)+$B22-F$5+MONTH($B20)/12),F21)</f>
        <v>0</v>
      </c>
      <c r="G28" s="28">
        <f t="shared" ref="G28:M28" si="14">IF(YEAR($B20)+$B22&gt;G$5,G21/(YEAR($B20)+$B22-G$5+MONTH($B20)/12),G21)</f>
        <v>0</v>
      </c>
      <c r="H28" s="28">
        <f t="shared" si="14"/>
        <v>0</v>
      </c>
      <c r="I28" s="28">
        <f t="shared" si="14"/>
        <v>0</v>
      </c>
      <c r="J28" s="28">
        <f t="shared" si="14"/>
        <v>0</v>
      </c>
      <c r="K28" s="28">
        <f t="shared" si="14"/>
        <v>0</v>
      </c>
      <c r="L28" s="28">
        <f t="shared" si="14"/>
        <v>0</v>
      </c>
      <c r="M28" s="28">
        <f t="shared" si="14"/>
        <v>0</v>
      </c>
    </row>
    <row r="29" spans="1:13" s="13" customFormat="1" ht="12.75" customHeight="1">
      <c r="A29" s="5"/>
      <c r="B29" s="5"/>
      <c r="C29" s="5"/>
      <c r="D29" s="28"/>
      <c r="E29" s="28"/>
      <c r="F29" s="28"/>
      <c r="G29" s="28"/>
      <c r="H29" s="28"/>
      <c r="I29" s="28"/>
      <c r="J29" s="28"/>
      <c r="K29" s="28"/>
      <c r="L29" s="28"/>
      <c r="M29" s="28"/>
    </row>
    <row r="30" spans="1:13" s="13" customFormat="1" ht="12.75" customHeight="1">
      <c r="A30" s="5"/>
      <c r="B30" s="5"/>
      <c r="C30" s="5"/>
      <c r="D30" s="28"/>
      <c r="E30" s="28"/>
      <c r="F30" s="28"/>
      <c r="G30" s="28"/>
      <c r="H30" s="28"/>
      <c r="I30" s="28"/>
      <c r="J30" s="28"/>
      <c r="K30" s="28"/>
      <c r="L30" s="28"/>
      <c r="M30" s="28"/>
    </row>
    <row r="31" spans="1:13" s="13" customFormat="1" ht="12.75" customHeight="1">
      <c r="A31" s="30" t="s">
        <v>643</v>
      </c>
      <c r="B31" s="99"/>
      <c r="C31" t="s">
        <v>800</v>
      </c>
      <c r="D31" s="161" t="s">
        <v>801</v>
      </c>
      <c r="E31" s="1"/>
      <c r="F31"/>
      <c r="G31"/>
      <c r="H31"/>
      <c r="I31"/>
      <c r="J31"/>
      <c r="K31"/>
      <c r="L31"/>
      <c r="M31"/>
    </row>
    <row r="32" spans="1:13" s="13" customFormat="1" ht="12.75" customHeight="1">
      <c r="A32" s="26" t="s">
        <v>677</v>
      </c>
      <c r="B32" s="133">
        <v>29373</v>
      </c>
      <c r="C32" s="5" t="s">
        <v>639</v>
      </c>
      <c r="D32" s="75">
        <f>IF($D31="V",Input!G$70,IF(AND($B38=D$5,Input!G$65&gt;0),Input!G$65,$B35))</f>
        <v>7.0000000000000007E-2</v>
      </c>
      <c r="E32" s="75">
        <f>IF($D31="V",Input!H$70,IF(AND($B38=E$5,Input!H$65&gt;0),Input!H$65,D32))</f>
        <v>7.0000000000000007E-2</v>
      </c>
      <c r="F32" s="75">
        <f>IF($D31="V",Input!I$70,IF(AND($B38=F$5,Input!I$65&gt;0),Input!I$65,E32))</f>
        <v>7.0000000000000007E-2</v>
      </c>
      <c r="G32" s="75">
        <f>IF($D31="V",Input!J$70,IF(AND($B38=G$5,Input!J$65&gt;0),Input!J$65,F32))</f>
        <v>7.0000000000000007E-2</v>
      </c>
      <c r="H32" s="75">
        <f>IF($D31="V",Input!K$70,IF(AND($B38=H$5,Input!K$65&gt;0),Input!K$65,G32))</f>
        <v>7.0000000000000007E-2</v>
      </c>
      <c r="I32" s="75">
        <f>IF($D31="V",Input!L$70,IF(AND($B38=I$5,Input!L$65&gt;0),Input!L$65,H32))</f>
        <v>7.0000000000000007E-2</v>
      </c>
      <c r="J32" s="75">
        <f>IF($D31="V",Input!M$70,IF(AND($B38=J$5,Input!M$65&gt;0),Input!M$65,I32))</f>
        <v>7.0000000000000007E-2</v>
      </c>
      <c r="K32" s="75">
        <f>IF($D31="V",Input!N$70,IF(AND($B38=K$5,Input!N$65&gt;0),Input!N$65,J32))</f>
        <v>7.0000000000000007E-2</v>
      </c>
      <c r="L32" s="75">
        <f>IF($D31="V",Input!O$70,IF(AND($B38=L$5,Input!O$65&gt;0),Input!O$65,K32))</f>
        <v>7.0000000000000007E-2</v>
      </c>
      <c r="M32" s="75">
        <f>IF($D31="V",Input!P$70,IF(AND($B38=M$5,Input!P$65&gt;0),Input!P$65,L32))</f>
        <v>7.0000000000000007E-2</v>
      </c>
    </row>
    <row r="33" spans="1:13" s="13" customFormat="1" ht="12.75" customHeight="1">
      <c r="A33" s="5" t="s">
        <v>361</v>
      </c>
      <c r="B33" s="135">
        <v>0</v>
      </c>
      <c r="C33" s="27" t="s">
        <v>173</v>
      </c>
      <c r="D33" s="140">
        <v>0</v>
      </c>
      <c r="E33" s="28">
        <f t="shared" ref="E33:M33" si="15">D38</f>
        <v>0</v>
      </c>
      <c r="F33" s="28">
        <f t="shared" si="15"/>
        <v>0</v>
      </c>
      <c r="G33" s="28">
        <f t="shared" si="15"/>
        <v>0</v>
      </c>
      <c r="H33" s="28">
        <f t="shared" si="15"/>
        <v>0</v>
      </c>
      <c r="I33" s="28">
        <f t="shared" si="15"/>
        <v>0</v>
      </c>
      <c r="J33" s="28">
        <f t="shared" si="15"/>
        <v>0</v>
      </c>
      <c r="K33" s="28">
        <f t="shared" si="15"/>
        <v>0</v>
      </c>
      <c r="L33" s="28">
        <f t="shared" si="15"/>
        <v>0</v>
      </c>
      <c r="M33" s="28">
        <f t="shared" si="15"/>
        <v>0</v>
      </c>
    </row>
    <row r="34" spans="1:13" s="13" customFormat="1" ht="12.75" customHeight="1">
      <c r="A34" s="26" t="s">
        <v>170</v>
      </c>
      <c r="B34" s="131">
        <v>35</v>
      </c>
      <c r="C34" s="29" t="s">
        <v>169</v>
      </c>
      <c r="D34" s="28">
        <f>D36-D35</f>
        <v>0</v>
      </c>
      <c r="E34" s="28">
        <f>E36-E35</f>
        <v>0</v>
      </c>
      <c r="F34" s="28">
        <f>F36-F35</f>
        <v>0</v>
      </c>
      <c r="G34" s="28">
        <f>G36-G35</f>
        <v>0</v>
      </c>
      <c r="H34" s="28">
        <f t="shared" ref="H34:M34" si="16">H36-H35</f>
        <v>0</v>
      </c>
      <c r="I34" s="28">
        <f t="shared" si="16"/>
        <v>0</v>
      </c>
      <c r="J34" s="28">
        <f t="shared" si="16"/>
        <v>0</v>
      </c>
      <c r="K34" s="28">
        <f t="shared" si="16"/>
        <v>0</v>
      </c>
      <c r="L34" s="28">
        <f t="shared" si="16"/>
        <v>0</v>
      </c>
      <c r="M34" s="28">
        <f t="shared" si="16"/>
        <v>0</v>
      </c>
    </row>
    <row r="35" spans="1:13" s="13" customFormat="1" ht="12.75" customHeight="1">
      <c r="A35" s="5" t="s">
        <v>172</v>
      </c>
      <c r="B35" s="134">
        <f>B23</f>
        <v>7.0000000000000007E-2</v>
      </c>
      <c r="C35" s="5" t="s">
        <v>174</v>
      </c>
      <c r="D35" s="28">
        <f>IF(AND($B37="Y",YEAR($B32)+$B34&gt;D$5),D40,IF((YEAR($B32)+$B34)&gt;D$5,FV(D32/$B36,$B36,D39),D33))</f>
        <v>0</v>
      </c>
      <c r="E35" s="28">
        <f>IF(AND($B37="Y",YEAR($B32)+$B34&gt;E$5),E40,IF((YEAR($B32)+$B34)&gt;E$5,FV(E32/$B36,$B36,E39),E33))</f>
        <v>0</v>
      </c>
      <c r="F35" s="28">
        <f>IF(AND($B37="Y",YEAR($B32)+$B34&gt;F$5),F40,IF((YEAR($B32)+$B34)&gt;F$5,FV(F32/$B36,$B36,F39),F33))</f>
        <v>0</v>
      </c>
      <c r="G35" s="28">
        <f>IF(AND($B37="Y",YEAR($B32)+$B34&gt;G$5),G40,IF((YEAR($B32)+$B34)&gt;G$5,FV(G32/$B36,$B36,G39),G33))</f>
        <v>0</v>
      </c>
      <c r="H35" s="28">
        <f t="shared" ref="H35:M35" si="17">IF(AND($B37="Y",YEAR($B32)+$B34&gt;H$5),H40,IF((YEAR($B32)+$B34)&gt;H$5,FV(H32/$B36,$B36,H39),H33))</f>
        <v>0</v>
      </c>
      <c r="I35" s="28">
        <f t="shared" si="17"/>
        <v>0</v>
      </c>
      <c r="J35" s="28">
        <f t="shared" si="17"/>
        <v>0</v>
      </c>
      <c r="K35" s="28">
        <f t="shared" si="17"/>
        <v>0</v>
      </c>
      <c r="L35" s="28">
        <f t="shared" si="17"/>
        <v>0</v>
      </c>
      <c r="M35" s="28">
        <f t="shared" si="17"/>
        <v>0</v>
      </c>
    </row>
    <row r="36" spans="1:13" s="13" customFormat="1" ht="12.75" customHeight="1">
      <c r="A36" s="5" t="s">
        <v>171</v>
      </c>
      <c r="B36" s="131">
        <v>4</v>
      </c>
      <c r="C36" s="78" t="s">
        <v>640</v>
      </c>
      <c r="D36" s="28">
        <f>IF(AND($B37="Y",YEAR($B32)+$B34&gt;D$5),D40+D32*(D33-D40*0.5),IF((YEAR($B32)+$B34)&gt;D$5,(D33*D32/$B36-D39)*$B36,(D33*(1+D32*MONTH($B32)/12))))</f>
        <v>0</v>
      </c>
      <c r="E36" s="28">
        <f>IF(AND($B37="Y",YEAR($B32)+$B34&gt;E$5),E40+E32*(E33-E40*0.5),IF((YEAR($B32)+$B34)&gt;E$5,(E33*E32/$B36-E39)*$B36,(E33*(1+E32*MONTH($B32)/12))))</f>
        <v>0</v>
      </c>
      <c r="F36" s="28">
        <f>IF(AND($B37="Y",YEAR($B32)+$B34&gt;F$5),F40+F32*(F33-F40*0.5),IF((YEAR($B32)+$B34)&gt;F$5,(F33*F32/$B36-F39)*$B36,(F33*(1+F32*MONTH($B32)/12))))</f>
        <v>0</v>
      </c>
      <c r="G36" s="28">
        <f>IF(AND($B37="Y",YEAR($B32)+$B34&gt;G$5),G40+G32*(G33-G40*0.5),IF((YEAR($B32)+$B34)&gt;G$5,(G33*G32/$B36-G39)*$B36,(G33*(1+G32*MONTH($B32)/12))))</f>
        <v>0</v>
      </c>
      <c r="H36" s="28">
        <f t="shared" ref="H36:M36" si="18">IF(AND($B37="Y",YEAR($B32)+$B34&gt;H$5),H40+H32*(H33-H40*0.5),IF((YEAR($B32)+$B34)&gt;H$5,(H33*H32/$B36-H39)*$B36,(H33*(1+H32*MONTH($B32)/12))))</f>
        <v>0</v>
      </c>
      <c r="I36" s="28">
        <f t="shared" si="18"/>
        <v>0</v>
      </c>
      <c r="J36" s="28">
        <f t="shared" si="18"/>
        <v>0</v>
      </c>
      <c r="K36" s="28">
        <f t="shared" si="18"/>
        <v>0</v>
      </c>
      <c r="L36" s="28">
        <f t="shared" si="18"/>
        <v>0</v>
      </c>
      <c r="M36" s="28">
        <f t="shared" si="18"/>
        <v>0</v>
      </c>
    </row>
    <row r="37" spans="1:13" s="13" customFormat="1" ht="12.75" customHeight="1">
      <c r="A37" s="5" t="s">
        <v>767</v>
      </c>
      <c r="B37" s="131" t="s">
        <v>719</v>
      </c>
      <c r="C37" s="132" t="s">
        <v>768</v>
      </c>
      <c r="D37" s="140">
        <v>0</v>
      </c>
      <c r="E37" s="140">
        <v>0</v>
      </c>
      <c r="F37" s="140">
        <v>0</v>
      </c>
      <c r="G37" s="140">
        <v>0</v>
      </c>
      <c r="H37" s="140">
        <v>0</v>
      </c>
      <c r="I37" s="140">
        <v>0</v>
      </c>
      <c r="J37" s="140">
        <v>0</v>
      </c>
      <c r="K37" s="140">
        <v>0</v>
      </c>
      <c r="L37" s="140">
        <v>0</v>
      </c>
      <c r="M37" s="140">
        <v>0</v>
      </c>
    </row>
    <row r="38" spans="1:13" s="13" customFormat="1" ht="12.75" customHeight="1">
      <c r="A38" s="5" t="s">
        <v>182</v>
      </c>
      <c r="B38" s="131"/>
      <c r="C38" s="30" t="s">
        <v>175</v>
      </c>
      <c r="D38" s="28">
        <f t="shared" ref="D38:M38" si="19">D33+D34-D36-D37</f>
        <v>0</v>
      </c>
      <c r="E38" s="28">
        <f t="shared" si="19"/>
        <v>0</v>
      </c>
      <c r="F38" s="28">
        <f t="shared" si="19"/>
        <v>0</v>
      </c>
      <c r="G38" s="28">
        <f t="shared" si="19"/>
        <v>0</v>
      </c>
      <c r="H38" s="28">
        <f t="shared" si="19"/>
        <v>0</v>
      </c>
      <c r="I38" s="28">
        <f t="shared" si="19"/>
        <v>0</v>
      </c>
      <c r="J38" s="28">
        <f t="shared" si="19"/>
        <v>0</v>
      </c>
      <c r="K38" s="28">
        <f t="shared" si="19"/>
        <v>0</v>
      </c>
      <c r="L38" s="28">
        <f t="shared" si="19"/>
        <v>0</v>
      </c>
      <c r="M38" s="28">
        <f t="shared" si="19"/>
        <v>0</v>
      </c>
    </row>
    <row r="39" spans="1:13" s="13" customFormat="1" ht="12.75" hidden="1" customHeight="1">
      <c r="A39" s="5"/>
      <c r="B39" s="138"/>
      <c r="C39" s="5" t="s">
        <v>769</v>
      </c>
      <c r="D39" s="28" t="e">
        <f>PPMT(D32/$B36,1,ROUND(($B34-(D$5-YEAR($B32))+MONTH($B32)/12)*$B36,0),D33)</f>
        <v>#NUM!</v>
      </c>
      <c r="E39" s="28" t="e">
        <f>PPMT(E32/$B36,1,ROUND(($B34-(E$5-YEAR($B32))+MONTH($B32)/12)*$B36,0),E33)</f>
        <v>#NUM!</v>
      </c>
      <c r="F39" s="28" t="e">
        <f>PPMT(F32/$B36,1,ROUND(($B34-(F$5-YEAR($B32))+MONTH($B32)/12)*$B36,0),F33)</f>
        <v>#NUM!</v>
      </c>
      <c r="G39" s="28" t="e">
        <f>PPMT(G32/$B36,1,ROUND(($B34-(G$5-YEAR($B32))+MONTH($B32)/12)*$B36,0),G33)</f>
        <v>#NUM!</v>
      </c>
      <c r="H39" s="28" t="e">
        <f t="shared" ref="H39:M39" si="20">PPMT(H32/$B36,1,ROUND(($B34-(H$5-YEAR($B32))+MONTH($B32)/12)*$B36,0),H33)</f>
        <v>#NUM!</v>
      </c>
      <c r="I39" s="28" t="e">
        <f t="shared" si="20"/>
        <v>#NUM!</v>
      </c>
      <c r="J39" s="28" t="e">
        <f t="shared" si="20"/>
        <v>#NUM!</v>
      </c>
      <c r="K39" s="28" t="e">
        <f t="shared" si="20"/>
        <v>#NUM!</v>
      </c>
      <c r="L39" s="28" t="e">
        <f t="shared" si="20"/>
        <v>#NUM!</v>
      </c>
      <c r="M39" s="28" t="e">
        <f t="shared" si="20"/>
        <v>#NUM!</v>
      </c>
    </row>
    <row r="40" spans="1:13" s="13" customFormat="1" ht="12.75" hidden="1" customHeight="1">
      <c r="A40" s="5"/>
      <c r="B40" s="5"/>
      <c r="C40" s="5" t="s">
        <v>770</v>
      </c>
      <c r="D40" s="28">
        <f>IF(YEAR($B32)+$B34&gt;D$5,D33/(YEAR($B32)+$B34-D$5+MONTH($B32)/12),D33)</f>
        <v>0</v>
      </c>
      <c r="E40" s="28">
        <f>IF(YEAR($B32)+$B34&gt;E$5,E33/(YEAR($B32)+$B34-E$5+MONTH($B32)/12),E33)</f>
        <v>0</v>
      </c>
      <c r="F40" s="28">
        <f>IF(YEAR($B32)+$B34&gt;F$5,F33/(YEAR($B32)+$B34-F$5+MONTH($B32)/12),F33)</f>
        <v>0</v>
      </c>
      <c r="G40" s="28">
        <f t="shared" ref="G40:M40" si="21">IF(YEAR($B32)+$B34&gt;G$5,G33/(YEAR($B32)+$B34-G$5+MONTH($B32)/12),G33)</f>
        <v>0</v>
      </c>
      <c r="H40" s="28">
        <f t="shared" si="21"/>
        <v>0</v>
      </c>
      <c r="I40" s="28">
        <f t="shared" si="21"/>
        <v>0</v>
      </c>
      <c r="J40" s="28">
        <f t="shared" si="21"/>
        <v>0</v>
      </c>
      <c r="K40" s="28">
        <f t="shared" si="21"/>
        <v>0</v>
      </c>
      <c r="L40" s="28">
        <f t="shared" si="21"/>
        <v>0</v>
      </c>
      <c r="M40" s="28">
        <f t="shared" si="21"/>
        <v>0</v>
      </c>
    </row>
    <row r="41" spans="1:13" s="13" customFormat="1" ht="12.75" customHeight="1">
      <c r="A41" s="5"/>
      <c r="B41" s="5"/>
      <c r="C41" s="5"/>
      <c r="D41" s="39"/>
      <c r="E41" s="39"/>
      <c r="F41" s="39"/>
      <c r="G41" s="39"/>
      <c r="H41" s="39"/>
      <c r="I41" s="39"/>
      <c r="J41" s="39"/>
      <c r="K41" s="39"/>
      <c r="L41" s="39"/>
      <c r="M41" s="39"/>
    </row>
    <row r="42" spans="1:13" s="13" customFormat="1" ht="12.75" customHeight="1">
      <c r="A42" s="5"/>
      <c r="B42" s="5"/>
      <c r="C42" s="5"/>
    </row>
    <row r="43" spans="1:13" s="13" customFormat="1" ht="12.75" customHeight="1">
      <c r="A43" s="30" t="s">
        <v>644</v>
      </c>
      <c r="B43" s="99"/>
      <c r="C43" t="s">
        <v>800</v>
      </c>
      <c r="D43" s="161" t="s">
        <v>801</v>
      </c>
      <c r="E43" s="1"/>
      <c r="F43"/>
      <c r="G43"/>
      <c r="H43"/>
      <c r="I43"/>
      <c r="J43"/>
      <c r="K43"/>
      <c r="L43"/>
      <c r="M43"/>
    </row>
    <row r="44" spans="1:13" s="13" customFormat="1" ht="12.75" customHeight="1">
      <c r="A44" s="26" t="s">
        <v>677</v>
      </c>
      <c r="B44" s="133">
        <v>29373</v>
      </c>
      <c r="C44" s="5" t="s">
        <v>639</v>
      </c>
      <c r="D44" s="75">
        <f>IF($D43="V",Input!G$70,IF(AND($B50=D$5,Input!G$65&gt;0),Input!G$65,$B47))</f>
        <v>7.0000000000000007E-2</v>
      </c>
      <c r="E44" s="75">
        <f>IF($D43="V",Input!H$70,IF(AND($B50=E$5,Input!H$65&gt;0),Input!H$65,D44))</f>
        <v>7.0000000000000007E-2</v>
      </c>
      <c r="F44" s="75">
        <f>IF($D43="V",Input!I$70,IF(AND($B50=F$5,Input!I$65&gt;0),Input!I$65,E44))</f>
        <v>7.0000000000000007E-2</v>
      </c>
      <c r="G44" s="75">
        <f>IF($D43="V",Input!J$70,IF(AND($B50=G$5,Input!J$65&gt;0),Input!J$65,F44))</f>
        <v>7.0000000000000007E-2</v>
      </c>
      <c r="H44" s="75">
        <f>IF($D43="V",Input!K$70,IF(AND($B50=H$5,Input!K$65&gt;0),Input!K$65,G44))</f>
        <v>7.0000000000000007E-2</v>
      </c>
      <c r="I44" s="75">
        <f>IF($D43="V",Input!L$70,IF(AND($B50=I$5,Input!L$65&gt;0),Input!L$65,H44))</f>
        <v>7.0000000000000007E-2</v>
      </c>
      <c r="J44" s="75">
        <f>IF($D43="V",Input!M$70,IF(AND($B50=J$5,Input!M$65&gt;0),Input!M$65,I44))</f>
        <v>7.0000000000000007E-2</v>
      </c>
      <c r="K44" s="75">
        <f>IF($D43="V",Input!N$70,IF(AND($B50=K$5,Input!N$65&gt;0),Input!N$65,J44))</f>
        <v>7.0000000000000007E-2</v>
      </c>
      <c r="L44" s="75">
        <f>IF($D43="V",Input!O$70,IF(AND($B50=L$5,Input!O$65&gt;0),Input!O$65,K44))</f>
        <v>7.0000000000000007E-2</v>
      </c>
      <c r="M44" s="75">
        <f>IF($D43="V",Input!P$70,IF(AND($B50=M$5,Input!P$65&gt;0),Input!P$65,L44))</f>
        <v>7.0000000000000007E-2</v>
      </c>
    </row>
    <row r="45" spans="1:13" s="13" customFormat="1" ht="12.75" customHeight="1">
      <c r="A45" s="5" t="s">
        <v>361</v>
      </c>
      <c r="B45" s="135">
        <v>0</v>
      </c>
      <c r="C45" s="27" t="s">
        <v>173</v>
      </c>
      <c r="D45" s="140">
        <v>0</v>
      </c>
      <c r="E45" s="28">
        <f t="shared" ref="E45:M45" si="22">D50</f>
        <v>0</v>
      </c>
      <c r="F45" s="28">
        <f t="shared" si="22"/>
        <v>0</v>
      </c>
      <c r="G45" s="28">
        <f t="shared" si="22"/>
        <v>0</v>
      </c>
      <c r="H45" s="28">
        <f t="shared" si="22"/>
        <v>0</v>
      </c>
      <c r="I45" s="28">
        <f t="shared" si="22"/>
        <v>0</v>
      </c>
      <c r="J45" s="28">
        <f t="shared" si="22"/>
        <v>0</v>
      </c>
      <c r="K45" s="28">
        <f t="shared" si="22"/>
        <v>0</v>
      </c>
      <c r="L45" s="28">
        <f t="shared" si="22"/>
        <v>0</v>
      </c>
      <c r="M45" s="28">
        <f t="shared" si="22"/>
        <v>0</v>
      </c>
    </row>
    <row r="46" spans="1:13" s="13" customFormat="1" ht="12.75" customHeight="1">
      <c r="A46" s="26" t="s">
        <v>170</v>
      </c>
      <c r="B46" s="131">
        <v>35</v>
      </c>
      <c r="C46" s="29" t="s">
        <v>169</v>
      </c>
      <c r="D46" s="28">
        <f>D48-D47</f>
        <v>0</v>
      </c>
      <c r="E46" s="28">
        <f>E48-E47</f>
        <v>0</v>
      </c>
      <c r="F46" s="28">
        <f>F48-F47</f>
        <v>0</v>
      </c>
      <c r="G46" s="28">
        <f>G48-G47</f>
        <v>0</v>
      </c>
      <c r="H46" s="28">
        <f t="shared" ref="H46:M46" si="23">H48-H47</f>
        <v>0</v>
      </c>
      <c r="I46" s="28">
        <f t="shared" si="23"/>
        <v>0</v>
      </c>
      <c r="J46" s="28">
        <f t="shared" si="23"/>
        <v>0</v>
      </c>
      <c r="K46" s="28">
        <f t="shared" si="23"/>
        <v>0</v>
      </c>
      <c r="L46" s="28">
        <f t="shared" si="23"/>
        <v>0</v>
      </c>
      <c r="M46" s="28">
        <f t="shared" si="23"/>
        <v>0</v>
      </c>
    </row>
    <row r="47" spans="1:13" s="13" customFormat="1" ht="12.75" customHeight="1">
      <c r="A47" s="5" t="s">
        <v>172</v>
      </c>
      <c r="B47" s="134">
        <f>B35</f>
        <v>7.0000000000000007E-2</v>
      </c>
      <c r="C47" s="5" t="s">
        <v>174</v>
      </c>
      <c r="D47" s="28">
        <f>IF(AND($B49="Y",YEAR($B44)+$B46&gt;D$5),D52,IF((YEAR($B44)+$B46)&gt;D$5,FV(D44/$B48,$B48,D51),D45))</f>
        <v>0</v>
      </c>
      <c r="E47" s="28">
        <f>IF(AND($B49="Y",YEAR($B44)+$B46&gt;E$5),E52,IF((YEAR($B44)+$B46)&gt;E$5,FV(E44/$B48,$B48,E51),E45))</f>
        <v>0</v>
      </c>
      <c r="F47" s="28">
        <f>IF(AND($B49="Y",YEAR($B44)+$B46&gt;F$5),F52,IF((YEAR($B44)+$B46)&gt;F$5,FV(F44/$B48,$B48,F51),F45))</f>
        <v>0</v>
      </c>
      <c r="G47" s="28">
        <f>IF(AND($B49="Y",YEAR($B44)+$B46&gt;G$5),G52,IF((YEAR($B44)+$B46)&gt;G$5,FV(G44/$B48,$B48,G51),G45))</f>
        <v>0</v>
      </c>
      <c r="H47" s="28">
        <f t="shared" ref="H47:M47" si="24">IF(AND($B49="Y",YEAR($B44)+$B46&gt;H$5),H52,IF((YEAR($B44)+$B46)&gt;H$5,FV(H44/$B48,$B48,H51),H45))</f>
        <v>0</v>
      </c>
      <c r="I47" s="28">
        <f t="shared" si="24"/>
        <v>0</v>
      </c>
      <c r="J47" s="28">
        <f t="shared" si="24"/>
        <v>0</v>
      </c>
      <c r="K47" s="28">
        <f t="shared" si="24"/>
        <v>0</v>
      </c>
      <c r="L47" s="28">
        <f t="shared" si="24"/>
        <v>0</v>
      </c>
      <c r="M47" s="28">
        <f t="shared" si="24"/>
        <v>0</v>
      </c>
    </row>
    <row r="48" spans="1:13" s="13" customFormat="1" ht="12.75" customHeight="1">
      <c r="A48" s="5" t="s">
        <v>171</v>
      </c>
      <c r="B48" s="131">
        <v>4</v>
      </c>
      <c r="C48" s="78" t="s">
        <v>640</v>
      </c>
      <c r="D48" s="28">
        <f>IF(AND($B49="Y",YEAR($B44)+$B46&gt;D$5),D52+D44*(D45-D52*0.5),IF((YEAR($B44)+$B46)&gt;D$5,(D45*D44/$B48-D51)*$B48,(D45*(1+D44*MONTH($B44)/12))))</f>
        <v>0</v>
      </c>
      <c r="E48" s="28">
        <f>IF(AND($B49="Y",YEAR($B44)+$B46&gt;E$5),E52+E44*(E45-E52*0.5),IF((YEAR($B44)+$B46)&gt;E$5,(E45*E44/$B48-E51)*$B48,(E45*(1+E44*MONTH($B44)/12))))</f>
        <v>0</v>
      </c>
      <c r="F48" s="28">
        <f>IF(AND($B49="Y",YEAR($B44)+$B46&gt;F$5),F52+F44*(F45-F52*0.5),IF((YEAR($B44)+$B46)&gt;F$5,(F45*F44/$B48-F51)*$B48,(F45*(1+F44*MONTH($B44)/12))))</f>
        <v>0</v>
      </c>
      <c r="G48" s="28">
        <f>IF(AND($B49="Y",YEAR($B44)+$B46&gt;G$5),G52+G44*(G45-G52*0.5),IF((YEAR($B44)+$B46)&gt;G$5,(G45*G44/$B48-G51)*$B48,(G45*(1+G44*MONTH($B44)/12))))</f>
        <v>0</v>
      </c>
      <c r="H48" s="28">
        <f t="shared" ref="H48:M48" si="25">IF(AND($B49="Y",YEAR($B44)+$B46&gt;H$5),H52+H44*(H45-H52*0.5),IF((YEAR($B44)+$B46)&gt;H$5,(H45*H44/$B48-H51)*$B48,(H45*(1+H44*MONTH($B44)/12))))</f>
        <v>0</v>
      </c>
      <c r="I48" s="28">
        <f t="shared" si="25"/>
        <v>0</v>
      </c>
      <c r="J48" s="28">
        <f t="shared" si="25"/>
        <v>0</v>
      </c>
      <c r="K48" s="28">
        <f t="shared" si="25"/>
        <v>0</v>
      </c>
      <c r="L48" s="28">
        <f t="shared" si="25"/>
        <v>0</v>
      </c>
      <c r="M48" s="28">
        <f t="shared" si="25"/>
        <v>0</v>
      </c>
    </row>
    <row r="49" spans="1:13" s="13" customFormat="1" ht="12.75" customHeight="1">
      <c r="A49" s="5" t="s">
        <v>767</v>
      </c>
      <c r="B49" s="131" t="s">
        <v>719</v>
      </c>
      <c r="C49" s="132" t="s">
        <v>768</v>
      </c>
      <c r="D49" s="140">
        <v>0</v>
      </c>
      <c r="E49" s="140">
        <v>0</v>
      </c>
      <c r="F49" s="140">
        <v>0</v>
      </c>
      <c r="G49" s="140">
        <v>0</v>
      </c>
      <c r="H49" s="140">
        <v>0</v>
      </c>
      <c r="I49" s="140">
        <v>0</v>
      </c>
      <c r="J49" s="140">
        <v>0</v>
      </c>
      <c r="K49" s="140">
        <v>0</v>
      </c>
      <c r="L49" s="140">
        <v>0</v>
      </c>
      <c r="M49" s="140">
        <v>0</v>
      </c>
    </row>
    <row r="50" spans="1:13" s="13" customFormat="1" ht="12.75" customHeight="1">
      <c r="A50" s="5" t="s">
        <v>182</v>
      </c>
      <c r="B50" s="131"/>
      <c r="C50" s="30" t="s">
        <v>175</v>
      </c>
      <c r="D50" s="28">
        <f t="shared" ref="D50:M50" si="26">D45+D46-D48-D49</f>
        <v>0</v>
      </c>
      <c r="E50" s="28">
        <f t="shared" si="26"/>
        <v>0</v>
      </c>
      <c r="F50" s="28">
        <f t="shared" si="26"/>
        <v>0</v>
      </c>
      <c r="G50" s="28">
        <f t="shared" si="26"/>
        <v>0</v>
      </c>
      <c r="H50" s="28">
        <f t="shared" si="26"/>
        <v>0</v>
      </c>
      <c r="I50" s="28">
        <f t="shared" si="26"/>
        <v>0</v>
      </c>
      <c r="J50" s="28">
        <f t="shared" si="26"/>
        <v>0</v>
      </c>
      <c r="K50" s="28">
        <f t="shared" si="26"/>
        <v>0</v>
      </c>
      <c r="L50" s="28">
        <f t="shared" si="26"/>
        <v>0</v>
      </c>
      <c r="M50" s="28">
        <f t="shared" si="26"/>
        <v>0</v>
      </c>
    </row>
    <row r="51" spans="1:13" s="13" customFormat="1" ht="12.75" hidden="1" customHeight="1">
      <c r="A51" s="5"/>
      <c r="B51" s="138"/>
      <c r="C51" s="5" t="s">
        <v>769</v>
      </c>
      <c r="D51" s="28" t="e">
        <f>PPMT(D44/$B48,1,ROUND(($B46-(D$5-YEAR($B44))+MONTH($B44)/12)*$B48,0),D45)</f>
        <v>#NUM!</v>
      </c>
      <c r="E51" s="28" t="e">
        <f>PPMT(E44/$B48,1,ROUND(($B46-(E$5-YEAR($B44))+MONTH($B44)/12)*$B48,0),E45)</f>
        <v>#NUM!</v>
      </c>
      <c r="F51" s="28" t="e">
        <f>PPMT(F44/$B48,1,ROUND(($B46-(F$5-YEAR($B44))+MONTH($B44)/12)*$B48,0),F45)</f>
        <v>#NUM!</v>
      </c>
      <c r="G51" s="28" t="e">
        <f>PPMT(G44/$B48,1,ROUND(($B46-(G$5-YEAR($B44))+MONTH($B44)/12)*$B48,0),G45)</f>
        <v>#NUM!</v>
      </c>
      <c r="H51" s="28" t="e">
        <f t="shared" ref="H51:M51" si="27">PPMT(H44/$B48,1,ROUND(($B46-(H$5-YEAR($B44))+MONTH($B44)/12)*$B48,0),H45)</f>
        <v>#NUM!</v>
      </c>
      <c r="I51" s="28" t="e">
        <f t="shared" si="27"/>
        <v>#NUM!</v>
      </c>
      <c r="J51" s="28" t="e">
        <f t="shared" si="27"/>
        <v>#NUM!</v>
      </c>
      <c r="K51" s="28" t="e">
        <f t="shared" si="27"/>
        <v>#NUM!</v>
      </c>
      <c r="L51" s="28" t="e">
        <f t="shared" si="27"/>
        <v>#NUM!</v>
      </c>
      <c r="M51" s="28" t="e">
        <f t="shared" si="27"/>
        <v>#NUM!</v>
      </c>
    </row>
    <row r="52" spans="1:13" s="13" customFormat="1" ht="12.75" hidden="1" customHeight="1">
      <c r="A52" s="5"/>
      <c r="B52" s="5"/>
      <c r="C52" s="5" t="s">
        <v>770</v>
      </c>
      <c r="D52" s="28">
        <f>IF(YEAR($B44)+$B46&gt;D$5,D45/(YEAR($B44)+$B46-D$5+MONTH($B44)/12),D45)</f>
        <v>0</v>
      </c>
      <c r="E52" s="28">
        <f>IF(YEAR($B44)+$B46&gt;E$5,E45/(YEAR($B44)+$B46-E$5+MONTH($B44)/12),E45)</f>
        <v>0</v>
      </c>
      <c r="F52" s="28">
        <f>IF(YEAR($B44)+$B46&gt;F$5,F45/(YEAR($B44)+$B46-F$5+MONTH($B44)/12),F45)</f>
        <v>0</v>
      </c>
      <c r="G52" s="28">
        <f t="shared" ref="G52:M52" si="28">IF(YEAR($B44)+$B46&gt;G$5,G45/(YEAR($B44)+$B46-G$5+MONTH($B44)/12),G45)</f>
        <v>0</v>
      </c>
      <c r="H52" s="28">
        <f t="shared" si="28"/>
        <v>0</v>
      </c>
      <c r="I52" s="28">
        <f t="shared" si="28"/>
        <v>0</v>
      </c>
      <c r="J52" s="28">
        <f t="shared" si="28"/>
        <v>0</v>
      </c>
      <c r="K52" s="28">
        <f t="shared" si="28"/>
        <v>0</v>
      </c>
      <c r="L52" s="28">
        <f t="shared" si="28"/>
        <v>0</v>
      </c>
      <c r="M52" s="28">
        <f t="shared" si="28"/>
        <v>0</v>
      </c>
    </row>
    <row r="53" spans="1:13" s="13" customFormat="1" ht="12.75" customHeight="1">
      <c r="A53" s="5"/>
      <c r="B53" s="5"/>
      <c r="C53" s="5"/>
      <c r="D53" s="73"/>
      <c r="E53" s="73"/>
      <c r="F53" s="73"/>
      <c r="G53" s="73"/>
      <c r="H53" s="73"/>
      <c r="I53" s="73"/>
      <c r="J53" s="73"/>
      <c r="K53" s="73"/>
      <c r="L53" s="73"/>
      <c r="M53" s="73"/>
    </row>
    <row r="54" spans="1:13" s="13" customFormat="1" ht="12.75" customHeight="1">
      <c r="A54" s="5"/>
      <c r="B54" s="5"/>
      <c r="C54" s="5"/>
      <c r="D54" s="38"/>
      <c r="E54" s="39"/>
      <c r="F54" s="39"/>
      <c r="G54" s="39"/>
      <c r="H54" s="39"/>
      <c r="I54" s="39"/>
      <c r="J54" s="39"/>
      <c r="K54" s="39"/>
      <c r="L54" s="39"/>
      <c r="M54" s="39"/>
    </row>
    <row r="55" spans="1:13" s="13" customFormat="1" ht="12.75" customHeight="1">
      <c r="A55" s="30" t="s">
        <v>645</v>
      </c>
      <c r="B55" s="99"/>
      <c r="C55" t="s">
        <v>800</v>
      </c>
      <c r="D55" s="161" t="s">
        <v>801</v>
      </c>
      <c r="E55" s="1"/>
      <c r="F55"/>
      <c r="G55"/>
      <c r="H55"/>
      <c r="I55"/>
      <c r="J55"/>
      <c r="K55"/>
      <c r="L55"/>
      <c r="M55"/>
    </row>
    <row r="56" spans="1:13" s="13" customFormat="1" ht="12.75" customHeight="1">
      <c r="A56" s="26" t="s">
        <v>677</v>
      </c>
      <c r="B56" s="133">
        <v>29373</v>
      </c>
      <c r="C56" s="5" t="s">
        <v>639</v>
      </c>
      <c r="D56" s="75">
        <f>IF($D55="V",Input!G$70,IF(AND($B62=D$5,Input!G$65&gt;0),Input!G$65,$B59))</f>
        <v>7.0000000000000007E-2</v>
      </c>
      <c r="E56" s="75">
        <f>IF($D55="V",Input!H$70,IF(AND($B62=E$5,Input!H$65&gt;0),Input!H$65,D56))</f>
        <v>7.0000000000000007E-2</v>
      </c>
      <c r="F56" s="75">
        <f>IF($D55="V",Input!I$70,IF(AND($B62=F$5,Input!I$65&gt;0),Input!I$65,E56))</f>
        <v>7.0000000000000007E-2</v>
      </c>
      <c r="G56" s="75">
        <f>IF($D55="V",Input!J$70,IF(AND($B62=G$5,Input!J$65&gt;0),Input!J$65,F56))</f>
        <v>7.0000000000000007E-2</v>
      </c>
      <c r="H56" s="75">
        <f>IF($D55="V",Input!K$70,IF(AND($B62=H$5,Input!K$65&gt;0),Input!K$65,G56))</f>
        <v>7.0000000000000007E-2</v>
      </c>
      <c r="I56" s="75">
        <f>IF($D55="V",Input!L$70,IF(AND($B62=I$5,Input!L$65&gt;0),Input!L$65,H56))</f>
        <v>7.0000000000000007E-2</v>
      </c>
      <c r="J56" s="75">
        <f>IF($D55="V",Input!M$70,IF(AND($B62=J$5,Input!M$65&gt;0),Input!M$65,I56))</f>
        <v>7.0000000000000007E-2</v>
      </c>
      <c r="K56" s="75">
        <f>IF($D55="V",Input!N$70,IF(AND($B62=K$5,Input!N$65&gt;0),Input!N$65,J56))</f>
        <v>7.0000000000000007E-2</v>
      </c>
      <c r="L56" s="75">
        <f>IF($D55="V",Input!O$70,IF(AND($B62=L$5,Input!O$65&gt;0),Input!O$65,K56))</f>
        <v>7.0000000000000007E-2</v>
      </c>
      <c r="M56" s="75">
        <f>IF($D55="V",Input!P$70,IF(AND($B62=M$5,Input!P$65&gt;0),Input!P$65,L56))</f>
        <v>7.0000000000000007E-2</v>
      </c>
    </row>
    <row r="57" spans="1:13" s="13" customFormat="1" ht="12.75" customHeight="1">
      <c r="A57" s="5" t="s">
        <v>361</v>
      </c>
      <c r="B57" s="135">
        <v>0</v>
      </c>
      <c r="C57" s="27" t="s">
        <v>173</v>
      </c>
      <c r="D57" s="140">
        <v>0</v>
      </c>
      <c r="E57" s="28">
        <f t="shared" ref="E57:M57" si="29">D62</f>
        <v>0</v>
      </c>
      <c r="F57" s="28">
        <f t="shared" si="29"/>
        <v>0</v>
      </c>
      <c r="G57" s="28">
        <f t="shared" si="29"/>
        <v>0</v>
      </c>
      <c r="H57" s="28">
        <f t="shared" si="29"/>
        <v>0</v>
      </c>
      <c r="I57" s="28">
        <f t="shared" si="29"/>
        <v>0</v>
      </c>
      <c r="J57" s="28">
        <f t="shared" si="29"/>
        <v>0</v>
      </c>
      <c r="K57" s="28">
        <f t="shared" si="29"/>
        <v>0</v>
      </c>
      <c r="L57" s="28">
        <f t="shared" si="29"/>
        <v>0</v>
      </c>
      <c r="M57" s="28">
        <f t="shared" si="29"/>
        <v>0</v>
      </c>
    </row>
    <row r="58" spans="1:13" s="13" customFormat="1" ht="12.75" customHeight="1">
      <c r="A58" s="26" t="s">
        <v>170</v>
      </c>
      <c r="B58" s="131">
        <v>35</v>
      </c>
      <c r="C58" s="29" t="s">
        <v>169</v>
      </c>
      <c r="D58" s="28">
        <f>D60-D59</f>
        <v>0</v>
      </c>
      <c r="E58" s="28">
        <f>E60-E59</f>
        <v>0</v>
      </c>
      <c r="F58" s="28">
        <f>F60-F59</f>
        <v>0</v>
      </c>
      <c r="G58" s="28">
        <f>G60-G59</f>
        <v>0</v>
      </c>
      <c r="H58" s="28">
        <f t="shared" ref="H58:M58" si="30">H60-H59</f>
        <v>0</v>
      </c>
      <c r="I58" s="28">
        <f t="shared" si="30"/>
        <v>0</v>
      </c>
      <c r="J58" s="28">
        <f t="shared" si="30"/>
        <v>0</v>
      </c>
      <c r="K58" s="28">
        <f t="shared" si="30"/>
        <v>0</v>
      </c>
      <c r="L58" s="28">
        <f t="shared" si="30"/>
        <v>0</v>
      </c>
      <c r="M58" s="28">
        <f t="shared" si="30"/>
        <v>0</v>
      </c>
    </row>
    <row r="59" spans="1:13" s="13" customFormat="1" ht="12.75" customHeight="1">
      <c r="A59" s="5" t="s">
        <v>172</v>
      </c>
      <c r="B59" s="134">
        <f>B47</f>
        <v>7.0000000000000007E-2</v>
      </c>
      <c r="C59" s="5" t="s">
        <v>174</v>
      </c>
      <c r="D59" s="28">
        <f>IF(AND($B61="Y",YEAR($B56)+$B58&gt;D$5),D64,IF((YEAR($B56)+$B58)&gt;D$5,FV(D56/$B60,$B60,D63),D57))</f>
        <v>0</v>
      </c>
      <c r="E59" s="28">
        <f>IF(AND($B61="Y",YEAR($B56)+$B58&gt;E$5),E64,IF((YEAR($B56)+$B58)&gt;E$5,FV(E56/$B60,$B60,E63),E57))</f>
        <v>0</v>
      </c>
      <c r="F59" s="28">
        <f>IF(AND($B61="Y",YEAR($B56)+$B58&gt;F$5),F64,IF((YEAR($B56)+$B58)&gt;F$5,FV(F56/$B60,$B60,F63),F57))</f>
        <v>0</v>
      </c>
      <c r="G59" s="28">
        <f>IF(AND($B61="Y",YEAR($B56)+$B58&gt;G$5),G64,IF((YEAR($B56)+$B58)&gt;G$5,FV(G56/$B60,$B60,G63),G57))</f>
        <v>0</v>
      </c>
      <c r="H59" s="28">
        <f t="shared" ref="H59:M59" si="31">IF(AND($B61="Y",YEAR($B56)+$B58&gt;H$5),H64,IF((YEAR($B56)+$B58)&gt;H$5,FV(H56/$B60,$B60,H63),H57))</f>
        <v>0</v>
      </c>
      <c r="I59" s="28">
        <f t="shared" si="31"/>
        <v>0</v>
      </c>
      <c r="J59" s="28">
        <f t="shared" si="31"/>
        <v>0</v>
      </c>
      <c r="K59" s="28">
        <f t="shared" si="31"/>
        <v>0</v>
      </c>
      <c r="L59" s="28">
        <f t="shared" si="31"/>
        <v>0</v>
      </c>
      <c r="M59" s="28">
        <f t="shared" si="31"/>
        <v>0</v>
      </c>
    </row>
    <row r="60" spans="1:13" s="13" customFormat="1" ht="12.75" customHeight="1">
      <c r="A60" s="5" t="s">
        <v>171</v>
      </c>
      <c r="B60" s="131">
        <v>4</v>
      </c>
      <c r="C60" s="78" t="s">
        <v>640</v>
      </c>
      <c r="D60" s="28">
        <f>IF(AND($B61="Y",YEAR($B56)+$B58&gt;D$5),D64+D56*(D57-D64*0.5),IF((YEAR($B56)+$B58)&gt;D$5,(D57*D56/$B60-D63)*$B60,(D57*(1+D56*MONTH($B56)/12))))</f>
        <v>0</v>
      </c>
      <c r="E60" s="28">
        <f>IF(AND($B61="Y",YEAR($B56)+$B58&gt;E$5),E64+E56*(E57-E64*0.5),IF((YEAR($B56)+$B58)&gt;E$5,(E57*E56/$B60-E63)*$B60,(E57*(1+E56*MONTH($B56)/12))))</f>
        <v>0</v>
      </c>
      <c r="F60" s="28">
        <f>IF(AND($B61="Y",YEAR($B56)+$B58&gt;F$5),F64+F56*(F57-F64*0.5),IF((YEAR($B56)+$B58)&gt;F$5,(F57*F56/$B60-F63)*$B60,(F57*(1+F56*MONTH($B56)/12))))</f>
        <v>0</v>
      </c>
      <c r="G60" s="28">
        <f>IF(AND($B61="Y",YEAR($B56)+$B58&gt;G$5),G64+G56*(G57-G64*0.5),IF((YEAR($B56)+$B58)&gt;G$5,(G57*G56/$B60-G63)*$B60,(G57*(1+G56*MONTH($B56)/12))))</f>
        <v>0</v>
      </c>
      <c r="H60" s="28">
        <f t="shared" ref="H60:M60" si="32">IF(AND($B61="Y",YEAR($B56)+$B58&gt;H$5),H64+H56*(H57-H64*0.5),IF((YEAR($B56)+$B58)&gt;H$5,(H57*H56/$B60-H63)*$B60,(H57*(1+H56*MONTH($B56)/12))))</f>
        <v>0</v>
      </c>
      <c r="I60" s="28">
        <f t="shared" si="32"/>
        <v>0</v>
      </c>
      <c r="J60" s="28">
        <f t="shared" si="32"/>
        <v>0</v>
      </c>
      <c r="K60" s="28">
        <f t="shared" si="32"/>
        <v>0</v>
      </c>
      <c r="L60" s="28">
        <f t="shared" si="32"/>
        <v>0</v>
      </c>
      <c r="M60" s="28">
        <f t="shared" si="32"/>
        <v>0</v>
      </c>
    </row>
    <row r="61" spans="1:13" s="13" customFormat="1" ht="12.75" customHeight="1">
      <c r="A61" s="5" t="s">
        <v>767</v>
      </c>
      <c r="B61" s="131" t="s">
        <v>719</v>
      </c>
      <c r="C61" s="132" t="s">
        <v>768</v>
      </c>
      <c r="D61" s="140">
        <v>0</v>
      </c>
      <c r="E61" s="140">
        <v>0</v>
      </c>
      <c r="F61" s="140">
        <v>0</v>
      </c>
      <c r="G61" s="140">
        <v>0</v>
      </c>
      <c r="H61" s="140">
        <v>0</v>
      </c>
      <c r="I61" s="140">
        <v>0</v>
      </c>
      <c r="J61" s="140">
        <v>0</v>
      </c>
      <c r="K61" s="140">
        <v>0</v>
      </c>
      <c r="L61" s="140">
        <v>0</v>
      </c>
      <c r="M61" s="140">
        <v>0</v>
      </c>
    </row>
    <row r="62" spans="1:13" s="13" customFormat="1" ht="12.75" customHeight="1">
      <c r="A62" s="5" t="s">
        <v>182</v>
      </c>
      <c r="B62" s="131"/>
      <c r="C62" s="30" t="s">
        <v>175</v>
      </c>
      <c r="D62" s="28">
        <f t="shared" ref="D62:M62" si="33">D57+D58-D60-D61</f>
        <v>0</v>
      </c>
      <c r="E62" s="28">
        <f t="shared" si="33"/>
        <v>0</v>
      </c>
      <c r="F62" s="28">
        <f t="shared" si="33"/>
        <v>0</v>
      </c>
      <c r="G62" s="28">
        <f t="shared" si="33"/>
        <v>0</v>
      </c>
      <c r="H62" s="28">
        <f t="shared" si="33"/>
        <v>0</v>
      </c>
      <c r="I62" s="28">
        <f t="shared" si="33"/>
        <v>0</v>
      </c>
      <c r="J62" s="28">
        <f t="shared" si="33"/>
        <v>0</v>
      </c>
      <c r="K62" s="28">
        <f t="shared" si="33"/>
        <v>0</v>
      </c>
      <c r="L62" s="28">
        <f t="shared" si="33"/>
        <v>0</v>
      </c>
      <c r="M62" s="28">
        <f t="shared" si="33"/>
        <v>0</v>
      </c>
    </row>
    <row r="63" spans="1:13" s="13" customFormat="1" ht="12.75" hidden="1" customHeight="1">
      <c r="A63" s="5"/>
      <c r="B63" s="138"/>
      <c r="C63" s="5" t="s">
        <v>769</v>
      </c>
      <c r="D63" s="28" t="e">
        <f>PPMT(D56/$B60,1,ROUND(($B58-(D$5-YEAR($B56))+MONTH($B56)/12)*$B60,0),D57)</f>
        <v>#NUM!</v>
      </c>
      <c r="E63" s="28" t="e">
        <f>PPMT(E56/$B60,1,ROUND(($B58-(E$5-YEAR($B56))+MONTH($B56)/12)*$B60,0),E57)</f>
        <v>#NUM!</v>
      </c>
      <c r="F63" s="28" t="e">
        <f>PPMT(F56/$B60,1,ROUND(($B58-(F$5-YEAR($B56))+MONTH($B56)/12)*$B60,0),F57)</f>
        <v>#NUM!</v>
      </c>
      <c r="G63" s="28" t="e">
        <f>PPMT(G56/$B60,1,ROUND(($B58-(G$5-YEAR($B56))+MONTH($B56)/12)*$B60,0),G57)</f>
        <v>#NUM!</v>
      </c>
      <c r="H63" s="28" t="e">
        <f t="shared" ref="H63:M63" si="34">PPMT(H56/$B60,1,ROUND(($B58-(H$5-YEAR($B56))+MONTH($B56)/12)*$B60,0),H57)</f>
        <v>#NUM!</v>
      </c>
      <c r="I63" s="28" t="e">
        <f t="shared" si="34"/>
        <v>#NUM!</v>
      </c>
      <c r="J63" s="28" t="e">
        <f t="shared" si="34"/>
        <v>#NUM!</v>
      </c>
      <c r="K63" s="28" t="e">
        <f t="shared" si="34"/>
        <v>#NUM!</v>
      </c>
      <c r="L63" s="28" t="e">
        <f t="shared" si="34"/>
        <v>#NUM!</v>
      </c>
      <c r="M63" s="28" t="e">
        <f t="shared" si="34"/>
        <v>#NUM!</v>
      </c>
    </row>
    <row r="64" spans="1:13" s="13" customFormat="1" ht="12.75" hidden="1" customHeight="1">
      <c r="A64" s="5"/>
      <c r="B64" s="5"/>
      <c r="C64" s="5" t="s">
        <v>770</v>
      </c>
      <c r="D64" s="28">
        <f>IF(YEAR($B56)+$B58&gt;D$5,D57/(YEAR($B56)+$B58-D$5+MONTH($B56)/12),D57)</f>
        <v>0</v>
      </c>
      <c r="E64" s="28">
        <f>IF(YEAR($B56)+$B58&gt;E$5,E57/(YEAR($B56)+$B58-E$5+MONTH($B56)/12),E57)</f>
        <v>0</v>
      </c>
      <c r="F64" s="28">
        <f>IF(YEAR($B56)+$B58&gt;F$5,F57/(YEAR($B56)+$B58-F$5+MONTH($B56)/12),F57)</f>
        <v>0</v>
      </c>
      <c r="G64" s="28">
        <f t="shared" ref="G64:M64" si="35">IF(YEAR($B56)+$B58&gt;G$5,G57/(YEAR($B56)+$B58-G$5+MONTH($B56)/12),G57)</f>
        <v>0</v>
      </c>
      <c r="H64" s="28">
        <f t="shared" si="35"/>
        <v>0</v>
      </c>
      <c r="I64" s="28">
        <f t="shared" si="35"/>
        <v>0</v>
      </c>
      <c r="J64" s="28">
        <f t="shared" si="35"/>
        <v>0</v>
      </c>
      <c r="K64" s="28">
        <f t="shared" si="35"/>
        <v>0</v>
      </c>
      <c r="L64" s="28">
        <f t="shared" si="35"/>
        <v>0</v>
      </c>
      <c r="M64" s="28">
        <f t="shared" si="35"/>
        <v>0</v>
      </c>
    </row>
    <row r="65" spans="1:13" s="13" customFormat="1" ht="12.75" customHeight="1">
      <c r="A65" s="5"/>
      <c r="B65" s="5"/>
      <c r="C65" s="5"/>
      <c r="D65" s="39"/>
      <c r="E65" s="39"/>
      <c r="F65" s="39"/>
      <c r="G65" s="39"/>
      <c r="H65" s="39"/>
      <c r="I65" s="39"/>
      <c r="J65" s="39"/>
      <c r="K65" s="39"/>
      <c r="L65" s="39"/>
      <c r="M65" s="39"/>
    </row>
    <row r="66" spans="1:13" s="13" customFormat="1" ht="12.75" customHeight="1">
      <c r="A66" s="5"/>
      <c r="B66" s="5"/>
      <c r="C66" s="5"/>
      <c r="D66" s="18"/>
      <c r="E66" s="14"/>
    </row>
    <row r="67" spans="1:13" s="13" customFormat="1" ht="12.75" customHeight="1">
      <c r="A67" s="30" t="s">
        <v>646</v>
      </c>
      <c r="B67" s="99"/>
      <c r="C67" t="s">
        <v>800</v>
      </c>
      <c r="D67" s="161" t="s">
        <v>801</v>
      </c>
      <c r="E67" s="1"/>
      <c r="F67"/>
      <c r="G67"/>
      <c r="H67"/>
      <c r="I67"/>
      <c r="J67"/>
      <c r="K67"/>
      <c r="L67"/>
      <c r="M67"/>
    </row>
    <row r="68" spans="1:13" s="13" customFormat="1" ht="12.75" customHeight="1">
      <c r="A68" s="26" t="s">
        <v>677</v>
      </c>
      <c r="B68" s="133">
        <v>29373</v>
      </c>
      <c r="C68" s="5" t="s">
        <v>639</v>
      </c>
      <c r="D68" s="75">
        <f>IF($D67="V",Input!G$70,IF(AND($B74=D$5,Input!G$65&gt;0),Input!G$65,$B71))</f>
        <v>7.0000000000000007E-2</v>
      </c>
      <c r="E68" s="75">
        <f>IF($D67="V",Input!H$70,IF(AND($B74=E$5,Input!H$65&gt;0),Input!H$65,D68))</f>
        <v>7.0000000000000007E-2</v>
      </c>
      <c r="F68" s="75">
        <f>IF($D67="V",Input!I$70,IF(AND($B74=F$5,Input!I$65&gt;0),Input!I$65,E68))</f>
        <v>7.0000000000000007E-2</v>
      </c>
      <c r="G68" s="75">
        <f>IF($D67="V",Input!J$70,IF(AND($B74=G$5,Input!J$65&gt;0),Input!J$65,F68))</f>
        <v>7.0000000000000007E-2</v>
      </c>
      <c r="H68" s="75">
        <f>IF($D67="V",Input!K$70,IF(AND($B74=H$5,Input!K$65&gt;0),Input!K$65,G68))</f>
        <v>7.0000000000000007E-2</v>
      </c>
      <c r="I68" s="75">
        <f>IF($D67="V",Input!L$70,IF(AND($B74=I$5,Input!L$65&gt;0),Input!L$65,H68))</f>
        <v>7.0000000000000007E-2</v>
      </c>
      <c r="J68" s="75">
        <f>IF($D67="V",Input!M$70,IF(AND($B74=J$5,Input!M$65&gt;0),Input!M$65,I68))</f>
        <v>7.0000000000000007E-2</v>
      </c>
      <c r="K68" s="75">
        <f>IF($D67="V",Input!N$70,IF(AND($B74=K$5,Input!N$65&gt;0),Input!N$65,J68))</f>
        <v>7.0000000000000007E-2</v>
      </c>
      <c r="L68" s="75">
        <f>IF($D67="V",Input!O$70,IF(AND($B74=L$5,Input!O$65&gt;0),Input!O$65,K68))</f>
        <v>7.0000000000000007E-2</v>
      </c>
      <c r="M68" s="75">
        <f>IF($D67="V",Input!P$70,IF(AND($B74=M$5,Input!P$65&gt;0),Input!P$65,L68))</f>
        <v>7.0000000000000007E-2</v>
      </c>
    </row>
    <row r="69" spans="1:13" s="13" customFormat="1" ht="12.75" customHeight="1">
      <c r="A69" s="5" t="s">
        <v>361</v>
      </c>
      <c r="B69" s="135">
        <v>0</v>
      </c>
      <c r="C69" s="27" t="s">
        <v>173</v>
      </c>
      <c r="D69" s="140">
        <v>0</v>
      </c>
      <c r="E69" s="28">
        <f t="shared" ref="E69:M69" si="36">D74</f>
        <v>0</v>
      </c>
      <c r="F69" s="28">
        <f t="shared" si="36"/>
        <v>0</v>
      </c>
      <c r="G69" s="28">
        <f t="shared" si="36"/>
        <v>0</v>
      </c>
      <c r="H69" s="28">
        <f t="shared" si="36"/>
        <v>0</v>
      </c>
      <c r="I69" s="28">
        <f t="shared" si="36"/>
        <v>0</v>
      </c>
      <c r="J69" s="28">
        <f t="shared" si="36"/>
        <v>0</v>
      </c>
      <c r="K69" s="28">
        <f t="shared" si="36"/>
        <v>0</v>
      </c>
      <c r="L69" s="28">
        <f t="shared" si="36"/>
        <v>0</v>
      </c>
      <c r="M69" s="28">
        <f t="shared" si="36"/>
        <v>0</v>
      </c>
    </row>
    <row r="70" spans="1:13" s="13" customFormat="1" ht="12.75" customHeight="1">
      <c r="A70" s="26" t="s">
        <v>170</v>
      </c>
      <c r="B70" s="131">
        <v>35</v>
      </c>
      <c r="C70" s="29" t="s">
        <v>169</v>
      </c>
      <c r="D70" s="28">
        <f>D72-D71</f>
        <v>0</v>
      </c>
      <c r="E70" s="28">
        <f>E72-E71</f>
        <v>0</v>
      </c>
      <c r="F70" s="28">
        <f>F72-F71</f>
        <v>0</v>
      </c>
      <c r="G70" s="28">
        <f>G72-G71</f>
        <v>0</v>
      </c>
      <c r="H70" s="28">
        <f t="shared" ref="H70:M70" si="37">H72-H71</f>
        <v>0</v>
      </c>
      <c r="I70" s="28">
        <f t="shared" si="37"/>
        <v>0</v>
      </c>
      <c r="J70" s="28">
        <f t="shared" si="37"/>
        <v>0</v>
      </c>
      <c r="K70" s="28">
        <f t="shared" si="37"/>
        <v>0</v>
      </c>
      <c r="L70" s="28">
        <f t="shared" si="37"/>
        <v>0</v>
      </c>
      <c r="M70" s="28">
        <f t="shared" si="37"/>
        <v>0</v>
      </c>
    </row>
    <row r="71" spans="1:13" s="13" customFormat="1" ht="12.75" customHeight="1">
      <c r="A71" s="5" t="s">
        <v>172</v>
      </c>
      <c r="B71" s="134">
        <f>B59</f>
        <v>7.0000000000000007E-2</v>
      </c>
      <c r="C71" s="5" t="s">
        <v>174</v>
      </c>
      <c r="D71" s="28">
        <f>IF(AND($B73="Y",YEAR($B68)+$B70&gt;D$5),D76,IF((YEAR($B68)+$B70)&gt;D$5,FV(D68/$B72,$B72,D75),D69))</f>
        <v>0</v>
      </c>
      <c r="E71" s="28">
        <f>IF(AND($B73="Y",YEAR($B68)+$B70&gt;E$5),E76,IF((YEAR($B68)+$B70)&gt;E$5,FV(E68/$B72,$B72,E75),E69))</f>
        <v>0</v>
      </c>
      <c r="F71" s="28">
        <f>IF(AND($B73="Y",YEAR($B68)+$B70&gt;F$5),F76,IF((YEAR($B68)+$B70)&gt;F$5,FV(F68/$B72,$B72,F75),F69))</f>
        <v>0</v>
      </c>
      <c r="G71" s="28">
        <f>IF(AND($B73="Y",YEAR($B68)+$B70&gt;G$5),G76,IF((YEAR($B68)+$B70)&gt;G$5,FV(G68/$B72,$B72,G75),G69))</f>
        <v>0</v>
      </c>
      <c r="H71" s="28">
        <f t="shared" ref="H71:M71" si="38">IF(AND($B73="Y",YEAR($B68)+$B70&gt;H$5),H76,IF((YEAR($B68)+$B70)&gt;H$5,FV(H68/$B72,$B72,H75),H69))</f>
        <v>0</v>
      </c>
      <c r="I71" s="28">
        <f t="shared" si="38"/>
        <v>0</v>
      </c>
      <c r="J71" s="28">
        <f t="shared" si="38"/>
        <v>0</v>
      </c>
      <c r="K71" s="28">
        <f t="shared" si="38"/>
        <v>0</v>
      </c>
      <c r="L71" s="28">
        <f t="shared" si="38"/>
        <v>0</v>
      </c>
      <c r="M71" s="28">
        <f t="shared" si="38"/>
        <v>0</v>
      </c>
    </row>
    <row r="72" spans="1:13" s="13" customFormat="1" ht="12.75" customHeight="1">
      <c r="A72" s="5" t="s">
        <v>171</v>
      </c>
      <c r="B72" s="131">
        <v>4</v>
      </c>
      <c r="C72" s="78" t="s">
        <v>640</v>
      </c>
      <c r="D72" s="28">
        <f>IF(AND($B73="Y",YEAR($B68)+$B70&gt;D$5),D76+D68*(D69-D76*0.5),IF((YEAR($B68)+$B70)&gt;D$5,(D69*D68/$B72-D75)*$B72,(D69*(1+D68*MONTH($B68)/12))))</f>
        <v>0</v>
      </c>
      <c r="E72" s="28">
        <f>IF(AND($B73="Y",YEAR($B68)+$B70&gt;E$5),E76+E68*(E69-E76*0.5),IF((YEAR($B68)+$B70)&gt;E$5,(E69*E68/$B72-E75)*$B72,(E69*(1+E68*MONTH($B68)/12))))</f>
        <v>0</v>
      </c>
      <c r="F72" s="28">
        <f>IF(AND($B73="Y",YEAR($B68)+$B70&gt;F$5),F76+F68*(F69-F76*0.5),IF((YEAR($B68)+$B70)&gt;F$5,(F69*F68/$B72-F75)*$B72,(F69*(1+F68*MONTH($B68)/12))))</f>
        <v>0</v>
      </c>
      <c r="G72" s="28">
        <f>IF(AND($B73="Y",YEAR($B68)+$B70&gt;G$5),G76+G68*(G69-G76*0.5),IF((YEAR($B68)+$B70)&gt;G$5,(G69*G68/$B72-G75)*$B72,(G69*(1+G68*MONTH($B68)/12))))</f>
        <v>0</v>
      </c>
      <c r="H72" s="28">
        <f t="shared" ref="H72:M72" si="39">IF(AND($B73="Y",YEAR($B68)+$B70&gt;H$5),H76+H68*(H69-H76*0.5),IF((YEAR($B68)+$B70)&gt;H$5,(H69*H68/$B72-H75)*$B72,(H69*(1+H68*MONTH($B68)/12))))</f>
        <v>0</v>
      </c>
      <c r="I72" s="28">
        <f t="shared" si="39"/>
        <v>0</v>
      </c>
      <c r="J72" s="28">
        <f t="shared" si="39"/>
        <v>0</v>
      </c>
      <c r="K72" s="28">
        <f t="shared" si="39"/>
        <v>0</v>
      </c>
      <c r="L72" s="28">
        <f t="shared" si="39"/>
        <v>0</v>
      </c>
      <c r="M72" s="28">
        <f t="shared" si="39"/>
        <v>0</v>
      </c>
    </row>
    <row r="73" spans="1:13" s="13" customFormat="1" ht="12.75" customHeight="1">
      <c r="A73" s="5" t="s">
        <v>767</v>
      </c>
      <c r="B73" s="131" t="s">
        <v>719</v>
      </c>
      <c r="C73" s="132" t="s">
        <v>768</v>
      </c>
      <c r="D73" s="140">
        <v>0</v>
      </c>
      <c r="E73" s="140">
        <v>0</v>
      </c>
      <c r="F73" s="140">
        <v>0</v>
      </c>
      <c r="G73" s="140">
        <v>0</v>
      </c>
      <c r="H73" s="140">
        <v>0</v>
      </c>
      <c r="I73" s="140">
        <v>0</v>
      </c>
      <c r="J73" s="140">
        <v>0</v>
      </c>
      <c r="K73" s="140">
        <v>0</v>
      </c>
      <c r="L73" s="140">
        <v>0</v>
      </c>
      <c r="M73" s="140">
        <v>0</v>
      </c>
    </row>
    <row r="74" spans="1:13" s="13" customFormat="1" ht="12.75" customHeight="1">
      <c r="A74" s="5" t="s">
        <v>182</v>
      </c>
      <c r="B74" s="131"/>
      <c r="C74" s="30" t="s">
        <v>175</v>
      </c>
      <c r="D74" s="28">
        <f t="shared" ref="D74:M74" si="40">D69+D70-D72-D73</f>
        <v>0</v>
      </c>
      <c r="E74" s="28">
        <f t="shared" si="40"/>
        <v>0</v>
      </c>
      <c r="F74" s="28">
        <f t="shared" si="40"/>
        <v>0</v>
      </c>
      <c r="G74" s="28">
        <f t="shared" si="40"/>
        <v>0</v>
      </c>
      <c r="H74" s="28">
        <f t="shared" si="40"/>
        <v>0</v>
      </c>
      <c r="I74" s="28">
        <f t="shared" si="40"/>
        <v>0</v>
      </c>
      <c r="J74" s="28">
        <f t="shared" si="40"/>
        <v>0</v>
      </c>
      <c r="K74" s="28">
        <f t="shared" si="40"/>
        <v>0</v>
      </c>
      <c r="L74" s="28">
        <f t="shared" si="40"/>
        <v>0</v>
      </c>
      <c r="M74" s="28">
        <f t="shared" si="40"/>
        <v>0</v>
      </c>
    </row>
    <row r="75" spans="1:13" s="13" customFormat="1" ht="12.75" hidden="1" customHeight="1">
      <c r="A75" s="5"/>
      <c r="B75" s="138"/>
      <c r="C75" s="5" t="s">
        <v>769</v>
      </c>
      <c r="D75" s="28" t="e">
        <f>PPMT(D68/$B72,1,ROUND(($B70-(D$5-YEAR($B68))+MONTH($B68)/12)*$B72,0),D69)</f>
        <v>#NUM!</v>
      </c>
      <c r="E75" s="28" t="e">
        <f>PPMT(E68/$B72,1,ROUND(($B70-(E$5-YEAR($B68))+MONTH($B68)/12)*$B72,0),E69)</f>
        <v>#NUM!</v>
      </c>
      <c r="F75" s="28" t="e">
        <f>PPMT(F68/$B72,1,ROUND(($B70-(F$5-YEAR($B68))+MONTH($B68)/12)*$B72,0),F69)</f>
        <v>#NUM!</v>
      </c>
      <c r="G75" s="28" t="e">
        <f>PPMT(G68/$B72,1,ROUND(($B70-(G$5-YEAR($B68))+MONTH($B68)/12)*$B72,0),G69)</f>
        <v>#NUM!</v>
      </c>
      <c r="H75" s="28" t="e">
        <f t="shared" ref="H75:M75" si="41">PPMT(H68/$B72,1,ROUND(($B70-(H$5-YEAR($B68))+MONTH($B68)/12)*$B72,0),H69)</f>
        <v>#NUM!</v>
      </c>
      <c r="I75" s="28" t="e">
        <f t="shared" si="41"/>
        <v>#NUM!</v>
      </c>
      <c r="J75" s="28" t="e">
        <f t="shared" si="41"/>
        <v>#NUM!</v>
      </c>
      <c r="K75" s="28" t="e">
        <f t="shared" si="41"/>
        <v>#NUM!</v>
      </c>
      <c r="L75" s="28" t="e">
        <f t="shared" si="41"/>
        <v>#NUM!</v>
      </c>
      <c r="M75" s="28" t="e">
        <f t="shared" si="41"/>
        <v>#NUM!</v>
      </c>
    </row>
    <row r="76" spans="1:13" s="13" customFormat="1" ht="12.75" hidden="1" customHeight="1">
      <c r="A76" s="5"/>
      <c r="B76" s="5"/>
      <c r="C76" s="5" t="s">
        <v>770</v>
      </c>
      <c r="D76" s="28">
        <f>IF(YEAR($B68)+$B70&gt;D$5,D69/(YEAR($B68)+$B70-D$5+MONTH($B68)/12),D69)</f>
        <v>0</v>
      </c>
      <c r="E76" s="28">
        <f>IF(YEAR($B68)+$B70&gt;E$5,E69/(YEAR($B68)+$B70-E$5+MONTH($B68)/12),E69)</f>
        <v>0</v>
      </c>
      <c r="F76" s="28">
        <f>IF(YEAR($B68)+$B70&gt;F$5,F69/(YEAR($B68)+$B70-F$5+MONTH($B68)/12),F69)</f>
        <v>0</v>
      </c>
      <c r="G76" s="28">
        <f t="shared" ref="G76:M76" si="42">IF(YEAR($B68)+$B70&gt;G$5,G69/(YEAR($B68)+$B70-G$5+MONTH($B68)/12),G69)</f>
        <v>0</v>
      </c>
      <c r="H76" s="28">
        <f t="shared" si="42"/>
        <v>0</v>
      </c>
      <c r="I76" s="28">
        <f t="shared" si="42"/>
        <v>0</v>
      </c>
      <c r="J76" s="28">
        <f t="shared" si="42"/>
        <v>0</v>
      </c>
      <c r="K76" s="28">
        <f t="shared" si="42"/>
        <v>0</v>
      </c>
      <c r="L76" s="28">
        <f t="shared" si="42"/>
        <v>0</v>
      </c>
      <c r="M76" s="28">
        <f t="shared" si="42"/>
        <v>0</v>
      </c>
    </row>
    <row r="77" spans="1:13" s="13" customFormat="1" ht="12.75" customHeight="1">
      <c r="A77" s="5"/>
      <c r="B77" s="5"/>
      <c r="C77" s="5"/>
      <c r="D77" s="38"/>
      <c r="E77" s="39"/>
      <c r="F77" s="39"/>
      <c r="G77" s="39"/>
      <c r="H77" s="39"/>
      <c r="I77" s="39"/>
      <c r="J77" s="39"/>
      <c r="K77" s="39"/>
      <c r="L77" s="39"/>
      <c r="M77" s="39"/>
    </row>
    <row r="78" spans="1:13" s="13" customFormat="1" ht="12.75" customHeight="1">
      <c r="A78" s="5"/>
      <c r="B78" s="5"/>
      <c r="C78" s="5"/>
      <c r="D78" s="39"/>
      <c r="E78" s="39"/>
      <c r="F78" s="39"/>
      <c r="G78" s="39"/>
      <c r="H78" s="39"/>
      <c r="I78" s="39"/>
      <c r="J78" s="39"/>
      <c r="K78" s="39"/>
      <c r="L78" s="39"/>
      <c r="M78" s="39"/>
    </row>
    <row r="79" spans="1:13" s="13" customFormat="1" ht="12.75" customHeight="1">
      <c r="A79" s="5"/>
      <c r="B79" s="5"/>
      <c r="C79" s="5"/>
      <c r="D79" s="39"/>
      <c r="E79" s="39"/>
      <c r="F79" s="39"/>
      <c r="G79" s="39"/>
      <c r="H79" s="39"/>
      <c r="I79" s="39"/>
      <c r="J79" s="39"/>
      <c r="K79" s="39"/>
      <c r="L79" s="39"/>
      <c r="M79" s="39"/>
    </row>
    <row r="80" spans="1:13" s="13" customFormat="1" ht="12.75" customHeight="1">
      <c r="A80" s="5" t="s">
        <v>789</v>
      </c>
      <c r="B80" s="5"/>
      <c r="C80" s="5"/>
      <c r="D80" s="153">
        <f>+D5</f>
        <v>2024</v>
      </c>
      <c r="E80" s="153">
        <f t="shared" ref="E80:M80" si="43">+E5</f>
        <v>2025</v>
      </c>
      <c r="F80" s="153">
        <f t="shared" si="43"/>
        <v>2026</v>
      </c>
      <c r="G80" s="153">
        <f t="shared" si="43"/>
        <v>2027</v>
      </c>
      <c r="H80" s="153">
        <f t="shared" si="43"/>
        <v>2028</v>
      </c>
      <c r="I80" s="153">
        <f t="shared" si="43"/>
        <v>2029</v>
      </c>
      <c r="J80" s="153">
        <f t="shared" si="43"/>
        <v>2030</v>
      </c>
      <c r="K80" s="153">
        <f t="shared" si="43"/>
        <v>2031</v>
      </c>
      <c r="L80" s="153">
        <f t="shared" si="43"/>
        <v>2032</v>
      </c>
      <c r="M80" s="153">
        <f t="shared" si="43"/>
        <v>2033</v>
      </c>
    </row>
    <row r="81" spans="1:13" s="13" customFormat="1" ht="12.75" customHeight="1">
      <c r="A81" s="5"/>
      <c r="B81" s="5"/>
      <c r="C81" s="5"/>
      <c r="D81" s="154" t="str">
        <f>+D6</f>
        <v xml:space="preserve">  -----------</v>
      </c>
      <c r="E81" s="154" t="str">
        <f t="shared" ref="E81:M81" si="44">+E6</f>
        <v xml:space="preserve">  -----------</v>
      </c>
      <c r="F81" s="154" t="str">
        <f t="shared" si="44"/>
        <v xml:space="preserve">  -----------</v>
      </c>
      <c r="G81" s="154" t="str">
        <f t="shared" si="44"/>
        <v xml:space="preserve">  -----------</v>
      </c>
      <c r="H81" s="154" t="str">
        <f t="shared" si="44"/>
        <v xml:space="preserve">  -----------</v>
      </c>
      <c r="I81" s="154" t="str">
        <f t="shared" si="44"/>
        <v xml:space="preserve">  -----------</v>
      </c>
      <c r="J81" s="154" t="str">
        <f t="shared" si="44"/>
        <v xml:space="preserve">  -----------</v>
      </c>
      <c r="K81" s="154" t="str">
        <f t="shared" si="44"/>
        <v xml:space="preserve">  -----------</v>
      </c>
      <c r="L81" s="154" t="str">
        <f t="shared" si="44"/>
        <v xml:space="preserve">  -----------</v>
      </c>
      <c r="M81" s="154" t="str">
        <f t="shared" si="44"/>
        <v xml:space="preserve">  -----------</v>
      </c>
    </row>
    <row r="82" spans="1:13" s="13" customFormat="1" ht="12.75" customHeight="1">
      <c r="A82" s="30" t="s">
        <v>647</v>
      </c>
      <c r="B82" s="99"/>
      <c r="C82" t="s">
        <v>800</v>
      </c>
      <c r="D82" s="161" t="s">
        <v>801</v>
      </c>
      <c r="E82" s="1"/>
      <c r="F82"/>
      <c r="G82"/>
      <c r="H82"/>
      <c r="I82"/>
      <c r="J82"/>
      <c r="K82"/>
      <c r="L82"/>
      <c r="M82"/>
    </row>
    <row r="83" spans="1:13" s="13" customFormat="1" ht="12.75" customHeight="1">
      <c r="A83" s="26" t="s">
        <v>677</v>
      </c>
      <c r="B83" s="133">
        <v>29373</v>
      </c>
      <c r="C83" s="5" t="s">
        <v>639</v>
      </c>
      <c r="D83" s="75">
        <f>IF($D82="V",Input!G$70,IF(AND($B89=D$5,Input!G$65&gt;0),Input!G$65,$B86))</f>
        <v>7.0000000000000007E-2</v>
      </c>
      <c r="E83" s="75">
        <f>IF($D82="V",Input!H$70,IF(AND($B89=E$5,Input!H$65&gt;0),Input!H$65,D83))</f>
        <v>7.0000000000000007E-2</v>
      </c>
      <c r="F83" s="75">
        <f>IF($D82="V",Input!I$70,IF(AND($B89=F$5,Input!I$65&gt;0),Input!I$65,E83))</f>
        <v>7.0000000000000007E-2</v>
      </c>
      <c r="G83" s="75">
        <f>IF($D82="V",Input!J$70,IF(AND($B89=G$5,Input!J$65&gt;0),Input!J$65,F83))</f>
        <v>7.0000000000000007E-2</v>
      </c>
      <c r="H83" s="75">
        <f>IF($D82="V",Input!K$70,IF(AND($B89=H$5,Input!K$65&gt;0),Input!K$65,G83))</f>
        <v>7.0000000000000007E-2</v>
      </c>
      <c r="I83" s="75">
        <f>IF($D82="V",Input!L$70,IF(AND($B89=I$5,Input!L$65&gt;0),Input!L$65,H83))</f>
        <v>7.0000000000000007E-2</v>
      </c>
      <c r="J83" s="75">
        <f>IF($D82="V",Input!M$70,IF(AND($B89=J$5,Input!M$65&gt;0),Input!M$65,I83))</f>
        <v>7.0000000000000007E-2</v>
      </c>
      <c r="K83" s="75">
        <f>IF($D82="V",Input!N$70,IF(AND($B89=K$5,Input!N$65&gt;0),Input!N$65,J83))</f>
        <v>7.0000000000000007E-2</v>
      </c>
      <c r="L83" s="75">
        <f>IF($D82="V",Input!O$70,IF(AND($B89=L$5,Input!O$65&gt;0),Input!O$65,K83))</f>
        <v>7.0000000000000007E-2</v>
      </c>
      <c r="M83" s="75">
        <f>IF($D82="V",Input!P$70,IF(AND($B89=M$5,Input!P$65&gt;0),Input!P$65,L83))</f>
        <v>7.0000000000000007E-2</v>
      </c>
    </row>
    <row r="84" spans="1:13" s="13" customFormat="1" ht="12.75" customHeight="1">
      <c r="A84" s="5" t="s">
        <v>361</v>
      </c>
      <c r="B84" s="135">
        <v>0</v>
      </c>
      <c r="C84" s="27" t="s">
        <v>173</v>
      </c>
      <c r="D84" s="140">
        <v>0</v>
      </c>
      <c r="E84" s="28">
        <f t="shared" ref="E84:M84" si="45">D89</f>
        <v>0</v>
      </c>
      <c r="F84" s="28">
        <f t="shared" si="45"/>
        <v>0</v>
      </c>
      <c r="G84" s="28">
        <f t="shared" si="45"/>
        <v>0</v>
      </c>
      <c r="H84" s="28">
        <f t="shared" si="45"/>
        <v>0</v>
      </c>
      <c r="I84" s="28">
        <f t="shared" si="45"/>
        <v>0</v>
      </c>
      <c r="J84" s="28">
        <f t="shared" si="45"/>
        <v>0</v>
      </c>
      <c r="K84" s="28">
        <f t="shared" si="45"/>
        <v>0</v>
      </c>
      <c r="L84" s="28">
        <f t="shared" si="45"/>
        <v>0</v>
      </c>
      <c r="M84" s="28">
        <f t="shared" si="45"/>
        <v>0</v>
      </c>
    </row>
    <row r="85" spans="1:13" s="13" customFormat="1" ht="12.75" customHeight="1">
      <c r="A85" s="26" t="s">
        <v>170</v>
      </c>
      <c r="B85" s="131">
        <v>35</v>
      </c>
      <c r="C85" s="29" t="s">
        <v>169</v>
      </c>
      <c r="D85" s="28">
        <f>D87-D86</f>
        <v>0</v>
      </c>
      <c r="E85" s="28">
        <f>E87-E86</f>
        <v>0</v>
      </c>
      <c r="F85" s="28">
        <f>F87-F86</f>
        <v>0</v>
      </c>
      <c r="G85" s="28">
        <f>G87-G86</f>
        <v>0</v>
      </c>
      <c r="H85" s="28">
        <f t="shared" ref="H85:M85" si="46">H87-H86</f>
        <v>0</v>
      </c>
      <c r="I85" s="28">
        <f t="shared" si="46"/>
        <v>0</v>
      </c>
      <c r="J85" s="28">
        <f t="shared" si="46"/>
        <v>0</v>
      </c>
      <c r="K85" s="28">
        <f t="shared" si="46"/>
        <v>0</v>
      </c>
      <c r="L85" s="28">
        <f t="shared" si="46"/>
        <v>0</v>
      </c>
      <c r="M85" s="28">
        <f t="shared" si="46"/>
        <v>0</v>
      </c>
    </row>
    <row r="86" spans="1:13" s="13" customFormat="1" ht="12.75" customHeight="1">
      <c r="A86" s="5" t="s">
        <v>172</v>
      </c>
      <c r="B86" s="134">
        <f>B71</f>
        <v>7.0000000000000007E-2</v>
      </c>
      <c r="C86" s="5" t="s">
        <v>174</v>
      </c>
      <c r="D86" s="28">
        <f>IF(AND($B88="Y",YEAR($B83)+$B85&gt;D$5),D91,IF((YEAR($B83)+$B85)&gt;D$5,FV(D83/$B87,$B87,D90),D84))</f>
        <v>0</v>
      </c>
      <c r="E86" s="28">
        <f>IF(AND($B88="Y",YEAR($B83)+$B85&gt;E$5),E91,IF((YEAR($B83)+$B85)&gt;E$5,FV(E83/$B87,$B87,E90),E84))</f>
        <v>0</v>
      </c>
      <c r="F86" s="28">
        <f>IF(AND($B88="Y",YEAR($B83)+$B85&gt;F$5),F91,IF((YEAR($B83)+$B85)&gt;F$5,FV(F83/$B87,$B87,F90),F84))</f>
        <v>0</v>
      </c>
      <c r="G86" s="28">
        <f>IF(AND($B88="Y",YEAR($B83)+$B85&gt;G$5),G91,IF((YEAR($B83)+$B85)&gt;G$5,FV(G83/$B87,$B87,G90),G84))</f>
        <v>0</v>
      </c>
      <c r="H86" s="28">
        <f t="shared" ref="H86:M86" si="47">IF(AND($B88="Y",YEAR($B83)+$B85&gt;H$5),H91,IF((YEAR($B83)+$B85)&gt;H$5,FV(H83/$B87,$B87,H90),H84))</f>
        <v>0</v>
      </c>
      <c r="I86" s="28">
        <f t="shared" si="47"/>
        <v>0</v>
      </c>
      <c r="J86" s="28">
        <f t="shared" si="47"/>
        <v>0</v>
      </c>
      <c r="K86" s="28">
        <f t="shared" si="47"/>
        <v>0</v>
      </c>
      <c r="L86" s="28">
        <f t="shared" si="47"/>
        <v>0</v>
      </c>
      <c r="M86" s="28">
        <f t="shared" si="47"/>
        <v>0</v>
      </c>
    </row>
    <row r="87" spans="1:13" s="13" customFormat="1" ht="12.75" customHeight="1">
      <c r="A87" s="5" t="s">
        <v>171</v>
      </c>
      <c r="B87" s="131">
        <v>4</v>
      </c>
      <c r="C87" s="78" t="s">
        <v>640</v>
      </c>
      <c r="D87" s="28">
        <f>IF(AND($B88="Y",YEAR($B83)+$B85&gt;D$5),D91+D83*(D84-D91*0.5),IF((YEAR($B83)+$B85)&gt;D$5,(D84*D83/$B87-D90)*$B87,(D84*(1+D83*MONTH($B83)/12))))</f>
        <v>0</v>
      </c>
      <c r="E87" s="28">
        <f>IF(AND($B88="Y",YEAR($B83)+$B85&gt;E$5),E91+E83*(E84-E91*0.5),IF((YEAR($B83)+$B85)&gt;E$5,(E84*E83/$B87-E90)*$B87,(E84*(1+E83*MONTH($B83)/12))))</f>
        <v>0</v>
      </c>
      <c r="F87" s="28">
        <f>IF(AND($B88="Y",YEAR($B83)+$B85&gt;F$5),F91+F83*(F84-F91*0.5),IF((YEAR($B83)+$B85)&gt;F$5,(F84*F83/$B87-F90)*$B87,(F84*(1+F83*MONTH($B83)/12))))</f>
        <v>0</v>
      </c>
      <c r="G87" s="28">
        <f>IF(AND($B88="Y",YEAR($B83)+$B85&gt;G$5),G91+G83*(G84-G91*0.5),IF((YEAR($B83)+$B85)&gt;G$5,(G84*G83/$B87-G90)*$B87,(G84*(1+G83*MONTH($B83)/12))))</f>
        <v>0</v>
      </c>
      <c r="H87" s="28">
        <f t="shared" ref="H87:M87" si="48">IF(AND($B88="Y",YEAR($B83)+$B85&gt;H$5),H91+H83*(H84-H91*0.5),IF((YEAR($B83)+$B85)&gt;H$5,(H84*H83/$B87-H90)*$B87,(H84*(1+H83*MONTH($B83)/12))))</f>
        <v>0</v>
      </c>
      <c r="I87" s="28">
        <f t="shared" si="48"/>
        <v>0</v>
      </c>
      <c r="J87" s="28">
        <f t="shared" si="48"/>
        <v>0</v>
      </c>
      <c r="K87" s="28">
        <f t="shared" si="48"/>
        <v>0</v>
      </c>
      <c r="L87" s="28">
        <f t="shared" si="48"/>
        <v>0</v>
      </c>
      <c r="M87" s="28">
        <f t="shared" si="48"/>
        <v>0</v>
      </c>
    </row>
    <row r="88" spans="1:13" s="13" customFormat="1" ht="12.75" customHeight="1">
      <c r="A88" s="5" t="s">
        <v>767</v>
      </c>
      <c r="B88" s="131" t="s">
        <v>719</v>
      </c>
      <c r="C88" s="132" t="s">
        <v>768</v>
      </c>
      <c r="D88" s="140">
        <v>0</v>
      </c>
      <c r="E88" s="140">
        <v>0</v>
      </c>
      <c r="F88" s="140">
        <v>0</v>
      </c>
      <c r="G88" s="140">
        <v>0</v>
      </c>
      <c r="H88" s="140">
        <v>0</v>
      </c>
      <c r="I88" s="140">
        <v>0</v>
      </c>
      <c r="J88" s="140">
        <v>0</v>
      </c>
      <c r="K88" s="140">
        <v>0</v>
      </c>
      <c r="L88" s="140">
        <v>0</v>
      </c>
      <c r="M88" s="140">
        <v>0</v>
      </c>
    </row>
    <row r="89" spans="1:13" s="13" customFormat="1" ht="12.75" customHeight="1">
      <c r="A89" s="5" t="s">
        <v>182</v>
      </c>
      <c r="B89" s="131"/>
      <c r="C89" s="30" t="s">
        <v>175</v>
      </c>
      <c r="D89" s="28">
        <f t="shared" ref="D89:M89" si="49">D84+D85-D87-D88</f>
        <v>0</v>
      </c>
      <c r="E89" s="28">
        <f t="shared" si="49"/>
        <v>0</v>
      </c>
      <c r="F89" s="28">
        <f t="shared" si="49"/>
        <v>0</v>
      </c>
      <c r="G89" s="28">
        <f t="shared" si="49"/>
        <v>0</v>
      </c>
      <c r="H89" s="28">
        <f t="shared" si="49"/>
        <v>0</v>
      </c>
      <c r="I89" s="28">
        <f t="shared" si="49"/>
        <v>0</v>
      </c>
      <c r="J89" s="28">
        <f t="shared" si="49"/>
        <v>0</v>
      </c>
      <c r="K89" s="28">
        <f t="shared" si="49"/>
        <v>0</v>
      </c>
      <c r="L89" s="28">
        <f t="shared" si="49"/>
        <v>0</v>
      </c>
      <c r="M89" s="28">
        <f t="shared" si="49"/>
        <v>0</v>
      </c>
    </row>
    <row r="90" spans="1:13" s="13" customFormat="1" ht="12.75" hidden="1" customHeight="1">
      <c r="A90" s="5"/>
      <c r="B90" s="138"/>
      <c r="C90" s="5" t="s">
        <v>769</v>
      </c>
      <c r="D90" s="28" t="e">
        <f>PPMT(D83/$B87,1,ROUND(($B85-(D$5-YEAR($B83))+MONTH($B83)/12)*$B87,0),D84)</f>
        <v>#NUM!</v>
      </c>
      <c r="E90" s="28" t="e">
        <f>PPMT(E83/$B87,1,ROUND(($B85-(E$5-YEAR($B83))+MONTH($B83)/12)*$B87,0),E84)</f>
        <v>#NUM!</v>
      </c>
      <c r="F90" s="28" t="e">
        <f>PPMT(F83/$B87,1,ROUND(($B85-(F$5-YEAR($B83))+MONTH($B83)/12)*$B87,0),F84)</f>
        <v>#NUM!</v>
      </c>
      <c r="G90" s="28" t="e">
        <f>PPMT(G83/$B87,1,ROUND(($B85-(G$5-YEAR($B83))+MONTH($B83)/12)*$B87,0),G84)</f>
        <v>#NUM!</v>
      </c>
      <c r="H90" s="28" t="e">
        <f t="shared" ref="H90:M90" si="50">PPMT(H83/$B87,1,ROUND(($B85-(H$5-YEAR($B83))+MONTH($B83)/12)*$B87,0),H84)</f>
        <v>#NUM!</v>
      </c>
      <c r="I90" s="28" t="e">
        <f t="shared" si="50"/>
        <v>#NUM!</v>
      </c>
      <c r="J90" s="28" t="e">
        <f t="shared" si="50"/>
        <v>#NUM!</v>
      </c>
      <c r="K90" s="28" t="e">
        <f t="shared" si="50"/>
        <v>#NUM!</v>
      </c>
      <c r="L90" s="28" t="e">
        <f t="shared" si="50"/>
        <v>#NUM!</v>
      </c>
      <c r="M90" s="28" t="e">
        <f t="shared" si="50"/>
        <v>#NUM!</v>
      </c>
    </row>
    <row r="91" spans="1:13" s="13" customFormat="1" ht="12.75" hidden="1" customHeight="1">
      <c r="A91" s="5"/>
      <c r="B91" s="5"/>
      <c r="C91" s="5" t="s">
        <v>770</v>
      </c>
      <c r="D91" s="28">
        <f>IF(YEAR($B83)+$B85&gt;D$5,D84/(YEAR($B83)+$B85-D$5+MONTH($B83)/12),D84)</f>
        <v>0</v>
      </c>
      <c r="E91" s="28">
        <f>IF(YEAR($B83)+$B85&gt;E$5,E84/(YEAR($B83)+$B85-E$5+MONTH($B83)/12),E84)</f>
        <v>0</v>
      </c>
      <c r="F91" s="28">
        <f>IF(YEAR($B83)+$B85&gt;F$5,F84/(YEAR($B83)+$B85-F$5+MONTH($B83)/12),F84)</f>
        <v>0</v>
      </c>
      <c r="G91" s="28">
        <f t="shared" ref="G91:M91" si="51">IF(YEAR($B83)+$B85&gt;G$5,G84/(YEAR($B83)+$B85-G$5+MONTH($B83)/12),G84)</f>
        <v>0</v>
      </c>
      <c r="H91" s="28">
        <f t="shared" si="51"/>
        <v>0</v>
      </c>
      <c r="I91" s="28">
        <f t="shared" si="51"/>
        <v>0</v>
      </c>
      <c r="J91" s="28">
        <f t="shared" si="51"/>
        <v>0</v>
      </c>
      <c r="K91" s="28">
        <f t="shared" si="51"/>
        <v>0</v>
      </c>
      <c r="L91" s="28">
        <f t="shared" si="51"/>
        <v>0</v>
      </c>
      <c r="M91" s="28">
        <f t="shared" si="51"/>
        <v>0</v>
      </c>
    </row>
    <row r="92" spans="1:13" s="13" customFormat="1" ht="12.75" customHeight="1">
      <c r="A92"/>
      <c r="B92"/>
      <c r="C92" s="5"/>
    </row>
    <row r="93" spans="1:13" s="13" customFormat="1" ht="12.75" customHeight="1">
      <c r="A93" s="30" t="s">
        <v>648</v>
      </c>
      <c r="B93" s="99"/>
      <c r="C93" t="s">
        <v>800</v>
      </c>
      <c r="D93" s="161" t="s">
        <v>801</v>
      </c>
      <c r="E93" s="1"/>
      <c r="F93"/>
      <c r="G93"/>
      <c r="H93"/>
      <c r="I93"/>
      <c r="J93"/>
      <c r="K93"/>
      <c r="L93"/>
      <c r="M93"/>
    </row>
    <row r="94" spans="1:13" s="13" customFormat="1" ht="12.75" customHeight="1">
      <c r="A94" s="26" t="s">
        <v>677</v>
      </c>
      <c r="B94" s="133">
        <v>29373</v>
      </c>
      <c r="C94" s="5" t="s">
        <v>639</v>
      </c>
      <c r="D94" s="75">
        <f>IF($D93="V",Input!G$70,IF(AND($B100=D$5,Input!G$65&gt;0),Input!G$65,$B97))</f>
        <v>7.0000000000000007E-2</v>
      </c>
      <c r="E94" s="75">
        <f>IF($D93="V",Input!H$70,IF(AND($B100=E$5,Input!H$65&gt;0),Input!H$65,D94))</f>
        <v>7.0000000000000007E-2</v>
      </c>
      <c r="F94" s="75">
        <f>IF($D93="V",Input!I$70,IF(AND($B100=F$5,Input!I$65&gt;0),Input!I$65,E94))</f>
        <v>7.0000000000000007E-2</v>
      </c>
      <c r="G94" s="75">
        <f>IF($D93="V",Input!J$70,IF(AND($B100=G$5,Input!J$65&gt;0),Input!J$65,F94))</f>
        <v>7.0000000000000007E-2</v>
      </c>
      <c r="H94" s="75">
        <f>IF($D93="V",Input!K$70,IF(AND($B100=H$5,Input!K$65&gt;0),Input!K$65,G94))</f>
        <v>7.0000000000000007E-2</v>
      </c>
      <c r="I94" s="75">
        <f>IF($D93="V",Input!L$70,IF(AND($B100=I$5,Input!L$65&gt;0),Input!L$65,H94))</f>
        <v>7.0000000000000007E-2</v>
      </c>
      <c r="J94" s="75">
        <f>IF($D93="V",Input!M$70,IF(AND($B100=J$5,Input!M$65&gt;0),Input!M$65,I94))</f>
        <v>7.0000000000000007E-2</v>
      </c>
      <c r="K94" s="75">
        <f>IF($D93="V",Input!N$70,IF(AND($B100=K$5,Input!N$65&gt;0),Input!N$65,J94))</f>
        <v>7.0000000000000007E-2</v>
      </c>
      <c r="L94" s="75">
        <f>IF($D93="V",Input!O$70,IF(AND($B100=L$5,Input!O$65&gt;0),Input!O$65,K94))</f>
        <v>7.0000000000000007E-2</v>
      </c>
      <c r="M94" s="75">
        <f>IF($D93="V",Input!P$70,IF(AND($B100=M$5,Input!P$65&gt;0),Input!P$65,L94))</f>
        <v>7.0000000000000007E-2</v>
      </c>
    </row>
    <row r="95" spans="1:13" s="13" customFormat="1" ht="12.75" customHeight="1">
      <c r="A95" s="5" t="s">
        <v>361</v>
      </c>
      <c r="B95" s="135">
        <v>0</v>
      </c>
      <c r="C95" s="27" t="s">
        <v>173</v>
      </c>
      <c r="D95" s="140">
        <v>0</v>
      </c>
      <c r="E95" s="28">
        <f t="shared" ref="E95:M95" si="52">D100</f>
        <v>0</v>
      </c>
      <c r="F95" s="28">
        <f t="shared" si="52"/>
        <v>0</v>
      </c>
      <c r="G95" s="28">
        <f t="shared" si="52"/>
        <v>0</v>
      </c>
      <c r="H95" s="28">
        <f t="shared" si="52"/>
        <v>0</v>
      </c>
      <c r="I95" s="28">
        <f t="shared" si="52"/>
        <v>0</v>
      </c>
      <c r="J95" s="28">
        <f t="shared" si="52"/>
        <v>0</v>
      </c>
      <c r="K95" s="28">
        <f t="shared" si="52"/>
        <v>0</v>
      </c>
      <c r="L95" s="28">
        <f t="shared" si="52"/>
        <v>0</v>
      </c>
      <c r="M95" s="28">
        <f t="shared" si="52"/>
        <v>0</v>
      </c>
    </row>
    <row r="96" spans="1:13" s="13" customFormat="1" ht="12.75" customHeight="1">
      <c r="A96" s="26" t="s">
        <v>170</v>
      </c>
      <c r="B96" s="131">
        <v>35</v>
      </c>
      <c r="C96" s="29" t="s">
        <v>169</v>
      </c>
      <c r="D96" s="28">
        <f>D98-D97</f>
        <v>0</v>
      </c>
      <c r="E96" s="28">
        <f>E98-E97</f>
        <v>0</v>
      </c>
      <c r="F96" s="28">
        <f>F98-F97</f>
        <v>0</v>
      </c>
      <c r="G96" s="28">
        <f>G98-G97</f>
        <v>0</v>
      </c>
      <c r="H96" s="28">
        <f t="shared" ref="H96:M96" si="53">H98-H97</f>
        <v>0</v>
      </c>
      <c r="I96" s="28">
        <f t="shared" si="53"/>
        <v>0</v>
      </c>
      <c r="J96" s="28">
        <f t="shared" si="53"/>
        <v>0</v>
      </c>
      <c r="K96" s="28">
        <f t="shared" si="53"/>
        <v>0</v>
      </c>
      <c r="L96" s="28">
        <f t="shared" si="53"/>
        <v>0</v>
      </c>
      <c r="M96" s="28">
        <f t="shared" si="53"/>
        <v>0</v>
      </c>
    </row>
    <row r="97" spans="1:13" s="13" customFormat="1" ht="12.75" customHeight="1">
      <c r="A97" s="5" t="s">
        <v>172</v>
      </c>
      <c r="B97" s="134">
        <f>B86</f>
        <v>7.0000000000000007E-2</v>
      </c>
      <c r="C97" s="5" t="s">
        <v>174</v>
      </c>
      <c r="D97" s="28">
        <f>IF(AND($B99="Y",YEAR($B94)+$B96&gt;D$5),D102,IF((YEAR($B94)+$B96)&gt;D$5,FV(D94/$B98,$B98,D101),D95))</f>
        <v>0</v>
      </c>
      <c r="E97" s="28">
        <f>IF(AND($B99="Y",YEAR($B94)+$B96&gt;E$5),E102,IF((YEAR($B94)+$B96)&gt;E$5,FV(E94/$B98,$B98,E101),E95))</f>
        <v>0</v>
      </c>
      <c r="F97" s="28">
        <f>IF(AND($B99="Y",YEAR($B94)+$B96&gt;F$5),F102,IF((YEAR($B94)+$B96)&gt;F$5,FV(F94/$B98,$B98,F101),F95))</f>
        <v>0</v>
      </c>
      <c r="G97" s="28">
        <f>IF(AND($B99="Y",YEAR($B94)+$B96&gt;G$5),G102,IF((YEAR($B94)+$B96)&gt;G$5,FV(G94/$B98,$B98,G101),G95))</f>
        <v>0</v>
      </c>
      <c r="H97" s="28">
        <f t="shared" ref="H97:M97" si="54">IF(AND($B99="Y",YEAR($B94)+$B96&gt;H$5),H102,IF((YEAR($B94)+$B96)&gt;H$5,FV(H94/$B98,$B98,H101),H95))</f>
        <v>0</v>
      </c>
      <c r="I97" s="28">
        <f t="shared" si="54"/>
        <v>0</v>
      </c>
      <c r="J97" s="28">
        <f t="shared" si="54"/>
        <v>0</v>
      </c>
      <c r="K97" s="28">
        <f t="shared" si="54"/>
        <v>0</v>
      </c>
      <c r="L97" s="28">
        <f t="shared" si="54"/>
        <v>0</v>
      </c>
      <c r="M97" s="28">
        <f t="shared" si="54"/>
        <v>0</v>
      </c>
    </row>
    <row r="98" spans="1:13" s="13" customFormat="1" ht="12.75" customHeight="1">
      <c r="A98" s="5" t="s">
        <v>171</v>
      </c>
      <c r="B98" s="131">
        <v>4</v>
      </c>
      <c r="C98" s="78" t="s">
        <v>640</v>
      </c>
      <c r="D98" s="28">
        <f>IF(AND($B99="Y",YEAR($B94)+$B96&gt;D$5),D102+D94*(D95-D102*0.5),IF((YEAR($B94)+$B96)&gt;D$5,(D95*D94/$B98-D101)*$B98,(D95*(1+D94*MONTH($B94)/12))))</f>
        <v>0</v>
      </c>
      <c r="E98" s="28">
        <f>IF(AND($B99="Y",YEAR($B94)+$B96&gt;E$5),E102+E94*(E95-E102*0.5),IF((YEAR($B94)+$B96)&gt;E$5,(E95*E94/$B98-E101)*$B98,(E95*(1+E94*MONTH($B94)/12))))</f>
        <v>0</v>
      </c>
      <c r="F98" s="28">
        <f>IF(AND($B99="Y",YEAR($B94)+$B96&gt;F$5),F102+F94*(F95-F102*0.5),IF((YEAR($B94)+$B96)&gt;F$5,(F95*F94/$B98-F101)*$B98,(F95*(1+F94*MONTH($B94)/12))))</f>
        <v>0</v>
      </c>
      <c r="G98" s="28">
        <f>IF(AND($B99="Y",YEAR($B94)+$B96&gt;G$5),G102+G94*(G95-G102*0.5),IF((YEAR($B94)+$B96)&gt;G$5,(G95*G94/$B98-G101)*$B98,(G95*(1+G94*MONTH($B94)/12))))</f>
        <v>0</v>
      </c>
      <c r="H98" s="28">
        <f t="shared" ref="H98:M98" si="55">IF(AND($B99="Y",YEAR($B94)+$B96&gt;H$5),H102+H94*(H95-H102*0.5),IF((YEAR($B94)+$B96)&gt;H$5,(H95*H94/$B98-H101)*$B98,(H95*(1+H94*MONTH($B94)/12))))</f>
        <v>0</v>
      </c>
      <c r="I98" s="28">
        <f t="shared" si="55"/>
        <v>0</v>
      </c>
      <c r="J98" s="28">
        <f t="shared" si="55"/>
        <v>0</v>
      </c>
      <c r="K98" s="28">
        <f t="shared" si="55"/>
        <v>0</v>
      </c>
      <c r="L98" s="28">
        <f t="shared" si="55"/>
        <v>0</v>
      </c>
      <c r="M98" s="28">
        <f t="shared" si="55"/>
        <v>0</v>
      </c>
    </row>
    <row r="99" spans="1:13" s="13" customFormat="1" ht="12.75" customHeight="1">
      <c r="A99" s="5" t="s">
        <v>767</v>
      </c>
      <c r="B99" s="131" t="s">
        <v>719</v>
      </c>
      <c r="C99" s="132" t="s">
        <v>768</v>
      </c>
      <c r="D99" s="140">
        <v>0</v>
      </c>
      <c r="E99" s="140">
        <v>0</v>
      </c>
      <c r="F99" s="140">
        <v>0</v>
      </c>
      <c r="G99" s="140">
        <v>0</v>
      </c>
      <c r="H99" s="140">
        <v>0</v>
      </c>
      <c r="I99" s="140">
        <v>0</v>
      </c>
      <c r="J99" s="140">
        <v>0</v>
      </c>
      <c r="K99" s="140">
        <v>0</v>
      </c>
      <c r="L99" s="140">
        <v>0</v>
      </c>
      <c r="M99" s="140">
        <v>0</v>
      </c>
    </row>
    <row r="100" spans="1:13" s="13" customFormat="1" ht="12.75" customHeight="1">
      <c r="A100" s="5" t="s">
        <v>182</v>
      </c>
      <c r="B100" s="131"/>
      <c r="C100" s="30" t="s">
        <v>175</v>
      </c>
      <c r="D100" s="28">
        <f t="shared" ref="D100:M100" si="56">D95+D96-D98-D99</f>
        <v>0</v>
      </c>
      <c r="E100" s="28">
        <f t="shared" si="56"/>
        <v>0</v>
      </c>
      <c r="F100" s="28">
        <f t="shared" si="56"/>
        <v>0</v>
      </c>
      <c r="G100" s="28">
        <f t="shared" si="56"/>
        <v>0</v>
      </c>
      <c r="H100" s="28">
        <f t="shared" si="56"/>
        <v>0</v>
      </c>
      <c r="I100" s="28">
        <f t="shared" si="56"/>
        <v>0</v>
      </c>
      <c r="J100" s="28">
        <f t="shared" si="56"/>
        <v>0</v>
      </c>
      <c r="K100" s="28">
        <f t="shared" si="56"/>
        <v>0</v>
      </c>
      <c r="L100" s="28">
        <f t="shared" si="56"/>
        <v>0</v>
      </c>
      <c r="M100" s="28">
        <f t="shared" si="56"/>
        <v>0</v>
      </c>
    </row>
    <row r="101" spans="1:13" s="13" customFormat="1" ht="12.75" hidden="1" customHeight="1">
      <c r="A101" s="5"/>
      <c r="B101" s="138"/>
      <c r="C101" s="5" t="s">
        <v>769</v>
      </c>
      <c r="D101" s="28" t="e">
        <f>PPMT(D94/$B98,1,ROUND(($B96-(D$5-YEAR($B94))+MONTH($B94)/12)*$B98,0),D95)</f>
        <v>#NUM!</v>
      </c>
      <c r="E101" s="28" t="e">
        <f>PPMT(E94/$B98,1,ROUND(($B96-(E$5-YEAR($B94))+MONTH($B94)/12)*$B98,0),E95)</f>
        <v>#NUM!</v>
      </c>
      <c r="F101" s="28" t="e">
        <f>PPMT(F94/$B98,1,ROUND(($B96-(F$5-YEAR($B94))+MONTH($B94)/12)*$B98,0),F95)</f>
        <v>#NUM!</v>
      </c>
      <c r="G101" s="28" t="e">
        <f>PPMT(G94/$B98,1,ROUND(($B96-(G$5-YEAR($B94))+MONTH($B94)/12)*$B98,0),G95)</f>
        <v>#NUM!</v>
      </c>
      <c r="H101" s="28" t="e">
        <f t="shared" ref="H101:M101" si="57">PPMT(H94/$B98,1,ROUND(($B96-(H$5-YEAR($B94))+MONTH($B94)/12)*$B98,0),H95)</f>
        <v>#NUM!</v>
      </c>
      <c r="I101" s="28" t="e">
        <f t="shared" si="57"/>
        <v>#NUM!</v>
      </c>
      <c r="J101" s="28" t="e">
        <f t="shared" si="57"/>
        <v>#NUM!</v>
      </c>
      <c r="K101" s="28" t="e">
        <f t="shared" si="57"/>
        <v>#NUM!</v>
      </c>
      <c r="L101" s="28" t="e">
        <f t="shared" si="57"/>
        <v>#NUM!</v>
      </c>
      <c r="M101" s="28" t="e">
        <f t="shared" si="57"/>
        <v>#NUM!</v>
      </c>
    </row>
    <row r="102" spans="1:13" s="13" customFormat="1" ht="12.75" hidden="1" customHeight="1">
      <c r="A102" s="5"/>
      <c r="B102" s="5"/>
      <c r="C102" s="5" t="s">
        <v>770</v>
      </c>
      <c r="D102" s="28">
        <f>IF(YEAR($B94)+$B96&gt;D$5,D95/(YEAR($B94)+$B96-D$5+MONTH($B94)/12),D95)</f>
        <v>0</v>
      </c>
      <c r="E102" s="28">
        <f>IF(YEAR($B94)+$B96&gt;E$5,E95/(YEAR($B94)+$B96-E$5+MONTH($B94)/12),E95)</f>
        <v>0</v>
      </c>
      <c r="F102" s="28">
        <f>IF(YEAR($B94)+$B96&gt;F$5,F95/(YEAR($B94)+$B96-F$5+MONTH($B94)/12),F95)</f>
        <v>0</v>
      </c>
      <c r="G102" s="28">
        <f t="shared" ref="G102:M102" si="58">IF(YEAR($B94)+$B96&gt;G$5,G95/(YEAR($B94)+$B96-G$5+MONTH($B94)/12),G95)</f>
        <v>0</v>
      </c>
      <c r="H102" s="28">
        <f t="shared" si="58"/>
        <v>0</v>
      </c>
      <c r="I102" s="28">
        <f t="shared" si="58"/>
        <v>0</v>
      </c>
      <c r="J102" s="28">
        <f t="shared" si="58"/>
        <v>0</v>
      </c>
      <c r="K102" s="28">
        <f t="shared" si="58"/>
        <v>0</v>
      </c>
      <c r="L102" s="28">
        <f t="shared" si="58"/>
        <v>0</v>
      </c>
      <c r="M102" s="28">
        <f t="shared" si="58"/>
        <v>0</v>
      </c>
    </row>
    <row r="103" spans="1:13" s="13" customFormat="1" ht="12.75" customHeight="1">
      <c r="A103"/>
      <c r="B103"/>
      <c r="C103" s="5"/>
      <c r="D103" s="73"/>
      <c r="E103" s="73"/>
      <c r="F103" s="73"/>
      <c r="G103" s="73"/>
      <c r="H103" s="73"/>
      <c r="I103" s="73"/>
      <c r="J103" s="73"/>
      <c r="K103" s="73"/>
      <c r="L103" s="73"/>
      <c r="M103" s="73"/>
    </row>
    <row r="104" spans="1:13" s="13" customFormat="1" ht="12.75" customHeight="1">
      <c r="A104" s="30" t="s">
        <v>649</v>
      </c>
      <c r="B104" s="99"/>
      <c r="C104" t="s">
        <v>800</v>
      </c>
      <c r="D104" s="161" t="s">
        <v>801</v>
      </c>
      <c r="E104" s="1"/>
      <c r="F104"/>
      <c r="G104"/>
      <c r="H104"/>
      <c r="I104"/>
      <c r="J104"/>
      <c r="K104"/>
      <c r="L104"/>
      <c r="M104"/>
    </row>
    <row r="105" spans="1:13" s="13" customFormat="1" ht="12.75" customHeight="1">
      <c r="A105" s="26" t="s">
        <v>677</v>
      </c>
      <c r="B105" s="133">
        <v>29373</v>
      </c>
      <c r="C105" s="5" t="s">
        <v>639</v>
      </c>
      <c r="D105" s="75">
        <f>IF($D104="V",Input!G$70,IF(AND($B111=D$5,Input!G$65&gt;0),Input!G$65,$B108))</f>
        <v>7.0000000000000007E-2</v>
      </c>
      <c r="E105" s="75">
        <f>IF($D104="V",Input!H$70,IF(AND($B111=E$5,Input!H$65&gt;0),Input!H$65,D105))</f>
        <v>7.0000000000000007E-2</v>
      </c>
      <c r="F105" s="75">
        <f>IF($D104="V",Input!I$70,IF(AND($B111=F$5,Input!I$65&gt;0),Input!I$65,E105))</f>
        <v>7.0000000000000007E-2</v>
      </c>
      <c r="G105" s="75">
        <f>IF($D104="V",Input!J$70,IF(AND($B111=G$5,Input!J$65&gt;0),Input!J$65,F105))</f>
        <v>7.0000000000000007E-2</v>
      </c>
      <c r="H105" s="75">
        <f>IF($D104="V",Input!K$70,IF(AND($B111=H$5,Input!K$65&gt;0),Input!K$65,G105))</f>
        <v>7.0000000000000007E-2</v>
      </c>
      <c r="I105" s="75">
        <f>IF($D104="V",Input!L$70,IF(AND($B111=I$5,Input!L$65&gt;0),Input!L$65,H105))</f>
        <v>7.0000000000000007E-2</v>
      </c>
      <c r="J105" s="75">
        <f>IF($D104="V",Input!M$70,IF(AND($B111=J$5,Input!M$65&gt;0),Input!M$65,I105))</f>
        <v>7.0000000000000007E-2</v>
      </c>
      <c r="K105" s="75">
        <f>IF($D104="V",Input!N$70,IF(AND($B111=K$5,Input!N$65&gt;0),Input!N$65,J105))</f>
        <v>7.0000000000000007E-2</v>
      </c>
      <c r="L105" s="75">
        <f>IF($D104="V",Input!O$70,IF(AND($B111=L$5,Input!O$65&gt;0),Input!O$65,K105))</f>
        <v>7.0000000000000007E-2</v>
      </c>
      <c r="M105" s="75">
        <f>IF($D104="V",Input!P$70,IF(AND($B111=M$5,Input!P$65&gt;0),Input!P$65,L105))</f>
        <v>7.0000000000000007E-2</v>
      </c>
    </row>
    <row r="106" spans="1:13" s="13" customFormat="1" ht="12.75" customHeight="1">
      <c r="A106" s="5" t="s">
        <v>361</v>
      </c>
      <c r="B106" s="135">
        <v>0</v>
      </c>
      <c r="C106" s="27" t="s">
        <v>173</v>
      </c>
      <c r="D106" s="140">
        <v>0</v>
      </c>
      <c r="E106" s="28">
        <f t="shared" ref="E106:M106" si="59">D111</f>
        <v>0</v>
      </c>
      <c r="F106" s="28">
        <f t="shared" si="59"/>
        <v>0</v>
      </c>
      <c r="G106" s="28">
        <f t="shared" si="59"/>
        <v>0</v>
      </c>
      <c r="H106" s="28">
        <f t="shared" si="59"/>
        <v>0</v>
      </c>
      <c r="I106" s="28">
        <f t="shared" si="59"/>
        <v>0</v>
      </c>
      <c r="J106" s="28">
        <f t="shared" si="59"/>
        <v>0</v>
      </c>
      <c r="K106" s="28">
        <f t="shared" si="59"/>
        <v>0</v>
      </c>
      <c r="L106" s="28">
        <f t="shared" si="59"/>
        <v>0</v>
      </c>
      <c r="M106" s="28">
        <f t="shared" si="59"/>
        <v>0</v>
      </c>
    </row>
    <row r="107" spans="1:13" s="13" customFormat="1" ht="12.75" customHeight="1">
      <c r="A107" s="26" t="s">
        <v>170</v>
      </c>
      <c r="B107" s="131">
        <v>35</v>
      </c>
      <c r="C107" s="29" t="s">
        <v>169</v>
      </c>
      <c r="D107" s="28">
        <f>D109-D108</f>
        <v>0</v>
      </c>
      <c r="E107" s="28">
        <f>E109-E108</f>
        <v>0</v>
      </c>
      <c r="F107" s="28">
        <f>F109-F108</f>
        <v>0</v>
      </c>
      <c r="G107" s="28">
        <f>G109-G108</f>
        <v>0</v>
      </c>
      <c r="H107" s="28">
        <f t="shared" ref="H107:M107" si="60">H109-H108</f>
        <v>0</v>
      </c>
      <c r="I107" s="28">
        <f t="shared" si="60"/>
        <v>0</v>
      </c>
      <c r="J107" s="28">
        <f t="shared" si="60"/>
        <v>0</v>
      </c>
      <c r="K107" s="28">
        <f t="shared" si="60"/>
        <v>0</v>
      </c>
      <c r="L107" s="28">
        <f t="shared" si="60"/>
        <v>0</v>
      </c>
      <c r="M107" s="28">
        <f t="shared" si="60"/>
        <v>0</v>
      </c>
    </row>
    <row r="108" spans="1:13" s="13" customFormat="1" ht="12.75" customHeight="1">
      <c r="A108" s="5" t="s">
        <v>172</v>
      </c>
      <c r="B108" s="134">
        <f>B97</f>
        <v>7.0000000000000007E-2</v>
      </c>
      <c r="C108" s="5" t="s">
        <v>174</v>
      </c>
      <c r="D108" s="28">
        <f>IF(AND($B110="Y",YEAR($B105)+$B107&gt;D$5),D113,IF((YEAR($B105)+$B107)&gt;D$5,FV(D105/$B109,$B109,D112),D106))</f>
        <v>0</v>
      </c>
      <c r="E108" s="28">
        <f>IF(AND($B110="Y",YEAR($B105)+$B107&gt;E$5),E113,IF((YEAR($B105)+$B107)&gt;E$5,FV(E105/$B109,$B109,E112),E106))</f>
        <v>0</v>
      </c>
      <c r="F108" s="28">
        <f>IF(AND($B110="Y",YEAR($B105)+$B107&gt;F$5),F113,IF((YEAR($B105)+$B107)&gt;F$5,FV(F105/$B109,$B109,F112),F106))</f>
        <v>0</v>
      </c>
      <c r="G108" s="28">
        <f>IF(AND($B110="Y",YEAR($B105)+$B107&gt;G$5),G113,IF((YEAR($B105)+$B107)&gt;G$5,FV(G105/$B109,$B109,G112),G106))</f>
        <v>0</v>
      </c>
      <c r="H108" s="28">
        <f t="shared" ref="H108:M108" si="61">IF(AND($B110="Y",YEAR($B105)+$B107&gt;H$5),H113,IF((YEAR($B105)+$B107)&gt;H$5,FV(H105/$B109,$B109,H112),H106))</f>
        <v>0</v>
      </c>
      <c r="I108" s="28">
        <f t="shared" si="61"/>
        <v>0</v>
      </c>
      <c r="J108" s="28">
        <f t="shared" si="61"/>
        <v>0</v>
      </c>
      <c r="K108" s="28">
        <f t="shared" si="61"/>
        <v>0</v>
      </c>
      <c r="L108" s="28">
        <f t="shared" si="61"/>
        <v>0</v>
      </c>
      <c r="M108" s="28">
        <f t="shared" si="61"/>
        <v>0</v>
      </c>
    </row>
    <row r="109" spans="1:13" s="13" customFormat="1" ht="12.75" customHeight="1">
      <c r="A109" s="5" t="s">
        <v>171</v>
      </c>
      <c r="B109" s="131">
        <v>4</v>
      </c>
      <c r="C109" s="78" t="s">
        <v>640</v>
      </c>
      <c r="D109" s="28">
        <f>IF(AND($B110="Y",YEAR($B105)+$B107&gt;D$5),D113+D105*(D106-D113*0.5),IF((YEAR($B105)+$B107)&gt;D$5,(D106*D105/$B109-D112)*$B109,(D106*(1+D105*MONTH($B105)/12))))</f>
        <v>0</v>
      </c>
      <c r="E109" s="28">
        <f>IF(AND($B110="Y",YEAR($B105)+$B107&gt;E$5),E113+E105*(E106-E113*0.5),IF((YEAR($B105)+$B107)&gt;E$5,(E106*E105/$B109-E112)*$B109,(E106*(1+E105*MONTH($B105)/12))))</f>
        <v>0</v>
      </c>
      <c r="F109" s="28">
        <f>IF(AND($B110="Y",YEAR($B105)+$B107&gt;F$5),F113+F105*(F106-F113*0.5),IF((YEAR($B105)+$B107)&gt;F$5,(F106*F105/$B109-F112)*$B109,(F106*(1+F105*MONTH($B105)/12))))</f>
        <v>0</v>
      </c>
      <c r="G109" s="28">
        <f>IF(AND($B110="Y",YEAR($B105)+$B107&gt;G$5),G113+G105*(G106-G113*0.5),IF((YEAR($B105)+$B107)&gt;G$5,(G106*G105/$B109-G112)*$B109,(G106*(1+G105*MONTH($B105)/12))))</f>
        <v>0</v>
      </c>
      <c r="H109" s="28">
        <f t="shared" ref="H109:M109" si="62">IF(AND($B110="Y",YEAR($B105)+$B107&gt;H$5),H113+H105*(H106-H113*0.5),IF((YEAR($B105)+$B107)&gt;H$5,(H106*H105/$B109-H112)*$B109,(H106*(1+H105*MONTH($B105)/12))))</f>
        <v>0</v>
      </c>
      <c r="I109" s="28">
        <f t="shared" si="62"/>
        <v>0</v>
      </c>
      <c r="J109" s="28">
        <f t="shared" si="62"/>
        <v>0</v>
      </c>
      <c r="K109" s="28">
        <f t="shared" si="62"/>
        <v>0</v>
      </c>
      <c r="L109" s="28">
        <f t="shared" si="62"/>
        <v>0</v>
      </c>
      <c r="M109" s="28">
        <f t="shared" si="62"/>
        <v>0</v>
      </c>
    </row>
    <row r="110" spans="1:13" s="13" customFormat="1" ht="12.75" customHeight="1">
      <c r="A110" s="5" t="s">
        <v>767</v>
      </c>
      <c r="B110" s="131" t="s">
        <v>719</v>
      </c>
      <c r="C110" s="132" t="s">
        <v>768</v>
      </c>
      <c r="D110" s="140">
        <v>0</v>
      </c>
      <c r="E110" s="140">
        <v>0</v>
      </c>
      <c r="F110" s="140">
        <v>0</v>
      </c>
      <c r="G110" s="140">
        <v>0</v>
      </c>
      <c r="H110" s="140">
        <v>0</v>
      </c>
      <c r="I110" s="140">
        <v>0</v>
      </c>
      <c r="J110" s="140">
        <v>0</v>
      </c>
      <c r="K110" s="140">
        <v>0</v>
      </c>
      <c r="L110" s="140">
        <v>0</v>
      </c>
      <c r="M110" s="140">
        <v>0</v>
      </c>
    </row>
    <row r="111" spans="1:13" s="13" customFormat="1" ht="12.75" customHeight="1">
      <c r="A111" s="5" t="s">
        <v>182</v>
      </c>
      <c r="B111" s="131"/>
      <c r="C111" s="30" t="s">
        <v>175</v>
      </c>
      <c r="D111" s="28">
        <f t="shared" ref="D111:M111" si="63">D106+D107-D109-D110</f>
        <v>0</v>
      </c>
      <c r="E111" s="28">
        <f t="shared" si="63"/>
        <v>0</v>
      </c>
      <c r="F111" s="28">
        <f t="shared" si="63"/>
        <v>0</v>
      </c>
      <c r="G111" s="28">
        <f t="shared" si="63"/>
        <v>0</v>
      </c>
      <c r="H111" s="28">
        <f t="shared" si="63"/>
        <v>0</v>
      </c>
      <c r="I111" s="28">
        <f t="shared" si="63"/>
        <v>0</v>
      </c>
      <c r="J111" s="28">
        <f t="shared" si="63"/>
        <v>0</v>
      </c>
      <c r="K111" s="28">
        <f t="shared" si="63"/>
        <v>0</v>
      </c>
      <c r="L111" s="28">
        <f t="shared" si="63"/>
        <v>0</v>
      </c>
      <c r="M111" s="28">
        <f t="shared" si="63"/>
        <v>0</v>
      </c>
    </row>
    <row r="112" spans="1:13" s="13" customFormat="1" ht="12.75" hidden="1" customHeight="1">
      <c r="A112" s="5"/>
      <c r="B112" s="138"/>
      <c r="C112" s="5" t="s">
        <v>769</v>
      </c>
      <c r="D112" s="28" t="e">
        <f>PPMT(D105/$B109,1,ROUND(($B107-(D$5-YEAR($B105))+MONTH($B105)/12)*$B109,0),D106)</f>
        <v>#NUM!</v>
      </c>
      <c r="E112" s="28" t="e">
        <f>PPMT(E105/$B109,1,ROUND(($B107-(E$5-YEAR($B105))+MONTH($B105)/12)*$B109,0),E106)</f>
        <v>#NUM!</v>
      </c>
      <c r="F112" s="28" t="e">
        <f>PPMT(F105/$B109,1,ROUND(($B107-(F$5-YEAR($B105))+MONTH($B105)/12)*$B109,0),F106)</f>
        <v>#NUM!</v>
      </c>
      <c r="G112" s="28" t="e">
        <f>PPMT(G105/$B109,1,ROUND(($B107-(G$5-YEAR($B105))+MONTH($B105)/12)*$B109,0),G106)</f>
        <v>#NUM!</v>
      </c>
      <c r="H112" s="28" t="e">
        <f t="shared" ref="H112:M112" si="64">PPMT(H105/$B109,1,ROUND(($B107-(H$5-YEAR($B105))+MONTH($B105)/12)*$B109,0),H106)</f>
        <v>#NUM!</v>
      </c>
      <c r="I112" s="28" t="e">
        <f t="shared" si="64"/>
        <v>#NUM!</v>
      </c>
      <c r="J112" s="28" t="e">
        <f t="shared" si="64"/>
        <v>#NUM!</v>
      </c>
      <c r="K112" s="28" t="e">
        <f t="shared" si="64"/>
        <v>#NUM!</v>
      </c>
      <c r="L112" s="28" t="e">
        <f t="shared" si="64"/>
        <v>#NUM!</v>
      </c>
      <c r="M112" s="28" t="e">
        <f t="shared" si="64"/>
        <v>#NUM!</v>
      </c>
    </row>
    <row r="113" spans="1:13" s="13" customFormat="1" ht="12.75" hidden="1" customHeight="1">
      <c r="A113" s="5"/>
      <c r="B113" s="5"/>
      <c r="C113" s="5" t="s">
        <v>770</v>
      </c>
      <c r="D113" s="28">
        <f>IF(YEAR($B105)+$B107&gt;D$5,D106/(YEAR($B105)+$B107-D$5+MONTH($B105)/12),D106)</f>
        <v>0</v>
      </c>
      <c r="E113" s="28">
        <f>IF(YEAR($B105)+$B107&gt;E$5,E106/(YEAR($B105)+$B107-E$5+MONTH($B105)/12),E106)</f>
        <v>0</v>
      </c>
      <c r="F113" s="28">
        <f>IF(YEAR($B105)+$B107&gt;F$5,F106/(YEAR($B105)+$B107-F$5+MONTH($B105)/12),F106)</f>
        <v>0</v>
      </c>
      <c r="G113" s="28">
        <f t="shared" ref="G113:M113" si="65">IF(YEAR($B105)+$B107&gt;G$5,G106/(YEAR($B105)+$B107-G$5+MONTH($B105)/12),G106)</f>
        <v>0</v>
      </c>
      <c r="H113" s="28">
        <f t="shared" si="65"/>
        <v>0</v>
      </c>
      <c r="I113" s="28">
        <f t="shared" si="65"/>
        <v>0</v>
      </c>
      <c r="J113" s="28">
        <f t="shared" si="65"/>
        <v>0</v>
      </c>
      <c r="K113" s="28">
        <f t="shared" si="65"/>
        <v>0</v>
      </c>
      <c r="L113" s="28">
        <f t="shared" si="65"/>
        <v>0</v>
      </c>
      <c r="M113" s="28">
        <f t="shared" si="65"/>
        <v>0</v>
      </c>
    </row>
    <row r="114" spans="1:13" s="13" customFormat="1" ht="12.75" customHeight="1">
      <c r="A114"/>
      <c r="B114"/>
      <c r="C114" s="5"/>
      <c r="D114" s="39"/>
      <c r="E114" s="39"/>
      <c r="F114" s="39"/>
      <c r="G114" s="39"/>
      <c r="H114" s="39"/>
      <c r="I114" s="39"/>
      <c r="J114" s="39"/>
      <c r="K114" s="39"/>
      <c r="L114" s="39"/>
      <c r="M114" s="39"/>
    </row>
    <row r="115" spans="1:13" s="13" customFormat="1" ht="12.75" customHeight="1">
      <c r="A115" s="30" t="s">
        <v>650</v>
      </c>
      <c r="B115" s="99"/>
      <c r="C115" t="s">
        <v>800</v>
      </c>
      <c r="D115" s="161" t="s">
        <v>801</v>
      </c>
      <c r="E115" s="1"/>
      <c r="F115"/>
      <c r="G115"/>
      <c r="H115"/>
      <c r="I115"/>
      <c r="J115"/>
      <c r="K115"/>
      <c r="L115"/>
      <c r="M115"/>
    </row>
    <row r="116" spans="1:13" s="13" customFormat="1" ht="12.75" customHeight="1">
      <c r="A116" s="26" t="s">
        <v>677</v>
      </c>
      <c r="B116" s="133">
        <v>29373</v>
      </c>
      <c r="C116" s="5" t="s">
        <v>639</v>
      </c>
      <c r="D116" s="75">
        <f>IF($D115="V",Input!G$70,IF(AND($B122=D$5,Input!G$65&gt;0),Input!G$65,$B119))</f>
        <v>7.0000000000000007E-2</v>
      </c>
      <c r="E116" s="75">
        <f>IF($D115="V",Input!H$70,IF(AND($B122=E$5,Input!H$65&gt;0),Input!H$65,D116))</f>
        <v>7.0000000000000007E-2</v>
      </c>
      <c r="F116" s="75">
        <f>IF($D115="V",Input!I$70,IF(AND($B122=F$5,Input!I$65&gt;0),Input!I$65,E116))</f>
        <v>7.0000000000000007E-2</v>
      </c>
      <c r="G116" s="75">
        <f>IF($D115="V",Input!J$70,IF(AND($B122=G$5,Input!J$65&gt;0),Input!J$65,F116))</f>
        <v>7.0000000000000007E-2</v>
      </c>
      <c r="H116" s="75">
        <f>IF($D115="V",Input!K$70,IF(AND($B122=H$5,Input!K$65&gt;0),Input!K$65,G116))</f>
        <v>7.0000000000000007E-2</v>
      </c>
      <c r="I116" s="75">
        <f>IF($D115="V",Input!L$70,IF(AND($B122=I$5,Input!L$65&gt;0),Input!L$65,H116))</f>
        <v>7.0000000000000007E-2</v>
      </c>
      <c r="J116" s="75">
        <f>IF($D115="V",Input!M$70,IF(AND($B122=J$5,Input!M$65&gt;0),Input!M$65,I116))</f>
        <v>7.0000000000000007E-2</v>
      </c>
      <c r="K116" s="75">
        <f>IF($D115="V",Input!N$70,IF(AND($B122=K$5,Input!N$65&gt;0),Input!N$65,J116))</f>
        <v>7.0000000000000007E-2</v>
      </c>
      <c r="L116" s="75">
        <f>IF($D115="V",Input!O$70,IF(AND($B122=L$5,Input!O$65&gt;0),Input!O$65,K116))</f>
        <v>7.0000000000000007E-2</v>
      </c>
      <c r="M116" s="75">
        <f>IF($D115="V",Input!P$70,IF(AND($B122=M$5,Input!P$65&gt;0),Input!P$65,L116))</f>
        <v>7.0000000000000007E-2</v>
      </c>
    </row>
    <row r="117" spans="1:13" s="13" customFormat="1" ht="12.75" customHeight="1">
      <c r="A117" s="5" t="s">
        <v>361</v>
      </c>
      <c r="B117" s="135">
        <v>0</v>
      </c>
      <c r="C117" s="27" t="s">
        <v>173</v>
      </c>
      <c r="D117" s="140">
        <v>0</v>
      </c>
      <c r="E117" s="28">
        <f t="shared" ref="E117:M117" si="66">D122</f>
        <v>0</v>
      </c>
      <c r="F117" s="28">
        <f t="shared" si="66"/>
        <v>0</v>
      </c>
      <c r="G117" s="28">
        <f t="shared" si="66"/>
        <v>0</v>
      </c>
      <c r="H117" s="28">
        <f t="shared" si="66"/>
        <v>0</v>
      </c>
      <c r="I117" s="28">
        <f t="shared" si="66"/>
        <v>0</v>
      </c>
      <c r="J117" s="28">
        <f t="shared" si="66"/>
        <v>0</v>
      </c>
      <c r="K117" s="28">
        <f t="shared" si="66"/>
        <v>0</v>
      </c>
      <c r="L117" s="28">
        <f t="shared" si="66"/>
        <v>0</v>
      </c>
      <c r="M117" s="28">
        <f t="shared" si="66"/>
        <v>0</v>
      </c>
    </row>
    <row r="118" spans="1:13" s="13" customFormat="1" ht="12.75" customHeight="1">
      <c r="A118" s="26" t="s">
        <v>170</v>
      </c>
      <c r="B118" s="131">
        <v>35</v>
      </c>
      <c r="C118" s="29" t="s">
        <v>169</v>
      </c>
      <c r="D118" s="28">
        <f>D120-D119</f>
        <v>0</v>
      </c>
      <c r="E118" s="28">
        <f>E120-E119</f>
        <v>0</v>
      </c>
      <c r="F118" s="28">
        <f>F120-F119</f>
        <v>0</v>
      </c>
      <c r="G118" s="28">
        <f>G120-G119</f>
        <v>0</v>
      </c>
      <c r="H118" s="28">
        <f t="shared" ref="H118:M118" si="67">H120-H119</f>
        <v>0</v>
      </c>
      <c r="I118" s="28">
        <f t="shared" si="67"/>
        <v>0</v>
      </c>
      <c r="J118" s="28">
        <f t="shared" si="67"/>
        <v>0</v>
      </c>
      <c r="K118" s="28">
        <f t="shared" si="67"/>
        <v>0</v>
      </c>
      <c r="L118" s="28">
        <f t="shared" si="67"/>
        <v>0</v>
      </c>
      <c r="M118" s="28">
        <f t="shared" si="67"/>
        <v>0</v>
      </c>
    </row>
    <row r="119" spans="1:13" s="13" customFormat="1" ht="12.75" customHeight="1">
      <c r="A119" s="5" t="s">
        <v>172</v>
      </c>
      <c r="B119" s="134">
        <f>B108</f>
        <v>7.0000000000000007E-2</v>
      </c>
      <c r="C119" s="5" t="s">
        <v>174</v>
      </c>
      <c r="D119" s="28">
        <f>IF(AND($B121="Y",YEAR($B116)+$B118&gt;D$5),D124,IF((YEAR($B116)+$B118)&gt;D$5,FV(D116/$B120,$B120,D123),D117))</f>
        <v>0</v>
      </c>
      <c r="E119" s="28">
        <f>IF(AND($B121="Y",YEAR($B116)+$B118&gt;E$5),E124,IF((YEAR($B116)+$B118)&gt;E$5,FV(E116/$B120,$B120,E123),E117))</f>
        <v>0</v>
      </c>
      <c r="F119" s="28">
        <f>IF(AND($B121="Y",YEAR($B116)+$B118&gt;F$5),F124,IF((YEAR($B116)+$B118)&gt;F$5,FV(F116/$B120,$B120,F123),F117))</f>
        <v>0</v>
      </c>
      <c r="G119" s="28">
        <f>IF(AND($B121="Y",YEAR($B116)+$B118&gt;G$5),G124,IF((YEAR($B116)+$B118)&gt;G$5,FV(G116/$B120,$B120,G123),G117))</f>
        <v>0</v>
      </c>
      <c r="H119" s="28">
        <f t="shared" ref="H119:M119" si="68">IF(AND($B121="Y",YEAR($B116)+$B118&gt;H$5),H124,IF((YEAR($B116)+$B118)&gt;H$5,FV(H116/$B120,$B120,H123),H117))</f>
        <v>0</v>
      </c>
      <c r="I119" s="28">
        <f t="shared" si="68"/>
        <v>0</v>
      </c>
      <c r="J119" s="28">
        <f t="shared" si="68"/>
        <v>0</v>
      </c>
      <c r="K119" s="28">
        <f t="shared" si="68"/>
        <v>0</v>
      </c>
      <c r="L119" s="28">
        <f t="shared" si="68"/>
        <v>0</v>
      </c>
      <c r="M119" s="28">
        <f t="shared" si="68"/>
        <v>0</v>
      </c>
    </row>
    <row r="120" spans="1:13" s="13" customFormat="1" ht="12.75" customHeight="1">
      <c r="A120" s="5" t="s">
        <v>171</v>
      </c>
      <c r="B120" s="131">
        <v>4</v>
      </c>
      <c r="C120" s="78" t="s">
        <v>640</v>
      </c>
      <c r="D120" s="28">
        <f>IF(AND($B121="Y",YEAR($B116)+$B118&gt;D$5),D124+D116*(D117-D124*0.5),IF((YEAR($B116)+$B118)&gt;D$5,(D117*D116/$B120-D123)*$B120,(D117*(1+D116*MONTH($B116)/12))))</f>
        <v>0</v>
      </c>
      <c r="E120" s="28">
        <f>IF(AND($B121="Y",YEAR($B116)+$B118&gt;E$5),E124+E116*(E117-E124*0.5),IF((YEAR($B116)+$B118)&gt;E$5,(E117*E116/$B120-E123)*$B120,(E117*(1+E116*MONTH($B116)/12))))</f>
        <v>0</v>
      </c>
      <c r="F120" s="28">
        <f>IF(AND($B121="Y",YEAR($B116)+$B118&gt;F$5),F124+F116*(F117-F124*0.5),IF((YEAR($B116)+$B118)&gt;F$5,(F117*F116/$B120-F123)*$B120,(F117*(1+F116*MONTH($B116)/12))))</f>
        <v>0</v>
      </c>
      <c r="G120" s="28">
        <f>IF(AND($B121="Y",YEAR($B116)+$B118&gt;G$5),G124+G116*(G117-G124*0.5),IF((YEAR($B116)+$B118)&gt;G$5,(G117*G116/$B120-G123)*$B120,(G117*(1+G116*MONTH($B116)/12))))</f>
        <v>0</v>
      </c>
      <c r="H120" s="28">
        <f t="shared" ref="H120:M120" si="69">IF(AND($B121="Y",YEAR($B116)+$B118&gt;H$5),H124+H116*(H117-H124*0.5),IF((YEAR($B116)+$B118)&gt;H$5,(H117*H116/$B120-H123)*$B120,(H117*(1+H116*MONTH($B116)/12))))</f>
        <v>0</v>
      </c>
      <c r="I120" s="28">
        <f t="shared" si="69"/>
        <v>0</v>
      </c>
      <c r="J120" s="28">
        <f t="shared" si="69"/>
        <v>0</v>
      </c>
      <c r="K120" s="28">
        <f t="shared" si="69"/>
        <v>0</v>
      </c>
      <c r="L120" s="28">
        <f t="shared" si="69"/>
        <v>0</v>
      </c>
      <c r="M120" s="28">
        <f t="shared" si="69"/>
        <v>0</v>
      </c>
    </row>
    <row r="121" spans="1:13" s="13" customFormat="1" ht="12.75" customHeight="1">
      <c r="A121" s="5" t="s">
        <v>767</v>
      </c>
      <c r="B121" s="131" t="s">
        <v>719</v>
      </c>
      <c r="C121" s="132" t="s">
        <v>768</v>
      </c>
      <c r="D121" s="140">
        <v>0</v>
      </c>
      <c r="E121" s="140">
        <v>0</v>
      </c>
      <c r="F121" s="140">
        <v>0</v>
      </c>
      <c r="G121" s="140">
        <v>0</v>
      </c>
      <c r="H121" s="140">
        <v>0</v>
      </c>
      <c r="I121" s="140">
        <v>0</v>
      </c>
      <c r="J121" s="140">
        <v>0</v>
      </c>
      <c r="K121" s="140">
        <v>0</v>
      </c>
      <c r="L121" s="140">
        <v>0</v>
      </c>
      <c r="M121" s="140">
        <v>0</v>
      </c>
    </row>
    <row r="122" spans="1:13" s="13" customFormat="1" ht="12.75" customHeight="1">
      <c r="A122" s="5" t="s">
        <v>182</v>
      </c>
      <c r="B122" s="131"/>
      <c r="C122" s="30" t="s">
        <v>175</v>
      </c>
      <c r="D122" s="28">
        <f t="shared" ref="D122:M122" si="70">D117+D118-D120-D121</f>
        <v>0</v>
      </c>
      <c r="E122" s="28">
        <f t="shared" si="70"/>
        <v>0</v>
      </c>
      <c r="F122" s="28">
        <f t="shared" si="70"/>
        <v>0</v>
      </c>
      <c r="G122" s="28">
        <f t="shared" si="70"/>
        <v>0</v>
      </c>
      <c r="H122" s="28">
        <f t="shared" si="70"/>
        <v>0</v>
      </c>
      <c r="I122" s="28">
        <f t="shared" si="70"/>
        <v>0</v>
      </c>
      <c r="J122" s="28">
        <f t="shared" si="70"/>
        <v>0</v>
      </c>
      <c r="K122" s="28">
        <f t="shared" si="70"/>
        <v>0</v>
      </c>
      <c r="L122" s="28">
        <f t="shared" si="70"/>
        <v>0</v>
      </c>
      <c r="M122" s="28">
        <f t="shared" si="70"/>
        <v>0</v>
      </c>
    </row>
    <row r="123" spans="1:13" s="13" customFormat="1" ht="12.75" hidden="1" customHeight="1">
      <c r="A123" s="5"/>
      <c r="B123" s="138"/>
      <c r="C123" s="5" t="s">
        <v>769</v>
      </c>
      <c r="D123" s="28" t="e">
        <f>PPMT(D116/$B120,1,ROUND(($B118-(D$5-YEAR($B116))+MONTH($B116)/12)*$B120,0),D117)</f>
        <v>#NUM!</v>
      </c>
      <c r="E123" s="28" t="e">
        <f>PPMT(E116/$B120,1,ROUND(($B118-(E$5-YEAR($B116))+MONTH($B116)/12)*$B120,0),E117)</f>
        <v>#NUM!</v>
      </c>
      <c r="F123" s="28" t="e">
        <f>PPMT(F116/$B120,1,ROUND(($B118-(F$5-YEAR($B116))+MONTH($B116)/12)*$B120,0),F117)</f>
        <v>#NUM!</v>
      </c>
      <c r="G123" s="28" t="e">
        <f>PPMT(G116/$B120,1,ROUND(($B118-(G$5-YEAR($B116))+MONTH($B116)/12)*$B120,0),G117)</f>
        <v>#NUM!</v>
      </c>
      <c r="H123" s="28" t="e">
        <f t="shared" ref="H123:M123" si="71">PPMT(H116/$B120,1,ROUND(($B118-(H$5-YEAR($B116))+MONTH($B116)/12)*$B120,0),H117)</f>
        <v>#NUM!</v>
      </c>
      <c r="I123" s="28" t="e">
        <f t="shared" si="71"/>
        <v>#NUM!</v>
      </c>
      <c r="J123" s="28" t="e">
        <f t="shared" si="71"/>
        <v>#NUM!</v>
      </c>
      <c r="K123" s="28" t="e">
        <f t="shared" si="71"/>
        <v>#NUM!</v>
      </c>
      <c r="L123" s="28" t="e">
        <f t="shared" si="71"/>
        <v>#NUM!</v>
      </c>
      <c r="M123" s="28" t="e">
        <f t="shared" si="71"/>
        <v>#NUM!</v>
      </c>
    </row>
    <row r="124" spans="1:13" s="13" customFormat="1" ht="12.75" hidden="1" customHeight="1">
      <c r="A124" s="5"/>
      <c r="B124" s="5"/>
      <c r="C124" s="5" t="s">
        <v>770</v>
      </c>
      <c r="D124" s="28">
        <f>IF(YEAR($B116)+$B118&gt;D$5,D117/(YEAR($B116)+$B118-D$5+MONTH($B116)/12),D117)</f>
        <v>0</v>
      </c>
      <c r="E124" s="28">
        <f>IF(YEAR($B116)+$B118&gt;E$5,E117/(YEAR($B116)+$B118-E$5+MONTH($B116)/12),E117)</f>
        <v>0</v>
      </c>
      <c r="F124" s="28">
        <f>IF(YEAR($B116)+$B118&gt;F$5,F117/(YEAR($B116)+$B118-F$5+MONTH($B116)/12),F117)</f>
        <v>0</v>
      </c>
      <c r="G124" s="28">
        <f t="shared" ref="G124:M124" si="72">IF(YEAR($B116)+$B118&gt;G$5,G117/(YEAR($B116)+$B118-G$5+MONTH($B116)/12),G117)</f>
        <v>0</v>
      </c>
      <c r="H124" s="28">
        <f t="shared" si="72"/>
        <v>0</v>
      </c>
      <c r="I124" s="28">
        <f t="shared" si="72"/>
        <v>0</v>
      </c>
      <c r="J124" s="28">
        <f t="shared" si="72"/>
        <v>0</v>
      </c>
      <c r="K124" s="28">
        <f t="shared" si="72"/>
        <v>0</v>
      </c>
      <c r="L124" s="28">
        <f t="shared" si="72"/>
        <v>0</v>
      </c>
      <c r="M124" s="28">
        <f t="shared" si="72"/>
        <v>0</v>
      </c>
    </row>
    <row r="125" spans="1:13" s="13" customFormat="1" ht="12.75" customHeight="1">
      <c r="A125"/>
      <c r="B125"/>
      <c r="C125" s="5"/>
      <c r="D125" s="39"/>
      <c r="E125" s="39"/>
      <c r="F125" s="39"/>
      <c r="G125" s="39"/>
      <c r="H125" s="39"/>
      <c r="I125" s="39"/>
      <c r="J125" s="39"/>
      <c r="K125" s="39"/>
      <c r="L125" s="39"/>
      <c r="M125" s="39"/>
    </row>
    <row r="126" spans="1:13" s="13" customFormat="1" ht="12.75" customHeight="1">
      <c r="A126" s="30" t="s">
        <v>651</v>
      </c>
      <c r="B126" s="99"/>
      <c r="C126" t="s">
        <v>800</v>
      </c>
      <c r="D126" s="161" t="s">
        <v>801</v>
      </c>
      <c r="E126" s="1"/>
      <c r="F126"/>
      <c r="G126"/>
      <c r="H126"/>
      <c r="I126"/>
      <c r="J126"/>
      <c r="K126"/>
      <c r="L126"/>
      <c r="M126"/>
    </row>
    <row r="127" spans="1:13" s="13" customFormat="1" ht="12.75" customHeight="1">
      <c r="A127" s="26" t="s">
        <v>677</v>
      </c>
      <c r="B127" s="133">
        <v>29373</v>
      </c>
      <c r="C127" s="5" t="s">
        <v>639</v>
      </c>
      <c r="D127" s="75">
        <f>IF($D126="V",Input!G$70,IF(AND($B133=D$5,Input!G$65&gt;0),Input!G$65,$B130))</f>
        <v>7.0000000000000007E-2</v>
      </c>
      <c r="E127" s="75">
        <f>IF($D126="V",Input!H$70,IF(AND($B133=E$5,Input!H$65&gt;0),Input!H$65,D127))</f>
        <v>7.0000000000000007E-2</v>
      </c>
      <c r="F127" s="75">
        <f>IF($D126="V",Input!I$70,IF(AND($B133=F$5,Input!I$65&gt;0),Input!I$65,E127))</f>
        <v>7.0000000000000007E-2</v>
      </c>
      <c r="G127" s="75">
        <f>IF($D126="V",Input!J$70,IF(AND($B133=G$5,Input!J$65&gt;0),Input!J$65,F127))</f>
        <v>7.0000000000000007E-2</v>
      </c>
      <c r="H127" s="75">
        <f>IF($D126="V",Input!K$70,IF(AND($B133=H$5,Input!K$65&gt;0),Input!K$65,G127))</f>
        <v>7.0000000000000007E-2</v>
      </c>
      <c r="I127" s="75">
        <f>IF($D126="V",Input!L$70,IF(AND($B133=I$5,Input!L$65&gt;0),Input!L$65,H127))</f>
        <v>7.0000000000000007E-2</v>
      </c>
      <c r="J127" s="75">
        <f>IF($D126="V",Input!M$70,IF(AND($B133=J$5,Input!M$65&gt;0),Input!M$65,I127))</f>
        <v>7.0000000000000007E-2</v>
      </c>
      <c r="K127" s="75">
        <f>IF($D126="V",Input!N$70,IF(AND($B133=K$5,Input!N$65&gt;0),Input!N$65,J127))</f>
        <v>7.0000000000000007E-2</v>
      </c>
      <c r="L127" s="75">
        <f>IF($D126="V",Input!O$70,IF(AND($B133=L$5,Input!O$65&gt;0),Input!O$65,K127))</f>
        <v>7.0000000000000007E-2</v>
      </c>
      <c r="M127" s="75">
        <f>IF($D126="V",Input!P$70,IF(AND($B133=M$5,Input!P$65&gt;0),Input!P$65,L127))</f>
        <v>7.0000000000000007E-2</v>
      </c>
    </row>
    <row r="128" spans="1:13" s="13" customFormat="1" ht="12.75" customHeight="1">
      <c r="A128" s="5" t="s">
        <v>361</v>
      </c>
      <c r="B128" s="135">
        <v>0</v>
      </c>
      <c r="C128" s="27" t="s">
        <v>173</v>
      </c>
      <c r="D128" s="140">
        <v>0</v>
      </c>
      <c r="E128" s="28">
        <f t="shared" ref="E128:M128" si="73">D133</f>
        <v>0</v>
      </c>
      <c r="F128" s="28">
        <f t="shared" si="73"/>
        <v>0</v>
      </c>
      <c r="G128" s="28">
        <f t="shared" si="73"/>
        <v>0</v>
      </c>
      <c r="H128" s="28">
        <f t="shared" si="73"/>
        <v>0</v>
      </c>
      <c r="I128" s="28">
        <f t="shared" si="73"/>
        <v>0</v>
      </c>
      <c r="J128" s="28">
        <f t="shared" si="73"/>
        <v>0</v>
      </c>
      <c r="K128" s="28">
        <f t="shared" si="73"/>
        <v>0</v>
      </c>
      <c r="L128" s="28">
        <f t="shared" si="73"/>
        <v>0</v>
      </c>
      <c r="M128" s="28">
        <f t="shared" si="73"/>
        <v>0</v>
      </c>
    </row>
    <row r="129" spans="1:13" s="13" customFormat="1" ht="12.75" customHeight="1">
      <c r="A129" s="26" t="s">
        <v>170</v>
      </c>
      <c r="B129" s="131">
        <v>35</v>
      </c>
      <c r="C129" s="29" t="s">
        <v>169</v>
      </c>
      <c r="D129" s="28">
        <f>D131-D130</f>
        <v>0</v>
      </c>
      <c r="E129" s="28">
        <f>E131-E130</f>
        <v>0</v>
      </c>
      <c r="F129" s="28">
        <f>F131-F130</f>
        <v>0</v>
      </c>
      <c r="G129" s="28">
        <f>G131-G130</f>
        <v>0</v>
      </c>
      <c r="H129" s="28">
        <f t="shared" ref="H129:M129" si="74">H131-H130</f>
        <v>0</v>
      </c>
      <c r="I129" s="28">
        <f t="shared" si="74"/>
        <v>0</v>
      </c>
      <c r="J129" s="28">
        <f t="shared" si="74"/>
        <v>0</v>
      </c>
      <c r="K129" s="28">
        <f t="shared" si="74"/>
        <v>0</v>
      </c>
      <c r="L129" s="28">
        <f t="shared" si="74"/>
        <v>0</v>
      </c>
      <c r="M129" s="28">
        <f t="shared" si="74"/>
        <v>0</v>
      </c>
    </row>
    <row r="130" spans="1:13" s="13" customFormat="1" ht="12.75" customHeight="1">
      <c r="A130" s="5" t="s">
        <v>172</v>
      </c>
      <c r="B130" s="134">
        <f>B119</f>
        <v>7.0000000000000007E-2</v>
      </c>
      <c r="C130" s="5" t="s">
        <v>174</v>
      </c>
      <c r="D130" s="28">
        <f>IF(AND($B132="Y",YEAR($B127)+$B129&gt;D$5),D135,IF((YEAR($B127)+$B129)&gt;D$5,FV(D127/$B131,$B131,D134),D128))</f>
        <v>0</v>
      </c>
      <c r="E130" s="28">
        <f>IF(AND($B132="Y",YEAR($B127)+$B129&gt;E$5),E135,IF((YEAR($B127)+$B129)&gt;E$5,FV(E127/$B131,$B131,E134),E128))</f>
        <v>0</v>
      </c>
      <c r="F130" s="28">
        <f>IF(AND($B132="Y",YEAR($B127)+$B129&gt;F$5),F135,IF((YEAR($B127)+$B129)&gt;F$5,FV(F127/$B131,$B131,F134),F128))</f>
        <v>0</v>
      </c>
      <c r="G130" s="28">
        <f>IF(AND($B132="Y",YEAR($B127)+$B129&gt;G$5),G135,IF((YEAR($B127)+$B129)&gt;G$5,FV(G127/$B131,$B131,G134),G128))</f>
        <v>0</v>
      </c>
      <c r="H130" s="28">
        <f t="shared" ref="H130:M130" si="75">IF(AND($B132="Y",YEAR($B127)+$B129&gt;H$5),H135,IF((YEAR($B127)+$B129)&gt;H$5,FV(H127/$B131,$B131,H134),H128))</f>
        <v>0</v>
      </c>
      <c r="I130" s="28">
        <f t="shared" si="75"/>
        <v>0</v>
      </c>
      <c r="J130" s="28">
        <f t="shared" si="75"/>
        <v>0</v>
      </c>
      <c r="K130" s="28">
        <f t="shared" si="75"/>
        <v>0</v>
      </c>
      <c r="L130" s="28">
        <f t="shared" si="75"/>
        <v>0</v>
      </c>
      <c r="M130" s="28">
        <f t="shared" si="75"/>
        <v>0</v>
      </c>
    </row>
    <row r="131" spans="1:13" s="13" customFormat="1" ht="12.75" customHeight="1">
      <c r="A131" s="5" t="s">
        <v>171</v>
      </c>
      <c r="B131" s="131">
        <v>4</v>
      </c>
      <c r="C131" s="78" t="s">
        <v>640</v>
      </c>
      <c r="D131" s="28">
        <f>IF(AND($B132="Y",YEAR($B127)+$B129&gt;D$5),D135+D127*(D128-D135*0.5),IF((YEAR($B127)+$B129)&gt;D$5,(D128*D127/$B131-D134)*$B131,(D128*(1+D127*MONTH($B127)/12))))</f>
        <v>0</v>
      </c>
      <c r="E131" s="28">
        <f>IF(AND($B132="Y",YEAR($B127)+$B129&gt;E$5),E135+E127*(E128-E135*0.5),IF((YEAR($B127)+$B129)&gt;E$5,(E128*E127/$B131-E134)*$B131,(E128*(1+E127*MONTH($B127)/12))))</f>
        <v>0</v>
      </c>
      <c r="F131" s="28">
        <f>IF(AND($B132="Y",YEAR($B127)+$B129&gt;F$5),F135+F127*(F128-F135*0.5),IF((YEAR($B127)+$B129)&gt;F$5,(F128*F127/$B131-F134)*$B131,(F128*(1+F127*MONTH($B127)/12))))</f>
        <v>0</v>
      </c>
      <c r="G131" s="28">
        <f>IF(AND($B132="Y",YEAR($B127)+$B129&gt;G$5),G135+G127*(G128-G135*0.5),IF((YEAR($B127)+$B129)&gt;G$5,(G128*G127/$B131-G134)*$B131,(G128*(1+G127*MONTH($B127)/12))))</f>
        <v>0</v>
      </c>
      <c r="H131" s="28">
        <f t="shared" ref="H131:M131" si="76">IF(AND($B132="Y",YEAR($B127)+$B129&gt;H$5),H135+H127*(H128-H135*0.5),IF((YEAR($B127)+$B129)&gt;H$5,(H128*H127/$B131-H134)*$B131,(H128*(1+H127*MONTH($B127)/12))))</f>
        <v>0</v>
      </c>
      <c r="I131" s="28">
        <f t="shared" si="76"/>
        <v>0</v>
      </c>
      <c r="J131" s="28">
        <f t="shared" si="76"/>
        <v>0</v>
      </c>
      <c r="K131" s="28">
        <f t="shared" si="76"/>
        <v>0</v>
      </c>
      <c r="L131" s="28">
        <f t="shared" si="76"/>
        <v>0</v>
      </c>
      <c r="M131" s="28">
        <f t="shared" si="76"/>
        <v>0</v>
      </c>
    </row>
    <row r="132" spans="1:13" s="13" customFormat="1" ht="12.75" customHeight="1">
      <c r="A132" s="5" t="s">
        <v>767</v>
      </c>
      <c r="B132" s="131" t="s">
        <v>719</v>
      </c>
      <c r="C132" s="132" t="s">
        <v>768</v>
      </c>
      <c r="D132" s="140">
        <v>0</v>
      </c>
      <c r="E132" s="140">
        <v>0</v>
      </c>
      <c r="F132" s="140">
        <v>0</v>
      </c>
      <c r="G132" s="140">
        <v>0</v>
      </c>
      <c r="H132" s="140">
        <v>0</v>
      </c>
      <c r="I132" s="140">
        <v>0</v>
      </c>
      <c r="J132" s="140">
        <v>0</v>
      </c>
      <c r="K132" s="140">
        <v>0</v>
      </c>
      <c r="L132" s="140">
        <v>0</v>
      </c>
      <c r="M132" s="140">
        <v>0</v>
      </c>
    </row>
    <row r="133" spans="1:13" s="13" customFormat="1" ht="12.75" customHeight="1">
      <c r="A133" s="5" t="s">
        <v>182</v>
      </c>
      <c r="B133" s="131"/>
      <c r="C133" s="30" t="s">
        <v>175</v>
      </c>
      <c r="D133" s="28">
        <f t="shared" ref="D133:M133" si="77">D128+D129-D131-D132</f>
        <v>0</v>
      </c>
      <c r="E133" s="28">
        <f t="shared" si="77"/>
        <v>0</v>
      </c>
      <c r="F133" s="28">
        <f t="shared" si="77"/>
        <v>0</v>
      </c>
      <c r="G133" s="28">
        <f t="shared" si="77"/>
        <v>0</v>
      </c>
      <c r="H133" s="28">
        <f t="shared" si="77"/>
        <v>0</v>
      </c>
      <c r="I133" s="28">
        <f t="shared" si="77"/>
        <v>0</v>
      </c>
      <c r="J133" s="28">
        <f t="shared" si="77"/>
        <v>0</v>
      </c>
      <c r="K133" s="28">
        <f t="shared" si="77"/>
        <v>0</v>
      </c>
      <c r="L133" s="28">
        <f t="shared" si="77"/>
        <v>0</v>
      </c>
      <c r="M133" s="28">
        <f t="shared" si="77"/>
        <v>0</v>
      </c>
    </row>
    <row r="134" spans="1:13" s="13" customFormat="1" ht="12.75" hidden="1" customHeight="1">
      <c r="A134" s="5"/>
      <c r="B134" s="138"/>
      <c r="C134" s="5" t="s">
        <v>769</v>
      </c>
      <c r="D134" s="28" t="e">
        <f>PPMT(D127/$B131,1,ROUND(($B129-(D$5-YEAR($B127))+MONTH($B127)/12)*$B131,0),D128)</f>
        <v>#NUM!</v>
      </c>
      <c r="E134" s="28" t="e">
        <f>PPMT(E127/$B131,1,ROUND(($B129-(E$5-YEAR($B127))+MONTH($B127)/12)*$B131,0),E128)</f>
        <v>#NUM!</v>
      </c>
      <c r="F134" s="28" t="e">
        <f>PPMT(F127/$B131,1,ROUND(($B129-(F$5-YEAR($B127))+MONTH($B127)/12)*$B131,0),F128)</f>
        <v>#NUM!</v>
      </c>
      <c r="G134" s="28" t="e">
        <f>PPMT(G127/$B131,1,ROUND(($B129-(G$5-YEAR($B127))+MONTH($B127)/12)*$B131,0),G128)</f>
        <v>#NUM!</v>
      </c>
      <c r="H134" s="28" t="e">
        <f t="shared" ref="H134:M134" si="78">PPMT(H127/$B131,1,ROUND(($B129-(H$5-YEAR($B127))+MONTH($B127)/12)*$B131,0),H128)</f>
        <v>#NUM!</v>
      </c>
      <c r="I134" s="28" t="e">
        <f t="shared" si="78"/>
        <v>#NUM!</v>
      </c>
      <c r="J134" s="28" t="e">
        <f t="shared" si="78"/>
        <v>#NUM!</v>
      </c>
      <c r="K134" s="28" t="e">
        <f t="shared" si="78"/>
        <v>#NUM!</v>
      </c>
      <c r="L134" s="28" t="e">
        <f t="shared" si="78"/>
        <v>#NUM!</v>
      </c>
      <c r="M134" s="28" t="e">
        <f t="shared" si="78"/>
        <v>#NUM!</v>
      </c>
    </row>
    <row r="135" spans="1:13" s="13" customFormat="1" ht="12.75" hidden="1" customHeight="1">
      <c r="A135" s="5"/>
      <c r="B135" s="5"/>
      <c r="C135" s="5" t="s">
        <v>770</v>
      </c>
      <c r="D135" s="28">
        <f>IF(YEAR($B127)+$B129&gt;D$5,D128/(YEAR($B127)+$B129-D$5+MONTH($B127)/12),D128)</f>
        <v>0</v>
      </c>
      <c r="E135" s="28">
        <f>IF(YEAR($B127)+$B129&gt;E$5,E128/(YEAR($B127)+$B129-E$5+MONTH($B127)/12),E128)</f>
        <v>0</v>
      </c>
      <c r="F135" s="28">
        <f>IF(YEAR($B127)+$B129&gt;F$5,F128/(YEAR($B127)+$B129-F$5+MONTH($B127)/12),F128)</f>
        <v>0</v>
      </c>
      <c r="G135" s="28">
        <f t="shared" ref="G135:M135" si="79">IF(YEAR($B127)+$B129&gt;G$5,G128/(YEAR($B127)+$B129-G$5+MONTH($B127)/12),G128)</f>
        <v>0</v>
      </c>
      <c r="H135" s="28">
        <f t="shared" si="79"/>
        <v>0</v>
      </c>
      <c r="I135" s="28">
        <f t="shared" si="79"/>
        <v>0</v>
      </c>
      <c r="J135" s="28">
        <f t="shared" si="79"/>
        <v>0</v>
      </c>
      <c r="K135" s="28">
        <f t="shared" si="79"/>
        <v>0</v>
      </c>
      <c r="L135" s="28">
        <f t="shared" si="79"/>
        <v>0</v>
      </c>
      <c r="M135" s="28">
        <f t="shared" si="79"/>
        <v>0</v>
      </c>
    </row>
    <row r="136" spans="1:13" s="13" customFormat="1" ht="12.75" customHeight="1">
      <c r="A136" s="5"/>
      <c r="B136" s="5"/>
      <c r="C136" s="5"/>
    </row>
    <row r="137" spans="1:13" s="13" customFormat="1" ht="12.75" customHeight="1">
      <c r="A137" s="30" t="s">
        <v>652</v>
      </c>
      <c r="B137" s="99"/>
      <c r="C137" t="s">
        <v>800</v>
      </c>
      <c r="D137" s="161" t="s">
        <v>801</v>
      </c>
      <c r="E137" s="1"/>
      <c r="F137"/>
      <c r="G137"/>
      <c r="H137"/>
      <c r="I137"/>
      <c r="J137"/>
      <c r="K137"/>
      <c r="L137"/>
      <c r="M137"/>
    </row>
    <row r="138" spans="1:13" s="13" customFormat="1" ht="12.75" customHeight="1">
      <c r="A138" s="26" t="s">
        <v>677</v>
      </c>
      <c r="B138" s="133">
        <v>29373</v>
      </c>
      <c r="C138" s="5" t="s">
        <v>639</v>
      </c>
      <c r="D138" s="75">
        <f>IF($D137="V",Input!G$70,IF(AND($B144=D$5,Input!G$65&gt;0),Input!G$65,$B141))</f>
        <v>7.0000000000000007E-2</v>
      </c>
      <c r="E138" s="75">
        <f>IF($D137="V",Input!H$70,IF(AND($B144=E$5,Input!H$65&gt;0),Input!H$65,D138))</f>
        <v>7.0000000000000007E-2</v>
      </c>
      <c r="F138" s="75">
        <f>IF($D137="V",Input!I$70,IF(AND($B144=F$5,Input!I$65&gt;0),Input!I$65,E138))</f>
        <v>7.0000000000000007E-2</v>
      </c>
      <c r="G138" s="75">
        <f>IF($D137="V",Input!J$70,IF(AND($B144=G$5,Input!J$65&gt;0),Input!J$65,F138))</f>
        <v>7.0000000000000007E-2</v>
      </c>
      <c r="H138" s="75">
        <f>IF($D137="V",Input!K$70,IF(AND($B144=H$5,Input!K$65&gt;0),Input!K$65,G138))</f>
        <v>7.0000000000000007E-2</v>
      </c>
      <c r="I138" s="75">
        <f>IF($D137="V",Input!L$70,IF(AND($B144=I$5,Input!L$65&gt;0),Input!L$65,H138))</f>
        <v>7.0000000000000007E-2</v>
      </c>
      <c r="J138" s="75">
        <f>IF($D137="V",Input!M$70,IF(AND($B144=J$5,Input!M$65&gt;0),Input!M$65,I138))</f>
        <v>7.0000000000000007E-2</v>
      </c>
      <c r="K138" s="75">
        <f>IF($D137="V",Input!N$70,IF(AND($B144=K$5,Input!N$65&gt;0),Input!N$65,J138))</f>
        <v>7.0000000000000007E-2</v>
      </c>
      <c r="L138" s="75">
        <f>IF($D137="V",Input!O$70,IF(AND($B144=L$5,Input!O$65&gt;0),Input!O$65,K138))</f>
        <v>7.0000000000000007E-2</v>
      </c>
      <c r="M138" s="75">
        <f>IF($D137="V",Input!P$70,IF(AND($B144=M$5,Input!P$65&gt;0),Input!P$65,L138))</f>
        <v>7.0000000000000007E-2</v>
      </c>
    </row>
    <row r="139" spans="1:13" s="13" customFormat="1" ht="12.75" customHeight="1">
      <c r="A139" s="5" t="s">
        <v>361</v>
      </c>
      <c r="B139" s="135">
        <v>0</v>
      </c>
      <c r="C139" s="27" t="s">
        <v>173</v>
      </c>
      <c r="D139" s="140">
        <v>0</v>
      </c>
      <c r="E139" s="28">
        <f t="shared" ref="E139:M139" si="80">D144</f>
        <v>0</v>
      </c>
      <c r="F139" s="28">
        <f t="shared" si="80"/>
        <v>0</v>
      </c>
      <c r="G139" s="28">
        <f t="shared" si="80"/>
        <v>0</v>
      </c>
      <c r="H139" s="28">
        <f t="shared" si="80"/>
        <v>0</v>
      </c>
      <c r="I139" s="28">
        <f t="shared" si="80"/>
        <v>0</v>
      </c>
      <c r="J139" s="28">
        <f t="shared" si="80"/>
        <v>0</v>
      </c>
      <c r="K139" s="28">
        <f t="shared" si="80"/>
        <v>0</v>
      </c>
      <c r="L139" s="28">
        <f t="shared" si="80"/>
        <v>0</v>
      </c>
      <c r="M139" s="28">
        <f t="shared" si="80"/>
        <v>0</v>
      </c>
    </row>
    <row r="140" spans="1:13" s="13" customFormat="1" ht="12.75" customHeight="1">
      <c r="A140" s="26" t="s">
        <v>170</v>
      </c>
      <c r="B140" s="131">
        <v>35</v>
      </c>
      <c r="C140" s="29" t="s">
        <v>169</v>
      </c>
      <c r="D140" s="28">
        <f>D142-D141</f>
        <v>0</v>
      </c>
      <c r="E140" s="28">
        <f>E142-E141</f>
        <v>0</v>
      </c>
      <c r="F140" s="28">
        <f>F142-F141</f>
        <v>0</v>
      </c>
      <c r="G140" s="28">
        <f>G142-G141</f>
        <v>0</v>
      </c>
      <c r="H140" s="28">
        <f t="shared" ref="H140:M140" si="81">H142-H141</f>
        <v>0</v>
      </c>
      <c r="I140" s="28">
        <f t="shared" si="81"/>
        <v>0</v>
      </c>
      <c r="J140" s="28">
        <f t="shared" si="81"/>
        <v>0</v>
      </c>
      <c r="K140" s="28">
        <f t="shared" si="81"/>
        <v>0</v>
      </c>
      <c r="L140" s="28">
        <f t="shared" si="81"/>
        <v>0</v>
      </c>
      <c r="M140" s="28">
        <f t="shared" si="81"/>
        <v>0</v>
      </c>
    </row>
    <row r="141" spans="1:13" s="13" customFormat="1" ht="12.75" customHeight="1">
      <c r="A141" s="5" t="s">
        <v>172</v>
      </c>
      <c r="B141" s="134">
        <f>B130</f>
        <v>7.0000000000000007E-2</v>
      </c>
      <c r="C141" s="5" t="s">
        <v>174</v>
      </c>
      <c r="D141" s="28">
        <f>IF(AND($B143="Y",YEAR($B138)+$B140&gt;D$5),D146,IF((YEAR($B138)+$B140)&gt;D$5,FV(D138/$B142,$B142,D145),D139))</f>
        <v>0</v>
      </c>
      <c r="E141" s="28">
        <f>IF(AND($B143="Y",YEAR($B138)+$B140&gt;E$5),E146,IF((YEAR($B138)+$B140)&gt;E$5,FV(E138/$B142,$B142,E145),E139))</f>
        <v>0</v>
      </c>
      <c r="F141" s="28">
        <f>IF(AND($B143="Y",YEAR($B138)+$B140&gt;F$5),F146,IF((YEAR($B138)+$B140)&gt;F$5,FV(F138/$B142,$B142,F145),F139))</f>
        <v>0</v>
      </c>
      <c r="G141" s="28">
        <f>IF(AND($B143="Y",YEAR($B138)+$B140&gt;G$5),G146,IF((YEAR($B138)+$B140)&gt;G$5,FV(G138/$B142,$B142,G145),G139))</f>
        <v>0</v>
      </c>
      <c r="H141" s="28">
        <f t="shared" ref="H141:M141" si="82">IF(AND($B143="Y",YEAR($B138)+$B140&gt;H$5),H146,IF((YEAR($B138)+$B140)&gt;H$5,FV(H138/$B142,$B142,H145),H139))</f>
        <v>0</v>
      </c>
      <c r="I141" s="28">
        <f t="shared" si="82"/>
        <v>0</v>
      </c>
      <c r="J141" s="28">
        <f t="shared" si="82"/>
        <v>0</v>
      </c>
      <c r="K141" s="28">
        <f t="shared" si="82"/>
        <v>0</v>
      </c>
      <c r="L141" s="28">
        <f t="shared" si="82"/>
        <v>0</v>
      </c>
      <c r="M141" s="28">
        <f t="shared" si="82"/>
        <v>0</v>
      </c>
    </row>
    <row r="142" spans="1:13" s="13" customFormat="1" ht="12.75" customHeight="1">
      <c r="A142" s="5" t="s">
        <v>171</v>
      </c>
      <c r="B142" s="131">
        <v>4</v>
      </c>
      <c r="C142" s="78" t="s">
        <v>640</v>
      </c>
      <c r="D142" s="28">
        <f>IF(AND($B143="Y",YEAR($B138)+$B140&gt;D$5),D146+D138*(D139-D146*0.5),IF((YEAR($B138)+$B140)&gt;D$5,(D139*D138/$B142-D145)*$B142,(D139*(1+D138*MONTH($B138)/12))))</f>
        <v>0</v>
      </c>
      <c r="E142" s="28">
        <f>IF(AND($B143="Y",YEAR($B138)+$B140&gt;E$5),E146+E138*(E139-E146*0.5),IF((YEAR($B138)+$B140)&gt;E$5,(E139*E138/$B142-E145)*$B142,(E139*(1+E138*MONTH($B138)/12))))</f>
        <v>0</v>
      </c>
      <c r="F142" s="28">
        <f>IF(AND($B143="Y",YEAR($B138)+$B140&gt;F$5),F146+F138*(F139-F146*0.5),IF((YEAR($B138)+$B140)&gt;F$5,(F139*F138/$B142-F145)*$B142,(F139*(1+F138*MONTH($B138)/12))))</f>
        <v>0</v>
      </c>
      <c r="G142" s="28">
        <f>IF(AND($B143="Y",YEAR($B138)+$B140&gt;G$5),G146+G138*(G139-G146*0.5),IF((YEAR($B138)+$B140)&gt;G$5,(G139*G138/$B142-G145)*$B142,(G139*(1+G138*MONTH($B138)/12))))</f>
        <v>0</v>
      </c>
      <c r="H142" s="28">
        <f t="shared" ref="H142:M142" si="83">IF(AND($B143="Y",YEAR($B138)+$B140&gt;H$5),H146+H138*(H139-H146*0.5),IF((YEAR($B138)+$B140)&gt;H$5,(H139*H138/$B142-H145)*$B142,(H139*(1+H138*MONTH($B138)/12))))</f>
        <v>0</v>
      </c>
      <c r="I142" s="28">
        <f t="shared" si="83"/>
        <v>0</v>
      </c>
      <c r="J142" s="28">
        <f t="shared" si="83"/>
        <v>0</v>
      </c>
      <c r="K142" s="28">
        <f t="shared" si="83"/>
        <v>0</v>
      </c>
      <c r="L142" s="28">
        <f t="shared" si="83"/>
        <v>0</v>
      </c>
      <c r="M142" s="28">
        <f t="shared" si="83"/>
        <v>0</v>
      </c>
    </row>
    <row r="143" spans="1:13" s="13" customFormat="1" ht="12.75" customHeight="1">
      <c r="A143" s="5" t="s">
        <v>767</v>
      </c>
      <c r="B143" s="131" t="s">
        <v>719</v>
      </c>
      <c r="C143" s="132" t="s">
        <v>768</v>
      </c>
      <c r="D143" s="140">
        <v>0</v>
      </c>
      <c r="E143" s="140">
        <v>0</v>
      </c>
      <c r="F143" s="140">
        <v>0</v>
      </c>
      <c r="G143" s="140">
        <v>0</v>
      </c>
      <c r="H143" s="140">
        <v>0</v>
      </c>
      <c r="I143" s="140">
        <v>0</v>
      </c>
      <c r="J143" s="140">
        <v>0</v>
      </c>
      <c r="K143" s="140">
        <v>0</v>
      </c>
      <c r="L143" s="140">
        <v>0</v>
      </c>
      <c r="M143" s="140">
        <v>0</v>
      </c>
    </row>
    <row r="144" spans="1:13" s="13" customFormat="1" ht="12.75" customHeight="1">
      <c r="A144" s="5" t="s">
        <v>182</v>
      </c>
      <c r="B144" s="131"/>
      <c r="C144" s="30" t="s">
        <v>175</v>
      </c>
      <c r="D144" s="28">
        <f t="shared" ref="D144:M144" si="84">D139+D140-D142-D143</f>
        <v>0</v>
      </c>
      <c r="E144" s="28">
        <f t="shared" si="84"/>
        <v>0</v>
      </c>
      <c r="F144" s="28">
        <f t="shared" si="84"/>
        <v>0</v>
      </c>
      <c r="G144" s="28">
        <f t="shared" si="84"/>
        <v>0</v>
      </c>
      <c r="H144" s="28">
        <f t="shared" si="84"/>
        <v>0</v>
      </c>
      <c r="I144" s="28">
        <f t="shared" si="84"/>
        <v>0</v>
      </c>
      <c r="J144" s="28">
        <f t="shared" si="84"/>
        <v>0</v>
      </c>
      <c r="K144" s="28">
        <f t="shared" si="84"/>
        <v>0</v>
      </c>
      <c r="L144" s="28">
        <f t="shared" si="84"/>
        <v>0</v>
      </c>
      <c r="M144" s="28">
        <f t="shared" si="84"/>
        <v>0</v>
      </c>
    </row>
    <row r="145" spans="1:13" s="13" customFormat="1" ht="12.75" hidden="1" customHeight="1">
      <c r="A145" s="5"/>
      <c r="B145" s="138"/>
      <c r="C145" s="5" t="s">
        <v>769</v>
      </c>
      <c r="D145" s="28" t="e">
        <f>PPMT(D138/$B142,1,ROUND(($B140-(D$5-YEAR($B138))+MONTH($B138)/12)*$B142,0),D139)</f>
        <v>#NUM!</v>
      </c>
      <c r="E145" s="28" t="e">
        <f>PPMT(E138/$B142,1,ROUND(($B140-(E$5-YEAR($B138))+MONTH($B138)/12)*$B142,0),E139)</f>
        <v>#NUM!</v>
      </c>
      <c r="F145" s="28" t="e">
        <f>PPMT(F138/$B142,1,ROUND(($B140-(F$5-YEAR($B138))+MONTH($B138)/12)*$B142,0),F139)</f>
        <v>#NUM!</v>
      </c>
      <c r="G145" s="28" t="e">
        <f>PPMT(G138/$B142,1,ROUND(($B140-(G$5-YEAR($B138))+MONTH($B138)/12)*$B142,0),G139)</f>
        <v>#NUM!</v>
      </c>
      <c r="H145" s="28" t="e">
        <f t="shared" ref="H145:M145" si="85">PPMT(H138/$B142,1,ROUND(($B140-(H$5-YEAR($B138))+MONTH($B138)/12)*$B142,0),H139)</f>
        <v>#NUM!</v>
      </c>
      <c r="I145" s="28" t="e">
        <f t="shared" si="85"/>
        <v>#NUM!</v>
      </c>
      <c r="J145" s="28" t="e">
        <f t="shared" si="85"/>
        <v>#NUM!</v>
      </c>
      <c r="K145" s="28" t="e">
        <f t="shared" si="85"/>
        <v>#NUM!</v>
      </c>
      <c r="L145" s="28" t="e">
        <f t="shared" si="85"/>
        <v>#NUM!</v>
      </c>
      <c r="M145" s="28" t="e">
        <f t="shared" si="85"/>
        <v>#NUM!</v>
      </c>
    </row>
    <row r="146" spans="1:13" s="13" customFormat="1" ht="12.75" hidden="1" customHeight="1">
      <c r="A146" s="5"/>
      <c r="B146" s="5"/>
      <c r="C146" s="5" t="s">
        <v>770</v>
      </c>
      <c r="D146" s="28">
        <f>IF(YEAR($B138)+$B140&gt;D$5,D139/(YEAR($B138)+$B140-D$5+MONTH($B138)/12),D139)</f>
        <v>0</v>
      </c>
      <c r="E146" s="28">
        <f>IF(YEAR($B138)+$B140&gt;E$5,E139/(YEAR($B138)+$B140-E$5+MONTH($B138)/12),E139)</f>
        <v>0</v>
      </c>
      <c r="F146" s="28">
        <f>IF(YEAR($B138)+$B140&gt;F$5,F139/(YEAR($B138)+$B140-F$5+MONTH($B138)/12),F139)</f>
        <v>0</v>
      </c>
      <c r="G146" s="28">
        <f t="shared" ref="G146:M146" si="86">IF(YEAR($B138)+$B140&gt;G$5,G139/(YEAR($B138)+$B140-G$5+MONTH($B138)/12),G139)</f>
        <v>0</v>
      </c>
      <c r="H146" s="28">
        <f t="shared" si="86"/>
        <v>0</v>
      </c>
      <c r="I146" s="28">
        <f t="shared" si="86"/>
        <v>0</v>
      </c>
      <c r="J146" s="28">
        <f t="shared" si="86"/>
        <v>0</v>
      </c>
      <c r="K146" s="28">
        <f t="shared" si="86"/>
        <v>0</v>
      </c>
      <c r="L146" s="28">
        <f t="shared" si="86"/>
        <v>0</v>
      </c>
      <c r="M146" s="28">
        <f t="shared" si="86"/>
        <v>0</v>
      </c>
    </row>
    <row r="147" spans="1:13" s="13" customFormat="1" ht="12.75" customHeight="1">
      <c r="A147" s="5"/>
      <c r="B147" s="5"/>
      <c r="C147" s="5"/>
      <c r="D147" s="73"/>
      <c r="E147" s="73"/>
      <c r="F147" s="73"/>
      <c r="G147" s="73"/>
      <c r="H147" s="73"/>
      <c r="I147" s="73"/>
      <c r="J147" s="73"/>
      <c r="K147" s="73"/>
      <c r="L147" s="73"/>
      <c r="M147" s="73"/>
    </row>
    <row r="148" spans="1:13" s="13" customFormat="1" ht="12.75" customHeight="1">
      <c r="A148" s="30" t="s">
        <v>653</v>
      </c>
      <c r="B148" s="99"/>
      <c r="C148" t="s">
        <v>800</v>
      </c>
      <c r="D148" s="161" t="s">
        <v>801</v>
      </c>
      <c r="E148" s="1"/>
      <c r="F148"/>
      <c r="G148"/>
      <c r="H148"/>
      <c r="I148"/>
      <c r="J148"/>
      <c r="K148"/>
      <c r="L148"/>
      <c r="M148"/>
    </row>
    <row r="149" spans="1:13" s="13" customFormat="1" ht="12.75" customHeight="1">
      <c r="A149" s="26" t="s">
        <v>677</v>
      </c>
      <c r="B149" s="133">
        <v>29373</v>
      </c>
      <c r="C149" s="5" t="s">
        <v>639</v>
      </c>
      <c r="D149" s="75">
        <f>IF($D148="V",Input!G$70,IF(AND($B155=D$5,Input!G$65&gt;0),Input!G$65,$B152))</f>
        <v>7.0000000000000007E-2</v>
      </c>
      <c r="E149" s="75">
        <f>IF($D148="V",Input!H$70,IF(AND($B155=E$5,Input!H$65&gt;0),Input!H$65,D149))</f>
        <v>7.0000000000000007E-2</v>
      </c>
      <c r="F149" s="75">
        <f>IF($D148="V",Input!I$70,IF(AND($B155=F$5,Input!I$65&gt;0),Input!I$65,E149))</f>
        <v>7.0000000000000007E-2</v>
      </c>
      <c r="G149" s="75">
        <f>IF($D148="V",Input!J$70,IF(AND($B155=G$5,Input!J$65&gt;0),Input!J$65,F149))</f>
        <v>7.0000000000000007E-2</v>
      </c>
      <c r="H149" s="75">
        <f>IF($D148="V",Input!K$70,IF(AND($B155=H$5,Input!K$65&gt;0),Input!K$65,G149))</f>
        <v>7.0000000000000007E-2</v>
      </c>
      <c r="I149" s="75">
        <f>IF($D148="V",Input!L$70,IF(AND($B155=I$5,Input!L$65&gt;0),Input!L$65,H149))</f>
        <v>7.0000000000000007E-2</v>
      </c>
      <c r="J149" s="75">
        <f>IF($D148="V",Input!M$70,IF(AND($B155=J$5,Input!M$65&gt;0),Input!M$65,I149))</f>
        <v>7.0000000000000007E-2</v>
      </c>
      <c r="K149" s="75">
        <f>IF($D148="V",Input!N$70,IF(AND($B155=K$5,Input!N$65&gt;0),Input!N$65,J149))</f>
        <v>7.0000000000000007E-2</v>
      </c>
      <c r="L149" s="75">
        <f>IF($D148="V",Input!O$70,IF(AND($B155=L$5,Input!O$65&gt;0),Input!O$65,K149))</f>
        <v>7.0000000000000007E-2</v>
      </c>
      <c r="M149" s="75">
        <f>IF($D148="V",Input!P$70,IF(AND($B155=M$5,Input!P$65&gt;0),Input!P$65,L149))</f>
        <v>7.0000000000000007E-2</v>
      </c>
    </row>
    <row r="150" spans="1:13" s="13" customFormat="1" ht="12.75" customHeight="1">
      <c r="A150" s="5" t="s">
        <v>361</v>
      </c>
      <c r="B150" s="135">
        <v>0</v>
      </c>
      <c r="C150" s="27" t="s">
        <v>173</v>
      </c>
      <c r="D150" s="140">
        <v>0</v>
      </c>
      <c r="E150" s="28">
        <f t="shared" ref="E150:M150" si="87">D155</f>
        <v>0</v>
      </c>
      <c r="F150" s="28">
        <f t="shared" si="87"/>
        <v>0</v>
      </c>
      <c r="G150" s="28">
        <f t="shared" si="87"/>
        <v>0</v>
      </c>
      <c r="H150" s="28">
        <f t="shared" si="87"/>
        <v>0</v>
      </c>
      <c r="I150" s="28">
        <f t="shared" si="87"/>
        <v>0</v>
      </c>
      <c r="J150" s="28">
        <f t="shared" si="87"/>
        <v>0</v>
      </c>
      <c r="K150" s="28">
        <f t="shared" si="87"/>
        <v>0</v>
      </c>
      <c r="L150" s="28">
        <f t="shared" si="87"/>
        <v>0</v>
      </c>
      <c r="M150" s="28">
        <f t="shared" si="87"/>
        <v>0</v>
      </c>
    </row>
    <row r="151" spans="1:13" s="13" customFormat="1" ht="12.75" customHeight="1">
      <c r="A151" s="26" t="s">
        <v>170</v>
      </c>
      <c r="B151" s="131">
        <v>35</v>
      </c>
      <c r="C151" s="29" t="s">
        <v>169</v>
      </c>
      <c r="D151" s="28">
        <f>D153-D152</f>
        <v>0</v>
      </c>
      <c r="E151" s="28">
        <f>E153-E152</f>
        <v>0</v>
      </c>
      <c r="F151" s="28">
        <f>F153-F152</f>
        <v>0</v>
      </c>
      <c r="G151" s="28">
        <f>G153-G152</f>
        <v>0</v>
      </c>
      <c r="H151" s="28">
        <f t="shared" ref="H151:M151" si="88">H153-H152</f>
        <v>0</v>
      </c>
      <c r="I151" s="28">
        <f t="shared" si="88"/>
        <v>0</v>
      </c>
      <c r="J151" s="28">
        <f t="shared" si="88"/>
        <v>0</v>
      </c>
      <c r="K151" s="28">
        <f t="shared" si="88"/>
        <v>0</v>
      </c>
      <c r="L151" s="28">
        <f t="shared" si="88"/>
        <v>0</v>
      </c>
      <c r="M151" s="28">
        <f t="shared" si="88"/>
        <v>0</v>
      </c>
    </row>
    <row r="152" spans="1:13" s="13" customFormat="1" ht="12.75" customHeight="1">
      <c r="A152" s="5" t="s">
        <v>172</v>
      </c>
      <c r="B152" s="134">
        <f>B141</f>
        <v>7.0000000000000007E-2</v>
      </c>
      <c r="C152" s="5" t="s">
        <v>174</v>
      </c>
      <c r="D152" s="28">
        <f>IF(AND($B154="Y",YEAR($B149)+$B151&gt;D$5),D157,IF((YEAR($B149)+$B151)&gt;D$5,FV(D149/$B153,$B153,D156),D150))</f>
        <v>0</v>
      </c>
      <c r="E152" s="28">
        <f>IF(AND($B154="Y",YEAR($B149)+$B151&gt;E$5),E157,IF((YEAR($B149)+$B151)&gt;E$5,FV(E149/$B153,$B153,E156),E150))</f>
        <v>0</v>
      </c>
      <c r="F152" s="28">
        <f>IF(AND($B154="Y",YEAR($B149)+$B151&gt;F$5),F157,IF((YEAR($B149)+$B151)&gt;F$5,FV(F149/$B153,$B153,F156),F150))</f>
        <v>0</v>
      </c>
      <c r="G152" s="28">
        <f>IF(AND($B154="Y",YEAR($B149)+$B151&gt;G$5),G157,IF((YEAR($B149)+$B151)&gt;G$5,FV(G149/$B153,$B153,G156),G150))</f>
        <v>0</v>
      </c>
      <c r="H152" s="28">
        <f t="shared" ref="H152:M152" si="89">IF(AND($B154="Y",YEAR($B149)+$B151&gt;H$5),H157,IF((YEAR($B149)+$B151)&gt;H$5,FV(H149/$B153,$B153,H156),H150))</f>
        <v>0</v>
      </c>
      <c r="I152" s="28">
        <f t="shared" si="89"/>
        <v>0</v>
      </c>
      <c r="J152" s="28">
        <f t="shared" si="89"/>
        <v>0</v>
      </c>
      <c r="K152" s="28">
        <f t="shared" si="89"/>
        <v>0</v>
      </c>
      <c r="L152" s="28">
        <f t="shared" si="89"/>
        <v>0</v>
      </c>
      <c r="M152" s="28">
        <f t="shared" si="89"/>
        <v>0</v>
      </c>
    </row>
    <row r="153" spans="1:13" s="13" customFormat="1" ht="12.75" customHeight="1">
      <c r="A153" s="5" t="s">
        <v>171</v>
      </c>
      <c r="B153" s="131">
        <v>4</v>
      </c>
      <c r="C153" s="78" t="s">
        <v>640</v>
      </c>
      <c r="D153" s="28">
        <f>IF(AND($B154="Y",YEAR($B149)+$B151&gt;D$5),D157+D149*(D150-D157*0.5),IF((YEAR($B149)+$B151)&gt;D$5,(D150*D149/$B153-D156)*$B153,(D150*(1+D149*MONTH($B149)/12))))</f>
        <v>0</v>
      </c>
      <c r="E153" s="28">
        <f>IF(AND($B154="Y",YEAR($B149)+$B151&gt;E$5),E157+E149*(E150-E157*0.5),IF((YEAR($B149)+$B151)&gt;E$5,(E150*E149/$B153-E156)*$B153,(E150*(1+E149*MONTH($B149)/12))))</f>
        <v>0</v>
      </c>
      <c r="F153" s="28">
        <f>IF(AND($B154="Y",YEAR($B149)+$B151&gt;F$5),F157+F149*(F150-F157*0.5),IF((YEAR($B149)+$B151)&gt;F$5,(F150*F149/$B153-F156)*$B153,(F150*(1+F149*MONTH($B149)/12))))</f>
        <v>0</v>
      </c>
      <c r="G153" s="28">
        <f>IF(AND($B154="Y",YEAR($B149)+$B151&gt;G$5),G157+G149*(G150-G157*0.5),IF((YEAR($B149)+$B151)&gt;G$5,(G150*G149/$B153-G156)*$B153,(G150*(1+G149*MONTH($B149)/12))))</f>
        <v>0</v>
      </c>
      <c r="H153" s="28">
        <f t="shared" ref="H153:M153" si="90">IF(AND($B154="Y",YEAR($B149)+$B151&gt;H$5),H157+H149*(H150-H157*0.5),IF((YEAR($B149)+$B151)&gt;H$5,(H150*H149/$B153-H156)*$B153,(H150*(1+H149*MONTH($B149)/12))))</f>
        <v>0</v>
      </c>
      <c r="I153" s="28">
        <f t="shared" si="90"/>
        <v>0</v>
      </c>
      <c r="J153" s="28">
        <f t="shared" si="90"/>
        <v>0</v>
      </c>
      <c r="K153" s="28">
        <f t="shared" si="90"/>
        <v>0</v>
      </c>
      <c r="L153" s="28">
        <f t="shared" si="90"/>
        <v>0</v>
      </c>
      <c r="M153" s="28">
        <f t="shared" si="90"/>
        <v>0</v>
      </c>
    </row>
    <row r="154" spans="1:13" s="13" customFormat="1" ht="12.75" customHeight="1">
      <c r="A154" s="5" t="s">
        <v>767</v>
      </c>
      <c r="B154" s="131" t="s">
        <v>719</v>
      </c>
      <c r="C154" s="132" t="s">
        <v>768</v>
      </c>
      <c r="D154" s="140">
        <v>0</v>
      </c>
      <c r="E154" s="140">
        <v>0</v>
      </c>
      <c r="F154" s="140">
        <v>0</v>
      </c>
      <c r="G154" s="140">
        <v>0</v>
      </c>
      <c r="H154" s="140">
        <v>0</v>
      </c>
      <c r="I154" s="140">
        <v>0</v>
      </c>
      <c r="J154" s="140">
        <v>0</v>
      </c>
      <c r="K154" s="140">
        <v>0</v>
      </c>
      <c r="L154" s="140">
        <v>0</v>
      </c>
      <c r="M154" s="140">
        <v>0</v>
      </c>
    </row>
    <row r="155" spans="1:13" s="13" customFormat="1" ht="12.75" customHeight="1">
      <c r="A155" s="5" t="s">
        <v>182</v>
      </c>
      <c r="B155" s="131"/>
      <c r="C155" s="30" t="s">
        <v>175</v>
      </c>
      <c r="D155" s="28">
        <f t="shared" ref="D155:M155" si="91">D150+D151-D153-D154</f>
        <v>0</v>
      </c>
      <c r="E155" s="28">
        <f t="shared" si="91"/>
        <v>0</v>
      </c>
      <c r="F155" s="28">
        <f t="shared" si="91"/>
        <v>0</v>
      </c>
      <c r="G155" s="28">
        <f t="shared" si="91"/>
        <v>0</v>
      </c>
      <c r="H155" s="28">
        <f t="shared" si="91"/>
        <v>0</v>
      </c>
      <c r="I155" s="28">
        <f t="shared" si="91"/>
        <v>0</v>
      </c>
      <c r="J155" s="28">
        <f t="shared" si="91"/>
        <v>0</v>
      </c>
      <c r="K155" s="28">
        <f t="shared" si="91"/>
        <v>0</v>
      </c>
      <c r="L155" s="28">
        <f t="shared" si="91"/>
        <v>0</v>
      </c>
      <c r="M155" s="28">
        <f t="shared" si="91"/>
        <v>0</v>
      </c>
    </row>
    <row r="156" spans="1:13" s="13" customFormat="1" ht="12.75" hidden="1" customHeight="1">
      <c r="A156" s="5"/>
      <c r="B156" s="138"/>
      <c r="C156" s="5" t="s">
        <v>769</v>
      </c>
      <c r="D156" s="28" t="e">
        <f>PPMT(D149/$B153,1,ROUND(($B151-(D$5-YEAR($B149))+MONTH($B149)/12)*$B153,0),D150)</f>
        <v>#NUM!</v>
      </c>
      <c r="E156" s="28" t="e">
        <f>PPMT(E149/$B153,1,ROUND(($B151-(E$5-YEAR($B149))+MONTH($B149)/12)*$B153,0),E150)</f>
        <v>#NUM!</v>
      </c>
      <c r="F156" s="28" t="e">
        <f>PPMT(F149/$B153,1,ROUND(($B151-(F$5-YEAR($B149))+MONTH($B149)/12)*$B153,0),F150)</f>
        <v>#NUM!</v>
      </c>
      <c r="G156" s="28" t="e">
        <f>PPMT(G149/$B153,1,ROUND(($B151-(G$5-YEAR($B149))+MONTH($B149)/12)*$B153,0),G150)</f>
        <v>#NUM!</v>
      </c>
      <c r="H156" s="28" t="e">
        <f t="shared" ref="H156:M156" si="92">PPMT(H149/$B153,1,ROUND(($B151-(H$5-YEAR($B149))+MONTH($B149)/12)*$B153,0),H150)</f>
        <v>#NUM!</v>
      </c>
      <c r="I156" s="28" t="e">
        <f t="shared" si="92"/>
        <v>#NUM!</v>
      </c>
      <c r="J156" s="28" t="e">
        <f t="shared" si="92"/>
        <v>#NUM!</v>
      </c>
      <c r="K156" s="28" t="e">
        <f t="shared" si="92"/>
        <v>#NUM!</v>
      </c>
      <c r="L156" s="28" t="e">
        <f t="shared" si="92"/>
        <v>#NUM!</v>
      </c>
      <c r="M156" s="28" t="e">
        <f t="shared" si="92"/>
        <v>#NUM!</v>
      </c>
    </row>
    <row r="157" spans="1:13" s="13" customFormat="1" ht="12.75" hidden="1" customHeight="1">
      <c r="A157" s="5"/>
      <c r="B157" s="5"/>
      <c r="C157" s="5" t="s">
        <v>770</v>
      </c>
      <c r="D157" s="28">
        <f>IF(YEAR($B149)+$B151&gt;D$5,D150/(YEAR($B149)+$B151-D$5+MONTH($B149)/12),D150)</f>
        <v>0</v>
      </c>
      <c r="E157" s="28">
        <f>IF(YEAR($B149)+$B151&gt;E$5,E150/(YEAR($B149)+$B151-E$5+MONTH($B149)/12),E150)</f>
        <v>0</v>
      </c>
      <c r="F157" s="28">
        <f>IF(YEAR($B149)+$B151&gt;F$5,F150/(YEAR($B149)+$B151-F$5+MONTH($B149)/12),F150)</f>
        <v>0</v>
      </c>
      <c r="G157" s="28">
        <f t="shared" ref="G157:M157" si="93">IF(YEAR($B149)+$B151&gt;G$5,G150/(YEAR($B149)+$B151-G$5+MONTH($B149)/12),G150)</f>
        <v>0</v>
      </c>
      <c r="H157" s="28">
        <f t="shared" si="93"/>
        <v>0</v>
      </c>
      <c r="I157" s="28">
        <f t="shared" si="93"/>
        <v>0</v>
      </c>
      <c r="J157" s="28">
        <f t="shared" si="93"/>
        <v>0</v>
      </c>
      <c r="K157" s="28">
        <f t="shared" si="93"/>
        <v>0</v>
      </c>
      <c r="L157" s="28">
        <f t="shared" si="93"/>
        <v>0</v>
      </c>
      <c r="M157" s="28">
        <f t="shared" si="93"/>
        <v>0</v>
      </c>
    </row>
    <row r="158" spans="1:13" s="13" customFormat="1" ht="12.75" customHeight="1">
      <c r="A158" s="5"/>
      <c r="B158" s="5"/>
      <c r="C158" s="5"/>
      <c r="D158" s="39"/>
      <c r="E158" s="39"/>
      <c r="F158" s="39"/>
      <c r="G158" s="39"/>
      <c r="H158" s="39"/>
      <c r="I158" s="39"/>
      <c r="J158" s="39"/>
      <c r="K158" s="39"/>
      <c r="L158" s="39"/>
      <c r="M158" s="39"/>
    </row>
    <row r="159" spans="1:13" s="13" customFormat="1" ht="12.75" customHeight="1">
      <c r="A159" s="5"/>
      <c r="B159" s="5"/>
      <c r="C159" s="5"/>
      <c r="D159" s="39"/>
      <c r="E159" s="39"/>
      <c r="F159" s="39"/>
      <c r="G159" s="39"/>
      <c r="H159" s="39"/>
      <c r="I159" s="39"/>
      <c r="J159" s="39"/>
      <c r="K159" s="39"/>
      <c r="L159" s="39"/>
      <c r="M159" s="39"/>
    </row>
    <row r="160" spans="1:13" s="13" customFormat="1" ht="12.75" customHeight="1">
      <c r="A160" s="5" t="s">
        <v>790</v>
      </c>
      <c r="B160" s="5"/>
      <c r="C160" s="5"/>
      <c r="D160" s="153">
        <f t="shared" ref="D160:M160" si="94">+D5</f>
        <v>2024</v>
      </c>
      <c r="E160" s="153">
        <f t="shared" si="94"/>
        <v>2025</v>
      </c>
      <c r="F160" s="153">
        <f t="shared" si="94"/>
        <v>2026</v>
      </c>
      <c r="G160" s="153">
        <f t="shared" si="94"/>
        <v>2027</v>
      </c>
      <c r="H160" s="153">
        <f t="shared" si="94"/>
        <v>2028</v>
      </c>
      <c r="I160" s="153">
        <f t="shared" si="94"/>
        <v>2029</v>
      </c>
      <c r="J160" s="153">
        <f t="shared" si="94"/>
        <v>2030</v>
      </c>
      <c r="K160" s="153">
        <f t="shared" si="94"/>
        <v>2031</v>
      </c>
      <c r="L160" s="153">
        <f t="shared" si="94"/>
        <v>2032</v>
      </c>
      <c r="M160" s="153">
        <f t="shared" si="94"/>
        <v>2033</v>
      </c>
    </row>
    <row r="161" spans="1:13" s="13" customFormat="1" ht="12.75" customHeight="1">
      <c r="A161" s="5"/>
      <c r="B161" s="5"/>
      <c r="C161" s="5"/>
      <c r="D161" s="154" t="str">
        <f t="shared" ref="D161:M161" si="95">+D6</f>
        <v xml:space="preserve">  -----------</v>
      </c>
      <c r="E161" s="154" t="str">
        <f t="shared" si="95"/>
        <v xml:space="preserve">  -----------</v>
      </c>
      <c r="F161" s="154" t="str">
        <f t="shared" si="95"/>
        <v xml:space="preserve">  -----------</v>
      </c>
      <c r="G161" s="154" t="str">
        <f t="shared" si="95"/>
        <v xml:space="preserve">  -----------</v>
      </c>
      <c r="H161" s="154" t="str">
        <f t="shared" si="95"/>
        <v xml:space="preserve">  -----------</v>
      </c>
      <c r="I161" s="154" t="str">
        <f t="shared" si="95"/>
        <v xml:space="preserve">  -----------</v>
      </c>
      <c r="J161" s="154" t="str">
        <f t="shared" si="95"/>
        <v xml:space="preserve">  -----------</v>
      </c>
      <c r="K161" s="154" t="str">
        <f t="shared" si="95"/>
        <v xml:space="preserve">  -----------</v>
      </c>
      <c r="L161" s="154" t="str">
        <f t="shared" si="95"/>
        <v xml:space="preserve">  -----------</v>
      </c>
      <c r="M161" s="154" t="str">
        <f t="shared" si="95"/>
        <v xml:space="preserve">  -----------</v>
      </c>
    </row>
    <row r="162" spans="1:13" s="13" customFormat="1" ht="12.75" customHeight="1">
      <c r="A162" s="30" t="s">
        <v>654</v>
      </c>
      <c r="B162" s="99"/>
      <c r="C162" t="s">
        <v>800</v>
      </c>
      <c r="D162" s="161" t="s">
        <v>801</v>
      </c>
      <c r="E162" s="1"/>
      <c r="F162"/>
      <c r="G162"/>
      <c r="H162"/>
      <c r="I162"/>
      <c r="J162"/>
      <c r="K162"/>
      <c r="L162"/>
      <c r="M162"/>
    </row>
    <row r="163" spans="1:13" s="13" customFormat="1" ht="12.75" customHeight="1">
      <c r="A163" s="26" t="s">
        <v>677</v>
      </c>
      <c r="B163" s="133">
        <v>29373</v>
      </c>
      <c r="C163" s="5" t="s">
        <v>639</v>
      </c>
      <c r="D163" s="75">
        <f>IF($D162="V",Input!G$70,IF(AND($B169=D$5,Input!G$65&gt;0),Input!G$65,$B166))</f>
        <v>7.0000000000000007E-2</v>
      </c>
      <c r="E163" s="75">
        <f>IF($D162="V",Input!H$70,IF(AND($B169=E$5,Input!H$65&gt;0),Input!H$65,D163))</f>
        <v>7.0000000000000007E-2</v>
      </c>
      <c r="F163" s="75">
        <f>IF($D162="V",Input!I$70,IF(AND($B169=F$5,Input!I$65&gt;0),Input!I$65,E163))</f>
        <v>7.0000000000000007E-2</v>
      </c>
      <c r="G163" s="75">
        <f>IF($D162="V",Input!J$70,IF(AND($B169=G$5,Input!J$65&gt;0),Input!J$65,F163))</f>
        <v>7.0000000000000007E-2</v>
      </c>
      <c r="H163" s="75">
        <f>IF($D162="V",Input!K$70,IF(AND($B169=H$5,Input!K$65&gt;0),Input!K$65,G163))</f>
        <v>7.0000000000000007E-2</v>
      </c>
      <c r="I163" s="75">
        <f>IF($D162="V",Input!L$70,IF(AND($B169=I$5,Input!L$65&gt;0),Input!L$65,H163))</f>
        <v>7.0000000000000007E-2</v>
      </c>
      <c r="J163" s="75">
        <f>IF($D162="V",Input!M$70,IF(AND($B169=J$5,Input!M$65&gt;0),Input!M$65,I163))</f>
        <v>7.0000000000000007E-2</v>
      </c>
      <c r="K163" s="75">
        <f>IF($D162="V",Input!N$70,IF(AND($B169=K$5,Input!N$65&gt;0),Input!N$65,J163))</f>
        <v>7.0000000000000007E-2</v>
      </c>
      <c r="L163" s="75">
        <f>IF($D162="V",Input!O$70,IF(AND($B169=L$5,Input!O$65&gt;0),Input!O$65,K163))</f>
        <v>7.0000000000000007E-2</v>
      </c>
      <c r="M163" s="75">
        <f>IF($D162="V",Input!P$70,IF(AND($B169=M$5,Input!P$65&gt;0),Input!P$65,L163))</f>
        <v>7.0000000000000007E-2</v>
      </c>
    </row>
    <row r="164" spans="1:13" s="13" customFormat="1" ht="12.75" customHeight="1">
      <c r="A164" s="5" t="s">
        <v>361</v>
      </c>
      <c r="B164" s="135">
        <v>0</v>
      </c>
      <c r="C164" s="27" t="s">
        <v>173</v>
      </c>
      <c r="D164" s="140">
        <v>0</v>
      </c>
      <c r="E164" s="28">
        <f t="shared" ref="E164:M164" si="96">D169</f>
        <v>0</v>
      </c>
      <c r="F164" s="28">
        <f t="shared" si="96"/>
        <v>0</v>
      </c>
      <c r="G164" s="28">
        <f t="shared" si="96"/>
        <v>0</v>
      </c>
      <c r="H164" s="28">
        <f t="shared" si="96"/>
        <v>0</v>
      </c>
      <c r="I164" s="28">
        <f t="shared" si="96"/>
        <v>0</v>
      </c>
      <c r="J164" s="28">
        <f t="shared" si="96"/>
        <v>0</v>
      </c>
      <c r="K164" s="28">
        <f t="shared" si="96"/>
        <v>0</v>
      </c>
      <c r="L164" s="28">
        <f t="shared" si="96"/>
        <v>0</v>
      </c>
      <c r="M164" s="28">
        <f t="shared" si="96"/>
        <v>0</v>
      </c>
    </row>
    <row r="165" spans="1:13" s="13" customFormat="1" ht="12.75" customHeight="1">
      <c r="A165" s="26" t="s">
        <v>170</v>
      </c>
      <c r="B165" s="131">
        <v>35</v>
      </c>
      <c r="C165" s="29" t="s">
        <v>169</v>
      </c>
      <c r="D165" s="28">
        <f>D167-D166</f>
        <v>0</v>
      </c>
      <c r="E165" s="28">
        <f>E167-E166</f>
        <v>0</v>
      </c>
      <c r="F165" s="28">
        <f>F167-F166</f>
        <v>0</v>
      </c>
      <c r="G165" s="28">
        <f>G167-G166</f>
        <v>0</v>
      </c>
      <c r="H165" s="28">
        <f t="shared" ref="H165:M165" si="97">H167-H166</f>
        <v>0</v>
      </c>
      <c r="I165" s="28">
        <f t="shared" si="97"/>
        <v>0</v>
      </c>
      <c r="J165" s="28">
        <f t="shared" si="97"/>
        <v>0</v>
      </c>
      <c r="K165" s="28">
        <f t="shared" si="97"/>
        <v>0</v>
      </c>
      <c r="L165" s="28">
        <f t="shared" si="97"/>
        <v>0</v>
      </c>
      <c r="M165" s="28">
        <f t="shared" si="97"/>
        <v>0</v>
      </c>
    </row>
    <row r="166" spans="1:13" s="13" customFormat="1" ht="12.75" customHeight="1">
      <c r="A166" s="5" t="s">
        <v>172</v>
      </c>
      <c r="B166" s="134">
        <f>B152</f>
        <v>7.0000000000000007E-2</v>
      </c>
      <c r="C166" s="5" t="s">
        <v>174</v>
      </c>
      <c r="D166" s="28">
        <f>IF(AND($B168="Y",YEAR($B163)+$B165&gt;D$5),D171,IF((YEAR($B163)+$B165)&gt;D$5,FV(D163/$B167,$B167,D170),D164))</f>
        <v>0</v>
      </c>
      <c r="E166" s="28">
        <f>IF(AND($B168="Y",YEAR($B163)+$B165&gt;E$5),E171,IF((YEAR($B163)+$B165)&gt;E$5,FV(E163/$B167,$B167,E170),E164))</f>
        <v>0</v>
      </c>
      <c r="F166" s="28">
        <f>IF(AND($B168="Y",YEAR($B163)+$B165&gt;F$5),F171,IF((YEAR($B163)+$B165)&gt;F$5,FV(F163/$B167,$B167,F170),F164))</f>
        <v>0</v>
      </c>
      <c r="G166" s="28">
        <f>IF(AND($B168="Y",YEAR($B163)+$B165&gt;G$5),G171,IF((YEAR($B163)+$B165)&gt;G$5,FV(G163/$B167,$B167,G170),G164))</f>
        <v>0</v>
      </c>
      <c r="H166" s="28">
        <f t="shared" ref="H166:M166" si="98">IF(AND($B168="Y",YEAR($B163)+$B165&gt;H$5),H171,IF((YEAR($B163)+$B165)&gt;H$5,FV(H163/$B167,$B167,H170),H164))</f>
        <v>0</v>
      </c>
      <c r="I166" s="28">
        <f t="shared" si="98"/>
        <v>0</v>
      </c>
      <c r="J166" s="28">
        <f t="shared" si="98"/>
        <v>0</v>
      </c>
      <c r="K166" s="28">
        <f t="shared" si="98"/>
        <v>0</v>
      </c>
      <c r="L166" s="28">
        <f t="shared" si="98"/>
        <v>0</v>
      </c>
      <c r="M166" s="28">
        <f t="shared" si="98"/>
        <v>0</v>
      </c>
    </row>
    <row r="167" spans="1:13" s="13" customFormat="1" ht="12.75" customHeight="1">
      <c r="A167" s="5" t="s">
        <v>171</v>
      </c>
      <c r="B167" s="131">
        <v>4</v>
      </c>
      <c r="C167" s="78" t="s">
        <v>640</v>
      </c>
      <c r="D167" s="28">
        <f>IF(AND($B168="Y",YEAR($B163)+$B165&gt;D$5),D171+D163*(D164-D171*0.5),IF((YEAR($B163)+$B165)&gt;D$5,(D164*D163/$B167-D170)*$B167,(D164*(1+D163*MONTH($B163)/12))))</f>
        <v>0</v>
      </c>
      <c r="E167" s="28">
        <f>IF(AND($B168="Y",YEAR($B163)+$B165&gt;E$5),E171+E163*(E164-E171*0.5),IF((YEAR($B163)+$B165)&gt;E$5,(E164*E163/$B167-E170)*$B167,(E164*(1+E163*MONTH($B163)/12))))</f>
        <v>0</v>
      </c>
      <c r="F167" s="28">
        <f>IF(AND($B168="Y",YEAR($B163)+$B165&gt;F$5),F171+F163*(F164-F171*0.5),IF((YEAR($B163)+$B165)&gt;F$5,(F164*F163/$B167-F170)*$B167,(F164*(1+F163*MONTH($B163)/12))))</f>
        <v>0</v>
      </c>
      <c r="G167" s="28">
        <f>IF(AND($B168="Y",YEAR($B163)+$B165&gt;G$5),G171+G163*(G164-G171*0.5),IF((YEAR($B163)+$B165)&gt;G$5,(G164*G163/$B167-G170)*$B167,(G164*(1+G163*MONTH($B163)/12))))</f>
        <v>0</v>
      </c>
      <c r="H167" s="28">
        <f t="shared" ref="H167:M167" si="99">IF(AND($B168="Y",YEAR($B163)+$B165&gt;H$5),H171+H163*(H164-H171*0.5),IF((YEAR($B163)+$B165)&gt;H$5,(H164*H163/$B167-H170)*$B167,(H164*(1+H163*MONTH($B163)/12))))</f>
        <v>0</v>
      </c>
      <c r="I167" s="28">
        <f t="shared" si="99"/>
        <v>0</v>
      </c>
      <c r="J167" s="28">
        <f t="shared" si="99"/>
        <v>0</v>
      </c>
      <c r="K167" s="28">
        <f t="shared" si="99"/>
        <v>0</v>
      </c>
      <c r="L167" s="28">
        <f t="shared" si="99"/>
        <v>0</v>
      </c>
      <c r="M167" s="28">
        <f t="shared" si="99"/>
        <v>0</v>
      </c>
    </row>
    <row r="168" spans="1:13" s="13" customFormat="1" ht="12.75" customHeight="1">
      <c r="A168" s="5" t="s">
        <v>767</v>
      </c>
      <c r="B168" s="131" t="s">
        <v>719</v>
      </c>
      <c r="C168" s="132" t="s">
        <v>768</v>
      </c>
      <c r="D168" s="140">
        <v>0</v>
      </c>
      <c r="E168" s="140">
        <v>0</v>
      </c>
      <c r="F168" s="140">
        <v>0</v>
      </c>
      <c r="G168" s="140">
        <v>0</v>
      </c>
      <c r="H168" s="140">
        <v>0</v>
      </c>
      <c r="I168" s="140">
        <v>0</v>
      </c>
      <c r="J168" s="140">
        <v>0</v>
      </c>
      <c r="K168" s="140">
        <v>0</v>
      </c>
      <c r="L168" s="140">
        <v>0</v>
      </c>
      <c r="M168" s="140">
        <v>0</v>
      </c>
    </row>
    <row r="169" spans="1:13" s="13" customFormat="1" ht="12.75" customHeight="1">
      <c r="A169" s="5" t="s">
        <v>182</v>
      </c>
      <c r="B169" s="131"/>
      <c r="C169" s="30" t="s">
        <v>175</v>
      </c>
      <c r="D169" s="28">
        <f t="shared" ref="D169:M169" si="100">D164+D165-D167-D168</f>
        <v>0</v>
      </c>
      <c r="E169" s="28">
        <f t="shared" si="100"/>
        <v>0</v>
      </c>
      <c r="F169" s="28">
        <f t="shared" si="100"/>
        <v>0</v>
      </c>
      <c r="G169" s="28">
        <f t="shared" si="100"/>
        <v>0</v>
      </c>
      <c r="H169" s="28">
        <f t="shared" si="100"/>
        <v>0</v>
      </c>
      <c r="I169" s="28">
        <f t="shared" si="100"/>
        <v>0</v>
      </c>
      <c r="J169" s="28">
        <f t="shared" si="100"/>
        <v>0</v>
      </c>
      <c r="K169" s="28">
        <f t="shared" si="100"/>
        <v>0</v>
      </c>
      <c r="L169" s="28">
        <f t="shared" si="100"/>
        <v>0</v>
      </c>
      <c r="M169" s="28">
        <f t="shared" si="100"/>
        <v>0</v>
      </c>
    </row>
    <row r="170" spans="1:13" s="13" customFormat="1" ht="12.75" hidden="1" customHeight="1">
      <c r="A170" s="5"/>
      <c r="B170" s="138"/>
      <c r="C170" s="5" t="s">
        <v>769</v>
      </c>
      <c r="D170" s="28" t="e">
        <f>PPMT(D163/$B167,1,ROUND(($B165-(D$5-YEAR($B163))+MONTH($B163)/12)*$B167,0),D164)</f>
        <v>#NUM!</v>
      </c>
      <c r="E170" s="28" t="e">
        <f>PPMT(E163/$B167,1,ROUND(($B165-(E$5-YEAR($B163))+MONTH($B163)/12)*$B167,0),E164)</f>
        <v>#NUM!</v>
      </c>
      <c r="F170" s="28" t="e">
        <f>PPMT(F163/$B167,1,ROUND(($B165-(F$5-YEAR($B163))+MONTH($B163)/12)*$B167,0),F164)</f>
        <v>#NUM!</v>
      </c>
      <c r="G170" s="28" t="e">
        <f>PPMT(G163/$B167,1,ROUND(($B165-(G$5-YEAR($B163))+MONTH($B163)/12)*$B167,0),G164)</f>
        <v>#NUM!</v>
      </c>
      <c r="H170" s="28" t="e">
        <f t="shared" ref="H170:M170" si="101">PPMT(H163/$B167,1,ROUND(($B165-(H$5-YEAR($B163))+MONTH($B163)/12)*$B167,0),H164)</f>
        <v>#NUM!</v>
      </c>
      <c r="I170" s="28" t="e">
        <f t="shared" si="101"/>
        <v>#NUM!</v>
      </c>
      <c r="J170" s="28" t="e">
        <f t="shared" si="101"/>
        <v>#NUM!</v>
      </c>
      <c r="K170" s="28" t="e">
        <f t="shared" si="101"/>
        <v>#NUM!</v>
      </c>
      <c r="L170" s="28" t="e">
        <f t="shared" si="101"/>
        <v>#NUM!</v>
      </c>
      <c r="M170" s="28" t="e">
        <f t="shared" si="101"/>
        <v>#NUM!</v>
      </c>
    </row>
    <row r="171" spans="1:13" s="13" customFormat="1" ht="12.75" hidden="1" customHeight="1">
      <c r="A171" s="5"/>
      <c r="B171" s="5"/>
      <c r="C171" s="5" t="s">
        <v>770</v>
      </c>
      <c r="D171" s="28">
        <f>IF(YEAR($B163)+$B165&gt;D$5,D164/(YEAR($B163)+$B165-D$5+MONTH($B163)/12),D164)</f>
        <v>0</v>
      </c>
      <c r="E171" s="28">
        <f>IF(YEAR($B163)+$B165&gt;E$5,E164/(YEAR($B163)+$B165-E$5+MONTH($B163)/12),E164)</f>
        <v>0</v>
      </c>
      <c r="F171" s="28">
        <f>IF(YEAR($B163)+$B165&gt;F$5,F164/(YEAR($B163)+$B165-F$5+MONTH($B163)/12),F164)</f>
        <v>0</v>
      </c>
      <c r="G171" s="28">
        <f t="shared" ref="G171:M171" si="102">IF(YEAR($B163)+$B165&gt;G$5,G164/(YEAR($B163)+$B165-G$5+MONTH($B163)/12),G164)</f>
        <v>0</v>
      </c>
      <c r="H171" s="28">
        <f t="shared" si="102"/>
        <v>0</v>
      </c>
      <c r="I171" s="28">
        <f t="shared" si="102"/>
        <v>0</v>
      </c>
      <c r="J171" s="28">
        <f t="shared" si="102"/>
        <v>0</v>
      </c>
      <c r="K171" s="28">
        <f t="shared" si="102"/>
        <v>0</v>
      </c>
      <c r="L171" s="28">
        <f t="shared" si="102"/>
        <v>0</v>
      </c>
      <c r="M171" s="28">
        <f t="shared" si="102"/>
        <v>0</v>
      </c>
    </row>
    <row r="172" spans="1:13" s="13" customFormat="1" ht="12.75" customHeight="1">
      <c r="A172" s="5"/>
      <c r="B172" s="5"/>
      <c r="C172" s="5"/>
    </row>
    <row r="173" spans="1:13" s="13" customFormat="1" ht="12.75" customHeight="1">
      <c r="A173" s="30" t="s">
        <v>655</v>
      </c>
      <c r="B173" s="99"/>
      <c r="C173" t="s">
        <v>800</v>
      </c>
      <c r="D173" s="161" t="s">
        <v>801</v>
      </c>
      <c r="E173" s="1"/>
      <c r="F173"/>
      <c r="G173"/>
      <c r="H173"/>
      <c r="I173"/>
      <c r="J173"/>
      <c r="K173"/>
      <c r="L173"/>
      <c r="M173"/>
    </row>
    <row r="174" spans="1:13" s="13" customFormat="1" ht="12.75" customHeight="1">
      <c r="A174" s="26" t="s">
        <v>677</v>
      </c>
      <c r="B174" s="133">
        <v>29373</v>
      </c>
      <c r="C174" s="5" t="s">
        <v>639</v>
      </c>
      <c r="D174" s="75">
        <f>IF($D173="V",Input!G$70,IF(AND($B180=D$5,Input!G$65&gt;0),Input!G$65,$B177))</f>
        <v>7.0000000000000007E-2</v>
      </c>
      <c r="E174" s="75">
        <f>IF($D173="V",Input!H$70,IF(AND($B180=E$5,Input!H$65&gt;0),Input!H$65,D174))</f>
        <v>7.0000000000000007E-2</v>
      </c>
      <c r="F174" s="75">
        <f>IF($D173="V",Input!I$70,IF(AND($B180=F$5,Input!I$65&gt;0),Input!I$65,E174))</f>
        <v>7.0000000000000007E-2</v>
      </c>
      <c r="G174" s="75">
        <f>IF($D173="V",Input!J$70,IF(AND($B180=G$5,Input!J$65&gt;0),Input!J$65,F174))</f>
        <v>7.0000000000000007E-2</v>
      </c>
      <c r="H174" s="75">
        <f>IF($D173="V",Input!K$70,IF(AND($B180=H$5,Input!K$65&gt;0),Input!K$65,G174))</f>
        <v>7.0000000000000007E-2</v>
      </c>
      <c r="I174" s="75">
        <f>IF($D173="V",Input!L$70,IF(AND($B180=I$5,Input!L$65&gt;0),Input!L$65,H174))</f>
        <v>7.0000000000000007E-2</v>
      </c>
      <c r="J174" s="75">
        <f>IF($D173="V",Input!M$70,IF(AND($B180=J$5,Input!M$65&gt;0),Input!M$65,I174))</f>
        <v>7.0000000000000007E-2</v>
      </c>
      <c r="K174" s="75">
        <f>IF($D173="V",Input!N$70,IF(AND($B180=K$5,Input!N$65&gt;0),Input!N$65,J174))</f>
        <v>7.0000000000000007E-2</v>
      </c>
      <c r="L174" s="75">
        <f>IF($D173="V",Input!O$70,IF(AND($B180=L$5,Input!O$65&gt;0),Input!O$65,K174))</f>
        <v>7.0000000000000007E-2</v>
      </c>
      <c r="M174" s="75">
        <f>IF($D173="V",Input!P$70,IF(AND($B180=M$5,Input!P$65&gt;0),Input!P$65,L174))</f>
        <v>7.0000000000000007E-2</v>
      </c>
    </row>
    <row r="175" spans="1:13" s="13" customFormat="1" ht="12.75" customHeight="1">
      <c r="A175" s="5" t="s">
        <v>361</v>
      </c>
      <c r="B175" s="135">
        <v>0</v>
      </c>
      <c r="C175" s="27" t="s">
        <v>173</v>
      </c>
      <c r="D175" s="140">
        <v>0</v>
      </c>
      <c r="E175" s="28">
        <f t="shared" ref="E175:M175" si="103">D180</f>
        <v>0</v>
      </c>
      <c r="F175" s="28">
        <f t="shared" si="103"/>
        <v>0</v>
      </c>
      <c r="G175" s="28">
        <f t="shared" si="103"/>
        <v>0</v>
      </c>
      <c r="H175" s="28">
        <f t="shared" si="103"/>
        <v>0</v>
      </c>
      <c r="I175" s="28">
        <f t="shared" si="103"/>
        <v>0</v>
      </c>
      <c r="J175" s="28">
        <f t="shared" si="103"/>
        <v>0</v>
      </c>
      <c r="K175" s="28">
        <f t="shared" si="103"/>
        <v>0</v>
      </c>
      <c r="L175" s="28">
        <f t="shared" si="103"/>
        <v>0</v>
      </c>
      <c r="M175" s="28">
        <f t="shared" si="103"/>
        <v>0</v>
      </c>
    </row>
    <row r="176" spans="1:13" s="13" customFormat="1" ht="12.75" customHeight="1">
      <c r="A176" s="26" t="s">
        <v>170</v>
      </c>
      <c r="B176" s="131">
        <v>35</v>
      </c>
      <c r="C176" s="29" t="s">
        <v>169</v>
      </c>
      <c r="D176" s="28">
        <f>D178-D177</f>
        <v>0</v>
      </c>
      <c r="E176" s="28">
        <f>E178-E177</f>
        <v>0</v>
      </c>
      <c r="F176" s="28">
        <f>F178-F177</f>
        <v>0</v>
      </c>
      <c r="G176" s="28">
        <f>G178-G177</f>
        <v>0</v>
      </c>
      <c r="H176" s="28">
        <f t="shared" ref="H176:M176" si="104">H178-H177</f>
        <v>0</v>
      </c>
      <c r="I176" s="28">
        <f t="shared" si="104"/>
        <v>0</v>
      </c>
      <c r="J176" s="28">
        <f t="shared" si="104"/>
        <v>0</v>
      </c>
      <c r="K176" s="28">
        <f t="shared" si="104"/>
        <v>0</v>
      </c>
      <c r="L176" s="28">
        <f t="shared" si="104"/>
        <v>0</v>
      </c>
      <c r="M176" s="28">
        <f t="shared" si="104"/>
        <v>0</v>
      </c>
    </row>
    <row r="177" spans="1:13" s="13" customFormat="1" ht="12.75" customHeight="1">
      <c r="A177" s="5" t="s">
        <v>172</v>
      </c>
      <c r="B177" s="134">
        <f>B166</f>
        <v>7.0000000000000007E-2</v>
      </c>
      <c r="C177" s="5" t="s">
        <v>174</v>
      </c>
      <c r="D177" s="28">
        <f>IF(AND($B179="Y",YEAR($B174)+$B176&gt;D$5),D182,IF((YEAR($B174)+$B176)&gt;D$5,FV(D174/$B178,$B178,D181),D175))</f>
        <v>0</v>
      </c>
      <c r="E177" s="28">
        <f>IF(AND($B179="Y",YEAR($B174)+$B176&gt;E$5),E182,IF((YEAR($B174)+$B176)&gt;E$5,FV(E174/$B178,$B178,E181),E175))</f>
        <v>0</v>
      </c>
      <c r="F177" s="28">
        <f>IF(AND($B179="Y",YEAR($B174)+$B176&gt;F$5),F182,IF((YEAR($B174)+$B176)&gt;F$5,FV(F174/$B178,$B178,F181),F175))</f>
        <v>0</v>
      </c>
      <c r="G177" s="28">
        <f>IF(AND($B179="Y",YEAR($B174)+$B176&gt;G$5),G182,IF((YEAR($B174)+$B176)&gt;G$5,FV(G174/$B178,$B178,G181),G175))</f>
        <v>0</v>
      </c>
      <c r="H177" s="28">
        <f t="shared" ref="H177:M177" si="105">IF(AND($B179="Y",YEAR($B174)+$B176&gt;H$5),H182,IF((YEAR($B174)+$B176)&gt;H$5,FV(H174/$B178,$B178,H181),H175))</f>
        <v>0</v>
      </c>
      <c r="I177" s="28">
        <f t="shared" si="105"/>
        <v>0</v>
      </c>
      <c r="J177" s="28">
        <f t="shared" si="105"/>
        <v>0</v>
      </c>
      <c r="K177" s="28">
        <f t="shared" si="105"/>
        <v>0</v>
      </c>
      <c r="L177" s="28">
        <f t="shared" si="105"/>
        <v>0</v>
      </c>
      <c r="M177" s="28">
        <f t="shared" si="105"/>
        <v>0</v>
      </c>
    </row>
    <row r="178" spans="1:13" s="13" customFormat="1" ht="12.75" customHeight="1">
      <c r="A178" s="5" t="s">
        <v>171</v>
      </c>
      <c r="B178" s="131">
        <v>4</v>
      </c>
      <c r="C178" s="78" t="s">
        <v>640</v>
      </c>
      <c r="D178" s="28">
        <f>IF(AND($B179="Y",YEAR($B174)+$B176&gt;D$5),D182+D174*(D175-D182*0.5),IF((YEAR($B174)+$B176)&gt;D$5,(D175*D174/$B178-D181)*$B178,(D175*(1+D174*MONTH($B174)/12))))</f>
        <v>0</v>
      </c>
      <c r="E178" s="28">
        <f>IF(AND($B179="Y",YEAR($B174)+$B176&gt;E$5),E182+E174*(E175-E182*0.5),IF((YEAR($B174)+$B176)&gt;E$5,(E175*E174/$B178-E181)*$B178,(E175*(1+E174*MONTH($B174)/12))))</f>
        <v>0</v>
      </c>
      <c r="F178" s="28">
        <f>IF(AND($B179="Y",YEAR($B174)+$B176&gt;F$5),F182+F174*(F175-F182*0.5),IF((YEAR($B174)+$B176)&gt;F$5,(F175*F174/$B178-F181)*$B178,(F175*(1+F174*MONTH($B174)/12))))</f>
        <v>0</v>
      </c>
      <c r="G178" s="28">
        <f>IF(AND($B179="Y",YEAR($B174)+$B176&gt;G$5),G182+G174*(G175-G182*0.5),IF((YEAR($B174)+$B176)&gt;G$5,(G175*G174/$B178-G181)*$B178,(G175*(1+G174*MONTH($B174)/12))))</f>
        <v>0</v>
      </c>
      <c r="H178" s="28">
        <f t="shared" ref="H178:M178" si="106">IF(AND($B179="Y",YEAR($B174)+$B176&gt;H$5),H182+H174*(H175-H182*0.5),IF((YEAR($B174)+$B176)&gt;H$5,(H175*H174/$B178-H181)*$B178,(H175*(1+H174*MONTH($B174)/12))))</f>
        <v>0</v>
      </c>
      <c r="I178" s="28">
        <f t="shared" si="106"/>
        <v>0</v>
      </c>
      <c r="J178" s="28">
        <f t="shared" si="106"/>
        <v>0</v>
      </c>
      <c r="K178" s="28">
        <f t="shared" si="106"/>
        <v>0</v>
      </c>
      <c r="L178" s="28">
        <f t="shared" si="106"/>
        <v>0</v>
      </c>
      <c r="M178" s="28">
        <f t="shared" si="106"/>
        <v>0</v>
      </c>
    </row>
    <row r="179" spans="1:13" s="13" customFormat="1" ht="12.75" customHeight="1">
      <c r="A179" s="5" t="s">
        <v>767</v>
      </c>
      <c r="B179" s="131" t="s">
        <v>719</v>
      </c>
      <c r="C179" s="132" t="s">
        <v>768</v>
      </c>
      <c r="D179" s="140">
        <v>0</v>
      </c>
      <c r="E179" s="140">
        <v>0</v>
      </c>
      <c r="F179" s="140">
        <v>0</v>
      </c>
      <c r="G179" s="140">
        <v>0</v>
      </c>
      <c r="H179" s="140">
        <v>0</v>
      </c>
      <c r="I179" s="140">
        <v>0</v>
      </c>
      <c r="J179" s="140">
        <v>0</v>
      </c>
      <c r="K179" s="140">
        <v>0</v>
      </c>
      <c r="L179" s="140">
        <v>0</v>
      </c>
      <c r="M179" s="140">
        <v>0</v>
      </c>
    </row>
    <row r="180" spans="1:13" s="13" customFormat="1" ht="12.75" customHeight="1">
      <c r="A180" s="5" t="s">
        <v>182</v>
      </c>
      <c r="B180" s="131"/>
      <c r="C180" s="30" t="s">
        <v>175</v>
      </c>
      <c r="D180" s="28">
        <f t="shared" ref="D180:M180" si="107">D175+D176-D178-D179</f>
        <v>0</v>
      </c>
      <c r="E180" s="28">
        <f t="shared" si="107"/>
        <v>0</v>
      </c>
      <c r="F180" s="28">
        <f t="shared" si="107"/>
        <v>0</v>
      </c>
      <c r="G180" s="28">
        <f t="shared" si="107"/>
        <v>0</v>
      </c>
      <c r="H180" s="28">
        <f t="shared" si="107"/>
        <v>0</v>
      </c>
      <c r="I180" s="28">
        <f t="shared" si="107"/>
        <v>0</v>
      </c>
      <c r="J180" s="28">
        <f t="shared" si="107"/>
        <v>0</v>
      </c>
      <c r="K180" s="28">
        <f t="shared" si="107"/>
        <v>0</v>
      </c>
      <c r="L180" s="28">
        <f t="shared" si="107"/>
        <v>0</v>
      </c>
      <c r="M180" s="28">
        <f t="shared" si="107"/>
        <v>0</v>
      </c>
    </row>
    <row r="181" spans="1:13" s="13" customFormat="1" ht="12.75" hidden="1" customHeight="1">
      <c r="A181" s="5"/>
      <c r="B181" s="138"/>
      <c r="C181" s="5" t="s">
        <v>769</v>
      </c>
      <c r="D181" s="28" t="e">
        <f>PPMT(D174/$B178,1,ROUND(($B176-(D$5-YEAR($B174))+MONTH($B174)/12)*$B178,0),D175)</f>
        <v>#NUM!</v>
      </c>
      <c r="E181" s="28" t="e">
        <f>PPMT(E174/$B178,1,ROUND(($B176-(E$5-YEAR($B174))+MONTH($B174)/12)*$B178,0),E175)</f>
        <v>#NUM!</v>
      </c>
      <c r="F181" s="28" t="e">
        <f>PPMT(F174/$B178,1,ROUND(($B176-(F$5-YEAR($B174))+MONTH($B174)/12)*$B178,0),F175)</f>
        <v>#NUM!</v>
      </c>
      <c r="G181" s="28" t="e">
        <f>PPMT(G174/$B178,1,ROUND(($B176-(G$5-YEAR($B174))+MONTH($B174)/12)*$B178,0),G175)</f>
        <v>#NUM!</v>
      </c>
      <c r="H181" s="28" t="e">
        <f t="shared" ref="H181:M181" si="108">PPMT(H174/$B178,1,ROUND(($B176-(H$5-YEAR($B174))+MONTH($B174)/12)*$B178,0),H175)</f>
        <v>#NUM!</v>
      </c>
      <c r="I181" s="28" t="e">
        <f t="shared" si="108"/>
        <v>#NUM!</v>
      </c>
      <c r="J181" s="28" t="e">
        <f t="shared" si="108"/>
        <v>#NUM!</v>
      </c>
      <c r="K181" s="28" t="e">
        <f t="shared" si="108"/>
        <v>#NUM!</v>
      </c>
      <c r="L181" s="28" t="e">
        <f t="shared" si="108"/>
        <v>#NUM!</v>
      </c>
      <c r="M181" s="28" t="e">
        <f t="shared" si="108"/>
        <v>#NUM!</v>
      </c>
    </row>
    <row r="182" spans="1:13" s="13" customFormat="1" ht="12.75" hidden="1" customHeight="1">
      <c r="A182" s="5"/>
      <c r="B182" s="5"/>
      <c r="C182" s="5" t="s">
        <v>770</v>
      </c>
      <c r="D182" s="28">
        <f>IF(YEAR($B174)+$B176&gt;D$5,D175/(YEAR($B174)+$B176-D$5+MONTH($B174)/12),D175)</f>
        <v>0</v>
      </c>
      <c r="E182" s="28">
        <f>IF(YEAR($B174)+$B176&gt;E$5,E175/(YEAR($B174)+$B176-E$5+MONTH($B174)/12),E175)</f>
        <v>0</v>
      </c>
      <c r="F182" s="28">
        <f>IF(YEAR($B174)+$B176&gt;F$5,F175/(YEAR($B174)+$B176-F$5+MONTH($B174)/12),F175)</f>
        <v>0</v>
      </c>
      <c r="G182" s="28">
        <f t="shared" ref="G182:M182" si="109">IF(YEAR($B174)+$B176&gt;G$5,G175/(YEAR($B174)+$B176-G$5+MONTH($B174)/12),G175)</f>
        <v>0</v>
      </c>
      <c r="H182" s="28">
        <f t="shared" si="109"/>
        <v>0</v>
      </c>
      <c r="I182" s="28">
        <f t="shared" si="109"/>
        <v>0</v>
      </c>
      <c r="J182" s="28">
        <f t="shared" si="109"/>
        <v>0</v>
      </c>
      <c r="K182" s="28">
        <f t="shared" si="109"/>
        <v>0</v>
      </c>
      <c r="L182" s="28">
        <f t="shared" si="109"/>
        <v>0</v>
      </c>
      <c r="M182" s="28">
        <f t="shared" si="109"/>
        <v>0</v>
      </c>
    </row>
    <row r="183" spans="1:13" s="13" customFormat="1" ht="12.75" customHeight="1">
      <c r="A183"/>
      <c r="B183"/>
      <c r="C183" s="5"/>
      <c r="D183" s="39"/>
      <c r="E183" s="39"/>
      <c r="F183" s="39"/>
      <c r="G183" s="39"/>
      <c r="H183" s="39"/>
      <c r="I183" s="39"/>
      <c r="J183" s="39"/>
      <c r="K183" s="39"/>
      <c r="L183" s="39"/>
      <c r="M183" s="39"/>
    </row>
    <row r="184" spans="1:13" s="13" customFormat="1" ht="12.75" customHeight="1">
      <c r="A184" s="30" t="s">
        <v>656</v>
      </c>
      <c r="B184" s="99"/>
      <c r="C184" t="s">
        <v>800</v>
      </c>
      <c r="D184" s="161" t="s">
        <v>801</v>
      </c>
      <c r="E184" s="1"/>
      <c r="F184"/>
      <c r="G184"/>
      <c r="H184"/>
      <c r="I184"/>
      <c r="J184"/>
      <c r="K184"/>
      <c r="L184"/>
      <c r="M184"/>
    </row>
    <row r="185" spans="1:13" s="13" customFormat="1" ht="12.75" customHeight="1">
      <c r="A185" s="26" t="s">
        <v>677</v>
      </c>
      <c r="B185" s="133">
        <v>29373</v>
      </c>
      <c r="C185" s="5" t="s">
        <v>639</v>
      </c>
      <c r="D185" s="75">
        <f>IF($D184="V",Input!G$70,IF(AND($B191=D$5,Input!G$65&gt;0),Input!G$65,$B188))</f>
        <v>7.0000000000000007E-2</v>
      </c>
      <c r="E185" s="75">
        <f>IF($D184="V",Input!H$70,IF(AND($B191=E$5,Input!H$65&gt;0),Input!H$65,D185))</f>
        <v>7.0000000000000007E-2</v>
      </c>
      <c r="F185" s="75">
        <f>IF($D184="V",Input!I$70,IF(AND($B191=F$5,Input!I$65&gt;0),Input!I$65,E185))</f>
        <v>7.0000000000000007E-2</v>
      </c>
      <c r="G185" s="75">
        <f>IF($D184="V",Input!J$70,IF(AND($B191=G$5,Input!J$65&gt;0),Input!J$65,F185))</f>
        <v>7.0000000000000007E-2</v>
      </c>
      <c r="H185" s="75">
        <f>IF($D184="V",Input!K$70,IF(AND($B191=H$5,Input!K$65&gt;0),Input!K$65,G185))</f>
        <v>7.0000000000000007E-2</v>
      </c>
      <c r="I185" s="75">
        <f>IF($D184="V",Input!L$70,IF(AND($B191=I$5,Input!L$65&gt;0),Input!L$65,H185))</f>
        <v>7.0000000000000007E-2</v>
      </c>
      <c r="J185" s="75">
        <f>IF($D184="V",Input!M$70,IF(AND($B191=J$5,Input!M$65&gt;0),Input!M$65,I185))</f>
        <v>7.0000000000000007E-2</v>
      </c>
      <c r="K185" s="75">
        <f>IF($D184="V",Input!N$70,IF(AND($B191=K$5,Input!N$65&gt;0),Input!N$65,J185))</f>
        <v>7.0000000000000007E-2</v>
      </c>
      <c r="L185" s="75">
        <f>IF($D184="V",Input!O$70,IF(AND($B191=L$5,Input!O$65&gt;0),Input!O$65,K185))</f>
        <v>7.0000000000000007E-2</v>
      </c>
      <c r="M185" s="75">
        <f>IF($D184="V",Input!P$70,IF(AND($B191=M$5,Input!P$65&gt;0),Input!P$65,L185))</f>
        <v>7.0000000000000007E-2</v>
      </c>
    </row>
    <row r="186" spans="1:13" s="13" customFormat="1" ht="12.75" customHeight="1">
      <c r="A186" s="5" t="s">
        <v>361</v>
      </c>
      <c r="B186" s="135">
        <v>0</v>
      </c>
      <c r="C186" s="27" t="s">
        <v>173</v>
      </c>
      <c r="D186" s="140">
        <v>0</v>
      </c>
      <c r="E186" s="28">
        <f t="shared" ref="E186:M186" si="110">D191</f>
        <v>0</v>
      </c>
      <c r="F186" s="28">
        <f t="shared" si="110"/>
        <v>0</v>
      </c>
      <c r="G186" s="28">
        <f t="shared" si="110"/>
        <v>0</v>
      </c>
      <c r="H186" s="28">
        <f t="shared" si="110"/>
        <v>0</v>
      </c>
      <c r="I186" s="28">
        <f t="shared" si="110"/>
        <v>0</v>
      </c>
      <c r="J186" s="28">
        <f t="shared" si="110"/>
        <v>0</v>
      </c>
      <c r="K186" s="28">
        <f t="shared" si="110"/>
        <v>0</v>
      </c>
      <c r="L186" s="28">
        <f t="shared" si="110"/>
        <v>0</v>
      </c>
      <c r="M186" s="28">
        <f t="shared" si="110"/>
        <v>0</v>
      </c>
    </row>
    <row r="187" spans="1:13" s="13" customFormat="1" ht="12.75" customHeight="1">
      <c r="A187" s="26" t="s">
        <v>170</v>
      </c>
      <c r="B187" s="131">
        <v>35</v>
      </c>
      <c r="C187" s="29" t="s">
        <v>169</v>
      </c>
      <c r="D187" s="28">
        <f>D189-D188</f>
        <v>0</v>
      </c>
      <c r="E187" s="28">
        <f>E189-E188</f>
        <v>0</v>
      </c>
      <c r="F187" s="28">
        <f>F189-F188</f>
        <v>0</v>
      </c>
      <c r="G187" s="28">
        <f>G189-G188</f>
        <v>0</v>
      </c>
      <c r="H187" s="28">
        <f t="shared" ref="H187:M187" si="111">H189-H188</f>
        <v>0</v>
      </c>
      <c r="I187" s="28">
        <f t="shared" si="111"/>
        <v>0</v>
      </c>
      <c r="J187" s="28">
        <f t="shared" si="111"/>
        <v>0</v>
      </c>
      <c r="K187" s="28">
        <f t="shared" si="111"/>
        <v>0</v>
      </c>
      <c r="L187" s="28">
        <f t="shared" si="111"/>
        <v>0</v>
      </c>
      <c r="M187" s="28">
        <f t="shared" si="111"/>
        <v>0</v>
      </c>
    </row>
    <row r="188" spans="1:13" s="13" customFormat="1" ht="12.75" customHeight="1">
      <c r="A188" s="5" t="s">
        <v>172</v>
      </c>
      <c r="B188" s="134">
        <f>B177</f>
        <v>7.0000000000000007E-2</v>
      </c>
      <c r="C188" s="5" t="s">
        <v>174</v>
      </c>
      <c r="D188" s="28">
        <f>IF(AND($B190="Y",YEAR($B185)+$B187&gt;D$5),D193,IF((YEAR($B185)+$B187)&gt;D$5,FV(D185/$B189,$B189,D192),D186))</f>
        <v>0</v>
      </c>
      <c r="E188" s="28">
        <f>IF(AND($B190="Y",YEAR($B185)+$B187&gt;E$5),E193,IF((YEAR($B185)+$B187)&gt;E$5,FV(E185/$B189,$B189,E192),E186))</f>
        <v>0</v>
      </c>
      <c r="F188" s="28">
        <f>IF(AND($B190="Y",YEAR($B185)+$B187&gt;F$5),F193,IF((YEAR($B185)+$B187)&gt;F$5,FV(F185/$B189,$B189,F192),F186))</f>
        <v>0</v>
      </c>
      <c r="G188" s="28">
        <f>IF(AND($B190="Y",YEAR($B185)+$B187&gt;G$5),G193,IF((YEAR($B185)+$B187)&gt;G$5,FV(G185/$B189,$B189,G192),G186))</f>
        <v>0</v>
      </c>
      <c r="H188" s="28">
        <f t="shared" ref="H188:M188" si="112">IF(AND($B190="Y",YEAR($B185)+$B187&gt;H$5),H193,IF((YEAR($B185)+$B187)&gt;H$5,FV(H185/$B189,$B189,H192),H186))</f>
        <v>0</v>
      </c>
      <c r="I188" s="28">
        <f t="shared" si="112"/>
        <v>0</v>
      </c>
      <c r="J188" s="28">
        <f t="shared" si="112"/>
        <v>0</v>
      </c>
      <c r="K188" s="28">
        <f t="shared" si="112"/>
        <v>0</v>
      </c>
      <c r="L188" s="28">
        <f t="shared" si="112"/>
        <v>0</v>
      </c>
      <c r="M188" s="28">
        <f t="shared" si="112"/>
        <v>0</v>
      </c>
    </row>
    <row r="189" spans="1:13" s="13" customFormat="1" ht="12.75" customHeight="1">
      <c r="A189" s="5" t="s">
        <v>171</v>
      </c>
      <c r="B189" s="131">
        <v>4</v>
      </c>
      <c r="C189" s="78" t="s">
        <v>640</v>
      </c>
      <c r="D189" s="28">
        <f>IF(AND($B190="Y",YEAR($B185)+$B187&gt;D$5),D193+D185*(D186-D193*0.5),IF((YEAR($B185)+$B187)&gt;D$5,(D186*D185/$B189-D192)*$B189,(D186*(1+D185*MONTH($B185)/12))))</f>
        <v>0</v>
      </c>
      <c r="E189" s="28">
        <f>IF(AND($B190="Y",YEAR($B185)+$B187&gt;E$5),E193+E185*(E186-E193*0.5),IF((YEAR($B185)+$B187)&gt;E$5,(E186*E185/$B189-E192)*$B189,(E186*(1+E185*MONTH($B185)/12))))</f>
        <v>0</v>
      </c>
      <c r="F189" s="28">
        <f>IF(AND($B190="Y",YEAR($B185)+$B187&gt;F$5),F193+F185*(F186-F193*0.5),IF((YEAR($B185)+$B187)&gt;F$5,(F186*F185/$B189-F192)*$B189,(F186*(1+F185*MONTH($B185)/12))))</f>
        <v>0</v>
      </c>
      <c r="G189" s="28">
        <f>IF(AND($B190="Y",YEAR($B185)+$B187&gt;G$5),G193+G185*(G186-G193*0.5),IF((YEAR($B185)+$B187)&gt;G$5,(G186*G185/$B189-G192)*$B189,(G186*(1+G185*MONTH($B185)/12))))</f>
        <v>0</v>
      </c>
      <c r="H189" s="28">
        <f t="shared" ref="H189:M189" si="113">IF(AND($B190="Y",YEAR($B185)+$B187&gt;H$5),H193+H185*(H186-H193*0.5),IF((YEAR($B185)+$B187)&gt;H$5,(H186*H185/$B189-H192)*$B189,(H186*(1+H185*MONTH($B185)/12))))</f>
        <v>0</v>
      </c>
      <c r="I189" s="28">
        <f t="shared" si="113"/>
        <v>0</v>
      </c>
      <c r="J189" s="28">
        <f t="shared" si="113"/>
        <v>0</v>
      </c>
      <c r="K189" s="28">
        <f t="shared" si="113"/>
        <v>0</v>
      </c>
      <c r="L189" s="28">
        <f t="shared" si="113"/>
        <v>0</v>
      </c>
      <c r="M189" s="28">
        <f t="shared" si="113"/>
        <v>0</v>
      </c>
    </row>
    <row r="190" spans="1:13" s="13" customFormat="1" ht="12.75" customHeight="1">
      <c r="A190" s="5" t="s">
        <v>767</v>
      </c>
      <c r="B190" s="131" t="s">
        <v>719</v>
      </c>
      <c r="C190" s="132" t="s">
        <v>768</v>
      </c>
      <c r="D190" s="140">
        <v>0</v>
      </c>
      <c r="E190" s="140">
        <v>0</v>
      </c>
      <c r="F190" s="140">
        <v>0</v>
      </c>
      <c r="G190" s="140">
        <v>0</v>
      </c>
      <c r="H190" s="140">
        <v>0</v>
      </c>
      <c r="I190" s="140">
        <v>0</v>
      </c>
      <c r="J190" s="140">
        <v>0</v>
      </c>
      <c r="K190" s="140">
        <v>0</v>
      </c>
      <c r="L190" s="140">
        <v>0</v>
      </c>
      <c r="M190" s="140">
        <v>0</v>
      </c>
    </row>
    <row r="191" spans="1:13" s="13" customFormat="1" ht="12.75" customHeight="1">
      <c r="A191" s="5" t="s">
        <v>182</v>
      </c>
      <c r="B191" s="131"/>
      <c r="C191" s="30" t="s">
        <v>175</v>
      </c>
      <c r="D191" s="28">
        <f t="shared" ref="D191:M191" si="114">D186+D187-D189-D190</f>
        <v>0</v>
      </c>
      <c r="E191" s="28">
        <f t="shared" si="114"/>
        <v>0</v>
      </c>
      <c r="F191" s="28">
        <f t="shared" si="114"/>
        <v>0</v>
      </c>
      <c r="G191" s="28">
        <f t="shared" si="114"/>
        <v>0</v>
      </c>
      <c r="H191" s="28">
        <f t="shared" si="114"/>
        <v>0</v>
      </c>
      <c r="I191" s="28">
        <f t="shared" si="114"/>
        <v>0</v>
      </c>
      <c r="J191" s="28">
        <f t="shared" si="114"/>
        <v>0</v>
      </c>
      <c r="K191" s="28">
        <f t="shared" si="114"/>
        <v>0</v>
      </c>
      <c r="L191" s="28">
        <f t="shared" si="114"/>
        <v>0</v>
      </c>
      <c r="M191" s="28">
        <f t="shared" si="114"/>
        <v>0</v>
      </c>
    </row>
    <row r="192" spans="1:13" s="13" customFormat="1" ht="12.75" hidden="1" customHeight="1">
      <c r="A192" s="5"/>
      <c r="B192" s="138"/>
      <c r="C192" s="5" t="s">
        <v>769</v>
      </c>
      <c r="D192" s="28" t="e">
        <f>PPMT(D185/$B189,1,ROUND(($B187-(D$5-YEAR($B185))+MONTH($B185)/12)*$B189,0),D186)</f>
        <v>#NUM!</v>
      </c>
      <c r="E192" s="28" t="e">
        <f>PPMT(E185/$B189,1,ROUND(($B187-(E$5-YEAR($B185))+MONTH($B185)/12)*$B189,0),E186)</f>
        <v>#NUM!</v>
      </c>
      <c r="F192" s="28" t="e">
        <f>PPMT(F185/$B189,1,ROUND(($B187-(F$5-YEAR($B185))+MONTH($B185)/12)*$B189,0),F186)</f>
        <v>#NUM!</v>
      </c>
      <c r="G192" s="28" t="e">
        <f>PPMT(G185/$B189,1,ROUND(($B187-(G$5-YEAR($B185))+MONTH($B185)/12)*$B189,0),G186)</f>
        <v>#NUM!</v>
      </c>
      <c r="H192" s="28" t="e">
        <f t="shared" ref="H192:M192" si="115">PPMT(H185/$B189,1,ROUND(($B187-(H$5-YEAR($B185))+MONTH($B185)/12)*$B189,0),H186)</f>
        <v>#NUM!</v>
      </c>
      <c r="I192" s="28" t="e">
        <f t="shared" si="115"/>
        <v>#NUM!</v>
      </c>
      <c r="J192" s="28" t="e">
        <f t="shared" si="115"/>
        <v>#NUM!</v>
      </c>
      <c r="K192" s="28" t="e">
        <f t="shared" si="115"/>
        <v>#NUM!</v>
      </c>
      <c r="L192" s="28" t="e">
        <f t="shared" si="115"/>
        <v>#NUM!</v>
      </c>
      <c r="M192" s="28" t="e">
        <f t="shared" si="115"/>
        <v>#NUM!</v>
      </c>
    </row>
    <row r="193" spans="1:13" s="13" customFormat="1" ht="12.75" hidden="1" customHeight="1">
      <c r="A193" s="5"/>
      <c r="B193" s="5"/>
      <c r="C193" s="5" t="s">
        <v>770</v>
      </c>
      <c r="D193" s="28">
        <f>IF(YEAR($B185)+$B187&gt;D$5,D186/(YEAR($B185)+$B187-D$5+MONTH($B185)/12),D186)</f>
        <v>0</v>
      </c>
      <c r="E193" s="28">
        <f>IF(YEAR($B185)+$B187&gt;E$5,E186/(YEAR($B185)+$B187-E$5+MONTH($B185)/12),E186)</f>
        <v>0</v>
      </c>
      <c r="F193" s="28">
        <f>IF(YEAR($B185)+$B187&gt;F$5,F186/(YEAR($B185)+$B187-F$5+MONTH($B185)/12),F186)</f>
        <v>0</v>
      </c>
      <c r="G193" s="28">
        <f t="shared" ref="G193:M193" si="116">IF(YEAR($B185)+$B187&gt;G$5,G186/(YEAR($B185)+$B187-G$5+MONTH($B185)/12),G186)</f>
        <v>0</v>
      </c>
      <c r="H193" s="28">
        <f t="shared" si="116"/>
        <v>0</v>
      </c>
      <c r="I193" s="28">
        <f t="shared" si="116"/>
        <v>0</v>
      </c>
      <c r="J193" s="28">
        <f t="shared" si="116"/>
        <v>0</v>
      </c>
      <c r="K193" s="28">
        <f t="shared" si="116"/>
        <v>0</v>
      </c>
      <c r="L193" s="28">
        <f t="shared" si="116"/>
        <v>0</v>
      </c>
      <c r="M193" s="28">
        <f t="shared" si="116"/>
        <v>0</v>
      </c>
    </row>
    <row r="194" spans="1:13" s="13" customFormat="1" ht="12.75" customHeight="1">
      <c r="A194"/>
      <c r="B194"/>
      <c r="C194" s="5"/>
      <c r="D194" s="39"/>
      <c r="E194" s="39"/>
      <c r="F194" s="39"/>
      <c r="G194" s="39"/>
      <c r="H194" s="39"/>
      <c r="I194" s="39"/>
      <c r="J194" s="39"/>
      <c r="K194" s="39"/>
      <c r="L194" s="39"/>
      <c r="M194" s="39"/>
    </row>
    <row r="195" spans="1:13" s="13" customFormat="1" ht="12.75" customHeight="1">
      <c r="A195" s="30" t="s">
        <v>657</v>
      </c>
      <c r="B195" s="99"/>
      <c r="C195" t="s">
        <v>800</v>
      </c>
      <c r="D195" s="161" t="s">
        <v>801</v>
      </c>
      <c r="E195" s="1"/>
      <c r="F195"/>
      <c r="G195"/>
      <c r="H195"/>
      <c r="I195"/>
      <c r="J195"/>
      <c r="K195"/>
      <c r="L195"/>
      <c r="M195"/>
    </row>
    <row r="196" spans="1:13" s="13" customFormat="1" ht="12.75" customHeight="1">
      <c r="A196" s="26" t="s">
        <v>677</v>
      </c>
      <c r="B196" s="133">
        <v>29373</v>
      </c>
      <c r="C196" s="5" t="s">
        <v>639</v>
      </c>
      <c r="D196" s="75">
        <f>IF($D195="V",Input!G$70,IF(AND($B202=D$5,Input!G$65&gt;0),Input!G$65,$B199))</f>
        <v>7.0000000000000007E-2</v>
      </c>
      <c r="E196" s="75">
        <f>IF($D195="V",Input!H$70,IF(AND($B202=E$5,Input!H$65&gt;0),Input!H$65,D196))</f>
        <v>7.0000000000000007E-2</v>
      </c>
      <c r="F196" s="75">
        <f>IF($D195="V",Input!I$70,IF(AND($B202=F$5,Input!I$65&gt;0),Input!I$65,E196))</f>
        <v>7.0000000000000007E-2</v>
      </c>
      <c r="G196" s="75">
        <f>IF($D195="V",Input!J$70,IF(AND($B202=G$5,Input!J$65&gt;0),Input!J$65,F196))</f>
        <v>7.0000000000000007E-2</v>
      </c>
      <c r="H196" s="75">
        <f>IF($D195="V",Input!K$70,IF(AND($B202=H$5,Input!K$65&gt;0),Input!K$65,G196))</f>
        <v>7.0000000000000007E-2</v>
      </c>
      <c r="I196" s="75">
        <f>IF($D195="V",Input!L$70,IF(AND($B202=I$5,Input!L$65&gt;0),Input!L$65,H196))</f>
        <v>7.0000000000000007E-2</v>
      </c>
      <c r="J196" s="75">
        <f>IF($D195="V",Input!M$70,IF(AND($B202=J$5,Input!M$65&gt;0),Input!M$65,I196))</f>
        <v>7.0000000000000007E-2</v>
      </c>
      <c r="K196" s="75">
        <f>IF($D195="V",Input!N$70,IF(AND($B202=K$5,Input!N$65&gt;0),Input!N$65,J196))</f>
        <v>7.0000000000000007E-2</v>
      </c>
      <c r="L196" s="75">
        <f>IF($D195="V",Input!O$70,IF(AND($B202=L$5,Input!O$65&gt;0),Input!O$65,K196))</f>
        <v>7.0000000000000007E-2</v>
      </c>
      <c r="M196" s="75">
        <f>IF($D195="V",Input!P$70,IF(AND($B202=M$5,Input!P$65&gt;0),Input!P$65,L196))</f>
        <v>7.0000000000000007E-2</v>
      </c>
    </row>
    <row r="197" spans="1:13" s="13" customFormat="1" ht="12.75" customHeight="1">
      <c r="A197" s="5" t="s">
        <v>361</v>
      </c>
      <c r="B197" s="135">
        <v>0</v>
      </c>
      <c r="C197" s="27" t="s">
        <v>173</v>
      </c>
      <c r="D197" s="140">
        <v>0</v>
      </c>
      <c r="E197" s="28">
        <f t="shared" ref="E197:M197" si="117">D202</f>
        <v>0</v>
      </c>
      <c r="F197" s="28">
        <f t="shared" si="117"/>
        <v>0</v>
      </c>
      <c r="G197" s="28">
        <f t="shared" si="117"/>
        <v>0</v>
      </c>
      <c r="H197" s="28">
        <f t="shared" si="117"/>
        <v>0</v>
      </c>
      <c r="I197" s="28">
        <f t="shared" si="117"/>
        <v>0</v>
      </c>
      <c r="J197" s="28">
        <f t="shared" si="117"/>
        <v>0</v>
      </c>
      <c r="K197" s="28">
        <f t="shared" si="117"/>
        <v>0</v>
      </c>
      <c r="L197" s="28">
        <f t="shared" si="117"/>
        <v>0</v>
      </c>
      <c r="M197" s="28">
        <f t="shared" si="117"/>
        <v>0</v>
      </c>
    </row>
    <row r="198" spans="1:13" s="13" customFormat="1" ht="12.75" customHeight="1">
      <c r="A198" s="26" t="s">
        <v>170</v>
      </c>
      <c r="B198" s="131">
        <v>35</v>
      </c>
      <c r="C198" s="29" t="s">
        <v>169</v>
      </c>
      <c r="D198" s="28">
        <f>D200-D199</f>
        <v>0</v>
      </c>
      <c r="E198" s="28">
        <f>E200-E199</f>
        <v>0</v>
      </c>
      <c r="F198" s="28">
        <f>F200-F199</f>
        <v>0</v>
      </c>
      <c r="G198" s="28">
        <f>G200-G199</f>
        <v>0</v>
      </c>
      <c r="H198" s="28">
        <f t="shared" ref="H198:M198" si="118">H200-H199</f>
        <v>0</v>
      </c>
      <c r="I198" s="28">
        <f t="shared" si="118"/>
        <v>0</v>
      </c>
      <c r="J198" s="28">
        <f t="shared" si="118"/>
        <v>0</v>
      </c>
      <c r="K198" s="28">
        <f t="shared" si="118"/>
        <v>0</v>
      </c>
      <c r="L198" s="28">
        <f t="shared" si="118"/>
        <v>0</v>
      </c>
      <c r="M198" s="28">
        <f t="shared" si="118"/>
        <v>0</v>
      </c>
    </row>
    <row r="199" spans="1:13" s="13" customFormat="1" ht="12.75" customHeight="1">
      <c r="A199" s="5" t="s">
        <v>172</v>
      </c>
      <c r="B199" s="134">
        <f>B188</f>
        <v>7.0000000000000007E-2</v>
      </c>
      <c r="C199" s="5" t="s">
        <v>174</v>
      </c>
      <c r="D199" s="28">
        <f>IF(AND($B201="Y",YEAR($B196)+$B198&gt;D$5),D204,IF((YEAR($B196)+$B198)&gt;D$5,FV(D196/$B200,$B200,D203),D197))</f>
        <v>0</v>
      </c>
      <c r="E199" s="28">
        <f>IF(AND($B201="Y",YEAR($B196)+$B198&gt;E$5),E204,IF((YEAR($B196)+$B198)&gt;E$5,FV(E196/$B200,$B200,E203),E197))</f>
        <v>0</v>
      </c>
      <c r="F199" s="28">
        <f>IF(AND($B201="Y",YEAR($B196)+$B198&gt;F$5),F204,IF((YEAR($B196)+$B198)&gt;F$5,FV(F196/$B200,$B200,F203),F197))</f>
        <v>0</v>
      </c>
      <c r="G199" s="28">
        <f>IF(AND($B201="Y",YEAR($B196)+$B198&gt;G$5),G204,IF((YEAR($B196)+$B198)&gt;G$5,FV(G196/$B200,$B200,G203),G197))</f>
        <v>0</v>
      </c>
      <c r="H199" s="28">
        <f t="shared" ref="H199:M199" si="119">IF(AND($B201="Y",YEAR($B196)+$B198&gt;H$5),H204,IF((YEAR($B196)+$B198)&gt;H$5,FV(H196/$B200,$B200,H203),H197))</f>
        <v>0</v>
      </c>
      <c r="I199" s="28">
        <f t="shared" si="119"/>
        <v>0</v>
      </c>
      <c r="J199" s="28">
        <f t="shared" si="119"/>
        <v>0</v>
      </c>
      <c r="K199" s="28">
        <f t="shared" si="119"/>
        <v>0</v>
      </c>
      <c r="L199" s="28">
        <f t="shared" si="119"/>
        <v>0</v>
      </c>
      <c r="M199" s="28">
        <f t="shared" si="119"/>
        <v>0</v>
      </c>
    </row>
    <row r="200" spans="1:13" s="13" customFormat="1" ht="12.75" customHeight="1">
      <c r="A200" s="5" t="s">
        <v>171</v>
      </c>
      <c r="B200" s="131">
        <v>4</v>
      </c>
      <c r="C200" s="78" t="s">
        <v>640</v>
      </c>
      <c r="D200" s="28">
        <f>IF(AND($B201="Y",YEAR($B196)+$B198&gt;D$5),D204+D196*(D197-D204*0.5),IF((YEAR($B196)+$B198)&gt;D$5,(D197*D196/$B200-D203)*$B200,(D197*(1+D196*MONTH($B196)/12))))</f>
        <v>0</v>
      </c>
      <c r="E200" s="28">
        <f>IF(AND($B201="Y",YEAR($B196)+$B198&gt;E$5),E204+E196*(E197-E204*0.5),IF((YEAR($B196)+$B198)&gt;E$5,(E197*E196/$B200-E203)*$B200,(E197*(1+E196*MONTH($B196)/12))))</f>
        <v>0</v>
      </c>
      <c r="F200" s="28">
        <f>IF(AND($B201="Y",YEAR($B196)+$B198&gt;F$5),F204+F196*(F197-F204*0.5),IF((YEAR($B196)+$B198)&gt;F$5,(F197*F196/$B200-F203)*$B200,(F197*(1+F196*MONTH($B196)/12))))</f>
        <v>0</v>
      </c>
      <c r="G200" s="28">
        <f>IF(AND($B201="Y",YEAR($B196)+$B198&gt;G$5),G204+G196*(G197-G204*0.5),IF((YEAR($B196)+$B198)&gt;G$5,(G197*G196/$B200-G203)*$B200,(G197*(1+G196*MONTH($B196)/12))))</f>
        <v>0</v>
      </c>
      <c r="H200" s="28">
        <f t="shared" ref="H200:M200" si="120">IF(AND($B201="Y",YEAR($B196)+$B198&gt;H$5),H204+H196*(H197-H204*0.5),IF((YEAR($B196)+$B198)&gt;H$5,(H197*H196/$B200-H203)*$B200,(H197*(1+H196*MONTH($B196)/12))))</f>
        <v>0</v>
      </c>
      <c r="I200" s="28">
        <f t="shared" si="120"/>
        <v>0</v>
      </c>
      <c r="J200" s="28">
        <f t="shared" si="120"/>
        <v>0</v>
      </c>
      <c r="K200" s="28">
        <f t="shared" si="120"/>
        <v>0</v>
      </c>
      <c r="L200" s="28">
        <f t="shared" si="120"/>
        <v>0</v>
      </c>
      <c r="M200" s="28">
        <f t="shared" si="120"/>
        <v>0</v>
      </c>
    </row>
    <row r="201" spans="1:13" s="13" customFormat="1" ht="12.75" customHeight="1">
      <c r="A201" s="5" t="s">
        <v>767</v>
      </c>
      <c r="B201" s="131" t="s">
        <v>719</v>
      </c>
      <c r="C201" s="132" t="s">
        <v>768</v>
      </c>
      <c r="D201" s="140">
        <v>0</v>
      </c>
      <c r="E201" s="140">
        <v>0</v>
      </c>
      <c r="F201" s="140">
        <v>0</v>
      </c>
      <c r="G201" s="140">
        <v>0</v>
      </c>
      <c r="H201" s="140">
        <v>0</v>
      </c>
      <c r="I201" s="140">
        <v>0</v>
      </c>
      <c r="J201" s="140">
        <v>0</v>
      </c>
      <c r="K201" s="140">
        <v>0</v>
      </c>
      <c r="L201" s="140">
        <v>0</v>
      </c>
      <c r="M201" s="140">
        <v>0</v>
      </c>
    </row>
    <row r="202" spans="1:13" s="13" customFormat="1" ht="12.75" customHeight="1">
      <c r="A202" s="5" t="s">
        <v>182</v>
      </c>
      <c r="B202" s="131"/>
      <c r="C202" s="30" t="s">
        <v>175</v>
      </c>
      <c r="D202" s="28">
        <f t="shared" ref="D202:M202" si="121">D197+D198-D200-D201</f>
        <v>0</v>
      </c>
      <c r="E202" s="28">
        <f t="shared" si="121"/>
        <v>0</v>
      </c>
      <c r="F202" s="28">
        <f t="shared" si="121"/>
        <v>0</v>
      </c>
      <c r="G202" s="28">
        <f t="shared" si="121"/>
        <v>0</v>
      </c>
      <c r="H202" s="28">
        <f t="shared" si="121"/>
        <v>0</v>
      </c>
      <c r="I202" s="28">
        <f t="shared" si="121"/>
        <v>0</v>
      </c>
      <c r="J202" s="28">
        <f t="shared" si="121"/>
        <v>0</v>
      </c>
      <c r="K202" s="28">
        <f t="shared" si="121"/>
        <v>0</v>
      </c>
      <c r="L202" s="28">
        <f t="shared" si="121"/>
        <v>0</v>
      </c>
      <c r="M202" s="28">
        <f t="shared" si="121"/>
        <v>0</v>
      </c>
    </row>
    <row r="203" spans="1:13" s="13" customFormat="1" ht="12.75" hidden="1" customHeight="1">
      <c r="A203" s="5"/>
      <c r="B203" s="138"/>
      <c r="C203" s="5" t="s">
        <v>769</v>
      </c>
      <c r="D203" s="28" t="e">
        <f>PPMT(D196/$B200,1,ROUND(($B198-(D$5-YEAR($B196))+MONTH($B196)/12)*$B200,0),D197)</f>
        <v>#NUM!</v>
      </c>
      <c r="E203" s="28" t="e">
        <f>PPMT(E196/$B200,1,ROUND(($B198-(E$5-YEAR($B196))+MONTH($B196)/12)*$B200,0),E197)</f>
        <v>#NUM!</v>
      </c>
      <c r="F203" s="28" t="e">
        <f>PPMT(F196/$B200,1,ROUND(($B198-(F$5-YEAR($B196))+MONTH($B196)/12)*$B200,0),F197)</f>
        <v>#NUM!</v>
      </c>
      <c r="G203" s="28" t="e">
        <f>PPMT(G196/$B200,1,ROUND(($B198-(G$5-YEAR($B196))+MONTH($B196)/12)*$B200,0),G197)</f>
        <v>#NUM!</v>
      </c>
      <c r="H203" s="28" t="e">
        <f t="shared" ref="H203:M203" si="122">PPMT(H196/$B200,1,ROUND(($B198-(H$5-YEAR($B196))+MONTH($B196)/12)*$B200,0),H197)</f>
        <v>#NUM!</v>
      </c>
      <c r="I203" s="28" t="e">
        <f t="shared" si="122"/>
        <v>#NUM!</v>
      </c>
      <c r="J203" s="28" t="e">
        <f t="shared" si="122"/>
        <v>#NUM!</v>
      </c>
      <c r="K203" s="28" t="e">
        <f t="shared" si="122"/>
        <v>#NUM!</v>
      </c>
      <c r="L203" s="28" t="e">
        <f t="shared" si="122"/>
        <v>#NUM!</v>
      </c>
      <c r="M203" s="28" t="e">
        <f t="shared" si="122"/>
        <v>#NUM!</v>
      </c>
    </row>
    <row r="204" spans="1:13" s="13" customFormat="1" ht="12.75" hidden="1" customHeight="1">
      <c r="A204" s="5"/>
      <c r="B204" s="5"/>
      <c r="C204" s="5" t="s">
        <v>770</v>
      </c>
      <c r="D204" s="28">
        <f>IF(YEAR($B196)+$B198&gt;D$5,D197/(YEAR($B196)+$B198-D$5+MONTH($B196)/12),D197)</f>
        <v>0</v>
      </c>
      <c r="E204" s="28">
        <f>IF(YEAR($B196)+$B198&gt;E$5,E197/(YEAR($B196)+$B198-E$5+MONTH($B196)/12),E197)</f>
        <v>0</v>
      </c>
      <c r="F204" s="28">
        <f>IF(YEAR($B196)+$B198&gt;F$5,F197/(YEAR($B196)+$B198-F$5+MONTH($B196)/12),F197)</f>
        <v>0</v>
      </c>
      <c r="G204" s="28">
        <f t="shared" ref="G204:M204" si="123">IF(YEAR($B196)+$B198&gt;G$5,G197/(YEAR($B196)+$B198-G$5+MONTH($B196)/12),G197)</f>
        <v>0</v>
      </c>
      <c r="H204" s="28">
        <f t="shared" si="123"/>
        <v>0</v>
      </c>
      <c r="I204" s="28">
        <f t="shared" si="123"/>
        <v>0</v>
      </c>
      <c r="J204" s="28">
        <f t="shared" si="123"/>
        <v>0</v>
      </c>
      <c r="K204" s="28">
        <f t="shared" si="123"/>
        <v>0</v>
      </c>
      <c r="L204" s="28">
        <f t="shared" si="123"/>
        <v>0</v>
      </c>
      <c r="M204" s="28">
        <f t="shared" si="123"/>
        <v>0</v>
      </c>
    </row>
    <row r="205" spans="1:13" s="13" customFormat="1" ht="12.75" customHeight="1">
      <c r="A205" s="5"/>
      <c r="B205" s="5"/>
      <c r="C205" s="5"/>
      <c r="D205" s="39"/>
      <c r="E205" s="39"/>
      <c r="F205" s="39"/>
      <c r="G205" s="39"/>
      <c r="H205" s="39"/>
      <c r="I205" s="39"/>
      <c r="J205" s="39"/>
      <c r="K205" s="39"/>
      <c r="L205" s="39"/>
      <c r="M205" s="39"/>
    </row>
    <row r="206" spans="1:13" s="13" customFormat="1" ht="12.75" customHeight="1">
      <c r="A206" s="30" t="s">
        <v>658</v>
      </c>
      <c r="B206" s="99"/>
      <c r="C206" t="s">
        <v>800</v>
      </c>
      <c r="D206" s="161" t="s">
        <v>801</v>
      </c>
      <c r="E206" s="1"/>
      <c r="F206"/>
      <c r="G206"/>
      <c r="H206"/>
      <c r="I206"/>
      <c r="J206"/>
      <c r="K206"/>
      <c r="L206"/>
      <c r="M206"/>
    </row>
    <row r="207" spans="1:13" s="13" customFormat="1" ht="12.75" customHeight="1">
      <c r="A207" s="26" t="s">
        <v>677</v>
      </c>
      <c r="B207" s="133">
        <v>29373</v>
      </c>
      <c r="C207" s="5" t="s">
        <v>639</v>
      </c>
      <c r="D207" s="75">
        <f>IF($D206="V",Input!G$70,IF(AND($B213=D$5,Input!G$65&gt;0),Input!G$65,$B210))</f>
        <v>7.0000000000000007E-2</v>
      </c>
      <c r="E207" s="75">
        <f>IF($D206="V",Input!H$70,IF(AND($B213=E$5,Input!H$65&gt;0),Input!H$65,D207))</f>
        <v>7.0000000000000007E-2</v>
      </c>
      <c r="F207" s="75">
        <f>IF($D206="V",Input!I$70,IF(AND($B213=F$5,Input!I$65&gt;0),Input!I$65,E207))</f>
        <v>7.0000000000000007E-2</v>
      </c>
      <c r="G207" s="75">
        <f>IF($D206="V",Input!J$70,IF(AND($B213=G$5,Input!J$65&gt;0),Input!J$65,F207))</f>
        <v>7.0000000000000007E-2</v>
      </c>
      <c r="H207" s="75">
        <f>IF($D206="V",Input!K$70,IF(AND($B213=H$5,Input!K$65&gt;0),Input!K$65,G207))</f>
        <v>7.0000000000000007E-2</v>
      </c>
      <c r="I207" s="75">
        <f>IF($D206="V",Input!L$70,IF(AND($B213=I$5,Input!L$65&gt;0),Input!L$65,H207))</f>
        <v>7.0000000000000007E-2</v>
      </c>
      <c r="J207" s="75">
        <f>IF($D206="V",Input!M$70,IF(AND($B213=J$5,Input!M$65&gt;0),Input!M$65,I207))</f>
        <v>7.0000000000000007E-2</v>
      </c>
      <c r="K207" s="75">
        <f>IF($D206="V",Input!N$70,IF(AND($B213=K$5,Input!N$65&gt;0),Input!N$65,J207))</f>
        <v>7.0000000000000007E-2</v>
      </c>
      <c r="L207" s="75">
        <f>IF($D206="V",Input!O$70,IF(AND($B213=L$5,Input!O$65&gt;0),Input!O$65,K207))</f>
        <v>7.0000000000000007E-2</v>
      </c>
      <c r="M207" s="75">
        <f>IF($D206="V",Input!P$70,IF(AND($B213=M$5,Input!P$65&gt;0),Input!P$65,L207))</f>
        <v>7.0000000000000007E-2</v>
      </c>
    </row>
    <row r="208" spans="1:13" s="13" customFormat="1" ht="12.75" customHeight="1">
      <c r="A208" s="5" t="s">
        <v>361</v>
      </c>
      <c r="B208" s="135">
        <v>0</v>
      </c>
      <c r="C208" s="27" t="s">
        <v>173</v>
      </c>
      <c r="D208" s="140">
        <v>0</v>
      </c>
      <c r="E208" s="28">
        <f t="shared" ref="E208:M208" si="124">D213</f>
        <v>0</v>
      </c>
      <c r="F208" s="28">
        <f t="shared" si="124"/>
        <v>0</v>
      </c>
      <c r="G208" s="28">
        <f t="shared" si="124"/>
        <v>0</v>
      </c>
      <c r="H208" s="28">
        <f t="shared" si="124"/>
        <v>0</v>
      </c>
      <c r="I208" s="28">
        <f t="shared" si="124"/>
        <v>0</v>
      </c>
      <c r="J208" s="28">
        <f t="shared" si="124"/>
        <v>0</v>
      </c>
      <c r="K208" s="28">
        <f t="shared" si="124"/>
        <v>0</v>
      </c>
      <c r="L208" s="28">
        <f t="shared" si="124"/>
        <v>0</v>
      </c>
      <c r="M208" s="28">
        <f t="shared" si="124"/>
        <v>0</v>
      </c>
    </row>
    <row r="209" spans="1:13" s="13" customFormat="1" ht="12.75" customHeight="1">
      <c r="A209" s="26" t="s">
        <v>170</v>
      </c>
      <c r="B209" s="131">
        <v>35</v>
      </c>
      <c r="C209" s="29" t="s">
        <v>169</v>
      </c>
      <c r="D209" s="28">
        <f>D211-D210</f>
        <v>0</v>
      </c>
      <c r="E209" s="28">
        <f>E211-E210</f>
        <v>0</v>
      </c>
      <c r="F209" s="28">
        <f>F211-F210</f>
        <v>0</v>
      </c>
      <c r="G209" s="28">
        <f>G211-G210</f>
        <v>0</v>
      </c>
      <c r="H209" s="28">
        <f t="shared" ref="H209:M209" si="125">H211-H210</f>
        <v>0</v>
      </c>
      <c r="I209" s="28">
        <f t="shared" si="125"/>
        <v>0</v>
      </c>
      <c r="J209" s="28">
        <f t="shared" si="125"/>
        <v>0</v>
      </c>
      <c r="K209" s="28">
        <f t="shared" si="125"/>
        <v>0</v>
      </c>
      <c r="L209" s="28">
        <f t="shared" si="125"/>
        <v>0</v>
      </c>
      <c r="M209" s="28">
        <f t="shared" si="125"/>
        <v>0</v>
      </c>
    </row>
    <row r="210" spans="1:13" s="13" customFormat="1" ht="12.75" customHeight="1">
      <c r="A210" s="5" t="s">
        <v>172</v>
      </c>
      <c r="B210" s="134">
        <f>B199</f>
        <v>7.0000000000000007E-2</v>
      </c>
      <c r="C210" s="5" t="s">
        <v>174</v>
      </c>
      <c r="D210" s="28">
        <f>IF(AND($B212="Y",YEAR($B207)+$B209&gt;D$5),D215,IF((YEAR($B207)+$B209)&gt;D$5,FV(D207/$B211,$B211,D214),D208))</f>
        <v>0</v>
      </c>
      <c r="E210" s="28">
        <f>IF(AND($B212="Y",YEAR($B207)+$B209&gt;E$5),E215,IF((YEAR($B207)+$B209)&gt;E$5,FV(E207/$B211,$B211,E214),E208))</f>
        <v>0</v>
      </c>
      <c r="F210" s="28">
        <f>IF(AND($B212="Y",YEAR($B207)+$B209&gt;F$5),F215,IF((YEAR($B207)+$B209)&gt;F$5,FV(F207/$B211,$B211,F214),F208))</f>
        <v>0</v>
      </c>
      <c r="G210" s="28">
        <f>IF(AND($B212="Y",YEAR($B207)+$B209&gt;G$5),G215,IF((YEAR($B207)+$B209)&gt;G$5,FV(G207/$B211,$B211,G214),G208))</f>
        <v>0</v>
      </c>
      <c r="H210" s="28">
        <f t="shared" ref="H210:M210" si="126">IF(AND($B212="Y",YEAR($B207)+$B209&gt;H$5),H215,IF((YEAR($B207)+$B209)&gt;H$5,FV(H207/$B211,$B211,H214),H208))</f>
        <v>0</v>
      </c>
      <c r="I210" s="28">
        <f t="shared" si="126"/>
        <v>0</v>
      </c>
      <c r="J210" s="28">
        <f t="shared" si="126"/>
        <v>0</v>
      </c>
      <c r="K210" s="28">
        <f t="shared" si="126"/>
        <v>0</v>
      </c>
      <c r="L210" s="28">
        <f t="shared" si="126"/>
        <v>0</v>
      </c>
      <c r="M210" s="28">
        <f t="shared" si="126"/>
        <v>0</v>
      </c>
    </row>
    <row r="211" spans="1:13" s="13" customFormat="1" ht="12.75" customHeight="1">
      <c r="A211" s="5" t="s">
        <v>171</v>
      </c>
      <c r="B211" s="131">
        <v>4</v>
      </c>
      <c r="C211" s="78" t="s">
        <v>640</v>
      </c>
      <c r="D211" s="28">
        <f>IF(AND($B212="Y",YEAR($B207)+$B209&gt;D$5),D215+D207*(D208-D215*0.5),IF((YEAR($B207)+$B209)&gt;D$5,(D208*D207/$B211-D214)*$B211,(D208*(1+D207*MONTH($B207)/12))))</f>
        <v>0</v>
      </c>
      <c r="E211" s="28">
        <f>IF(AND($B212="Y",YEAR($B207)+$B209&gt;E$5),E215+E207*(E208-E215*0.5),IF((YEAR($B207)+$B209)&gt;E$5,(E208*E207/$B211-E214)*$B211,(E208*(1+E207*MONTH($B207)/12))))</f>
        <v>0</v>
      </c>
      <c r="F211" s="28">
        <f>IF(AND($B212="Y",YEAR($B207)+$B209&gt;F$5),F215+F207*(F208-F215*0.5),IF((YEAR($B207)+$B209)&gt;F$5,(F208*F207/$B211-F214)*$B211,(F208*(1+F207*MONTH($B207)/12))))</f>
        <v>0</v>
      </c>
      <c r="G211" s="28">
        <f>IF(AND($B212="Y",YEAR($B207)+$B209&gt;G$5),G215+G207*(G208-G215*0.5),IF((YEAR($B207)+$B209)&gt;G$5,(G208*G207/$B211-G214)*$B211,(G208*(1+G207*MONTH($B207)/12))))</f>
        <v>0</v>
      </c>
      <c r="H211" s="28">
        <f t="shared" ref="H211:M211" si="127">IF(AND($B212="Y",YEAR($B207)+$B209&gt;H$5),H215+H207*(H208-H215*0.5),IF((YEAR($B207)+$B209)&gt;H$5,(H208*H207/$B211-H214)*$B211,(H208*(1+H207*MONTH($B207)/12))))</f>
        <v>0</v>
      </c>
      <c r="I211" s="28">
        <f t="shared" si="127"/>
        <v>0</v>
      </c>
      <c r="J211" s="28">
        <f t="shared" si="127"/>
        <v>0</v>
      </c>
      <c r="K211" s="28">
        <f t="shared" si="127"/>
        <v>0</v>
      </c>
      <c r="L211" s="28">
        <f t="shared" si="127"/>
        <v>0</v>
      </c>
      <c r="M211" s="28">
        <f t="shared" si="127"/>
        <v>0</v>
      </c>
    </row>
    <row r="212" spans="1:13" s="13" customFormat="1" ht="12.75" customHeight="1">
      <c r="A212" s="5" t="s">
        <v>767</v>
      </c>
      <c r="B212" s="131" t="s">
        <v>719</v>
      </c>
      <c r="C212" s="132" t="s">
        <v>768</v>
      </c>
      <c r="D212" s="140">
        <v>0</v>
      </c>
      <c r="E212" s="140">
        <v>0</v>
      </c>
      <c r="F212" s="140">
        <v>0</v>
      </c>
      <c r="G212" s="140">
        <v>0</v>
      </c>
      <c r="H212" s="140">
        <v>0</v>
      </c>
      <c r="I212" s="140">
        <v>0</v>
      </c>
      <c r="J212" s="140">
        <v>0</v>
      </c>
      <c r="K212" s="140">
        <v>0</v>
      </c>
      <c r="L212" s="140">
        <v>0</v>
      </c>
      <c r="M212" s="140">
        <v>0</v>
      </c>
    </row>
    <row r="213" spans="1:13" s="13" customFormat="1" ht="12.75" customHeight="1">
      <c r="A213" s="5" t="s">
        <v>182</v>
      </c>
      <c r="B213" s="131"/>
      <c r="C213" s="30" t="s">
        <v>175</v>
      </c>
      <c r="D213" s="28">
        <f t="shared" ref="D213:M213" si="128">D208+D209-D211-D212</f>
        <v>0</v>
      </c>
      <c r="E213" s="28">
        <f t="shared" si="128"/>
        <v>0</v>
      </c>
      <c r="F213" s="28">
        <f t="shared" si="128"/>
        <v>0</v>
      </c>
      <c r="G213" s="28">
        <f t="shared" si="128"/>
        <v>0</v>
      </c>
      <c r="H213" s="28">
        <f t="shared" si="128"/>
        <v>0</v>
      </c>
      <c r="I213" s="28">
        <f t="shared" si="128"/>
        <v>0</v>
      </c>
      <c r="J213" s="28">
        <f t="shared" si="128"/>
        <v>0</v>
      </c>
      <c r="K213" s="28">
        <f t="shared" si="128"/>
        <v>0</v>
      </c>
      <c r="L213" s="28">
        <f t="shared" si="128"/>
        <v>0</v>
      </c>
      <c r="M213" s="28">
        <f t="shared" si="128"/>
        <v>0</v>
      </c>
    </row>
    <row r="214" spans="1:13" s="13" customFormat="1" ht="12.75" hidden="1" customHeight="1">
      <c r="A214" s="5"/>
      <c r="B214" s="138"/>
      <c r="C214" s="5" t="s">
        <v>769</v>
      </c>
      <c r="D214" s="28" t="e">
        <f>PPMT(D207/$B211,1,ROUND(($B209-(D$5-YEAR($B207))+MONTH($B207)/12)*$B211,0),D208)</f>
        <v>#NUM!</v>
      </c>
      <c r="E214" s="28" t="e">
        <f>PPMT(E207/$B211,1,ROUND(($B209-(E$5-YEAR($B207))+MONTH($B207)/12)*$B211,0),E208)</f>
        <v>#NUM!</v>
      </c>
      <c r="F214" s="28" t="e">
        <f>PPMT(F207/$B211,1,ROUND(($B209-(F$5-YEAR($B207))+MONTH($B207)/12)*$B211,0),F208)</f>
        <v>#NUM!</v>
      </c>
      <c r="G214" s="28" t="e">
        <f>PPMT(G207/$B211,1,ROUND(($B209-(G$5-YEAR($B207))+MONTH($B207)/12)*$B211,0),G208)</f>
        <v>#NUM!</v>
      </c>
      <c r="H214" s="28" t="e">
        <f t="shared" ref="H214:M214" si="129">PPMT(H207/$B211,1,ROUND(($B209-(H$5-YEAR($B207))+MONTH($B207)/12)*$B211,0),H208)</f>
        <v>#NUM!</v>
      </c>
      <c r="I214" s="28" t="e">
        <f t="shared" si="129"/>
        <v>#NUM!</v>
      </c>
      <c r="J214" s="28" t="e">
        <f t="shared" si="129"/>
        <v>#NUM!</v>
      </c>
      <c r="K214" s="28" t="e">
        <f t="shared" si="129"/>
        <v>#NUM!</v>
      </c>
      <c r="L214" s="28" t="e">
        <f t="shared" si="129"/>
        <v>#NUM!</v>
      </c>
      <c r="M214" s="28" t="e">
        <f t="shared" si="129"/>
        <v>#NUM!</v>
      </c>
    </row>
    <row r="215" spans="1:13" s="13" customFormat="1" ht="12.75" hidden="1" customHeight="1">
      <c r="A215" s="5"/>
      <c r="B215" s="5"/>
      <c r="C215" s="5" t="s">
        <v>770</v>
      </c>
      <c r="D215" s="28">
        <f>IF(YEAR($B207)+$B209&gt;D$5,D208/(YEAR($B207)+$B209-D$5+MONTH($B207)/12),D208)</f>
        <v>0</v>
      </c>
      <c r="E215" s="28">
        <f>IF(YEAR($B207)+$B209&gt;E$5,E208/(YEAR($B207)+$B209-E$5+MONTH($B207)/12),E208)</f>
        <v>0</v>
      </c>
      <c r="F215" s="28">
        <f>IF(YEAR($B207)+$B209&gt;F$5,F208/(YEAR($B207)+$B209-F$5+MONTH($B207)/12),F208)</f>
        <v>0</v>
      </c>
      <c r="G215" s="28">
        <f t="shared" ref="G215:M215" si="130">IF(YEAR($B207)+$B209&gt;G$5,G208/(YEAR($B207)+$B209-G$5+MONTH($B207)/12),G208)</f>
        <v>0</v>
      </c>
      <c r="H215" s="28">
        <f t="shared" si="130"/>
        <v>0</v>
      </c>
      <c r="I215" s="28">
        <f t="shared" si="130"/>
        <v>0</v>
      </c>
      <c r="J215" s="28">
        <f t="shared" si="130"/>
        <v>0</v>
      </c>
      <c r="K215" s="28">
        <f t="shared" si="130"/>
        <v>0</v>
      </c>
      <c r="L215" s="28">
        <f t="shared" si="130"/>
        <v>0</v>
      </c>
      <c r="M215" s="28">
        <f t="shared" si="130"/>
        <v>0</v>
      </c>
    </row>
    <row r="216" spans="1:13" s="13" customFormat="1" ht="12.75" customHeight="1">
      <c r="A216" s="5"/>
      <c r="B216" s="5"/>
      <c r="C216" s="5"/>
    </row>
    <row r="217" spans="1:13" s="13" customFormat="1" ht="12.75" customHeight="1">
      <c r="A217" s="30" t="s">
        <v>659</v>
      </c>
      <c r="B217" s="99"/>
      <c r="C217" t="s">
        <v>800</v>
      </c>
      <c r="D217" s="161" t="s">
        <v>801</v>
      </c>
      <c r="E217" s="1"/>
      <c r="F217"/>
      <c r="G217"/>
      <c r="H217"/>
      <c r="I217"/>
      <c r="J217"/>
      <c r="K217"/>
      <c r="L217"/>
      <c r="M217"/>
    </row>
    <row r="218" spans="1:13" s="13" customFormat="1" ht="12.75" customHeight="1">
      <c r="A218" s="26" t="s">
        <v>677</v>
      </c>
      <c r="B218" s="133">
        <v>29373</v>
      </c>
      <c r="C218" s="5" t="s">
        <v>639</v>
      </c>
      <c r="D218" s="75">
        <f>IF($D217="V",Input!G$70,IF(AND($B224=D$5,Input!G$65&gt;0),Input!G$65,$B221))</f>
        <v>7.0000000000000007E-2</v>
      </c>
      <c r="E218" s="75">
        <f>IF($D217="V",Input!H$70,IF(AND($B224=E$5,Input!H$65&gt;0),Input!H$65,D218))</f>
        <v>7.0000000000000007E-2</v>
      </c>
      <c r="F218" s="75">
        <f>IF($D217="V",Input!I$70,IF(AND($B224=F$5,Input!I$65&gt;0),Input!I$65,E218))</f>
        <v>7.0000000000000007E-2</v>
      </c>
      <c r="G218" s="75">
        <f>IF($D217="V",Input!J$70,IF(AND($B224=G$5,Input!J$65&gt;0),Input!J$65,F218))</f>
        <v>7.0000000000000007E-2</v>
      </c>
      <c r="H218" s="75">
        <f>IF($D217="V",Input!K$70,IF(AND($B224=H$5,Input!K$65&gt;0),Input!K$65,G218))</f>
        <v>7.0000000000000007E-2</v>
      </c>
      <c r="I218" s="75">
        <f>IF($D217="V",Input!L$70,IF(AND($B224=I$5,Input!L$65&gt;0),Input!L$65,H218))</f>
        <v>7.0000000000000007E-2</v>
      </c>
      <c r="J218" s="75">
        <f>IF($D217="V",Input!M$70,IF(AND($B224=J$5,Input!M$65&gt;0),Input!M$65,I218))</f>
        <v>7.0000000000000007E-2</v>
      </c>
      <c r="K218" s="75">
        <f>IF($D217="V",Input!N$70,IF(AND($B224=K$5,Input!N$65&gt;0),Input!N$65,J218))</f>
        <v>7.0000000000000007E-2</v>
      </c>
      <c r="L218" s="75">
        <f>IF($D217="V",Input!O$70,IF(AND($B224=L$5,Input!O$65&gt;0),Input!O$65,K218))</f>
        <v>7.0000000000000007E-2</v>
      </c>
      <c r="M218" s="75">
        <f>IF($D217="V",Input!P$70,IF(AND($B224=M$5,Input!P$65&gt;0),Input!P$65,L218))</f>
        <v>7.0000000000000007E-2</v>
      </c>
    </row>
    <row r="219" spans="1:13" s="13" customFormat="1" ht="12.75" customHeight="1">
      <c r="A219" s="5" t="s">
        <v>361</v>
      </c>
      <c r="B219" s="135">
        <v>0</v>
      </c>
      <c r="C219" s="27" t="s">
        <v>173</v>
      </c>
      <c r="D219" s="140">
        <v>0</v>
      </c>
      <c r="E219" s="28">
        <f t="shared" ref="E219:M219" si="131">D224</f>
        <v>0</v>
      </c>
      <c r="F219" s="28">
        <f t="shared" si="131"/>
        <v>0</v>
      </c>
      <c r="G219" s="28">
        <f t="shared" si="131"/>
        <v>0</v>
      </c>
      <c r="H219" s="28">
        <f t="shared" si="131"/>
        <v>0</v>
      </c>
      <c r="I219" s="28">
        <f t="shared" si="131"/>
        <v>0</v>
      </c>
      <c r="J219" s="28">
        <f t="shared" si="131"/>
        <v>0</v>
      </c>
      <c r="K219" s="28">
        <f t="shared" si="131"/>
        <v>0</v>
      </c>
      <c r="L219" s="28">
        <f t="shared" si="131"/>
        <v>0</v>
      </c>
      <c r="M219" s="28">
        <f t="shared" si="131"/>
        <v>0</v>
      </c>
    </row>
    <row r="220" spans="1:13" s="13" customFormat="1" ht="12.75" customHeight="1">
      <c r="A220" s="26" t="s">
        <v>170</v>
      </c>
      <c r="B220" s="131">
        <v>35</v>
      </c>
      <c r="C220" s="29" t="s">
        <v>169</v>
      </c>
      <c r="D220" s="28">
        <f>D222-D221</f>
        <v>0</v>
      </c>
      <c r="E220" s="28">
        <f>E222-E221</f>
        <v>0</v>
      </c>
      <c r="F220" s="28">
        <f>F222-F221</f>
        <v>0</v>
      </c>
      <c r="G220" s="28">
        <f>G222-G221</f>
        <v>0</v>
      </c>
      <c r="H220" s="28">
        <f t="shared" ref="H220:M220" si="132">H222-H221</f>
        <v>0</v>
      </c>
      <c r="I220" s="28">
        <f t="shared" si="132"/>
        <v>0</v>
      </c>
      <c r="J220" s="28">
        <f t="shared" si="132"/>
        <v>0</v>
      </c>
      <c r="K220" s="28">
        <f t="shared" si="132"/>
        <v>0</v>
      </c>
      <c r="L220" s="28">
        <f t="shared" si="132"/>
        <v>0</v>
      </c>
      <c r="M220" s="28">
        <f t="shared" si="132"/>
        <v>0</v>
      </c>
    </row>
    <row r="221" spans="1:13" s="13" customFormat="1" ht="12.75" customHeight="1">
      <c r="A221" s="5" t="s">
        <v>172</v>
      </c>
      <c r="B221" s="134">
        <f>B210</f>
        <v>7.0000000000000007E-2</v>
      </c>
      <c r="C221" s="5" t="s">
        <v>174</v>
      </c>
      <c r="D221" s="28">
        <f>IF(AND($B223="Y",YEAR($B218)+$B220&gt;D$5),D226,IF((YEAR($B218)+$B220)&gt;D$5,FV(D218/$B222,$B222,D225),D219))</f>
        <v>0</v>
      </c>
      <c r="E221" s="28">
        <f>IF(AND($B223="Y",YEAR($B218)+$B220&gt;E$5),E226,IF((YEAR($B218)+$B220)&gt;E$5,FV(E218/$B222,$B222,E225),E219))</f>
        <v>0</v>
      </c>
      <c r="F221" s="28">
        <f>IF(AND($B223="Y",YEAR($B218)+$B220&gt;F$5),F226,IF((YEAR($B218)+$B220)&gt;F$5,FV(F218/$B222,$B222,F225),F219))</f>
        <v>0</v>
      </c>
      <c r="G221" s="28">
        <f>IF(AND($B223="Y",YEAR($B218)+$B220&gt;G$5),G226,IF((YEAR($B218)+$B220)&gt;G$5,FV(G218/$B222,$B222,G225),G219))</f>
        <v>0</v>
      </c>
      <c r="H221" s="28">
        <f t="shared" ref="H221:M221" si="133">IF(AND($B223="Y",YEAR($B218)+$B220&gt;H$5),H226,IF((YEAR($B218)+$B220)&gt;H$5,FV(H218/$B222,$B222,H225),H219))</f>
        <v>0</v>
      </c>
      <c r="I221" s="28">
        <f t="shared" si="133"/>
        <v>0</v>
      </c>
      <c r="J221" s="28">
        <f t="shared" si="133"/>
        <v>0</v>
      </c>
      <c r="K221" s="28">
        <f t="shared" si="133"/>
        <v>0</v>
      </c>
      <c r="L221" s="28">
        <f t="shared" si="133"/>
        <v>0</v>
      </c>
      <c r="M221" s="28">
        <f t="shared" si="133"/>
        <v>0</v>
      </c>
    </row>
    <row r="222" spans="1:13" s="13" customFormat="1" ht="12.75" customHeight="1">
      <c r="A222" s="5" t="s">
        <v>171</v>
      </c>
      <c r="B222" s="131">
        <v>4</v>
      </c>
      <c r="C222" s="78" t="s">
        <v>640</v>
      </c>
      <c r="D222" s="28">
        <f>IF(AND($B223="Y",YEAR($B218)+$B220&gt;D$5),D226+D218*(D219-D226*0.5),IF((YEAR($B218)+$B220)&gt;D$5,(D219*D218/$B222-D225)*$B222,(D219*(1+D218*MONTH($B218)/12))))</f>
        <v>0</v>
      </c>
      <c r="E222" s="28">
        <f>IF(AND($B223="Y",YEAR($B218)+$B220&gt;E$5),E226+E218*(E219-E226*0.5),IF((YEAR($B218)+$B220)&gt;E$5,(E219*E218/$B222-E225)*$B222,(E219*(1+E218*MONTH($B218)/12))))</f>
        <v>0</v>
      </c>
      <c r="F222" s="28">
        <f>IF(AND($B223="Y",YEAR($B218)+$B220&gt;F$5),F226+F218*(F219-F226*0.5),IF((YEAR($B218)+$B220)&gt;F$5,(F219*F218/$B222-F225)*$B222,(F219*(1+F218*MONTH($B218)/12))))</f>
        <v>0</v>
      </c>
      <c r="G222" s="28">
        <f>IF(AND($B223="Y",YEAR($B218)+$B220&gt;G$5),G226+G218*(G219-G226*0.5),IF((YEAR($B218)+$B220)&gt;G$5,(G219*G218/$B222-G225)*$B222,(G219*(1+G218*MONTH($B218)/12))))</f>
        <v>0</v>
      </c>
      <c r="H222" s="28">
        <f t="shared" ref="H222:M222" si="134">IF(AND($B223="Y",YEAR($B218)+$B220&gt;H$5),H226+H218*(H219-H226*0.5),IF((YEAR($B218)+$B220)&gt;H$5,(H219*H218/$B222-H225)*$B222,(H219*(1+H218*MONTH($B218)/12))))</f>
        <v>0</v>
      </c>
      <c r="I222" s="28">
        <f t="shared" si="134"/>
        <v>0</v>
      </c>
      <c r="J222" s="28">
        <f t="shared" si="134"/>
        <v>0</v>
      </c>
      <c r="K222" s="28">
        <f t="shared" si="134"/>
        <v>0</v>
      </c>
      <c r="L222" s="28">
        <f t="shared" si="134"/>
        <v>0</v>
      </c>
      <c r="M222" s="28">
        <f t="shared" si="134"/>
        <v>0</v>
      </c>
    </row>
    <row r="223" spans="1:13" s="13" customFormat="1" ht="12.75" customHeight="1">
      <c r="A223" s="5" t="s">
        <v>767</v>
      </c>
      <c r="B223" s="131" t="s">
        <v>719</v>
      </c>
      <c r="C223" s="132" t="s">
        <v>768</v>
      </c>
      <c r="D223" s="140">
        <v>0</v>
      </c>
      <c r="E223" s="140">
        <v>0</v>
      </c>
      <c r="F223" s="140">
        <v>0</v>
      </c>
      <c r="G223" s="140">
        <v>0</v>
      </c>
      <c r="H223" s="140">
        <v>0</v>
      </c>
      <c r="I223" s="140">
        <v>0</v>
      </c>
      <c r="J223" s="140">
        <v>0</v>
      </c>
      <c r="K223" s="140">
        <v>0</v>
      </c>
      <c r="L223" s="140">
        <v>0</v>
      </c>
      <c r="M223" s="140">
        <v>0</v>
      </c>
    </row>
    <row r="224" spans="1:13" s="13" customFormat="1" ht="12.75" customHeight="1">
      <c r="A224" s="5" t="s">
        <v>182</v>
      </c>
      <c r="B224" s="131"/>
      <c r="C224" s="30" t="s">
        <v>175</v>
      </c>
      <c r="D224" s="28">
        <f t="shared" ref="D224:M224" si="135">D219+D220-D222-D223</f>
        <v>0</v>
      </c>
      <c r="E224" s="28">
        <f t="shared" si="135"/>
        <v>0</v>
      </c>
      <c r="F224" s="28">
        <f t="shared" si="135"/>
        <v>0</v>
      </c>
      <c r="G224" s="28">
        <f t="shared" si="135"/>
        <v>0</v>
      </c>
      <c r="H224" s="28">
        <f t="shared" si="135"/>
        <v>0</v>
      </c>
      <c r="I224" s="28">
        <f t="shared" si="135"/>
        <v>0</v>
      </c>
      <c r="J224" s="28">
        <f t="shared" si="135"/>
        <v>0</v>
      </c>
      <c r="K224" s="28">
        <f t="shared" si="135"/>
        <v>0</v>
      </c>
      <c r="L224" s="28">
        <f t="shared" si="135"/>
        <v>0</v>
      </c>
      <c r="M224" s="28">
        <f t="shared" si="135"/>
        <v>0</v>
      </c>
    </row>
    <row r="225" spans="1:13" s="13" customFormat="1" ht="12.75" hidden="1" customHeight="1">
      <c r="A225" s="5"/>
      <c r="B225" s="138"/>
      <c r="C225" s="5" t="s">
        <v>769</v>
      </c>
      <c r="D225" s="28" t="e">
        <f>PPMT(D218/$B222,1,ROUND(($B220-(D$5-YEAR($B218))+MONTH($B218)/12)*$B222,0),D219)</f>
        <v>#NUM!</v>
      </c>
      <c r="E225" s="28" t="e">
        <f>PPMT(E218/$B222,1,ROUND(($B220-(E$5-YEAR($B218))+MONTH($B218)/12)*$B222,0),E219)</f>
        <v>#NUM!</v>
      </c>
      <c r="F225" s="28" t="e">
        <f>PPMT(F218/$B222,1,ROUND(($B220-(F$5-YEAR($B218))+MONTH($B218)/12)*$B222,0),F219)</f>
        <v>#NUM!</v>
      </c>
      <c r="G225" s="28" t="e">
        <f>PPMT(G218/$B222,1,ROUND(($B220-(G$5-YEAR($B218))+MONTH($B218)/12)*$B222,0),G219)</f>
        <v>#NUM!</v>
      </c>
      <c r="H225" s="28" t="e">
        <f t="shared" ref="H225:M225" si="136">PPMT(H218/$B222,1,ROUND(($B220-(H$5-YEAR($B218))+MONTH($B218)/12)*$B222,0),H219)</f>
        <v>#NUM!</v>
      </c>
      <c r="I225" s="28" t="e">
        <f t="shared" si="136"/>
        <v>#NUM!</v>
      </c>
      <c r="J225" s="28" t="e">
        <f t="shared" si="136"/>
        <v>#NUM!</v>
      </c>
      <c r="K225" s="28" t="e">
        <f t="shared" si="136"/>
        <v>#NUM!</v>
      </c>
      <c r="L225" s="28" t="e">
        <f t="shared" si="136"/>
        <v>#NUM!</v>
      </c>
      <c r="M225" s="28" t="e">
        <f t="shared" si="136"/>
        <v>#NUM!</v>
      </c>
    </row>
    <row r="226" spans="1:13" s="13" customFormat="1" ht="12.75" hidden="1" customHeight="1">
      <c r="A226" s="5"/>
      <c r="B226" s="5"/>
      <c r="C226" s="5" t="s">
        <v>770</v>
      </c>
      <c r="D226" s="28">
        <f>IF(YEAR($B218)+$B220&gt;D$5,D219/(YEAR($B218)+$B220-D$5+MONTH($B218)/12),D219)</f>
        <v>0</v>
      </c>
      <c r="E226" s="28">
        <f>IF(YEAR($B218)+$B220&gt;E$5,E219/(YEAR($B218)+$B220-E$5+MONTH($B218)/12),E219)</f>
        <v>0</v>
      </c>
      <c r="F226" s="28">
        <f>IF(YEAR($B218)+$B220&gt;F$5,F219/(YEAR($B218)+$B220-F$5+MONTH($B218)/12),F219)</f>
        <v>0</v>
      </c>
      <c r="G226" s="28">
        <f t="shared" ref="G226:M226" si="137">IF(YEAR($B218)+$B220&gt;G$5,G219/(YEAR($B218)+$B220-G$5+MONTH($B218)/12),G219)</f>
        <v>0</v>
      </c>
      <c r="H226" s="28">
        <f t="shared" si="137"/>
        <v>0</v>
      </c>
      <c r="I226" s="28">
        <f t="shared" si="137"/>
        <v>0</v>
      </c>
      <c r="J226" s="28">
        <f t="shared" si="137"/>
        <v>0</v>
      </c>
      <c r="K226" s="28">
        <f t="shared" si="137"/>
        <v>0</v>
      </c>
      <c r="L226" s="28">
        <f t="shared" si="137"/>
        <v>0</v>
      </c>
      <c r="M226" s="28">
        <f t="shared" si="137"/>
        <v>0</v>
      </c>
    </row>
    <row r="227" spans="1:13" s="13" customFormat="1" ht="12.75" customHeight="1">
      <c r="A227" s="5"/>
      <c r="B227" s="5"/>
      <c r="C227" s="5"/>
      <c r="D227" s="73"/>
      <c r="E227" s="73"/>
      <c r="F227" s="73"/>
      <c r="G227" s="73"/>
      <c r="H227" s="73"/>
      <c r="I227" s="73"/>
      <c r="J227" s="73"/>
      <c r="K227" s="73"/>
      <c r="L227" s="73"/>
      <c r="M227" s="73"/>
    </row>
    <row r="228" spans="1:13" s="13" customFormat="1" ht="12.75" customHeight="1">
      <c r="A228" s="30" t="s">
        <v>660</v>
      </c>
      <c r="B228" s="99"/>
      <c r="C228" t="s">
        <v>800</v>
      </c>
      <c r="D228" s="161" t="s">
        <v>801</v>
      </c>
      <c r="E228" s="1"/>
      <c r="F228"/>
      <c r="G228"/>
      <c r="H228"/>
      <c r="I228"/>
      <c r="J228"/>
      <c r="K228"/>
      <c r="L228"/>
      <c r="M228"/>
    </row>
    <row r="229" spans="1:13" s="13" customFormat="1" ht="12.75" customHeight="1">
      <c r="A229" s="26" t="s">
        <v>677</v>
      </c>
      <c r="B229" s="133">
        <v>29373</v>
      </c>
      <c r="C229" s="5" t="s">
        <v>639</v>
      </c>
      <c r="D229" s="75">
        <f>IF($D228="V",Input!G$70,IF(AND($B235=D$5,Input!G$65&gt;0),Input!G$65,$B232))</f>
        <v>7.0000000000000007E-2</v>
      </c>
      <c r="E229" s="75">
        <f>IF($D228="V",Input!H$70,IF(AND($B235=E$5,Input!H$65&gt;0),Input!H$65,D229))</f>
        <v>7.0000000000000007E-2</v>
      </c>
      <c r="F229" s="75">
        <f>IF($D228="V",Input!I$70,IF(AND($B235=F$5,Input!I$65&gt;0),Input!I$65,E229))</f>
        <v>7.0000000000000007E-2</v>
      </c>
      <c r="G229" s="75">
        <f>IF($D228="V",Input!J$70,IF(AND($B235=G$5,Input!J$65&gt;0),Input!J$65,F229))</f>
        <v>7.0000000000000007E-2</v>
      </c>
      <c r="H229" s="75">
        <f>IF($D228="V",Input!K$70,IF(AND($B235=H$5,Input!K$65&gt;0),Input!K$65,G229))</f>
        <v>7.0000000000000007E-2</v>
      </c>
      <c r="I229" s="75">
        <f>IF($D228="V",Input!L$70,IF(AND($B235=I$5,Input!L$65&gt;0),Input!L$65,H229))</f>
        <v>7.0000000000000007E-2</v>
      </c>
      <c r="J229" s="75">
        <f>IF($D228="V",Input!M$70,IF(AND($B235=J$5,Input!M$65&gt;0),Input!M$65,I229))</f>
        <v>7.0000000000000007E-2</v>
      </c>
      <c r="K229" s="75">
        <f>IF($D228="V",Input!N$70,IF(AND($B235=K$5,Input!N$65&gt;0),Input!N$65,J229))</f>
        <v>7.0000000000000007E-2</v>
      </c>
      <c r="L229" s="75">
        <f>IF($D228="V",Input!O$70,IF(AND($B235=L$5,Input!O$65&gt;0),Input!O$65,K229))</f>
        <v>7.0000000000000007E-2</v>
      </c>
      <c r="M229" s="75">
        <f>IF($D228="V",Input!P$70,IF(AND($B235=M$5,Input!P$65&gt;0),Input!P$65,L229))</f>
        <v>7.0000000000000007E-2</v>
      </c>
    </row>
    <row r="230" spans="1:13" s="13" customFormat="1" ht="12.75" customHeight="1">
      <c r="A230" s="5" t="s">
        <v>361</v>
      </c>
      <c r="B230" s="135">
        <v>0</v>
      </c>
      <c r="C230" s="27" t="s">
        <v>173</v>
      </c>
      <c r="D230" s="140">
        <v>0</v>
      </c>
      <c r="E230" s="28">
        <f t="shared" ref="E230:M230" si="138">D235</f>
        <v>0</v>
      </c>
      <c r="F230" s="28">
        <f t="shared" si="138"/>
        <v>0</v>
      </c>
      <c r="G230" s="28">
        <f t="shared" si="138"/>
        <v>0</v>
      </c>
      <c r="H230" s="28">
        <f t="shared" si="138"/>
        <v>0</v>
      </c>
      <c r="I230" s="28">
        <f t="shared" si="138"/>
        <v>0</v>
      </c>
      <c r="J230" s="28">
        <f t="shared" si="138"/>
        <v>0</v>
      </c>
      <c r="K230" s="28">
        <f t="shared" si="138"/>
        <v>0</v>
      </c>
      <c r="L230" s="28">
        <f t="shared" si="138"/>
        <v>0</v>
      </c>
      <c r="M230" s="28">
        <f t="shared" si="138"/>
        <v>0</v>
      </c>
    </row>
    <row r="231" spans="1:13" s="13" customFormat="1" ht="12.75" customHeight="1">
      <c r="A231" s="26" t="s">
        <v>170</v>
      </c>
      <c r="B231" s="131">
        <v>35</v>
      </c>
      <c r="C231" s="29" t="s">
        <v>169</v>
      </c>
      <c r="D231" s="28">
        <f>D233-D232</f>
        <v>0</v>
      </c>
      <c r="E231" s="28">
        <f>E233-E232</f>
        <v>0</v>
      </c>
      <c r="F231" s="28">
        <f>F233-F232</f>
        <v>0</v>
      </c>
      <c r="G231" s="28">
        <f>G233-G232</f>
        <v>0</v>
      </c>
      <c r="H231" s="28">
        <f t="shared" ref="H231:M231" si="139">H233-H232</f>
        <v>0</v>
      </c>
      <c r="I231" s="28">
        <f t="shared" si="139"/>
        <v>0</v>
      </c>
      <c r="J231" s="28">
        <f t="shared" si="139"/>
        <v>0</v>
      </c>
      <c r="K231" s="28">
        <f t="shared" si="139"/>
        <v>0</v>
      </c>
      <c r="L231" s="28">
        <f t="shared" si="139"/>
        <v>0</v>
      </c>
      <c r="M231" s="28">
        <f t="shared" si="139"/>
        <v>0</v>
      </c>
    </row>
    <row r="232" spans="1:13" s="13" customFormat="1" ht="12.75" customHeight="1">
      <c r="A232" s="5" t="s">
        <v>172</v>
      </c>
      <c r="B232" s="134">
        <f>B221</f>
        <v>7.0000000000000007E-2</v>
      </c>
      <c r="C232" s="5" t="s">
        <v>174</v>
      </c>
      <c r="D232" s="28">
        <f>IF(AND($B234="Y",YEAR($B229)+$B231&gt;D$5),D237,IF((YEAR($B229)+$B231)&gt;D$5,FV(D229/$B233,$B233,D236),D230))</f>
        <v>0</v>
      </c>
      <c r="E232" s="28">
        <f>IF(AND($B234="Y",YEAR($B229)+$B231&gt;E$5),E237,IF((YEAR($B229)+$B231)&gt;E$5,FV(E229/$B233,$B233,E236),E230))</f>
        <v>0</v>
      </c>
      <c r="F232" s="28">
        <f>IF(AND($B234="Y",YEAR($B229)+$B231&gt;F$5),F237,IF((YEAR($B229)+$B231)&gt;F$5,FV(F229/$B233,$B233,F236),F230))</f>
        <v>0</v>
      </c>
      <c r="G232" s="28">
        <f>IF(AND($B234="Y",YEAR($B229)+$B231&gt;G$5),G237,IF((YEAR($B229)+$B231)&gt;G$5,FV(G229/$B233,$B233,G236),G230))</f>
        <v>0</v>
      </c>
      <c r="H232" s="28">
        <f t="shared" ref="H232:M232" si="140">IF(AND($B234="Y",YEAR($B229)+$B231&gt;H$5),H237,IF((YEAR($B229)+$B231)&gt;H$5,FV(H229/$B233,$B233,H236),H230))</f>
        <v>0</v>
      </c>
      <c r="I232" s="28">
        <f t="shared" si="140"/>
        <v>0</v>
      </c>
      <c r="J232" s="28">
        <f t="shared" si="140"/>
        <v>0</v>
      </c>
      <c r="K232" s="28">
        <f t="shared" si="140"/>
        <v>0</v>
      </c>
      <c r="L232" s="28">
        <f t="shared" si="140"/>
        <v>0</v>
      </c>
      <c r="M232" s="28">
        <f t="shared" si="140"/>
        <v>0</v>
      </c>
    </row>
    <row r="233" spans="1:13" s="13" customFormat="1" ht="12.75" customHeight="1">
      <c r="A233" s="5" t="s">
        <v>171</v>
      </c>
      <c r="B233" s="131">
        <v>4</v>
      </c>
      <c r="C233" s="78" t="s">
        <v>640</v>
      </c>
      <c r="D233" s="28">
        <f>IF(AND($B234="Y",YEAR($B229)+$B231&gt;D$5),D237+D229*(D230-D237*0.5),IF((YEAR($B229)+$B231)&gt;D$5,(D230*D229/$B233-D236)*$B233,(D230*(1+D229*MONTH($B229)/12))))</f>
        <v>0</v>
      </c>
      <c r="E233" s="28">
        <f>IF(AND($B234="Y",YEAR($B229)+$B231&gt;E$5),E237+E229*(E230-E237*0.5),IF((YEAR($B229)+$B231)&gt;E$5,(E230*E229/$B233-E236)*$B233,(E230*(1+E229*MONTH($B229)/12))))</f>
        <v>0</v>
      </c>
      <c r="F233" s="28">
        <f>IF(AND($B234="Y",YEAR($B229)+$B231&gt;F$5),F237+F229*(F230-F237*0.5),IF((YEAR($B229)+$B231)&gt;F$5,(F230*F229/$B233-F236)*$B233,(F230*(1+F229*MONTH($B229)/12))))</f>
        <v>0</v>
      </c>
      <c r="G233" s="28">
        <f>IF(AND($B234="Y",YEAR($B229)+$B231&gt;G$5),G237+G229*(G230-G237*0.5),IF((YEAR($B229)+$B231)&gt;G$5,(G230*G229/$B233-G236)*$B233,(G230*(1+G229*MONTH($B229)/12))))</f>
        <v>0</v>
      </c>
      <c r="H233" s="28">
        <f t="shared" ref="H233:M233" si="141">IF(AND($B234="Y",YEAR($B229)+$B231&gt;H$5),H237+H229*(H230-H237*0.5),IF((YEAR($B229)+$B231)&gt;H$5,(H230*H229/$B233-H236)*$B233,(H230*(1+H229*MONTH($B229)/12))))</f>
        <v>0</v>
      </c>
      <c r="I233" s="28">
        <f t="shared" si="141"/>
        <v>0</v>
      </c>
      <c r="J233" s="28">
        <f t="shared" si="141"/>
        <v>0</v>
      </c>
      <c r="K233" s="28">
        <f t="shared" si="141"/>
        <v>0</v>
      </c>
      <c r="L233" s="28">
        <f t="shared" si="141"/>
        <v>0</v>
      </c>
      <c r="M233" s="28">
        <f t="shared" si="141"/>
        <v>0</v>
      </c>
    </row>
    <row r="234" spans="1:13" s="13" customFormat="1" ht="12.75" customHeight="1">
      <c r="A234" s="5" t="s">
        <v>767</v>
      </c>
      <c r="B234" s="131" t="s">
        <v>719</v>
      </c>
      <c r="C234" s="132" t="s">
        <v>768</v>
      </c>
      <c r="D234" s="140">
        <v>0</v>
      </c>
      <c r="E234" s="140">
        <v>0</v>
      </c>
      <c r="F234" s="140">
        <v>0</v>
      </c>
      <c r="G234" s="140">
        <v>0</v>
      </c>
      <c r="H234" s="140">
        <v>0</v>
      </c>
      <c r="I234" s="140">
        <v>0</v>
      </c>
      <c r="J234" s="140">
        <v>0</v>
      </c>
      <c r="K234" s="140">
        <v>0</v>
      </c>
      <c r="L234" s="140">
        <v>0</v>
      </c>
      <c r="M234" s="140">
        <v>0</v>
      </c>
    </row>
    <row r="235" spans="1:13" s="13" customFormat="1" ht="12.75" customHeight="1">
      <c r="A235" s="5" t="s">
        <v>182</v>
      </c>
      <c r="B235" s="131"/>
      <c r="C235" s="30" t="s">
        <v>175</v>
      </c>
      <c r="D235" s="28">
        <f t="shared" ref="D235:M235" si="142">D230+D231-D233-D234</f>
        <v>0</v>
      </c>
      <c r="E235" s="28">
        <f t="shared" si="142"/>
        <v>0</v>
      </c>
      <c r="F235" s="28">
        <f t="shared" si="142"/>
        <v>0</v>
      </c>
      <c r="G235" s="28">
        <f t="shared" si="142"/>
        <v>0</v>
      </c>
      <c r="H235" s="28">
        <f t="shared" si="142"/>
        <v>0</v>
      </c>
      <c r="I235" s="28">
        <f t="shared" si="142"/>
        <v>0</v>
      </c>
      <c r="J235" s="28">
        <f t="shared" si="142"/>
        <v>0</v>
      </c>
      <c r="K235" s="28">
        <f t="shared" si="142"/>
        <v>0</v>
      </c>
      <c r="L235" s="28">
        <f t="shared" si="142"/>
        <v>0</v>
      </c>
      <c r="M235" s="28">
        <f t="shared" si="142"/>
        <v>0</v>
      </c>
    </row>
    <row r="236" spans="1:13" s="13" customFormat="1" ht="12.75" hidden="1" customHeight="1">
      <c r="A236" s="5"/>
      <c r="B236" s="138"/>
      <c r="C236" s="5" t="s">
        <v>769</v>
      </c>
      <c r="D236" s="28" t="e">
        <f>PPMT(D229/$B233,1,ROUND(($B231-(D$5-YEAR($B229))+MONTH($B229)/12)*$B233,0),D230)</f>
        <v>#NUM!</v>
      </c>
      <c r="E236" s="28" t="e">
        <f>PPMT(E229/$B233,1,ROUND(($B231-(E$5-YEAR($B229))+MONTH($B229)/12)*$B233,0),E230)</f>
        <v>#NUM!</v>
      </c>
      <c r="F236" s="28" t="e">
        <f>PPMT(F229/$B233,1,ROUND(($B231-(F$5-YEAR($B229))+MONTH($B229)/12)*$B233,0),F230)</f>
        <v>#NUM!</v>
      </c>
      <c r="G236" s="28" t="e">
        <f>PPMT(G229/$B233,1,ROUND(($B231-(G$5-YEAR($B229))+MONTH($B229)/12)*$B233,0),G230)</f>
        <v>#NUM!</v>
      </c>
      <c r="H236" s="28" t="e">
        <f t="shared" ref="H236:M236" si="143">PPMT(H229/$B233,1,ROUND(($B231-(H$5-YEAR($B229))+MONTH($B229)/12)*$B233,0),H230)</f>
        <v>#NUM!</v>
      </c>
      <c r="I236" s="28" t="e">
        <f t="shared" si="143"/>
        <v>#NUM!</v>
      </c>
      <c r="J236" s="28" t="e">
        <f t="shared" si="143"/>
        <v>#NUM!</v>
      </c>
      <c r="K236" s="28" t="e">
        <f t="shared" si="143"/>
        <v>#NUM!</v>
      </c>
      <c r="L236" s="28" t="e">
        <f t="shared" si="143"/>
        <v>#NUM!</v>
      </c>
      <c r="M236" s="28" t="e">
        <f t="shared" si="143"/>
        <v>#NUM!</v>
      </c>
    </row>
    <row r="237" spans="1:13" s="13" customFormat="1" ht="12.75" hidden="1" customHeight="1">
      <c r="A237" s="5"/>
      <c r="B237" s="5"/>
      <c r="C237" s="5" t="s">
        <v>770</v>
      </c>
      <c r="D237" s="28">
        <f>IF(YEAR($B229)+$B231&gt;D$5,D230/(YEAR($B229)+$B231-D$5+MONTH($B229)/12),D230)</f>
        <v>0</v>
      </c>
      <c r="E237" s="28">
        <f>IF(YEAR($B229)+$B231&gt;E$5,E230/(YEAR($B229)+$B231-E$5+MONTH($B229)/12),E230)</f>
        <v>0</v>
      </c>
      <c r="F237" s="28">
        <f>IF(YEAR($B229)+$B231&gt;F$5,F230/(YEAR($B229)+$B231-F$5+MONTH($B229)/12),F230)</f>
        <v>0</v>
      </c>
      <c r="G237" s="28">
        <f t="shared" ref="G237:M237" si="144">IF(YEAR($B229)+$B231&gt;G$5,G230/(YEAR($B229)+$B231-G$5+MONTH($B229)/12),G230)</f>
        <v>0</v>
      </c>
      <c r="H237" s="28">
        <f t="shared" si="144"/>
        <v>0</v>
      </c>
      <c r="I237" s="28">
        <f t="shared" si="144"/>
        <v>0</v>
      </c>
      <c r="J237" s="28">
        <f t="shared" si="144"/>
        <v>0</v>
      </c>
      <c r="K237" s="28">
        <f t="shared" si="144"/>
        <v>0</v>
      </c>
      <c r="L237" s="28">
        <f t="shared" si="144"/>
        <v>0</v>
      </c>
      <c r="M237" s="28">
        <f t="shared" si="144"/>
        <v>0</v>
      </c>
    </row>
    <row r="238" spans="1:13" s="13" customFormat="1" ht="12.75" customHeight="1">
      <c r="A238" s="5"/>
      <c r="B238" s="5"/>
      <c r="C238" s="5"/>
      <c r="D238" s="39"/>
      <c r="E238" s="39"/>
      <c r="F238" s="39"/>
      <c r="G238" s="39"/>
      <c r="H238" s="39"/>
      <c r="I238" s="39"/>
      <c r="J238" s="39"/>
      <c r="K238" s="39"/>
      <c r="L238" s="39"/>
      <c r="M238" s="39"/>
    </row>
    <row r="239" spans="1:13" s="13" customFormat="1" ht="12.75" customHeight="1">
      <c r="A239" s="5"/>
      <c r="B239" s="5"/>
      <c r="C239" s="5"/>
      <c r="D239" s="39"/>
      <c r="E239" s="39"/>
      <c r="F239" s="39"/>
      <c r="G239" s="39"/>
      <c r="H239" s="39"/>
      <c r="I239" s="39"/>
      <c r="J239" s="39"/>
      <c r="K239" s="39"/>
      <c r="L239" s="39"/>
      <c r="M239" s="39"/>
    </row>
    <row r="240" spans="1:13" s="13" customFormat="1" ht="12.75" customHeight="1">
      <c r="A240" s="5"/>
      <c r="B240" s="5"/>
      <c r="C240" s="5"/>
      <c r="D240" s="39"/>
      <c r="E240" s="39"/>
      <c r="F240" s="39"/>
      <c r="G240" s="39"/>
      <c r="H240" s="39"/>
      <c r="I240" s="39"/>
      <c r="J240" s="39"/>
      <c r="K240" s="39"/>
      <c r="L240" s="39"/>
      <c r="M240" s="39"/>
    </row>
    <row r="241" spans="1:13" s="13" customFormat="1" ht="12.75" customHeight="1">
      <c r="A241" s="5" t="s">
        <v>791</v>
      </c>
      <c r="B241" s="5"/>
      <c r="C241" s="5"/>
      <c r="D241" s="153">
        <f>+D5</f>
        <v>2024</v>
      </c>
      <c r="E241" s="153">
        <f t="shared" ref="E241:M241" si="145">+E5</f>
        <v>2025</v>
      </c>
      <c r="F241" s="153">
        <f t="shared" si="145"/>
        <v>2026</v>
      </c>
      <c r="G241" s="153">
        <f t="shared" si="145"/>
        <v>2027</v>
      </c>
      <c r="H241" s="153">
        <f t="shared" si="145"/>
        <v>2028</v>
      </c>
      <c r="I241" s="153">
        <f t="shared" si="145"/>
        <v>2029</v>
      </c>
      <c r="J241" s="153">
        <f t="shared" si="145"/>
        <v>2030</v>
      </c>
      <c r="K241" s="153">
        <f t="shared" si="145"/>
        <v>2031</v>
      </c>
      <c r="L241" s="153">
        <f t="shared" si="145"/>
        <v>2032</v>
      </c>
      <c r="M241" s="153">
        <f t="shared" si="145"/>
        <v>2033</v>
      </c>
    </row>
    <row r="242" spans="1:13" s="13" customFormat="1" ht="12.75" customHeight="1">
      <c r="A242" s="5"/>
      <c r="B242" s="5"/>
      <c r="C242" s="5"/>
      <c r="D242" s="154" t="str">
        <f>+D6</f>
        <v xml:space="preserve">  -----------</v>
      </c>
      <c r="E242" s="154" t="str">
        <f t="shared" ref="E242:M242" si="146">+E6</f>
        <v xml:space="preserve">  -----------</v>
      </c>
      <c r="F242" s="154" t="str">
        <f t="shared" si="146"/>
        <v xml:space="preserve">  -----------</v>
      </c>
      <c r="G242" s="154" t="str">
        <f t="shared" si="146"/>
        <v xml:space="preserve">  -----------</v>
      </c>
      <c r="H242" s="154" t="str">
        <f t="shared" si="146"/>
        <v xml:space="preserve">  -----------</v>
      </c>
      <c r="I242" s="154" t="str">
        <f t="shared" si="146"/>
        <v xml:space="preserve">  -----------</v>
      </c>
      <c r="J242" s="154" t="str">
        <f t="shared" si="146"/>
        <v xml:space="preserve">  -----------</v>
      </c>
      <c r="K242" s="154" t="str">
        <f t="shared" si="146"/>
        <v xml:space="preserve">  -----------</v>
      </c>
      <c r="L242" s="154" t="str">
        <f t="shared" si="146"/>
        <v xml:space="preserve">  -----------</v>
      </c>
      <c r="M242" s="154" t="str">
        <f t="shared" si="146"/>
        <v xml:space="preserve">  -----------</v>
      </c>
    </row>
    <row r="243" spans="1:13" s="13" customFormat="1" ht="12.75" customHeight="1">
      <c r="A243" s="30" t="s">
        <v>661</v>
      </c>
      <c r="B243" s="99"/>
      <c r="C243" t="s">
        <v>800</v>
      </c>
      <c r="D243" s="161" t="s">
        <v>801</v>
      </c>
      <c r="E243" s="1"/>
      <c r="F243"/>
      <c r="G243"/>
      <c r="H243"/>
      <c r="I243"/>
      <c r="J243"/>
      <c r="K243"/>
      <c r="L243"/>
      <c r="M243"/>
    </row>
    <row r="244" spans="1:13" s="13" customFormat="1" ht="12.75" customHeight="1">
      <c r="A244" s="26" t="s">
        <v>677</v>
      </c>
      <c r="B244" s="133">
        <v>29373</v>
      </c>
      <c r="C244" s="5" t="s">
        <v>639</v>
      </c>
      <c r="D244" s="75">
        <f>IF($D243="V",Input!G$70,IF(AND($B250=D$5,Input!G$65&gt;0),Input!G$65,$B247))</f>
        <v>7.0000000000000007E-2</v>
      </c>
      <c r="E244" s="75">
        <f>IF($D243="V",Input!H$70,IF(AND($B250=E$5,Input!H$65&gt;0),Input!H$65,D244))</f>
        <v>7.0000000000000007E-2</v>
      </c>
      <c r="F244" s="75">
        <f>IF($D243="V",Input!I$70,IF(AND($B250=F$5,Input!I$65&gt;0),Input!I$65,E244))</f>
        <v>7.0000000000000007E-2</v>
      </c>
      <c r="G244" s="75">
        <f>IF($D243="V",Input!J$70,IF(AND($B250=G$5,Input!J$65&gt;0),Input!J$65,F244))</f>
        <v>7.0000000000000007E-2</v>
      </c>
      <c r="H244" s="75">
        <f>IF($D243="V",Input!K$70,IF(AND($B250=H$5,Input!K$65&gt;0),Input!K$65,G244))</f>
        <v>7.0000000000000007E-2</v>
      </c>
      <c r="I244" s="75">
        <f>IF($D243="V",Input!L$70,IF(AND($B250=I$5,Input!L$65&gt;0),Input!L$65,H244))</f>
        <v>7.0000000000000007E-2</v>
      </c>
      <c r="J244" s="75">
        <f>IF($D243="V",Input!M$70,IF(AND($B250=J$5,Input!M$65&gt;0),Input!M$65,I244))</f>
        <v>7.0000000000000007E-2</v>
      </c>
      <c r="K244" s="75">
        <f>IF($D243="V",Input!N$70,IF(AND($B250=K$5,Input!N$65&gt;0),Input!N$65,J244))</f>
        <v>7.0000000000000007E-2</v>
      </c>
      <c r="L244" s="75">
        <f>IF($D243="V",Input!O$70,IF(AND($B250=L$5,Input!O$65&gt;0),Input!O$65,K244))</f>
        <v>7.0000000000000007E-2</v>
      </c>
      <c r="M244" s="75">
        <f>IF($D243="V",Input!P$70,IF(AND($B250=M$5,Input!P$65&gt;0),Input!P$65,L244))</f>
        <v>7.0000000000000007E-2</v>
      </c>
    </row>
    <row r="245" spans="1:13" s="13" customFormat="1" ht="12.75" customHeight="1">
      <c r="A245" s="5" t="s">
        <v>361</v>
      </c>
      <c r="B245" s="135">
        <v>0</v>
      </c>
      <c r="C245" s="27" t="s">
        <v>173</v>
      </c>
      <c r="D245" s="140">
        <v>0</v>
      </c>
      <c r="E245" s="28">
        <f t="shared" ref="E245:M245" si="147">D250</f>
        <v>0</v>
      </c>
      <c r="F245" s="28">
        <f t="shared" si="147"/>
        <v>0</v>
      </c>
      <c r="G245" s="28">
        <f t="shared" si="147"/>
        <v>0</v>
      </c>
      <c r="H245" s="28">
        <f t="shared" si="147"/>
        <v>0</v>
      </c>
      <c r="I245" s="28">
        <f t="shared" si="147"/>
        <v>0</v>
      </c>
      <c r="J245" s="28">
        <f t="shared" si="147"/>
        <v>0</v>
      </c>
      <c r="K245" s="28">
        <f t="shared" si="147"/>
        <v>0</v>
      </c>
      <c r="L245" s="28">
        <f t="shared" si="147"/>
        <v>0</v>
      </c>
      <c r="M245" s="28">
        <f t="shared" si="147"/>
        <v>0</v>
      </c>
    </row>
    <row r="246" spans="1:13" s="13" customFormat="1" ht="12.75" customHeight="1">
      <c r="A246" s="26" t="s">
        <v>170</v>
      </c>
      <c r="B246" s="131">
        <v>35</v>
      </c>
      <c r="C246" s="29" t="s">
        <v>169</v>
      </c>
      <c r="D246" s="28">
        <f>D248-D247</f>
        <v>0</v>
      </c>
      <c r="E246" s="28">
        <f>E248-E247</f>
        <v>0</v>
      </c>
      <c r="F246" s="28">
        <f>F248-F247</f>
        <v>0</v>
      </c>
      <c r="G246" s="28">
        <f>G248-G247</f>
        <v>0</v>
      </c>
      <c r="H246" s="28">
        <f t="shared" ref="H246:M246" si="148">H248-H247</f>
        <v>0</v>
      </c>
      <c r="I246" s="28">
        <f t="shared" si="148"/>
        <v>0</v>
      </c>
      <c r="J246" s="28">
        <f t="shared" si="148"/>
        <v>0</v>
      </c>
      <c r="K246" s="28">
        <f t="shared" si="148"/>
        <v>0</v>
      </c>
      <c r="L246" s="28">
        <f t="shared" si="148"/>
        <v>0</v>
      </c>
      <c r="M246" s="28">
        <f t="shared" si="148"/>
        <v>0</v>
      </c>
    </row>
    <row r="247" spans="1:13" s="13" customFormat="1" ht="12.75" customHeight="1">
      <c r="A247" s="5" t="s">
        <v>172</v>
      </c>
      <c r="B247" s="134">
        <f>B232</f>
        <v>7.0000000000000007E-2</v>
      </c>
      <c r="C247" s="5" t="s">
        <v>174</v>
      </c>
      <c r="D247" s="28">
        <f>IF(AND($B249="Y",YEAR($B244)+$B246&gt;D$5),D252,IF((YEAR($B244)+$B246)&gt;D$5,FV(D244/$B248,$B248,D251),D245))</f>
        <v>0</v>
      </c>
      <c r="E247" s="28">
        <f>IF(AND($B249="Y",YEAR($B244)+$B246&gt;E$5),E252,IF((YEAR($B244)+$B246)&gt;E$5,FV(E244/$B248,$B248,E251),E245))</f>
        <v>0</v>
      </c>
      <c r="F247" s="28">
        <f>IF(AND($B249="Y",YEAR($B244)+$B246&gt;F$5),F252,IF((YEAR($B244)+$B246)&gt;F$5,FV(F244/$B248,$B248,F251),F245))</f>
        <v>0</v>
      </c>
      <c r="G247" s="28">
        <f>IF(AND($B249="Y",YEAR($B244)+$B246&gt;G$5),G252,IF((YEAR($B244)+$B246)&gt;G$5,FV(G244/$B248,$B248,G251),G245))</f>
        <v>0</v>
      </c>
      <c r="H247" s="28">
        <f t="shared" ref="H247:M247" si="149">IF(AND($B249="Y",YEAR($B244)+$B246&gt;H$5),H252,IF((YEAR($B244)+$B246)&gt;H$5,FV(H244/$B248,$B248,H251),H245))</f>
        <v>0</v>
      </c>
      <c r="I247" s="28">
        <f t="shared" si="149"/>
        <v>0</v>
      </c>
      <c r="J247" s="28">
        <f t="shared" si="149"/>
        <v>0</v>
      </c>
      <c r="K247" s="28">
        <f t="shared" si="149"/>
        <v>0</v>
      </c>
      <c r="L247" s="28">
        <f t="shared" si="149"/>
        <v>0</v>
      </c>
      <c r="M247" s="28">
        <f t="shared" si="149"/>
        <v>0</v>
      </c>
    </row>
    <row r="248" spans="1:13" s="13" customFormat="1" ht="12.75" customHeight="1">
      <c r="A248" s="5" t="s">
        <v>171</v>
      </c>
      <c r="B248" s="131">
        <v>4</v>
      </c>
      <c r="C248" s="78" t="s">
        <v>640</v>
      </c>
      <c r="D248" s="28">
        <f>IF(AND($B249="Y",YEAR($B244)+$B246&gt;D$5),D252+D244*(D245-D252*0.5),IF((YEAR($B244)+$B246)&gt;D$5,(D245*D244/$B248-D251)*$B248,(D245*(1+D244*MONTH($B244)/12))))</f>
        <v>0</v>
      </c>
      <c r="E248" s="28">
        <f>IF(AND($B249="Y",YEAR($B244)+$B246&gt;E$5),E252+E244*(E245-E252*0.5),IF((YEAR($B244)+$B246)&gt;E$5,(E245*E244/$B248-E251)*$B248,(E245*(1+E244*MONTH($B244)/12))))</f>
        <v>0</v>
      </c>
      <c r="F248" s="28">
        <f>IF(AND($B249="Y",YEAR($B244)+$B246&gt;F$5),F252+F244*(F245-F252*0.5),IF((YEAR($B244)+$B246)&gt;F$5,(F245*F244/$B248-F251)*$B248,(F245*(1+F244*MONTH($B244)/12))))</f>
        <v>0</v>
      </c>
      <c r="G248" s="28">
        <f>IF(AND($B249="Y",YEAR($B244)+$B246&gt;G$5),G252+G244*(G245-G252*0.5),IF((YEAR($B244)+$B246)&gt;G$5,(G245*G244/$B248-G251)*$B248,(G245*(1+G244*MONTH($B244)/12))))</f>
        <v>0</v>
      </c>
      <c r="H248" s="28">
        <f t="shared" ref="H248:M248" si="150">IF(AND($B249="Y",YEAR($B244)+$B246&gt;H$5),H252+H244*(H245-H252*0.5),IF((YEAR($B244)+$B246)&gt;H$5,(H245*H244/$B248-H251)*$B248,(H245*(1+H244*MONTH($B244)/12))))</f>
        <v>0</v>
      </c>
      <c r="I248" s="28">
        <f t="shared" si="150"/>
        <v>0</v>
      </c>
      <c r="J248" s="28">
        <f t="shared" si="150"/>
        <v>0</v>
      </c>
      <c r="K248" s="28">
        <f t="shared" si="150"/>
        <v>0</v>
      </c>
      <c r="L248" s="28">
        <f t="shared" si="150"/>
        <v>0</v>
      </c>
      <c r="M248" s="28">
        <f t="shared" si="150"/>
        <v>0</v>
      </c>
    </row>
    <row r="249" spans="1:13" s="13" customFormat="1" ht="12.75" customHeight="1">
      <c r="A249" s="5" t="s">
        <v>767</v>
      </c>
      <c r="B249" s="131" t="s">
        <v>719</v>
      </c>
      <c r="C249" s="132" t="s">
        <v>768</v>
      </c>
      <c r="D249" s="140">
        <v>0</v>
      </c>
      <c r="E249" s="140">
        <v>0</v>
      </c>
      <c r="F249" s="140">
        <v>0</v>
      </c>
      <c r="G249" s="140">
        <v>0</v>
      </c>
      <c r="H249" s="140">
        <v>0</v>
      </c>
      <c r="I249" s="140">
        <v>0</v>
      </c>
      <c r="J249" s="140">
        <v>0</v>
      </c>
      <c r="K249" s="140">
        <v>0</v>
      </c>
      <c r="L249" s="140">
        <v>0</v>
      </c>
      <c r="M249" s="140">
        <v>0</v>
      </c>
    </row>
    <row r="250" spans="1:13" s="13" customFormat="1" ht="12.75" customHeight="1">
      <c r="A250" s="5" t="s">
        <v>182</v>
      </c>
      <c r="B250" s="131"/>
      <c r="C250" s="30" t="s">
        <v>175</v>
      </c>
      <c r="D250" s="28">
        <f t="shared" ref="D250:M250" si="151">D245+D246-D248-D249</f>
        <v>0</v>
      </c>
      <c r="E250" s="28">
        <f t="shared" si="151"/>
        <v>0</v>
      </c>
      <c r="F250" s="28">
        <f t="shared" si="151"/>
        <v>0</v>
      </c>
      <c r="G250" s="28">
        <f t="shared" si="151"/>
        <v>0</v>
      </c>
      <c r="H250" s="28">
        <f t="shared" si="151"/>
        <v>0</v>
      </c>
      <c r="I250" s="28">
        <f t="shared" si="151"/>
        <v>0</v>
      </c>
      <c r="J250" s="28">
        <f t="shared" si="151"/>
        <v>0</v>
      </c>
      <c r="K250" s="28">
        <f t="shared" si="151"/>
        <v>0</v>
      </c>
      <c r="L250" s="28">
        <f t="shared" si="151"/>
        <v>0</v>
      </c>
      <c r="M250" s="28">
        <f t="shared" si="151"/>
        <v>0</v>
      </c>
    </row>
    <row r="251" spans="1:13" s="13" customFormat="1" ht="12.75" hidden="1" customHeight="1">
      <c r="A251" s="5"/>
      <c r="B251" s="138"/>
      <c r="C251" s="5" t="s">
        <v>769</v>
      </c>
      <c r="D251" s="28" t="e">
        <f>PPMT(D244/$B248,1,ROUND(($B246-(D$5-YEAR($B244))+MONTH($B244)/12)*$B248,0),D245)</f>
        <v>#NUM!</v>
      </c>
      <c r="E251" s="28" t="e">
        <f>PPMT(E244/$B248,1,ROUND(($B246-(E$5-YEAR($B244))+MONTH($B244)/12)*$B248,0),E245)</f>
        <v>#NUM!</v>
      </c>
      <c r="F251" s="28" t="e">
        <f>PPMT(F244/$B248,1,ROUND(($B246-(F$5-YEAR($B244))+MONTH($B244)/12)*$B248,0),F245)</f>
        <v>#NUM!</v>
      </c>
      <c r="G251" s="28" t="e">
        <f>PPMT(G244/$B248,1,ROUND(($B246-(G$5-YEAR($B244))+MONTH($B244)/12)*$B248,0),G245)</f>
        <v>#NUM!</v>
      </c>
      <c r="H251" s="28" t="e">
        <f t="shared" ref="H251:M251" si="152">PPMT(H244/$B248,1,ROUND(($B246-(H$5-YEAR($B244))+MONTH($B244)/12)*$B248,0),H245)</f>
        <v>#NUM!</v>
      </c>
      <c r="I251" s="28" t="e">
        <f t="shared" si="152"/>
        <v>#NUM!</v>
      </c>
      <c r="J251" s="28" t="e">
        <f t="shared" si="152"/>
        <v>#NUM!</v>
      </c>
      <c r="K251" s="28" t="e">
        <f t="shared" si="152"/>
        <v>#NUM!</v>
      </c>
      <c r="L251" s="28" t="e">
        <f t="shared" si="152"/>
        <v>#NUM!</v>
      </c>
      <c r="M251" s="28" t="e">
        <f t="shared" si="152"/>
        <v>#NUM!</v>
      </c>
    </row>
    <row r="252" spans="1:13" s="13" customFormat="1" ht="12.75" hidden="1" customHeight="1">
      <c r="A252" s="5"/>
      <c r="B252" s="5"/>
      <c r="C252" s="5" t="s">
        <v>770</v>
      </c>
      <c r="D252" s="28">
        <f>IF(YEAR($B244)+$B246&gt;D$5,D245/(YEAR($B244)+$B246-D$5+MONTH($B244)/12),D245)</f>
        <v>0</v>
      </c>
      <c r="E252" s="28">
        <f>IF(YEAR($B244)+$B246&gt;E$5,E245/(YEAR($B244)+$B246-E$5+MONTH($B244)/12),E245)</f>
        <v>0</v>
      </c>
      <c r="F252" s="28">
        <f>IF(YEAR($B244)+$B246&gt;F$5,F245/(YEAR($B244)+$B246-F$5+MONTH($B244)/12),F245)</f>
        <v>0</v>
      </c>
      <c r="G252" s="28">
        <f t="shared" ref="G252:M252" si="153">IF(YEAR($B244)+$B246&gt;G$5,G245/(YEAR($B244)+$B246-G$5+MONTH($B244)/12),G245)</f>
        <v>0</v>
      </c>
      <c r="H252" s="28">
        <f t="shared" si="153"/>
        <v>0</v>
      </c>
      <c r="I252" s="28">
        <f t="shared" si="153"/>
        <v>0</v>
      </c>
      <c r="J252" s="28">
        <f t="shared" si="153"/>
        <v>0</v>
      </c>
      <c r="K252" s="28">
        <f t="shared" si="153"/>
        <v>0</v>
      </c>
      <c r="L252" s="28">
        <f t="shared" si="153"/>
        <v>0</v>
      </c>
      <c r="M252" s="28">
        <f t="shared" si="153"/>
        <v>0</v>
      </c>
    </row>
    <row r="253" spans="1:13" s="13" customFormat="1" ht="12.75" customHeight="1">
      <c r="A253"/>
      <c r="B253"/>
      <c r="C253" s="5"/>
    </row>
    <row r="254" spans="1:13" s="13" customFormat="1" ht="12.75" customHeight="1">
      <c r="A254" s="30" t="s">
        <v>662</v>
      </c>
      <c r="B254" s="99"/>
      <c r="C254" t="s">
        <v>800</v>
      </c>
      <c r="D254" s="161" t="s">
        <v>801</v>
      </c>
      <c r="E254" s="1"/>
      <c r="F254"/>
      <c r="G254"/>
      <c r="H254"/>
      <c r="I254"/>
      <c r="J254"/>
      <c r="K254"/>
      <c r="L254"/>
      <c r="M254"/>
    </row>
    <row r="255" spans="1:13" s="13" customFormat="1" ht="12.75" customHeight="1">
      <c r="A255" s="26" t="s">
        <v>677</v>
      </c>
      <c r="B255" s="133">
        <v>29373</v>
      </c>
      <c r="C255" s="5" t="s">
        <v>639</v>
      </c>
      <c r="D255" s="75">
        <f>IF($D254="V",Input!G$70,IF(AND($B261=D$5,Input!G$65&gt;0),Input!G$65,$B258))</f>
        <v>7.0000000000000007E-2</v>
      </c>
      <c r="E255" s="75">
        <f>IF($D254="V",Input!H$70,IF(AND($B261=E$5,Input!H$65&gt;0),Input!H$65,D255))</f>
        <v>7.0000000000000007E-2</v>
      </c>
      <c r="F255" s="75">
        <f>IF($D254="V",Input!I$70,IF(AND($B261=F$5,Input!I$65&gt;0),Input!I$65,E255))</f>
        <v>7.0000000000000007E-2</v>
      </c>
      <c r="G255" s="75">
        <f>IF($D254="V",Input!J$70,IF(AND($B261=G$5,Input!J$65&gt;0),Input!J$65,F255))</f>
        <v>7.0000000000000007E-2</v>
      </c>
      <c r="H255" s="75">
        <f>IF($D254="V",Input!K$70,IF(AND($B261=H$5,Input!K$65&gt;0),Input!K$65,G255))</f>
        <v>7.0000000000000007E-2</v>
      </c>
      <c r="I255" s="75">
        <f>IF($D254="V",Input!L$70,IF(AND($B261=I$5,Input!L$65&gt;0),Input!L$65,H255))</f>
        <v>7.0000000000000007E-2</v>
      </c>
      <c r="J255" s="75">
        <f>IF($D254="V",Input!M$70,IF(AND($B261=J$5,Input!M$65&gt;0),Input!M$65,I255))</f>
        <v>7.0000000000000007E-2</v>
      </c>
      <c r="K255" s="75">
        <f>IF($D254="V",Input!N$70,IF(AND($B261=K$5,Input!N$65&gt;0),Input!N$65,J255))</f>
        <v>7.0000000000000007E-2</v>
      </c>
      <c r="L255" s="75">
        <f>IF($D254="V",Input!O$70,IF(AND($B261=L$5,Input!O$65&gt;0),Input!O$65,K255))</f>
        <v>7.0000000000000007E-2</v>
      </c>
      <c r="M255" s="75">
        <f>IF($D254="V",Input!P$70,IF(AND($B261=M$5,Input!P$65&gt;0),Input!P$65,L255))</f>
        <v>7.0000000000000007E-2</v>
      </c>
    </row>
    <row r="256" spans="1:13" s="13" customFormat="1" ht="12.75" customHeight="1">
      <c r="A256" s="5" t="s">
        <v>361</v>
      </c>
      <c r="B256" s="135">
        <v>0</v>
      </c>
      <c r="C256" s="27" t="s">
        <v>173</v>
      </c>
      <c r="D256" s="140">
        <v>0</v>
      </c>
      <c r="E256" s="28">
        <f t="shared" ref="E256:M256" si="154">D261</f>
        <v>0</v>
      </c>
      <c r="F256" s="28">
        <f t="shared" si="154"/>
        <v>0</v>
      </c>
      <c r="G256" s="28">
        <f t="shared" si="154"/>
        <v>0</v>
      </c>
      <c r="H256" s="28">
        <f t="shared" si="154"/>
        <v>0</v>
      </c>
      <c r="I256" s="28">
        <f t="shared" si="154"/>
        <v>0</v>
      </c>
      <c r="J256" s="28">
        <f t="shared" si="154"/>
        <v>0</v>
      </c>
      <c r="K256" s="28">
        <f t="shared" si="154"/>
        <v>0</v>
      </c>
      <c r="L256" s="28">
        <f t="shared" si="154"/>
        <v>0</v>
      </c>
      <c r="M256" s="28">
        <f t="shared" si="154"/>
        <v>0</v>
      </c>
    </row>
    <row r="257" spans="1:13" s="13" customFormat="1" ht="12.75" customHeight="1">
      <c r="A257" s="26" t="s">
        <v>170</v>
      </c>
      <c r="B257" s="131">
        <v>35</v>
      </c>
      <c r="C257" s="29" t="s">
        <v>169</v>
      </c>
      <c r="D257" s="28">
        <f>D259-D258</f>
        <v>0</v>
      </c>
      <c r="E257" s="28">
        <f>E259-E258</f>
        <v>0</v>
      </c>
      <c r="F257" s="28">
        <f>F259-F258</f>
        <v>0</v>
      </c>
      <c r="G257" s="28">
        <f>G259-G258</f>
        <v>0</v>
      </c>
      <c r="H257" s="28">
        <f t="shared" ref="H257:M257" si="155">H259-H258</f>
        <v>0</v>
      </c>
      <c r="I257" s="28">
        <f t="shared" si="155"/>
        <v>0</v>
      </c>
      <c r="J257" s="28">
        <f t="shared" si="155"/>
        <v>0</v>
      </c>
      <c r="K257" s="28">
        <f t="shared" si="155"/>
        <v>0</v>
      </c>
      <c r="L257" s="28">
        <f t="shared" si="155"/>
        <v>0</v>
      </c>
      <c r="M257" s="28">
        <f t="shared" si="155"/>
        <v>0</v>
      </c>
    </row>
    <row r="258" spans="1:13" s="13" customFormat="1" ht="12.75" customHeight="1">
      <c r="A258" s="5" t="s">
        <v>172</v>
      </c>
      <c r="B258" s="134">
        <f>B247</f>
        <v>7.0000000000000007E-2</v>
      </c>
      <c r="C258" s="5" t="s">
        <v>174</v>
      </c>
      <c r="D258" s="28">
        <f>IF(AND($B260="Y",YEAR($B255)+$B257&gt;D$5),D263,IF((YEAR($B255)+$B257)&gt;D$5,FV(D255/$B259,$B259,D262),D256))</f>
        <v>0</v>
      </c>
      <c r="E258" s="28">
        <f>IF(AND($B260="Y",YEAR($B255)+$B257&gt;E$5),E263,IF((YEAR($B255)+$B257)&gt;E$5,FV(E255/$B259,$B259,E262),E256))</f>
        <v>0</v>
      </c>
      <c r="F258" s="28">
        <f>IF(AND($B260="Y",YEAR($B255)+$B257&gt;F$5),F263,IF((YEAR($B255)+$B257)&gt;F$5,FV(F255/$B259,$B259,F262),F256))</f>
        <v>0</v>
      </c>
      <c r="G258" s="28">
        <f>IF(AND($B260="Y",YEAR($B255)+$B257&gt;G$5),G263,IF((YEAR($B255)+$B257)&gt;G$5,FV(G255/$B259,$B259,G262),G256))</f>
        <v>0</v>
      </c>
      <c r="H258" s="28">
        <f t="shared" ref="H258:M258" si="156">IF(AND($B260="Y",YEAR($B255)+$B257&gt;H$5),H263,IF((YEAR($B255)+$B257)&gt;H$5,FV(H255/$B259,$B259,H262),H256))</f>
        <v>0</v>
      </c>
      <c r="I258" s="28">
        <f t="shared" si="156"/>
        <v>0</v>
      </c>
      <c r="J258" s="28">
        <f t="shared" si="156"/>
        <v>0</v>
      </c>
      <c r="K258" s="28">
        <f t="shared" si="156"/>
        <v>0</v>
      </c>
      <c r="L258" s="28">
        <f t="shared" si="156"/>
        <v>0</v>
      </c>
      <c r="M258" s="28">
        <f t="shared" si="156"/>
        <v>0</v>
      </c>
    </row>
    <row r="259" spans="1:13" s="13" customFormat="1" ht="12.75" customHeight="1">
      <c r="A259" s="5" t="s">
        <v>171</v>
      </c>
      <c r="B259" s="131">
        <v>4</v>
      </c>
      <c r="C259" s="78" t="s">
        <v>640</v>
      </c>
      <c r="D259" s="28">
        <f>IF(AND($B260="Y",YEAR($B255)+$B257&gt;D$5),D263+D255*(D256-D263*0.5),IF((YEAR($B255)+$B257)&gt;D$5,(D256*D255/$B259-D262)*$B259,(D256*(1+D255*MONTH($B255)/12))))</f>
        <v>0</v>
      </c>
      <c r="E259" s="28">
        <f>IF(AND($B260="Y",YEAR($B255)+$B257&gt;E$5),E263+E255*(E256-E263*0.5),IF((YEAR($B255)+$B257)&gt;E$5,(E256*E255/$B259-E262)*$B259,(E256*(1+E255*MONTH($B255)/12))))</f>
        <v>0</v>
      </c>
      <c r="F259" s="28">
        <f>IF(AND($B260="Y",YEAR($B255)+$B257&gt;F$5),F263+F255*(F256-F263*0.5),IF((YEAR($B255)+$B257)&gt;F$5,(F256*F255/$B259-F262)*$B259,(F256*(1+F255*MONTH($B255)/12))))</f>
        <v>0</v>
      </c>
      <c r="G259" s="28">
        <f>IF(AND($B260="Y",YEAR($B255)+$B257&gt;G$5),G263+G255*(G256-G263*0.5),IF((YEAR($B255)+$B257)&gt;G$5,(G256*G255/$B259-G262)*$B259,(G256*(1+G255*MONTH($B255)/12))))</f>
        <v>0</v>
      </c>
      <c r="H259" s="28">
        <f t="shared" ref="H259:M259" si="157">IF(AND($B260="Y",YEAR($B255)+$B257&gt;H$5),H263+H255*(H256-H263*0.5),IF((YEAR($B255)+$B257)&gt;H$5,(H256*H255/$B259-H262)*$B259,(H256*(1+H255*MONTH($B255)/12))))</f>
        <v>0</v>
      </c>
      <c r="I259" s="28">
        <f t="shared" si="157"/>
        <v>0</v>
      </c>
      <c r="J259" s="28">
        <f t="shared" si="157"/>
        <v>0</v>
      </c>
      <c r="K259" s="28">
        <f t="shared" si="157"/>
        <v>0</v>
      </c>
      <c r="L259" s="28">
        <f t="shared" si="157"/>
        <v>0</v>
      </c>
      <c r="M259" s="28">
        <f t="shared" si="157"/>
        <v>0</v>
      </c>
    </row>
    <row r="260" spans="1:13" s="13" customFormat="1" ht="12.75" customHeight="1">
      <c r="A260" s="5" t="s">
        <v>767</v>
      </c>
      <c r="B260" s="131" t="s">
        <v>719</v>
      </c>
      <c r="C260" s="132" t="s">
        <v>768</v>
      </c>
      <c r="D260" s="140">
        <v>0</v>
      </c>
      <c r="E260" s="140">
        <v>0</v>
      </c>
      <c r="F260" s="140">
        <v>0</v>
      </c>
      <c r="G260" s="140">
        <v>0</v>
      </c>
      <c r="H260" s="140">
        <v>0</v>
      </c>
      <c r="I260" s="140">
        <v>0</v>
      </c>
      <c r="J260" s="140">
        <v>0</v>
      </c>
      <c r="K260" s="140">
        <v>0</v>
      </c>
      <c r="L260" s="140">
        <v>0</v>
      </c>
      <c r="M260" s="140">
        <v>0</v>
      </c>
    </row>
    <row r="261" spans="1:13" s="13" customFormat="1" ht="12.75" customHeight="1">
      <c r="A261" s="5" t="s">
        <v>182</v>
      </c>
      <c r="B261" s="131"/>
      <c r="C261" s="30" t="s">
        <v>175</v>
      </c>
      <c r="D261" s="28">
        <f t="shared" ref="D261:M261" si="158">D256+D257-D259-D260</f>
        <v>0</v>
      </c>
      <c r="E261" s="28">
        <f t="shared" si="158"/>
        <v>0</v>
      </c>
      <c r="F261" s="28">
        <f t="shared" si="158"/>
        <v>0</v>
      </c>
      <c r="G261" s="28">
        <f t="shared" si="158"/>
        <v>0</v>
      </c>
      <c r="H261" s="28">
        <f t="shared" si="158"/>
        <v>0</v>
      </c>
      <c r="I261" s="28">
        <f t="shared" si="158"/>
        <v>0</v>
      </c>
      <c r="J261" s="28">
        <f t="shared" si="158"/>
        <v>0</v>
      </c>
      <c r="K261" s="28">
        <f t="shared" si="158"/>
        <v>0</v>
      </c>
      <c r="L261" s="28">
        <f t="shared" si="158"/>
        <v>0</v>
      </c>
      <c r="M261" s="28">
        <f t="shared" si="158"/>
        <v>0</v>
      </c>
    </row>
    <row r="262" spans="1:13" s="13" customFormat="1" ht="12.75" hidden="1" customHeight="1">
      <c r="A262" s="5"/>
      <c r="B262" s="138"/>
      <c r="C262" s="5" t="s">
        <v>769</v>
      </c>
      <c r="D262" s="28" t="e">
        <f>PPMT(D255/$B259,1,ROUND(($B257-(D$5-YEAR($B255))+MONTH($B255)/12)*$B259,0),D256)</f>
        <v>#NUM!</v>
      </c>
      <c r="E262" s="28" t="e">
        <f>PPMT(E255/$B259,1,ROUND(($B257-(E$5-YEAR($B255))+MONTH($B255)/12)*$B259,0),E256)</f>
        <v>#NUM!</v>
      </c>
      <c r="F262" s="28" t="e">
        <f>PPMT(F255/$B259,1,ROUND(($B257-(F$5-YEAR($B255))+MONTH($B255)/12)*$B259,0),F256)</f>
        <v>#NUM!</v>
      </c>
      <c r="G262" s="28" t="e">
        <f>PPMT(G255/$B259,1,ROUND(($B257-(G$5-YEAR($B255))+MONTH($B255)/12)*$B259,0),G256)</f>
        <v>#NUM!</v>
      </c>
      <c r="H262" s="28" t="e">
        <f t="shared" ref="H262:M262" si="159">PPMT(H255/$B259,1,ROUND(($B257-(H$5-YEAR($B255))+MONTH($B255)/12)*$B259,0),H256)</f>
        <v>#NUM!</v>
      </c>
      <c r="I262" s="28" t="e">
        <f t="shared" si="159"/>
        <v>#NUM!</v>
      </c>
      <c r="J262" s="28" t="e">
        <f t="shared" si="159"/>
        <v>#NUM!</v>
      </c>
      <c r="K262" s="28" t="e">
        <f t="shared" si="159"/>
        <v>#NUM!</v>
      </c>
      <c r="L262" s="28" t="e">
        <f t="shared" si="159"/>
        <v>#NUM!</v>
      </c>
      <c r="M262" s="28" t="e">
        <f t="shared" si="159"/>
        <v>#NUM!</v>
      </c>
    </row>
    <row r="263" spans="1:13" s="13" customFormat="1" ht="12.75" hidden="1" customHeight="1">
      <c r="A263" s="5"/>
      <c r="B263" s="5"/>
      <c r="C263" s="5" t="s">
        <v>770</v>
      </c>
      <c r="D263" s="28">
        <f>IF(YEAR($B255)+$B257&gt;D$5,D256/(YEAR($B255)+$B257-D$5+MONTH($B255)/12),D256)</f>
        <v>0</v>
      </c>
      <c r="E263" s="28">
        <f>IF(YEAR($B255)+$B257&gt;E$5,E256/(YEAR($B255)+$B257-E$5+MONTH($B255)/12),E256)</f>
        <v>0</v>
      </c>
      <c r="F263" s="28">
        <f>IF(YEAR($B255)+$B257&gt;F$5,F256/(YEAR($B255)+$B257-F$5+MONTH($B255)/12),F256)</f>
        <v>0</v>
      </c>
      <c r="G263" s="28">
        <f t="shared" ref="G263:M263" si="160">IF(YEAR($B255)+$B257&gt;G$5,G256/(YEAR($B255)+$B257-G$5+MONTH($B255)/12),G256)</f>
        <v>0</v>
      </c>
      <c r="H263" s="28">
        <f t="shared" si="160"/>
        <v>0</v>
      </c>
      <c r="I263" s="28">
        <f t="shared" si="160"/>
        <v>0</v>
      </c>
      <c r="J263" s="28">
        <f t="shared" si="160"/>
        <v>0</v>
      </c>
      <c r="K263" s="28">
        <f t="shared" si="160"/>
        <v>0</v>
      </c>
      <c r="L263" s="28">
        <f t="shared" si="160"/>
        <v>0</v>
      </c>
      <c r="M263" s="28">
        <f t="shared" si="160"/>
        <v>0</v>
      </c>
    </row>
    <row r="264" spans="1:13" s="13" customFormat="1" ht="12.75" customHeight="1">
      <c r="A264" s="5"/>
      <c r="B264" s="5"/>
      <c r="C264" s="5"/>
    </row>
    <row r="265" spans="1:13" s="13" customFormat="1" ht="12.75" customHeight="1">
      <c r="A265" s="30" t="s">
        <v>663</v>
      </c>
      <c r="B265" s="99"/>
      <c r="C265" t="s">
        <v>800</v>
      </c>
      <c r="D265" s="161" t="s">
        <v>801</v>
      </c>
      <c r="E265" s="1"/>
      <c r="F265"/>
      <c r="G265"/>
      <c r="H265"/>
      <c r="I265"/>
      <c r="J265"/>
      <c r="K265"/>
      <c r="L265"/>
      <c r="M265"/>
    </row>
    <row r="266" spans="1:13" s="13" customFormat="1" ht="12.75" customHeight="1">
      <c r="A266" s="26" t="s">
        <v>677</v>
      </c>
      <c r="B266" s="133">
        <v>29373</v>
      </c>
      <c r="C266" s="5" t="s">
        <v>639</v>
      </c>
      <c r="D266" s="75">
        <f>IF($D265="V",Input!G$70,IF(AND($B272=D$5,Input!G$65&gt;0),Input!G$65,$B269))</f>
        <v>7.0000000000000007E-2</v>
      </c>
      <c r="E266" s="75">
        <f>IF($D265="V",Input!H$70,IF(AND($B272=E$5,Input!H$65&gt;0),Input!H$65,D266))</f>
        <v>7.0000000000000007E-2</v>
      </c>
      <c r="F266" s="75">
        <f>IF($D265="V",Input!I$70,IF(AND($B272=F$5,Input!I$65&gt;0),Input!I$65,E266))</f>
        <v>7.0000000000000007E-2</v>
      </c>
      <c r="G266" s="75">
        <f>IF($D265="V",Input!J$70,IF(AND($B272=G$5,Input!J$65&gt;0),Input!J$65,F266))</f>
        <v>7.0000000000000007E-2</v>
      </c>
      <c r="H266" s="75">
        <f>IF($D265="V",Input!K$70,IF(AND($B272=H$5,Input!K$65&gt;0),Input!K$65,G266))</f>
        <v>7.0000000000000007E-2</v>
      </c>
      <c r="I266" s="75">
        <f>IF($D265="V",Input!L$70,IF(AND($B272=I$5,Input!L$65&gt;0),Input!L$65,H266))</f>
        <v>7.0000000000000007E-2</v>
      </c>
      <c r="J266" s="75">
        <f>IF($D265="V",Input!M$70,IF(AND($B272=J$5,Input!M$65&gt;0),Input!M$65,I266))</f>
        <v>7.0000000000000007E-2</v>
      </c>
      <c r="K266" s="75">
        <f>IF($D265="V",Input!N$70,IF(AND($B272=K$5,Input!N$65&gt;0),Input!N$65,J266))</f>
        <v>7.0000000000000007E-2</v>
      </c>
      <c r="L266" s="75">
        <f>IF($D265="V",Input!O$70,IF(AND($B272=L$5,Input!O$65&gt;0),Input!O$65,K266))</f>
        <v>7.0000000000000007E-2</v>
      </c>
      <c r="M266" s="75">
        <f>IF($D265="V",Input!P$70,IF(AND($B272=M$5,Input!P$65&gt;0),Input!P$65,L266))</f>
        <v>7.0000000000000007E-2</v>
      </c>
    </row>
    <row r="267" spans="1:13" s="13" customFormat="1" ht="12.75" customHeight="1">
      <c r="A267" s="5" t="s">
        <v>361</v>
      </c>
      <c r="B267" s="135">
        <v>0</v>
      </c>
      <c r="C267" s="27" t="s">
        <v>173</v>
      </c>
      <c r="D267" s="140">
        <v>0</v>
      </c>
      <c r="E267" s="28">
        <f t="shared" ref="E267:M267" si="161">D272</f>
        <v>0</v>
      </c>
      <c r="F267" s="28">
        <f t="shared" si="161"/>
        <v>0</v>
      </c>
      <c r="G267" s="28">
        <f t="shared" si="161"/>
        <v>0</v>
      </c>
      <c r="H267" s="28">
        <f t="shared" si="161"/>
        <v>0</v>
      </c>
      <c r="I267" s="28">
        <f t="shared" si="161"/>
        <v>0</v>
      </c>
      <c r="J267" s="28">
        <f t="shared" si="161"/>
        <v>0</v>
      </c>
      <c r="K267" s="28">
        <f t="shared" si="161"/>
        <v>0</v>
      </c>
      <c r="L267" s="28">
        <f t="shared" si="161"/>
        <v>0</v>
      </c>
      <c r="M267" s="28">
        <f t="shared" si="161"/>
        <v>0</v>
      </c>
    </row>
    <row r="268" spans="1:13" s="13" customFormat="1" ht="12.75" customHeight="1">
      <c r="A268" s="26" t="s">
        <v>170</v>
      </c>
      <c r="B268" s="131">
        <v>35</v>
      </c>
      <c r="C268" s="29" t="s">
        <v>169</v>
      </c>
      <c r="D268" s="28">
        <f>D270-D269</f>
        <v>0</v>
      </c>
      <c r="E268" s="28">
        <f>E270-E269</f>
        <v>0</v>
      </c>
      <c r="F268" s="28">
        <f>F270-F269</f>
        <v>0</v>
      </c>
      <c r="G268" s="28">
        <f>G270-G269</f>
        <v>0</v>
      </c>
      <c r="H268" s="28">
        <f t="shared" ref="H268:M268" si="162">H270-H269</f>
        <v>0</v>
      </c>
      <c r="I268" s="28">
        <f t="shared" si="162"/>
        <v>0</v>
      </c>
      <c r="J268" s="28">
        <f t="shared" si="162"/>
        <v>0</v>
      </c>
      <c r="K268" s="28">
        <f t="shared" si="162"/>
        <v>0</v>
      </c>
      <c r="L268" s="28">
        <f t="shared" si="162"/>
        <v>0</v>
      </c>
      <c r="M268" s="28">
        <f t="shared" si="162"/>
        <v>0</v>
      </c>
    </row>
    <row r="269" spans="1:13" s="13" customFormat="1" ht="12.75" customHeight="1">
      <c r="A269" s="5" t="s">
        <v>172</v>
      </c>
      <c r="B269" s="134">
        <f>B258</f>
        <v>7.0000000000000007E-2</v>
      </c>
      <c r="C269" s="5" t="s">
        <v>174</v>
      </c>
      <c r="D269" s="28">
        <f>IF(AND($B271="Y",YEAR($B266)+$B268&gt;D$5),D274,IF((YEAR($B266)+$B268)&gt;D$5,FV(D266/$B270,$B270,D273),D267))</f>
        <v>0</v>
      </c>
      <c r="E269" s="28">
        <f>IF(AND($B271="Y",YEAR($B266)+$B268&gt;E$5),E274,IF((YEAR($B266)+$B268)&gt;E$5,FV(E266/$B270,$B270,E273),E267))</f>
        <v>0</v>
      </c>
      <c r="F269" s="28">
        <f>IF(AND($B271="Y",YEAR($B266)+$B268&gt;F$5),F274,IF((YEAR($B266)+$B268)&gt;F$5,FV(F266/$B270,$B270,F273),F267))</f>
        <v>0</v>
      </c>
      <c r="G269" s="28">
        <f>IF(AND($B271="Y",YEAR($B266)+$B268&gt;G$5),G274,IF((YEAR($B266)+$B268)&gt;G$5,FV(G266/$B270,$B270,G273),G267))</f>
        <v>0</v>
      </c>
      <c r="H269" s="28">
        <f t="shared" ref="H269:M269" si="163">IF(AND($B271="Y",YEAR($B266)+$B268&gt;H$5),H274,IF((YEAR($B266)+$B268)&gt;H$5,FV(H266/$B270,$B270,H273),H267))</f>
        <v>0</v>
      </c>
      <c r="I269" s="28">
        <f t="shared" si="163"/>
        <v>0</v>
      </c>
      <c r="J269" s="28">
        <f t="shared" si="163"/>
        <v>0</v>
      </c>
      <c r="K269" s="28">
        <f t="shared" si="163"/>
        <v>0</v>
      </c>
      <c r="L269" s="28">
        <f t="shared" si="163"/>
        <v>0</v>
      </c>
      <c r="M269" s="28">
        <f t="shared" si="163"/>
        <v>0</v>
      </c>
    </row>
    <row r="270" spans="1:13" s="13" customFormat="1" ht="12.75" customHeight="1">
      <c r="A270" s="5" t="s">
        <v>171</v>
      </c>
      <c r="B270" s="131">
        <v>4</v>
      </c>
      <c r="C270" s="78" t="s">
        <v>640</v>
      </c>
      <c r="D270" s="28">
        <f>IF(AND($B271="Y",YEAR($B266)+$B268&gt;D$5),D274+D266*(D267-D274*0.5),IF((YEAR($B266)+$B268)&gt;D$5,(D267*D266/$B270-D273)*$B270,(D267*(1+D266*MONTH($B266)/12))))</f>
        <v>0</v>
      </c>
      <c r="E270" s="28">
        <f>IF(AND($B271="Y",YEAR($B266)+$B268&gt;E$5),E274+E266*(E267-E274*0.5),IF((YEAR($B266)+$B268)&gt;E$5,(E267*E266/$B270-E273)*$B270,(E267*(1+E266*MONTH($B266)/12))))</f>
        <v>0</v>
      </c>
      <c r="F270" s="28">
        <f>IF(AND($B271="Y",YEAR($B266)+$B268&gt;F$5),F274+F266*(F267-F274*0.5),IF((YEAR($B266)+$B268)&gt;F$5,(F267*F266/$B270-F273)*$B270,(F267*(1+F266*MONTH($B266)/12))))</f>
        <v>0</v>
      </c>
      <c r="G270" s="28">
        <f>IF(AND($B271="Y",YEAR($B266)+$B268&gt;G$5),G274+G266*(G267-G274*0.5),IF((YEAR($B266)+$B268)&gt;G$5,(G267*G266/$B270-G273)*$B270,(G267*(1+G266*MONTH($B266)/12))))</f>
        <v>0</v>
      </c>
      <c r="H270" s="28">
        <f t="shared" ref="H270:M270" si="164">IF(AND($B271="Y",YEAR($B266)+$B268&gt;H$5),H274+H266*(H267-H274*0.5),IF((YEAR($B266)+$B268)&gt;H$5,(H267*H266/$B270-H273)*$B270,(H267*(1+H266*MONTH($B266)/12))))</f>
        <v>0</v>
      </c>
      <c r="I270" s="28">
        <f t="shared" si="164"/>
        <v>0</v>
      </c>
      <c r="J270" s="28">
        <f t="shared" si="164"/>
        <v>0</v>
      </c>
      <c r="K270" s="28">
        <f t="shared" si="164"/>
        <v>0</v>
      </c>
      <c r="L270" s="28">
        <f t="shared" si="164"/>
        <v>0</v>
      </c>
      <c r="M270" s="28">
        <f t="shared" si="164"/>
        <v>0</v>
      </c>
    </row>
    <row r="271" spans="1:13" s="13" customFormat="1" ht="12.75" customHeight="1">
      <c r="A271" s="5" t="s">
        <v>767</v>
      </c>
      <c r="B271" s="131" t="s">
        <v>719</v>
      </c>
      <c r="C271" s="132" t="s">
        <v>768</v>
      </c>
      <c r="D271" s="140">
        <v>0</v>
      </c>
      <c r="E271" s="140">
        <v>0</v>
      </c>
      <c r="F271" s="140">
        <v>0</v>
      </c>
      <c r="G271" s="140">
        <v>0</v>
      </c>
      <c r="H271" s="140">
        <v>0</v>
      </c>
      <c r="I271" s="140">
        <v>0</v>
      </c>
      <c r="J271" s="140">
        <v>0</v>
      </c>
      <c r="K271" s="140">
        <v>0</v>
      </c>
      <c r="L271" s="140">
        <v>0</v>
      </c>
      <c r="M271" s="140">
        <v>0</v>
      </c>
    </row>
    <row r="272" spans="1:13" s="13" customFormat="1" ht="12.75" customHeight="1">
      <c r="A272" s="5" t="s">
        <v>182</v>
      </c>
      <c r="B272" s="131"/>
      <c r="C272" s="30" t="s">
        <v>175</v>
      </c>
      <c r="D272" s="28">
        <f t="shared" ref="D272:M272" si="165">D267+D268-D270-D271</f>
        <v>0</v>
      </c>
      <c r="E272" s="28">
        <f t="shared" si="165"/>
        <v>0</v>
      </c>
      <c r="F272" s="28">
        <f t="shared" si="165"/>
        <v>0</v>
      </c>
      <c r="G272" s="28">
        <f t="shared" si="165"/>
        <v>0</v>
      </c>
      <c r="H272" s="28">
        <f t="shared" si="165"/>
        <v>0</v>
      </c>
      <c r="I272" s="28">
        <f t="shared" si="165"/>
        <v>0</v>
      </c>
      <c r="J272" s="28">
        <f t="shared" si="165"/>
        <v>0</v>
      </c>
      <c r="K272" s="28">
        <f t="shared" si="165"/>
        <v>0</v>
      </c>
      <c r="L272" s="28">
        <f t="shared" si="165"/>
        <v>0</v>
      </c>
      <c r="M272" s="28">
        <f t="shared" si="165"/>
        <v>0</v>
      </c>
    </row>
    <row r="273" spans="1:13" s="13" customFormat="1" ht="12.75" hidden="1" customHeight="1">
      <c r="A273" s="5"/>
      <c r="B273" s="138"/>
      <c r="C273" s="5" t="s">
        <v>769</v>
      </c>
      <c r="D273" s="28" t="e">
        <f>PPMT(D266/$B270,1,ROUND(($B268-(D$5-YEAR($B266))+MONTH($B266)/12)*$B270,0),D267)</f>
        <v>#NUM!</v>
      </c>
      <c r="E273" s="28" t="e">
        <f>PPMT(E266/$B270,1,ROUND(($B268-(E$5-YEAR($B266))+MONTH($B266)/12)*$B270,0),E267)</f>
        <v>#NUM!</v>
      </c>
      <c r="F273" s="28" t="e">
        <f>PPMT(F266/$B270,1,ROUND(($B268-(F$5-YEAR($B266))+MONTH($B266)/12)*$B270,0),F267)</f>
        <v>#NUM!</v>
      </c>
      <c r="G273" s="28" t="e">
        <f>PPMT(G266/$B270,1,ROUND(($B268-(G$5-YEAR($B266))+MONTH($B266)/12)*$B270,0),G267)</f>
        <v>#NUM!</v>
      </c>
      <c r="H273" s="28" t="e">
        <f t="shared" ref="H273:M273" si="166">PPMT(H266/$B270,1,ROUND(($B268-(H$5-YEAR($B266))+MONTH($B266)/12)*$B270,0),H267)</f>
        <v>#NUM!</v>
      </c>
      <c r="I273" s="28" t="e">
        <f t="shared" si="166"/>
        <v>#NUM!</v>
      </c>
      <c r="J273" s="28" t="e">
        <f t="shared" si="166"/>
        <v>#NUM!</v>
      </c>
      <c r="K273" s="28" t="e">
        <f t="shared" si="166"/>
        <v>#NUM!</v>
      </c>
      <c r="L273" s="28" t="e">
        <f t="shared" si="166"/>
        <v>#NUM!</v>
      </c>
      <c r="M273" s="28" t="e">
        <f t="shared" si="166"/>
        <v>#NUM!</v>
      </c>
    </row>
    <row r="274" spans="1:13" s="13" customFormat="1" ht="12.75" hidden="1" customHeight="1">
      <c r="A274" s="5"/>
      <c r="B274" s="5"/>
      <c r="C274" s="5" t="s">
        <v>770</v>
      </c>
      <c r="D274" s="28">
        <f>IF(YEAR($B266)+$B268&gt;D$5,D267/(YEAR($B266)+$B268-D$5+MONTH($B266)/12),D267)</f>
        <v>0</v>
      </c>
      <c r="E274" s="28">
        <f>IF(YEAR($B266)+$B268&gt;E$5,E267/(YEAR($B266)+$B268-E$5+MONTH($B266)/12),E267)</f>
        <v>0</v>
      </c>
      <c r="F274" s="28">
        <f>IF(YEAR($B266)+$B268&gt;F$5,F267/(YEAR($B266)+$B268-F$5+MONTH($B266)/12),F267)</f>
        <v>0</v>
      </c>
      <c r="G274" s="28">
        <f t="shared" ref="G274:M274" si="167">IF(YEAR($B266)+$B268&gt;G$5,G267/(YEAR($B266)+$B268-G$5+MONTH($B266)/12),G267)</f>
        <v>0</v>
      </c>
      <c r="H274" s="28">
        <f t="shared" si="167"/>
        <v>0</v>
      </c>
      <c r="I274" s="28">
        <f t="shared" si="167"/>
        <v>0</v>
      </c>
      <c r="J274" s="28">
        <f t="shared" si="167"/>
        <v>0</v>
      </c>
      <c r="K274" s="28">
        <f t="shared" si="167"/>
        <v>0</v>
      </c>
      <c r="L274" s="28">
        <f t="shared" si="167"/>
        <v>0</v>
      </c>
      <c r="M274" s="28">
        <f t="shared" si="167"/>
        <v>0</v>
      </c>
    </row>
    <row r="275" spans="1:13" s="13" customFormat="1" ht="12.75" customHeight="1">
      <c r="A275" s="5"/>
      <c r="B275" s="5"/>
      <c r="C275" s="5"/>
    </row>
    <row r="276" spans="1:13" s="13" customFormat="1" ht="12.75" customHeight="1">
      <c r="A276" s="30" t="s">
        <v>664</v>
      </c>
      <c r="B276" s="99"/>
      <c r="C276" t="s">
        <v>800</v>
      </c>
      <c r="D276" s="161" t="s">
        <v>801</v>
      </c>
      <c r="E276" s="1"/>
      <c r="F276"/>
      <c r="G276"/>
      <c r="H276"/>
      <c r="I276"/>
      <c r="J276"/>
      <c r="K276"/>
      <c r="L276"/>
      <c r="M276"/>
    </row>
    <row r="277" spans="1:13" s="13" customFormat="1" ht="12.75" customHeight="1">
      <c r="A277" s="26" t="s">
        <v>677</v>
      </c>
      <c r="B277" s="133">
        <v>29373</v>
      </c>
      <c r="C277" s="5" t="s">
        <v>639</v>
      </c>
      <c r="D277" s="75">
        <f>IF($D276="V",Input!G$70,IF(AND($B283=D$5,Input!G$65&gt;0),Input!G$65,$B280))</f>
        <v>7.0000000000000007E-2</v>
      </c>
      <c r="E277" s="75">
        <f>IF($D276="V",Input!H$70,IF(AND($B283=E$5,Input!H$65&gt;0),Input!H$65,D277))</f>
        <v>7.0000000000000007E-2</v>
      </c>
      <c r="F277" s="75">
        <f>IF($D276="V",Input!I$70,IF(AND($B283=F$5,Input!I$65&gt;0),Input!I$65,E277))</f>
        <v>7.0000000000000007E-2</v>
      </c>
      <c r="G277" s="75">
        <f>IF($D276="V",Input!J$70,IF(AND($B283=G$5,Input!J$65&gt;0),Input!J$65,F277))</f>
        <v>7.0000000000000007E-2</v>
      </c>
      <c r="H277" s="75">
        <f>IF($D276="V",Input!K$70,IF(AND($B283=H$5,Input!K$65&gt;0),Input!K$65,G277))</f>
        <v>7.0000000000000007E-2</v>
      </c>
      <c r="I277" s="75">
        <f>IF($D276="V",Input!L$70,IF(AND($B283=I$5,Input!L$65&gt;0),Input!L$65,H277))</f>
        <v>7.0000000000000007E-2</v>
      </c>
      <c r="J277" s="75">
        <f>IF($D276="V",Input!M$70,IF(AND($B283=J$5,Input!M$65&gt;0),Input!M$65,I277))</f>
        <v>7.0000000000000007E-2</v>
      </c>
      <c r="K277" s="75">
        <f>IF($D276="V",Input!N$70,IF(AND($B283=K$5,Input!N$65&gt;0),Input!N$65,J277))</f>
        <v>7.0000000000000007E-2</v>
      </c>
      <c r="L277" s="75">
        <f>IF($D276="V",Input!O$70,IF(AND($B283=L$5,Input!O$65&gt;0),Input!O$65,K277))</f>
        <v>7.0000000000000007E-2</v>
      </c>
      <c r="M277" s="75">
        <f>IF($D276="V",Input!P$70,IF(AND($B283=M$5,Input!P$65&gt;0),Input!P$65,L277))</f>
        <v>7.0000000000000007E-2</v>
      </c>
    </row>
    <row r="278" spans="1:13" s="13" customFormat="1" ht="12.75" customHeight="1">
      <c r="A278" s="5" t="s">
        <v>361</v>
      </c>
      <c r="B278" s="135">
        <v>0</v>
      </c>
      <c r="C278" s="27" t="s">
        <v>173</v>
      </c>
      <c r="D278" s="140">
        <v>0</v>
      </c>
      <c r="E278" s="28">
        <f t="shared" ref="E278:M278" si="168">D283</f>
        <v>0</v>
      </c>
      <c r="F278" s="28">
        <f t="shared" si="168"/>
        <v>0</v>
      </c>
      <c r="G278" s="28">
        <f t="shared" si="168"/>
        <v>0</v>
      </c>
      <c r="H278" s="28">
        <f t="shared" si="168"/>
        <v>0</v>
      </c>
      <c r="I278" s="28">
        <f t="shared" si="168"/>
        <v>0</v>
      </c>
      <c r="J278" s="28">
        <f t="shared" si="168"/>
        <v>0</v>
      </c>
      <c r="K278" s="28">
        <f t="shared" si="168"/>
        <v>0</v>
      </c>
      <c r="L278" s="28">
        <f t="shared" si="168"/>
        <v>0</v>
      </c>
      <c r="M278" s="28">
        <f t="shared" si="168"/>
        <v>0</v>
      </c>
    </row>
    <row r="279" spans="1:13" s="13" customFormat="1" ht="12.75" customHeight="1">
      <c r="A279" s="26" t="s">
        <v>170</v>
      </c>
      <c r="B279" s="131">
        <v>35</v>
      </c>
      <c r="C279" s="29" t="s">
        <v>169</v>
      </c>
      <c r="D279" s="28">
        <f>D281-D280</f>
        <v>0</v>
      </c>
      <c r="E279" s="28">
        <f>E281-E280</f>
        <v>0</v>
      </c>
      <c r="F279" s="28">
        <f>F281-F280</f>
        <v>0</v>
      </c>
      <c r="G279" s="28">
        <f>G281-G280</f>
        <v>0</v>
      </c>
      <c r="H279" s="28">
        <f t="shared" ref="H279:M279" si="169">H281-H280</f>
        <v>0</v>
      </c>
      <c r="I279" s="28">
        <f t="shared" si="169"/>
        <v>0</v>
      </c>
      <c r="J279" s="28">
        <f t="shared" si="169"/>
        <v>0</v>
      </c>
      <c r="K279" s="28">
        <f t="shared" si="169"/>
        <v>0</v>
      </c>
      <c r="L279" s="28">
        <f t="shared" si="169"/>
        <v>0</v>
      </c>
      <c r="M279" s="28">
        <f t="shared" si="169"/>
        <v>0</v>
      </c>
    </row>
    <row r="280" spans="1:13" s="13" customFormat="1" ht="12.75" customHeight="1">
      <c r="A280" s="5" t="s">
        <v>172</v>
      </c>
      <c r="B280" s="134">
        <f>B269</f>
        <v>7.0000000000000007E-2</v>
      </c>
      <c r="C280" s="5" t="s">
        <v>174</v>
      </c>
      <c r="D280" s="28">
        <f>IF(AND($B282="Y",YEAR($B277)+$B279&gt;D$5),D285,IF((YEAR($B277)+$B279)&gt;D$5,FV(D277/$B281,$B281,D284),D278))</f>
        <v>0</v>
      </c>
      <c r="E280" s="28">
        <f>IF(AND($B282="Y",YEAR($B277)+$B279&gt;E$5),E285,IF((YEAR($B277)+$B279)&gt;E$5,FV(E277/$B281,$B281,E284),E278))</f>
        <v>0</v>
      </c>
      <c r="F280" s="28">
        <f>IF(AND($B282="Y",YEAR($B277)+$B279&gt;F$5),F285,IF((YEAR($B277)+$B279)&gt;F$5,FV(F277/$B281,$B281,F284),F278))</f>
        <v>0</v>
      </c>
      <c r="G280" s="28">
        <f>IF(AND($B282="Y",YEAR($B277)+$B279&gt;G$5),G285,IF((YEAR($B277)+$B279)&gt;G$5,FV(G277/$B281,$B281,G284),G278))</f>
        <v>0</v>
      </c>
      <c r="H280" s="28">
        <f t="shared" ref="H280:M280" si="170">IF(AND($B282="Y",YEAR($B277)+$B279&gt;H$5),H285,IF((YEAR($B277)+$B279)&gt;H$5,FV(H277/$B281,$B281,H284),H278))</f>
        <v>0</v>
      </c>
      <c r="I280" s="28">
        <f t="shared" si="170"/>
        <v>0</v>
      </c>
      <c r="J280" s="28">
        <f t="shared" si="170"/>
        <v>0</v>
      </c>
      <c r="K280" s="28">
        <f t="shared" si="170"/>
        <v>0</v>
      </c>
      <c r="L280" s="28">
        <f t="shared" si="170"/>
        <v>0</v>
      </c>
      <c r="M280" s="28">
        <f t="shared" si="170"/>
        <v>0</v>
      </c>
    </row>
    <row r="281" spans="1:13" s="13" customFormat="1" ht="12.75" customHeight="1">
      <c r="A281" s="5" t="s">
        <v>171</v>
      </c>
      <c r="B281" s="131">
        <v>4</v>
      </c>
      <c r="C281" s="78" t="s">
        <v>640</v>
      </c>
      <c r="D281" s="28">
        <f>IF(AND($B282="Y",YEAR($B277)+$B279&gt;D$5),D285+D277*(D278-D285*0.5),IF((YEAR($B277)+$B279)&gt;D$5,(D278*D277/$B281-D284)*$B281,(D278*(1+D277*MONTH($B277)/12))))</f>
        <v>0</v>
      </c>
      <c r="E281" s="28">
        <f>IF(AND($B282="Y",YEAR($B277)+$B279&gt;E$5),E285+E277*(E278-E285*0.5),IF((YEAR($B277)+$B279)&gt;E$5,(E278*E277/$B281-E284)*$B281,(E278*(1+E277*MONTH($B277)/12))))</f>
        <v>0</v>
      </c>
      <c r="F281" s="28">
        <f>IF(AND($B282="Y",YEAR($B277)+$B279&gt;F$5),F285+F277*(F278-F285*0.5),IF((YEAR($B277)+$B279)&gt;F$5,(F278*F277/$B281-F284)*$B281,(F278*(1+F277*MONTH($B277)/12))))</f>
        <v>0</v>
      </c>
      <c r="G281" s="28">
        <f>IF(AND($B282="Y",YEAR($B277)+$B279&gt;G$5),G285+G277*(G278-G285*0.5),IF((YEAR($B277)+$B279)&gt;G$5,(G278*G277/$B281-G284)*$B281,(G278*(1+G277*MONTH($B277)/12))))</f>
        <v>0</v>
      </c>
      <c r="H281" s="28">
        <f t="shared" ref="H281:M281" si="171">IF(AND($B282="Y",YEAR($B277)+$B279&gt;H$5),H285+H277*(H278-H285*0.5),IF((YEAR($B277)+$B279)&gt;H$5,(H278*H277/$B281-H284)*$B281,(H278*(1+H277*MONTH($B277)/12))))</f>
        <v>0</v>
      </c>
      <c r="I281" s="28">
        <f t="shared" si="171"/>
        <v>0</v>
      </c>
      <c r="J281" s="28">
        <f t="shared" si="171"/>
        <v>0</v>
      </c>
      <c r="K281" s="28">
        <f t="shared" si="171"/>
        <v>0</v>
      </c>
      <c r="L281" s="28">
        <f t="shared" si="171"/>
        <v>0</v>
      </c>
      <c r="M281" s="28">
        <f t="shared" si="171"/>
        <v>0</v>
      </c>
    </row>
    <row r="282" spans="1:13" s="13" customFormat="1" ht="12.75" customHeight="1">
      <c r="A282" s="5" t="s">
        <v>767</v>
      </c>
      <c r="B282" s="131" t="s">
        <v>719</v>
      </c>
      <c r="C282" s="132" t="s">
        <v>768</v>
      </c>
      <c r="D282" s="140">
        <v>0</v>
      </c>
      <c r="E282" s="140">
        <v>0</v>
      </c>
      <c r="F282" s="140">
        <v>0</v>
      </c>
      <c r="G282" s="140">
        <v>0</v>
      </c>
      <c r="H282" s="140">
        <v>0</v>
      </c>
      <c r="I282" s="140">
        <v>0</v>
      </c>
      <c r="J282" s="140">
        <v>0</v>
      </c>
      <c r="K282" s="140">
        <v>0</v>
      </c>
      <c r="L282" s="140">
        <v>0</v>
      </c>
      <c r="M282" s="140">
        <v>0</v>
      </c>
    </row>
    <row r="283" spans="1:13" s="13" customFormat="1" ht="12.75" customHeight="1">
      <c r="A283" s="5" t="s">
        <v>182</v>
      </c>
      <c r="B283" s="131"/>
      <c r="C283" s="30" t="s">
        <v>175</v>
      </c>
      <c r="D283" s="28">
        <f t="shared" ref="D283:M283" si="172">D278+D279-D281-D282</f>
        <v>0</v>
      </c>
      <c r="E283" s="28">
        <f t="shared" si="172"/>
        <v>0</v>
      </c>
      <c r="F283" s="28">
        <f t="shared" si="172"/>
        <v>0</v>
      </c>
      <c r="G283" s="28">
        <f t="shared" si="172"/>
        <v>0</v>
      </c>
      <c r="H283" s="28">
        <f t="shared" si="172"/>
        <v>0</v>
      </c>
      <c r="I283" s="28">
        <f t="shared" si="172"/>
        <v>0</v>
      </c>
      <c r="J283" s="28">
        <f t="shared" si="172"/>
        <v>0</v>
      </c>
      <c r="K283" s="28">
        <f t="shared" si="172"/>
        <v>0</v>
      </c>
      <c r="L283" s="28">
        <f t="shared" si="172"/>
        <v>0</v>
      </c>
      <c r="M283" s="28">
        <f t="shared" si="172"/>
        <v>0</v>
      </c>
    </row>
    <row r="284" spans="1:13" s="13" customFormat="1" ht="12.75" hidden="1" customHeight="1">
      <c r="A284" s="5"/>
      <c r="B284" s="138"/>
      <c r="C284" s="5" t="s">
        <v>769</v>
      </c>
      <c r="D284" s="28" t="e">
        <f>PPMT(D277/$B281,1,ROUND(($B279-(D$5-YEAR($B277))+MONTH($B277)/12)*$B281,0),D278)</f>
        <v>#NUM!</v>
      </c>
      <c r="E284" s="28" t="e">
        <f>PPMT(E277/$B281,1,ROUND(($B279-(E$5-YEAR($B277))+MONTH($B277)/12)*$B281,0),E278)</f>
        <v>#NUM!</v>
      </c>
      <c r="F284" s="28" t="e">
        <f>PPMT(F277/$B281,1,ROUND(($B279-(F$5-YEAR($B277))+MONTH($B277)/12)*$B281,0),F278)</f>
        <v>#NUM!</v>
      </c>
      <c r="G284" s="28" t="e">
        <f>PPMT(G277/$B281,1,ROUND(($B279-(G$5-YEAR($B277))+MONTH($B277)/12)*$B281,0),G278)</f>
        <v>#NUM!</v>
      </c>
      <c r="H284" s="28" t="e">
        <f t="shared" ref="H284:M284" si="173">PPMT(H277/$B281,1,ROUND(($B279-(H$5-YEAR($B277))+MONTH($B277)/12)*$B281,0),H278)</f>
        <v>#NUM!</v>
      </c>
      <c r="I284" s="28" t="e">
        <f t="shared" si="173"/>
        <v>#NUM!</v>
      </c>
      <c r="J284" s="28" t="e">
        <f t="shared" si="173"/>
        <v>#NUM!</v>
      </c>
      <c r="K284" s="28" t="e">
        <f t="shared" si="173"/>
        <v>#NUM!</v>
      </c>
      <c r="L284" s="28" t="e">
        <f t="shared" si="173"/>
        <v>#NUM!</v>
      </c>
      <c r="M284" s="28" t="e">
        <f t="shared" si="173"/>
        <v>#NUM!</v>
      </c>
    </row>
    <row r="285" spans="1:13" s="13" customFormat="1" ht="12.75" hidden="1" customHeight="1">
      <c r="A285" s="5"/>
      <c r="B285" s="5"/>
      <c r="C285" s="5" t="s">
        <v>770</v>
      </c>
      <c r="D285" s="28">
        <f>IF(YEAR($B277)+$B279&gt;D$5,D278/(YEAR($B277)+$B279-D$5+MONTH($B277)/12),D278)</f>
        <v>0</v>
      </c>
      <c r="E285" s="28">
        <f>IF(YEAR($B277)+$B279&gt;E$5,E278/(YEAR($B277)+$B279-E$5+MONTH($B277)/12),E278)</f>
        <v>0</v>
      </c>
      <c r="F285" s="28">
        <f>IF(YEAR($B277)+$B279&gt;F$5,F278/(YEAR($B277)+$B279-F$5+MONTH($B277)/12),F278)</f>
        <v>0</v>
      </c>
      <c r="G285" s="28">
        <f t="shared" ref="G285:M285" si="174">IF(YEAR($B277)+$B279&gt;G$5,G278/(YEAR($B277)+$B279-G$5+MONTH($B277)/12),G278)</f>
        <v>0</v>
      </c>
      <c r="H285" s="28">
        <f t="shared" si="174"/>
        <v>0</v>
      </c>
      <c r="I285" s="28">
        <f t="shared" si="174"/>
        <v>0</v>
      </c>
      <c r="J285" s="28">
        <f t="shared" si="174"/>
        <v>0</v>
      </c>
      <c r="K285" s="28">
        <f t="shared" si="174"/>
        <v>0</v>
      </c>
      <c r="L285" s="28">
        <f t="shared" si="174"/>
        <v>0</v>
      </c>
      <c r="M285" s="28">
        <f t="shared" si="174"/>
        <v>0</v>
      </c>
    </row>
    <row r="286" spans="1:13" s="13" customFormat="1" ht="12.75" customHeight="1">
      <c r="A286" s="5"/>
      <c r="B286" s="5"/>
      <c r="C286" s="5"/>
    </row>
    <row r="287" spans="1:13" s="13" customFormat="1" ht="12.75" customHeight="1">
      <c r="A287" s="30" t="s">
        <v>665</v>
      </c>
      <c r="B287" s="99"/>
      <c r="C287" t="s">
        <v>800</v>
      </c>
      <c r="D287" s="161" t="s">
        <v>801</v>
      </c>
      <c r="E287" s="1"/>
      <c r="F287"/>
      <c r="G287"/>
      <c r="H287"/>
      <c r="I287"/>
      <c r="J287"/>
      <c r="K287"/>
      <c r="L287"/>
      <c r="M287"/>
    </row>
    <row r="288" spans="1:13" s="13" customFormat="1" ht="12.75" customHeight="1">
      <c r="A288" s="26" t="s">
        <v>677</v>
      </c>
      <c r="B288" s="133">
        <v>29373</v>
      </c>
      <c r="C288" s="5" t="s">
        <v>639</v>
      </c>
      <c r="D288" s="75">
        <f>IF($D287="V",Input!G$70,IF(AND($B294=D$5,Input!G$65&gt;0),Input!G$65,$B291))</f>
        <v>7.0000000000000007E-2</v>
      </c>
      <c r="E288" s="75">
        <f>IF($D287="V",Input!H$70,IF(AND($B294=E$5,Input!H$65&gt;0),Input!H$65,D288))</f>
        <v>7.0000000000000007E-2</v>
      </c>
      <c r="F288" s="75">
        <f>IF($D287="V",Input!I$70,IF(AND($B294=F$5,Input!I$65&gt;0),Input!I$65,E288))</f>
        <v>7.0000000000000007E-2</v>
      </c>
      <c r="G288" s="75">
        <f>IF($D287="V",Input!J$70,IF(AND($B294=G$5,Input!J$65&gt;0),Input!J$65,F288))</f>
        <v>7.0000000000000007E-2</v>
      </c>
      <c r="H288" s="75">
        <f>IF($D287="V",Input!K$70,IF(AND($B294=H$5,Input!K$65&gt;0),Input!K$65,G288))</f>
        <v>7.0000000000000007E-2</v>
      </c>
      <c r="I288" s="75">
        <f>IF($D287="V",Input!L$70,IF(AND($B294=I$5,Input!L$65&gt;0),Input!L$65,H288))</f>
        <v>7.0000000000000007E-2</v>
      </c>
      <c r="J288" s="75">
        <f>IF($D287="V",Input!M$70,IF(AND($B294=J$5,Input!M$65&gt;0),Input!M$65,I288))</f>
        <v>7.0000000000000007E-2</v>
      </c>
      <c r="K288" s="75">
        <f>IF($D287="V",Input!N$70,IF(AND($B294=K$5,Input!N$65&gt;0),Input!N$65,J288))</f>
        <v>7.0000000000000007E-2</v>
      </c>
      <c r="L288" s="75">
        <f>IF($D287="V",Input!O$70,IF(AND($B294=L$5,Input!O$65&gt;0),Input!O$65,K288))</f>
        <v>7.0000000000000007E-2</v>
      </c>
      <c r="M288" s="75">
        <f>IF($D287="V",Input!P$70,IF(AND($B294=M$5,Input!P$65&gt;0),Input!P$65,L288))</f>
        <v>7.0000000000000007E-2</v>
      </c>
    </row>
    <row r="289" spans="1:13" s="13" customFormat="1" ht="12.75" customHeight="1">
      <c r="A289" s="5" t="s">
        <v>361</v>
      </c>
      <c r="B289" s="135">
        <v>0</v>
      </c>
      <c r="C289" s="27" t="s">
        <v>173</v>
      </c>
      <c r="D289" s="140">
        <v>0</v>
      </c>
      <c r="E289" s="28">
        <f t="shared" ref="E289:M289" si="175">D294</f>
        <v>0</v>
      </c>
      <c r="F289" s="28">
        <f t="shared" si="175"/>
        <v>0</v>
      </c>
      <c r="G289" s="28">
        <f t="shared" si="175"/>
        <v>0</v>
      </c>
      <c r="H289" s="28">
        <f t="shared" si="175"/>
        <v>0</v>
      </c>
      <c r="I289" s="28">
        <f t="shared" si="175"/>
        <v>0</v>
      </c>
      <c r="J289" s="28">
        <f t="shared" si="175"/>
        <v>0</v>
      </c>
      <c r="K289" s="28">
        <f t="shared" si="175"/>
        <v>0</v>
      </c>
      <c r="L289" s="28">
        <f t="shared" si="175"/>
        <v>0</v>
      </c>
      <c r="M289" s="28">
        <f t="shared" si="175"/>
        <v>0</v>
      </c>
    </row>
    <row r="290" spans="1:13" s="13" customFormat="1" ht="12.75" customHeight="1">
      <c r="A290" s="26" t="s">
        <v>170</v>
      </c>
      <c r="B290" s="131">
        <v>35</v>
      </c>
      <c r="C290" s="29" t="s">
        <v>169</v>
      </c>
      <c r="D290" s="28">
        <f>D292-D291</f>
        <v>0</v>
      </c>
      <c r="E290" s="28">
        <f>E292-E291</f>
        <v>0</v>
      </c>
      <c r="F290" s="28">
        <f>F292-F291</f>
        <v>0</v>
      </c>
      <c r="G290" s="28">
        <f>G292-G291</f>
        <v>0</v>
      </c>
      <c r="H290" s="28">
        <f t="shared" ref="H290:M290" si="176">H292-H291</f>
        <v>0</v>
      </c>
      <c r="I290" s="28">
        <f t="shared" si="176"/>
        <v>0</v>
      </c>
      <c r="J290" s="28">
        <f t="shared" si="176"/>
        <v>0</v>
      </c>
      <c r="K290" s="28">
        <f t="shared" si="176"/>
        <v>0</v>
      </c>
      <c r="L290" s="28">
        <f t="shared" si="176"/>
        <v>0</v>
      </c>
      <c r="M290" s="28">
        <f t="shared" si="176"/>
        <v>0</v>
      </c>
    </row>
    <row r="291" spans="1:13" s="13" customFormat="1" ht="12.75" customHeight="1">
      <c r="A291" s="5" t="s">
        <v>172</v>
      </c>
      <c r="B291" s="134">
        <f>B280</f>
        <v>7.0000000000000007E-2</v>
      </c>
      <c r="C291" s="5" t="s">
        <v>174</v>
      </c>
      <c r="D291" s="28">
        <f>IF(AND($B293="Y",YEAR($B288)+$B290&gt;D$5),D296,IF((YEAR($B288)+$B290)&gt;D$5,FV(D288/$B292,$B292,D295),D289))</f>
        <v>0</v>
      </c>
      <c r="E291" s="28">
        <f>IF(AND($B293="Y",YEAR($B288)+$B290&gt;E$5),E296,IF((YEAR($B288)+$B290)&gt;E$5,FV(E288/$B292,$B292,E295),E289))</f>
        <v>0</v>
      </c>
      <c r="F291" s="28">
        <f>IF(AND($B293="Y",YEAR($B288)+$B290&gt;F$5),F296,IF((YEAR($B288)+$B290)&gt;F$5,FV(F288/$B292,$B292,F295),F289))</f>
        <v>0</v>
      </c>
      <c r="G291" s="28">
        <f>IF(AND($B293="Y",YEAR($B288)+$B290&gt;G$5),G296,IF((YEAR($B288)+$B290)&gt;G$5,FV(G288/$B292,$B292,G295),G289))</f>
        <v>0</v>
      </c>
      <c r="H291" s="28">
        <f t="shared" ref="H291:M291" si="177">IF(AND($B293="Y",YEAR($B288)+$B290&gt;H$5),H296,IF((YEAR($B288)+$B290)&gt;H$5,FV(H288/$B292,$B292,H295),H289))</f>
        <v>0</v>
      </c>
      <c r="I291" s="28">
        <f t="shared" si="177"/>
        <v>0</v>
      </c>
      <c r="J291" s="28">
        <f t="shared" si="177"/>
        <v>0</v>
      </c>
      <c r="K291" s="28">
        <f t="shared" si="177"/>
        <v>0</v>
      </c>
      <c r="L291" s="28">
        <f t="shared" si="177"/>
        <v>0</v>
      </c>
      <c r="M291" s="28">
        <f t="shared" si="177"/>
        <v>0</v>
      </c>
    </row>
    <row r="292" spans="1:13" s="13" customFormat="1" ht="12.75" customHeight="1">
      <c r="A292" s="5" t="s">
        <v>171</v>
      </c>
      <c r="B292" s="131">
        <v>4</v>
      </c>
      <c r="C292" s="78" t="s">
        <v>640</v>
      </c>
      <c r="D292" s="28">
        <f>IF(AND($B293="Y",YEAR($B288)+$B290&gt;D$5),D296+D288*(D289-D296*0.5),IF((YEAR($B288)+$B290)&gt;D$5,(D289*D288/$B292-D295)*$B292,(D289*(1+D288*MONTH($B288)/12))))</f>
        <v>0</v>
      </c>
      <c r="E292" s="28">
        <f>IF(AND($B293="Y",YEAR($B288)+$B290&gt;E$5),E296+E288*(E289-E296*0.5),IF((YEAR($B288)+$B290)&gt;E$5,(E289*E288/$B292-E295)*$B292,(E289*(1+E288*MONTH($B288)/12))))</f>
        <v>0</v>
      </c>
      <c r="F292" s="28">
        <f>IF(AND($B293="Y",YEAR($B288)+$B290&gt;F$5),F296+F288*(F289-F296*0.5),IF((YEAR($B288)+$B290)&gt;F$5,(F289*F288/$B292-F295)*$B292,(F289*(1+F288*MONTH($B288)/12))))</f>
        <v>0</v>
      </c>
      <c r="G292" s="28">
        <f>IF(AND($B293="Y",YEAR($B288)+$B290&gt;G$5),G296+G288*(G289-G296*0.5),IF((YEAR($B288)+$B290)&gt;G$5,(G289*G288/$B292-G295)*$B292,(G289*(1+G288*MONTH($B288)/12))))</f>
        <v>0</v>
      </c>
      <c r="H292" s="28">
        <f t="shared" ref="H292:M292" si="178">IF(AND($B293="Y",YEAR($B288)+$B290&gt;H$5),H296+H288*(H289-H296*0.5),IF((YEAR($B288)+$B290)&gt;H$5,(H289*H288/$B292-H295)*$B292,(H289*(1+H288*MONTH($B288)/12))))</f>
        <v>0</v>
      </c>
      <c r="I292" s="28">
        <f t="shared" si="178"/>
        <v>0</v>
      </c>
      <c r="J292" s="28">
        <f t="shared" si="178"/>
        <v>0</v>
      </c>
      <c r="K292" s="28">
        <f t="shared" si="178"/>
        <v>0</v>
      </c>
      <c r="L292" s="28">
        <f t="shared" si="178"/>
        <v>0</v>
      </c>
      <c r="M292" s="28">
        <f t="shared" si="178"/>
        <v>0</v>
      </c>
    </row>
    <row r="293" spans="1:13" s="13" customFormat="1" ht="12.75" customHeight="1">
      <c r="A293" s="5" t="s">
        <v>767</v>
      </c>
      <c r="B293" s="131" t="s">
        <v>719</v>
      </c>
      <c r="C293" s="132" t="s">
        <v>768</v>
      </c>
      <c r="D293" s="140">
        <v>0</v>
      </c>
      <c r="E293" s="140">
        <v>0</v>
      </c>
      <c r="F293" s="140">
        <v>0</v>
      </c>
      <c r="G293" s="140">
        <v>0</v>
      </c>
      <c r="H293" s="140">
        <v>0</v>
      </c>
      <c r="I293" s="140">
        <v>0</v>
      </c>
      <c r="J293" s="140">
        <v>0</v>
      </c>
      <c r="K293" s="140">
        <v>0</v>
      </c>
      <c r="L293" s="140">
        <v>0</v>
      </c>
      <c r="M293" s="140">
        <v>0</v>
      </c>
    </row>
    <row r="294" spans="1:13" s="13" customFormat="1" ht="12.75" customHeight="1">
      <c r="A294" s="5" t="s">
        <v>182</v>
      </c>
      <c r="B294" s="131"/>
      <c r="C294" s="30" t="s">
        <v>175</v>
      </c>
      <c r="D294" s="28">
        <f t="shared" ref="D294:M294" si="179">D289+D290-D292-D293</f>
        <v>0</v>
      </c>
      <c r="E294" s="28">
        <f t="shared" si="179"/>
        <v>0</v>
      </c>
      <c r="F294" s="28">
        <f t="shared" si="179"/>
        <v>0</v>
      </c>
      <c r="G294" s="28">
        <f t="shared" si="179"/>
        <v>0</v>
      </c>
      <c r="H294" s="28">
        <f t="shared" si="179"/>
        <v>0</v>
      </c>
      <c r="I294" s="28">
        <f t="shared" si="179"/>
        <v>0</v>
      </c>
      <c r="J294" s="28">
        <f t="shared" si="179"/>
        <v>0</v>
      </c>
      <c r="K294" s="28">
        <f t="shared" si="179"/>
        <v>0</v>
      </c>
      <c r="L294" s="28">
        <f t="shared" si="179"/>
        <v>0</v>
      </c>
      <c r="M294" s="28">
        <f t="shared" si="179"/>
        <v>0</v>
      </c>
    </row>
    <row r="295" spans="1:13" s="13" customFormat="1" ht="12.75" hidden="1" customHeight="1">
      <c r="A295" s="5"/>
      <c r="B295" s="138"/>
      <c r="C295" s="5" t="s">
        <v>769</v>
      </c>
      <c r="D295" s="28" t="e">
        <f>PPMT(D288/$B292,1,ROUND(($B290-(D$5-YEAR($B288))+MONTH($B288)/12)*$B292,0),D289)</f>
        <v>#NUM!</v>
      </c>
      <c r="E295" s="28" t="e">
        <f>PPMT(E288/$B292,1,ROUND(($B290-(E$5-YEAR($B288))+MONTH($B288)/12)*$B292,0),E289)</f>
        <v>#NUM!</v>
      </c>
      <c r="F295" s="28" t="e">
        <f>PPMT(F288/$B292,1,ROUND(($B290-(F$5-YEAR($B288))+MONTH($B288)/12)*$B292,0),F289)</f>
        <v>#NUM!</v>
      </c>
      <c r="G295" s="28" t="e">
        <f>PPMT(G288/$B292,1,ROUND(($B290-(G$5-YEAR($B288))+MONTH($B288)/12)*$B292,0),G289)</f>
        <v>#NUM!</v>
      </c>
      <c r="H295" s="28" t="e">
        <f t="shared" ref="H295:M295" si="180">PPMT(H288/$B292,1,ROUND(($B290-(H$5-YEAR($B288))+MONTH($B288)/12)*$B292,0),H289)</f>
        <v>#NUM!</v>
      </c>
      <c r="I295" s="28" t="e">
        <f t="shared" si="180"/>
        <v>#NUM!</v>
      </c>
      <c r="J295" s="28" t="e">
        <f t="shared" si="180"/>
        <v>#NUM!</v>
      </c>
      <c r="K295" s="28" t="e">
        <f t="shared" si="180"/>
        <v>#NUM!</v>
      </c>
      <c r="L295" s="28" t="e">
        <f t="shared" si="180"/>
        <v>#NUM!</v>
      </c>
      <c r="M295" s="28" t="e">
        <f t="shared" si="180"/>
        <v>#NUM!</v>
      </c>
    </row>
    <row r="296" spans="1:13" s="13" customFormat="1" ht="12.75" hidden="1" customHeight="1">
      <c r="A296" s="5"/>
      <c r="B296" s="5"/>
      <c r="C296" s="5" t="s">
        <v>770</v>
      </c>
      <c r="D296" s="28">
        <f>IF(YEAR($B288)+$B290&gt;D$5,D289/(YEAR($B288)+$B290-D$5+MONTH($B288)/12),D289)</f>
        <v>0</v>
      </c>
      <c r="E296" s="28">
        <f>IF(YEAR($B288)+$B290&gt;E$5,E289/(YEAR($B288)+$B290-E$5+MONTH($B288)/12),E289)</f>
        <v>0</v>
      </c>
      <c r="F296" s="28">
        <f>IF(YEAR($B288)+$B290&gt;F$5,F289/(YEAR($B288)+$B290-F$5+MONTH($B288)/12),F289)</f>
        <v>0</v>
      </c>
      <c r="G296" s="28">
        <f t="shared" ref="G296:M296" si="181">IF(YEAR($B288)+$B290&gt;G$5,G289/(YEAR($B288)+$B290-G$5+MONTH($B288)/12),G289)</f>
        <v>0</v>
      </c>
      <c r="H296" s="28">
        <f t="shared" si="181"/>
        <v>0</v>
      </c>
      <c r="I296" s="28">
        <f t="shared" si="181"/>
        <v>0</v>
      </c>
      <c r="J296" s="28">
        <f t="shared" si="181"/>
        <v>0</v>
      </c>
      <c r="K296" s="28">
        <f t="shared" si="181"/>
        <v>0</v>
      </c>
      <c r="L296" s="28">
        <f t="shared" si="181"/>
        <v>0</v>
      </c>
      <c r="M296" s="28">
        <f t="shared" si="181"/>
        <v>0</v>
      </c>
    </row>
    <row r="297" spans="1:13" s="13" customFormat="1" ht="12.75" customHeight="1">
      <c r="A297" s="5"/>
      <c r="B297" s="5"/>
      <c r="C297" s="5"/>
    </row>
    <row r="298" spans="1:13" s="13" customFormat="1" ht="12.75" customHeight="1">
      <c r="A298" s="5"/>
      <c r="B298" s="5"/>
      <c r="C298" s="5"/>
    </row>
    <row r="299" spans="1:13" s="13" customFormat="1" ht="12.75" customHeight="1">
      <c r="A299" s="5"/>
      <c r="B299" s="5"/>
      <c r="C299" s="5"/>
    </row>
    <row r="300" spans="1:13" s="13" customFormat="1" ht="12.75" customHeight="1">
      <c r="A300" s="5" t="s">
        <v>883</v>
      </c>
      <c r="B300" s="30" t="s">
        <v>181</v>
      </c>
      <c r="C300" s="5"/>
      <c r="D300" s="31">
        <f t="shared" ref="D300:M305" si="182">D289+D278+D267+D256+D245+D230+D219+D208+D197+D186+D175+D164+D150+D139+D128+D117+D106+D95+D84+D69+D57+D45+D33+D21+D9</f>
        <v>0</v>
      </c>
      <c r="E300" s="31">
        <f t="shared" si="182"/>
        <v>0</v>
      </c>
      <c r="F300" s="31">
        <f t="shared" si="182"/>
        <v>0</v>
      </c>
      <c r="G300" s="31">
        <f t="shared" si="182"/>
        <v>0</v>
      </c>
      <c r="H300" s="31">
        <f t="shared" si="182"/>
        <v>0</v>
      </c>
      <c r="I300" s="31">
        <f t="shared" si="182"/>
        <v>0</v>
      </c>
      <c r="J300" s="31">
        <f t="shared" si="182"/>
        <v>0</v>
      </c>
      <c r="K300" s="31">
        <f t="shared" si="182"/>
        <v>0</v>
      </c>
      <c r="L300" s="31">
        <f t="shared" si="182"/>
        <v>0</v>
      </c>
      <c r="M300" s="31">
        <f t="shared" si="182"/>
        <v>0</v>
      </c>
    </row>
    <row r="301" spans="1:13" s="13" customFormat="1" ht="12.75" customHeight="1">
      <c r="A301"/>
      <c r="B301" t="s">
        <v>177</v>
      </c>
      <c r="C301"/>
      <c r="D301" s="31">
        <f t="shared" si="182"/>
        <v>0</v>
      </c>
      <c r="E301" s="31">
        <f t="shared" si="182"/>
        <v>0</v>
      </c>
      <c r="F301" s="31">
        <f t="shared" si="182"/>
        <v>0</v>
      </c>
      <c r="G301" s="31">
        <f t="shared" si="182"/>
        <v>0</v>
      </c>
      <c r="H301" s="31">
        <f t="shared" si="182"/>
        <v>0</v>
      </c>
      <c r="I301" s="31">
        <f t="shared" si="182"/>
        <v>0</v>
      </c>
      <c r="J301" s="31">
        <f t="shared" si="182"/>
        <v>0</v>
      </c>
      <c r="K301" s="31">
        <f t="shared" si="182"/>
        <v>0</v>
      </c>
      <c r="L301" s="31">
        <f t="shared" si="182"/>
        <v>0</v>
      </c>
      <c r="M301" s="31">
        <f t="shared" si="182"/>
        <v>0</v>
      </c>
    </row>
    <row r="302" spans="1:13" s="13" customFormat="1" ht="12.75" customHeight="1">
      <c r="A302" s="5"/>
      <c r="B302" s="5" t="s">
        <v>178</v>
      </c>
      <c r="C302" s="5"/>
      <c r="D302" s="31">
        <f t="shared" si="182"/>
        <v>0</v>
      </c>
      <c r="E302" s="31">
        <f t="shared" si="182"/>
        <v>0</v>
      </c>
      <c r="F302" s="31">
        <f t="shared" si="182"/>
        <v>0</v>
      </c>
      <c r="G302" s="31">
        <f t="shared" si="182"/>
        <v>0</v>
      </c>
      <c r="H302" s="31">
        <f t="shared" si="182"/>
        <v>0</v>
      </c>
      <c r="I302" s="31">
        <f t="shared" si="182"/>
        <v>0</v>
      </c>
      <c r="J302" s="31">
        <f t="shared" si="182"/>
        <v>0</v>
      </c>
      <c r="K302" s="31">
        <f t="shared" si="182"/>
        <v>0</v>
      </c>
      <c r="L302" s="31">
        <f t="shared" si="182"/>
        <v>0</v>
      </c>
      <c r="M302" s="31">
        <f t="shared" si="182"/>
        <v>0</v>
      </c>
    </row>
    <row r="303" spans="1:13" s="13" customFormat="1" ht="12.75" customHeight="1">
      <c r="A303" s="26"/>
      <c r="B303" s="32" t="s">
        <v>179</v>
      </c>
      <c r="C303" s="27"/>
      <c r="D303" s="31">
        <f t="shared" si="182"/>
        <v>0</v>
      </c>
      <c r="E303" s="31">
        <f t="shared" si="182"/>
        <v>0</v>
      </c>
      <c r="F303" s="31">
        <f t="shared" si="182"/>
        <v>0</v>
      </c>
      <c r="G303" s="31">
        <f t="shared" si="182"/>
        <v>0</v>
      </c>
      <c r="H303" s="31">
        <f t="shared" si="182"/>
        <v>0</v>
      </c>
      <c r="I303" s="31">
        <f t="shared" si="182"/>
        <v>0</v>
      </c>
      <c r="J303" s="31">
        <f t="shared" si="182"/>
        <v>0</v>
      </c>
      <c r="K303" s="31">
        <f t="shared" si="182"/>
        <v>0</v>
      </c>
      <c r="L303" s="31">
        <f t="shared" si="182"/>
        <v>0</v>
      </c>
      <c r="M303" s="31">
        <f t="shared" si="182"/>
        <v>0</v>
      </c>
    </row>
    <row r="304" spans="1:13" s="13" customFormat="1" ht="12.75" customHeight="1">
      <c r="A304" s="26"/>
      <c r="B304" s="137" t="s">
        <v>771</v>
      </c>
      <c r="C304" s="27"/>
      <c r="D304" s="31">
        <f t="shared" si="182"/>
        <v>0</v>
      </c>
      <c r="E304" s="31">
        <f t="shared" si="182"/>
        <v>0</v>
      </c>
      <c r="F304" s="31">
        <f t="shared" si="182"/>
        <v>0</v>
      </c>
      <c r="G304" s="31">
        <f t="shared" si="182"/>
        <v>0</v>
      </c>
      <c r="H304" s="31">
        <f t="shared" si="182"/>
        <v>0</v>
      </c>
      <c r="I304" s="31">
        <f t="shared" si="182"/>
        <v>0</v>
      </c>
      <c r="J304" s="31">
        <f t="shared" si="182"/>
        <v>0</v>
      </c>
      <c r="K304" s="31">
        <f t="shared" si="182"/>
        <v>0</v>
      </c>
      <c r="L304" s="31">
        <f t="shared" si="182"/>
        <v>0</v>
      </c>
      <c r="M304" s="31">
        <f t="shared" si="182"/>
        <v>0</v>
      </c>
    </row>
    <row r="305" spans="1:13" s="13" customFormat="1" ht="12.75" customHeight="1">
      <c r="A305" s="5"/>
      <c r="B305" s="137" t="s">
        <v>180</v>
      </c>
      <c r="C305" s="29"/>
      <c r="D305" s="31">
        <f t="shared" si="182"/>
        <v>0</v>
      </c>
      <c r="E305" s="31">
        <f t="shared" si="182"/>
        <v>0</v>
      </c>
      <c r="F305" s="31">
        <f t="shared" si="182"/>
        <v>0</v>
      </c>
      <c r="G305" s="31">
        <f t="shared" si="182"/>
        <v>0</v>
      </c>
      <c r="H305" s="31">
        <f t="shared" si="182"/>
        <v>0</v>
      </c>
      <c r="I305" s="31">
        <f t="shared" si="182"/>
        <v>0</v>
      </c>
      <c r="J305" s="31">
        <f t="shared" si="182"/>
        <v>0</v>
      </c>
      <c r="K305" s="31">
        <f t="shared" si="182"/>
        <v>0</v>
      </c>
      <c r="L305" s="31">
        <f t="shared" si="182"/>
        <v>0</v>
      </c>
      <c r="M305" s="31">
        <f t="shared" si="182"/>
        <v>0</v>
      </c>
    </row>
    <row r="306" spans="1:13" s="13" customFormat="1" ht="12.75" customHeight="1">
      <c r="A306" s="26"/>
      <c r="B306" s="5"/>
      <c r="C306" s="5"/>
      <c r="D306" s="39"/>
      <c r="E306" s="39"/>
      <c r="F306" s="39"/>
      <c r="G306" s="39"/>
      <c r="H306" s="39"/>
      <c r="I306" s="39"/>
      <c r="J306" s="39"/>
      <c r="K306" s="39"/>
      <c r="L306" s="39"/>
      <c r="M306" s="39"/>
    </row>
    <row r="307" spans="1:13" s="13" customFormat="1" ht="12.75" customHeight="1">
      <c r="A307"/>
      <c r="B307"/>
      <c r="C307"/>
      <c r="D307" s="39"/>
      <c r="E307" s="39"/>
      <c r="F307" s="39"/>
      <c r="G307" s="39"/>
      <c r="H307" s="39"/>
      <c r="I307" s="39"/>
      <c r="J307" s="39"/>
      <c r="K307" s="39"/>
      <c r="L307" s="39"/>
      <c r="M307" s="39"/>
    </row>
    <row r="308" spans="1:13" s="13" customFormat="1" ht="12.75" customHeight="1">
      <c r="A308"/>
      <c r="B308"/>
      <c r="C308"/>
      <c r="D308" s="39"/>
      <c r="E308" s="39"/>
      <c r="F308" s="39"/>
      <c r="G308" s="39"/>
      <c r="H308" s="39"/>
      <c r="I308" s="39"/>
      <c r="J308" s="39"/>
      <c r="K308" s="39"/>
      <c r="L308" s="39"/>
      <c r="M308" s="39"/>
    </row>
    <row r="309" spans="1:13" s="13" customFormat="1" ht="12.75" customHeight="1">
      <c r="A309"/>
      <c r="B309"/>
      <c r="C309"/>
    </row>
    <row r="310" spans="1:13" ht="12.75" customHeight="1"/>
    <row r="311" spans="1:13" ht="12.75" customHeight="1">
      <c r="A311" s="5"/>
      <c r="B311" s="29"/>
      <c r="C311" s="29"/>
      <c r="D311" s="31"/>
      <c r="E311" s="31"/>
      <c r="F311" s="31"/>
      <c r="G311" s="31"/>
      <c r="H311" s="31"/>
      <c r="I311" s="31"/>
      <c r="J311" s="31"/>
      <c r="K311" s="31"/>
      <c r="L311" s="31"/>
      <c r="M311" s="31"/>
    </row>
    <row r="312" spans="1:13" ht="12.75" hidden="1" customHeight="1">
      <c r="A312" s="5"/>
      <c r="B312" s="29"/>
      <c r="C312" s="29"/>
      <c r="D312" s="31"/>
      <c r="E312" s="31"/>
      <c r="F312" s="31"/>
      <c r="G312" s="31"/>
      <c r="H312" s="31"/>
      <c r="I312" s="31"/>
      <c r="J312" s="31"/>
      <c r="K312" s="31"/>
      <c r="L312" s="31"/>
      <c r="M312" s="31"/>
    </row>
    <row r="313" spans="1:13" ht="12.75" hidden="1" customHeight="1">
      <c r="A313" s="5"/>
      <c r="B313" s="29"/>
      <c r="C313" s="29"/>
      <c r="D313" s="31"/>
      <c r="E313" s="31"/>
      <c r="F313" s="31"/>
      <c r="G313" s="31"/>
      <c r="H313" s="31"/>
      <c r="I313" s="31"/>
      <c r="J313" s="31"/>
      <c r="K313" s="31"/>
      <c r="L313" s="31"/>
      <c r="M313" s="31"/>
    </row>
    <row r="314" spans="1:13" ht="12.75" hidden="1" customHeight="1">
      <c r="A314" s="5"/>
      <c r="B314" s="29"/>
      <c r="C314" s="29"/>
      <c r="D314" s="31"/>
      <c r="E314" s="31"/>
      <c r="F314" s="31"/>
      <c r="G314" s="31"/>
      <c r="H314" s="31"/>
      <c r="I314" s="31"/>
      <c r="J314" s="31"/>
      <c r="K314" s="31"/>
      <c r="L314" s="31"/>
      <c r="M314" s="31"/>
    </row>
    <row r="315" spans="1:13" ht="16.5" hidden="1" customHeight="1">
      <c r="A315" s="5"/>
      <c r="B315" s="29"/>
      <c r="C315" s="29"/>
      <c r="D315" s="31"/>
      <c r="E315" s="31"/>
      <c r="F315" s="31"/>
      <c r="G315" s="31"/>
      <c r="H315" s="31"/>
      <c r="I315" s="31"/>
      <c r="J315" s="31"/>
      <c r="K315" s="31"/>
      <c r="L315" s="31"/>
      <c r="M315" s="31"/>
    </row>
    <row r="316" spans="1:13" ht="16.5" hidden="1" customHeight="1">
      <c r="A316" s="5"/>
      <c r="B316" s="29"/>
      <c r="C316" s="29"/>
    </row>
  </sheetData>
  <sheetProtection sheet="1" objects="1" scenarios="1"/>
  <phoneticPr fontId="0" type="noConversion"/>
  <pageMargins left="0.25" right="0.25" top="0.48" bottom="0.51" header="0" footer="0"/>
  <pageSetup scale="65" fitToHeight="0" orientation="landscape" horizontalDpi="300" verticalDpi="300" r:id="rId1"/>
  <headerFooter alignWithMargins="0"/>
  <rowBreaks count="3" manualBreakCount="3">
    <brk id="78" max="12" man="1"/>
    <brk id="158" max="12" man="1"/>
    <brk id="238" max="12"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pageSetUpPr fitToPage="1"/>
  </sheetPr>
  <dimension ref="A1:M316"/>
  <sheetViews>
    <sheetView showGridLines="0" zoomScale="86" zoomScaleNormal="86" workbookViewId="0">
      <pane xSplit="3" ySplit="6" topLeftCell="D7" activePane="bottomRight" state="frozen"/>
      <selection pane="topRight" activeCell="D1" sqref="D1"/>
      <selection pane="bottomLeft" activeCell="A5" sqref="A5"/>
      <selection pane="bottomRight" activeCell="B7" sqref="B7"/>
    </sheetView>
  </sheetViews>
  <sheetFormatPr defaultColWidth="0" defaultRowHeight="12.5" zeroHeight="1"/>
  <cols>
    <col min="1" max="1" width="20.54296875" customWidth="1"/>
    <col min="2" max="2" width="16.7265625" customWidth="1"/>
    <col min="3" max="3" width="21.7265625" customWidth="1"/>
    <col min="4" max="14" width="14.54296875" customWidth="1"/>
  </cols>
  <sheetData>
    <row r="1" spans="1:13"/>
    <row r="2" spans="1:13"/>
    <row r="3" spans="1:13" s="13" customFormat="1" ht="16.5" customHeight="1">
      <c r="A3" s="34"/>
      <c r="B3" s="18"/>
      <c r="C3" s="18"/>
      <c r="F3" s="14" t="s">
        <v>42</v>
      </c>
      <c r="H3" s="34" t="s">
        <v>788</v>
      </c>
      <c r="M3" s="14"/>
    </row>
    <row r="4" spans="1:13" s="13" customFormat="1" ht="16.5" customHeight="1">
      <c r="A4" s="34"/>
      <c r="D4" s="18"/>
      <c r="E4" s="14"/>
    </row>
    <row r="5" spans="1:13" s="13" customFormat="1" ht="16.5" customHeight="1">
      <c r="A5" s="14"/>
      <c r="D5" s="15">
        <f>Input!G8</f>
        <v>2024</v>
      </c>
      <c r="E5" s="15">
        <f t="shared" ref="E5:M5" si="0">D5+1</f>
        <v>2025</v>
      </c>
      <c r="F5" s="15">
        <f t="shared" si="0"/>
        <v>2026</v>
      </c>
      <c r="G5" s="15">
        <f t="shared" si="0"/>
        <v>2027</v>
      </c>
      <c r="H5" s="15">
        <f t="shared" si="0"/>
        <v>2028</v>
      </c>
      <c r="I5" s="15">
        <f t="shared" si="0"/>
        <v>2029</v>
      </c>
      <c r="J5" s="15">
        <f t="shared" si="0"/>
        <v>2030</v>
      </c>
      <c r="K5" s="15">
        <f t="shared" si="0"/>
        <v>2031</v>
      </c>
      <c r="L5" s="15">
        <f t="shared" si="0"/>
        <v>2032</v>
      </c>
      <c r="M5" s="15">
        <f t="shared" si="0"/>
        <v>2033</v>
      </c>
    </row>
    <row r="6" spans="1:13" s="13" customFormat="1" ht="16.5" customHeight="1">
      <c r="A6" s="34"/>
      <c r="B6" s="14"/>
      <c r="C6" s="14"/>
      <c r="D6" s="15" t="s">
        <v>46</v>
      </c>
      <c r="E6" s="15" t="s">
        <v>46</v>
      </c>
      <c r="F6" s="15" t="s">
        <v>46</v>
      </c>
      <c r="G6" s="15" t="s">
        <v>46</v>
      </c>
      <c r="H6" s="15" t="s">
        <v>46</v>
      </c>
      <c r="I6" s="15" t="s">
        <v>46</v>
      </c>
      <c r="J6" s="15" t="s">
        <v>46</v>
      </c>
      <c r="K6" s="15" t="s">
        <v>46</v>
      </c>
      <c r="L6" s="15" t="s">
        <v>46</v>
      </c>
      <c r="M6" s="15" t="s">
        <v>46</v>
      </c>
    </row>
    <row r="7" spans="1:13" s="13" customFormat="1" ht="12.75" customHeight="1">
      <c r="A7" s="30" t="s">
        <v>858</v>
      </c>
      <c r="B7" s="99"/>
      <c r="C7" t="s">
        <v>800</v>
      </c>
      <c r="D7" s="179" t="s">
        <v>801</v>
      </c>
      <c r="E7" s="1"/>
      <c r="F7"/>
      <c r="G7"/>
      <c r="H7"/>
      <c r="I7"/>
      <c r="J7"/>
      <c r="K7"/>
      <c r="L7"/>
      <c r="M7"/>
    </row>
    <row r="8" spans="1:13" s="13" customFormat="1" ht="12.75" customHeight="1">
      <c r="A8" s="26" t="s">
        <v>677</v>
      </c>
      <c r="B8" s="133">
        <v>29373</v>
      </c>
      <c r="C8" s="5" t="s">
        <v>639</v>
      </c>
      <c r="D8" s="180">
        <f>IF($D7="V",Input!G$70,IF(AND($B14=D$5,Input!G$65&gt;0),Input!G$65,$B11))</f>
        <v>7.0000000000000007E-2</v>
      </c>
      <c r="E8" s="180">
        <f>IF($D7="V",Input!H$70,IF(AND($B14=E$5,Input!H$65&gt;0),Input!H$65,D8))</f>
        <v>7.0000000000000007E-2</v>
      </c>
      <c r="F8" s="180">
        <f>IF($D7="V",Input!I$70,IF(AND($B14=F$5,Input!I$65&gt;0),Input!I$65,E8))</f>
        <v>7.0000000000000007E-2</v>
      </c>
      <c r="G8" s="180">
        <f>IF($D7="V",Input!J$70,IF(AND($B14=G$5,Input!J$65&gt;0),Input!J$65,F8))</f>
        <v>7.0000000000000007E-2</v>
      </c>
      <c r="H8" s="180">
        <f>IF($D7="V",Input!K$70,IF(AND($B14=H$5,Input!K$65&gt;0),Input!K$65,G8))</f>
        <v>7.0000000000000007E-2</v>
      </c>
      <c r="I8" s="180">
        <f>IF($D7="V",Input!L$70,IF(AND($B14=I$5,Input!L$65&gt;0),Input!L$65,H8))</f>
        <v>7.0000000000000007E-2</v>
      </c>
      <c r="J8" s="180">
        <f>IF($D7="V",Input!M$70,IF(AND($B14=J$5,Input!M$65&gt;0),Input!M$65,I8))</f>
        <v>7.0000000000000007E-2</v>
      </c>
      <c r="K8" s="180">
        <f>IF($D7="V",Input!N$70,IF(AND($B14=K$5,Input!N$65&gt;0),Input!N$65,J8))</f>
        <v>7.0000000000000007E-2</v>
      </c>
      <c r="L8" s="180">
        <f>IF($D7="V",Input!O$70,IF(AND($B14=L$5,Input!O$65&gt;0),Input!O$65,K8))</f>
        <v>7.0000000000000007E-2</v>
      </c>
      <c r="M8" s="180">
        <f>IF($D7="V",Input!P$70,IF(AND($B14=M$5,Input!P$65&gt;0),Input!P$65,L8))</f>
        <v>7.0000000000000007E-2</v>
      </c>
    </row>
    <row r="9" spans="1:13" s="13" customFormat="1" ht="12.75" customHeight="1">
      <c r="A9" s="5" t="s">
        <v>361</v>
      </c>
      <c r="B9" s="181">
        <v>0</v>
      </c>
      <c r="C9" s="27" t="s">
        <v>173</v>
      </c>
      <c r="D9" s="182">
        <v>0</v>
      </c>
      <c r="E9" s="183">
        <f t="shared" ref="E9:M9" si="1">D14</f>
        <v>0</v>
      </c>
      <c r="F9" s="183">
        <f t="shared" si="1"/>
        <v>0</v>
      </c>
      <c r="G9" s="183">
        <f t="shared" si="1"/>
        <v>0</v>
      </c>
      <c r="H9" s="183">
        <f t="shared" si="1"/>
        <v>0</v>
      </c>
      <c r="I9" s="183">
        <f t="shared" si="1"/>
        <v>0</v>
      </c>
      <c r="J9" s="183">
        <f t="shared" si="1"/>
        <v>0</v>
      </c>
      <c r="K9" s="183">
        <f t="shared" si="1"/>
        <v>0</v>
      </c>
      <c r="L9" s="183">
        <f t="shared" si="1"/>
        <v>0</v>
      </c>
      <c r="M9" s="183">
        <f t="shared" si="1"/>
        <v>0</v>
      </c>
    </row>
    <row r="10" spans="1:13" s="13" customFormat="1" ht="12.75" customHeight="1">
      <c r="A10" s="26" t="s">
        <v>170</v>
      </c>
      <c r="B10" s="131">
        <v>35</v>
      </c>
      <c r="C10" s="184" t="s">
        <v>169</v>
      </c>
      <c r="D10" s="183">
        <f t="shared" ref="D10:M10" si="2">D12-D11</f>
        <v>0</v>
      </c>
      <c r="E10" s="183">
        <f t="shared" si="2"/>
        <v>0</v>
      </c>
      <c r="F10" s="183">
        <f t="shared" si="2"/>
        <v>0</v>
      </c>
      <c r="G10" s="183">
        <f t="shared" si="2"/>
        <v>0</v>
      </c>
      <c r="H10" s="183">
        <f t="shared" si="2"/>
        <v>0</v>
      </c>
      <c r="I10" s="183">
        <f t="shared" si="2"/>
        <v>0</v>
      </c>
      <c r="J10" s="183">
        <f t="shared" si="2"/>
        <v>0</v>
      </c>
      <c r="K10" s="183">
        <f t="shared" si="2"/>
        <v>0</v>
      </c>
      <c r="L10" s="183">
        <f t="shared" si="2"/>
        <v>0</v>
      </c>
      <c r="M10" s="183">
        <f t="shared" si="2"/>
        <v>0</v>
      </c>
    </row>
    <row r="11" spans="1:13" s="13" customFormat="1" ht="12.75" customHeight="1">
      <c r="A11" s="5" t="s">
        <v>172</v>
      </c>
      <c r="B11" s="185">
        <v>7.0000000000000007E-2</v>
      </c>
      <c r="C11" s="5" t="s">
        <v>174</v>
      </c>
      <c r="D11" s="183">
        <f t="shared" ref="D11:M11" si="3">IF(AND($B13="Y",YEAR($B8)+$B10&gt;D$5),D16,IF((YEAR($B8)+$B10)&gt;D$5,FV(D8/$B12,$B12,D15),D9))</f>
        <v>0</v>
      </c>
      <c r="E11" s="183">
        <f t="shared" si="3"/>
        <v>0</v>
      </c>
      <c r="F11" s="183">
        <f t="shared" si="3"/>
        <v>0</v>
      </c>
      <c r="G11" s="183">
        <f t="shared" si="3"/>
        <v>0</v>
      </c>
      <c r="H11" s="183">
        <f t="shared" si="3"/>
        <v>0</v>
      </c>
      <c r="I11" s="183">
        <f t="shared" si="3"/>
        <v>0</v>
      </c>
      <c r="J11" s="183">
        <f t="shared" si="3"/>
        <v>0</v>
      </c>
      <c r="K11" s="183">
        <f t="shared" si="3"/>
        <v>0</v>
      </c>
      <c r="L11" s="183">
        <f t="shared" si="3"/>
        <v>0</v>
      </c>
      <c r="M11" s="183">
        <f t="shared" si="3"/>
        <v>0</v>
      </c>
    </row>
    <row r="12" spans="1:13" s="13" customFormat="1" ht="12.75" customHeight="1">
      <c r="A12" s="5" t="s">
        <v>171</v>
      </c>
      <c r="B12" s="131">
        <v>4</v>
      </c>
      <c r="C12" s="186" t="s">
        <v>640</v>
      </c>
      <c r="D12" s="183">
        <f t="shared" ref="D12:M12" si="4">IF(AND($B13="Y",YEAR($B8)+$B10&gt;D$5),D16+D8*(D9-D16*0.5),IF((YEAR($B8)+$B10)&gt;D$5,(D9*D8/$B12-D15)*$B12,(D9*(1+D8*MONTH($B8)/12))))</f>
        <v>0</v>
      </c>
      <c r="E12" s="183">
        <f t="shared" si="4"/>
        <v>0</v>
      </c>
      <c r="F12" s="183">
        <f t="shared" si="4"/>
        <v>0</v>
      </c>
      <c r="G12" s="183">
        <f t="shared" si="4"/>
        <v>0</v>
      </c>
      <c r="H12" s="183">
        <f t="shared" si="4"/>
        <v>0</v>
      </c>
      <c r="I12" s="183">
        <f t="shared" si="4"/>
        <v>0</v>
      </c>
      <c r="J12" s="183">
        <f t="shared" si="4"/>
        <v>0</v>
      </c>
      <c r="K12" s="183">
        <f t="shared" si="4"/>
        <v>0</v>
      </c>
      <c r="L12" s="183">
        <f t="shared" si="4"/>
        <v>0</v>
      </c>
      <c r="M12" s="183">
        <f t="shared" si="4"/>
        <v>0</v>
      </c>
    </row>
    <row r="13" spans="1:13" s="13" customFormat="1" ht="12.75" customHeight="1">
      <c r="A13" s="5" t="s">
        <v>767</v>
      </c>
      <c r="B13" s="131" t="s">
        <v>719</v>
      </c>
      <c r="C13" s="187" t="s">
        <v>768</v>
      </c>
      <c r="D13" s="188">
        <v>0</v>
      </c>
      <c r="E13" s="188">
        <v>0</v>
      </c>
      <c r="F13" s="188">
        <v>0</v>
      </c>
      <c r="G13" s="188">
        <v>0</v>
      </c>
      <c r="H13" s="188">
        <v>0</v>
      </c>
      <c r="I13" s="188">
        <v>0</v>
      </c>
      <c r="J13" s="188">
        <v>0</v>
      </c>
      <c r="K13" s="188">
        <v>0</v>
      </c>
      <c r="L13" s="188">
        <v>0</v>
      </c>
      <c r="M13" s="188">
        <v>0</v>
      </c>
    </row>
    <row r="14" spans="1:13" s="13" customFormat="1" ht="12.75" customHeight="1">
      <c r="A14" s="5" t="s">
        <v>182</v>
      </c>
      <c r="B14" s="131"/>
      <c r="C14" s="30" t="s">
        <v>175</v>
      </c>
      <c r="D14" s="183">
        <f t="shared" ref="D14:M14" si="5">D9+D10-D12-D13</f>
        <v>0</v>
      </c>
      <c r="E14" s="183">
        <f t="shared" si="5"/>
        <v>0</v>
      </c>
      <c r="F14" s="183">
        <f t="shared" si="5"/>
        <v>0</v>
      </c>
      <c r="G14" s="183">
        <f t="shared" si="5"/>
        <v>0</v>
      </c>
      <c r="H14" s="183">
        <f t="shared" si="5"/>
        <v>0</v>
      </c>
      <c r="I14" s="183">
        <f t="shared" si="5"/>
        <v>0</v>
      </c>
      <c r="J14" s="183">
        <f t="shared" si="5"/>
        <v>0</v>
      </c>
      <c r="K14" s="183">
        <f t="shared" si="5"/>
        <v>0</v>
      </c>
      <c r="L14" s="183">
        <f t="shared" si="5"/>
        <v>0</v>
      </c>
      <c r="M14" s="183">
        <f t="shared" si="5"/>
        <v>0</v>
      </c>
    </row>
    <row r="15" spans="1:13" s="13" customFormat="1" ht="12.75" hidden="1" customHeight="1">
      <c r="A15" s="5"/>
      <c r="B15" s="138"/>
      <c r="C15" s="5" t="s">
        <v>769</v>
      </c>
      <c r="D15" s="183" t="e">
        <f t="shared" ref="D15:M15" si="6">PPMT(D8/$B12,1,ROUND(($B10-(D$5-YEAR($B8))+MONTH($B8)/12)*$B12,0),D9)</f>
        <v>#NUM!</v>
      </c>
      <c r="E15" s="183" t="e">
        <f t="shared" si="6"/>
        <v>#NUM!</v>
      </c>
      <c r="F15" s="183" t="e">
        <f t="shared" si="6"/>
        <v>#NUM!</v>
      </c>
      <c r="G15" s="183" t="e">
        <f t="shared" si="6"/>
        <v>#NUM!</v>
      </c>
      <c r="H15" s="183" t="e">
        <f t="shared" si="6"/>
        <v>#NUM!</v>
      </c>
      <c r="I15" s="183" t="e">
        <f t="shared" si="6"/>
        <v>#NUM!</v>
      </c>
      <c r="J15" s="183" t="e">
        <f t="shared" si="6"/>
        <v>#NUM!</v>
      </c>
      <c r="K15" s="183" t="e">
        <f t="shared" si="6"/>
        <v>#NUM!</v>
      </c>
      <c r="L15" s="183" t="e">
        <f t="shared" si="6"/>
        <v>#NUM!</v>
      </c>
      <c r="M15" s="183" t="e">
        <f t="shared" si="6"/>
        <v>#NUM!</v>
      </c>
    </row>
    <row r="16" spans="1:13" s="13" customFormat="1" ht="12.75" hidden="1" customHeight="1">
      <c r="A16" s="5"/>
      <c r="B16" s="5"/>
      <c r="C16" s="5" t="s">
        <v>770</v>
      </c>
      <c r="D16" s="183">
        <f t="shared" ref="D16:M16" si="7">IF(YEAR($B8)+$B10&gt;D$5,D9/(YEAR($B8)+$B10-D$5+MONTH($B8)/12),D9)</f>
        <v>0</v>
      </c>
      <c r="E16" s="183">
        <f t="shared" si="7"/>
        <v>0</v>
      </c>
      <c r="F16" s="183">
        <f t="shared" si="7"/>
        <v>0</v>
      </c>
      <c r="G16" s="183">
        <f t="shared" si="7"/>
        <v>0</v>
      </c>
      <c r="H16" s="183">
        <f t="shared" si="7"/>
        <v>0</v>
      </c>
      <c r="I16" s="183">
        <f t="shared" si="7"/>
        <v>0</v>
      </c>
      <c r="J16" s="183">
        <f t="shared" si="7"/>
        <v>0</v>
      </c>
      <c r="K16" s="183">
        <f t="shared" si="7"/>
        <v>0</v>
      </c>
      <c r="L16" s="183">
        <f t="shared" si="7"/>
        <v>0</v>
      </c>
      <c r="M16" s="183">
        <f t="shared" si="7"/>
        <v>0</v>
      </c>
    </row>
    <row r="17" spans="1:13" s="13" customFormat="1" ht="12.75" customHeight="1">
      <c r="A17" s="5"/>
      <c r="B17" s="5"/>
      <c r="C17" s="5"/>
      <c r="D17" s="183"/>
      <c r="E17" s="183"/>
      <c r="F17" s="183"/>
      <c r="G17" s="183"/>
      <c r="H17" s="183"/>
      <c r="I17" s="183"/>
      <c r="J17" s="183"/>
      <c r="K17" s="183"/>
      <c r="L17" s="183"/>
      <c r="M17" s="183"/>
    </row>
    <row r="18" spans="1:13" s="13" customFormat="1" ht="12.75" customHeight="1">
      <c r="A18" s="5"/>
      <c r="B18" s="5"/>
      <c r="C18" s="5"/>
      <c r="D18" s="183"/>
      <c r="E18" s="183"/>
      <c r="F18" s="183"/>
      <c r="G18" s="183"/>
      <c r="H18" s="183"/>
      <c r="I18" s="183"/>
      <c r="J18" s="183"/>
      <c r="K18" s="183"/>
      <c r="L18" s="183"/>
      <c r="M18" s="183"/>
    </row>
    <row r="19" spans="1:13" s="13" customFormat="1" ht="12.75" customHeight="1">
      <c r="A19" s="30" t="s">
        <v>859</v>
      </c>
      <c r="B19" s="99"/>
      <c r="C19" t="s">
        <v>800</v>
      </c>
      <c r="D19" s="179" t="s">
        <v>801</v>
      </c>
      <c r="E19" s="1"/>
      <c r="F19"/>
      <c r="G19"/>
      <c r="H19"/>
      <c r="I19"/>
      <c r="J19"/>
      <c r="K19"/>
      <c r="L19"/>
      <c r="M19"/>
    </row>
    <row r="20" spans="1:13" s="13" customFormat="1" ht="12.75" customHeight="1">
      <c r="A20" s="26" t="s">
        <v>677</v>
      </c>
      <c r="B20" s="133">
        <v>29373</v>
      </c>
      <c r="C20" s="5" t="s">
        <v>639</v>
      </c>
      <c r="D20" s="180">
        <f>IF($D19="V",Input!G$70,IF(AND($B26=D$5,Input!G$65&gt;0),Input!G$65,$B23))</f>
        <v>7.0000000000000007E-2</v>
      </c>
      <c r="E20" s="180">
        <f>IF($D19="V",Input!H$70,IF(AND($B26=E$5,Input!H$65&gt;0),Input!H$65,D20))</f>
        <v>7.0000000000000007E-2</v>
      </c>
      <c r="F20" s="180">
        <f>IF($D19="V",Input!I$70,IF(AND($B26=F$5,Input!I$65&gt;0),Input!I$65,E20))</f>
        <v>7.0000000000000007E-2</v>
      </c>
      <c r="G20" s="180">
        <f>IF($D19="V",Input!J$70,IF(AND($B26=G$5,Input!J$65&gt;0),Input!J$65,F20))</f>
        <v>7.0000000000000007E-2</v>
      </c>
      <c r="H20" s="180">
        <f>IF($D19="V",Input!K$70,IF(AND($B26=H$5,Input!K$65&gt;0),Input!K$65,G20))</f>
        <v>7.0000000000000007E-2</v>
      </c>
      <c r="I20" s="180">
        <f>IF($D19="V",Input!L$70,IF(AND($B26=I$5,Input!L$65&gt;0),Input!L$65,H20))</f>
        <v>7.0000000000000007E-2</v>
      </c>
      <c r="J20" s="180">
        <f>IF($D19="V",Input!M$70,IF(AND($B26=J$5,Input!M$65&gt;0),Input!M$65,I20))</f>
        <v>7.0000000000000007E-2</v>
      </c>
      <c r="K20" s="180">
        <f>IF($D19="V",Input!N$70,IF(AND($B26=K$5,Input!N$65&gt;0),Input!N$65,J20))</f>
        <v>7.0000000000000007E-2</v>
      </c>
      <c r="L20" s="180">
        <f>IF($D19="V",Input!O$70,IF(AND($B26=L$5,Input!O$65&gt;0),Input!O$65,K20))</f>
        <v>7.0000000000000007E-2</v>
      </c>
      <c r="M20" s="180">
        <f>IF($D19="V",Input!P$70,IF(AND($B26=M$5,Input!P$65&gt;0),Input!P$65,L20))</f>
        <v>7.0000000000000007E-2</v>
      </c>
    </row>
    <row r="21" spans="1:13" s="13" customFormat="1" ht="12.75" customHeight="1">
      <c r="A21" s="5" t="s">
        <v>361</v>
      </c>
      <c r="B21" s="181">
        <v>0</v>
      </c>
      <c r="C21" s="27" t="s">
        <v>173</v>
      </c>
      <c r="D21" s="188">
        <v>0</v>
      </c>
      <c r="E21" s="183">
        <f t="shared" ref="E21:M21" si="8">D26</f>
        <v>0</v>
      </c>
      <c r="F21" s="183">
        <f t="shared" si="8"/>
        <v>0</v>
      </c>
      <c r="G21" s="183">
        <f t="shared" si="8"/>
        <v>0</v>
      </c>
      <c r="H21" s="183">
        <f t="shared" si="8"/>
        <v>0</v>
      </c>
      <c r="I21" s="183">
        <f t="shared" si="8"/>
        <v>0</v>
      </c>
      <c r="J21" s="183">
        <f t="shared" si="8"/>
        <v>0</v>
      </c>
      <c r="K21" s="183">
        <f t="shared" si="8"/>
        <v>0</v>
      </c>
      <c r="L21" s="183">
        <f t="shared" si="8"/>
        <v>0</v>
      </c>
      <c r="M21" s="183">
        <f t="shared" si="8"/>
        <v>0</v>
      </c>
    </row>
    <row r="22" spans="1:13" s="13" customFormat="1" ht="12.75" customHeight="1">
      <c r="A22" s="26" t="s">
        <v>170</v>
      </c>
      <c r="B22" s="131">
        <v>35</v>
      </c>
      <c r="C22" s="184" t="s">
        <v>169</v>
      </c>
      <c r="D22" s="183">
        <f t="shared" ref="D22:M22" si="9">D24-D23</f>
        <v>0</v>
      </c>
      <c r="E22" s="183">
        <f t="shared" si="9"/>
        <v>0</v>
      </c>
      <c r="F22" s="183">
        <f t="shared" si="9"/>
        <v>0</v>
      </c>
      <c r="G22" s="183">
        <f t="shared" si="9"/>
        <v>0</v>
      </c>
      <c r="H22" s="183">
        <f t="shared" si="9"/>
        <v>0</v>
      </c>
      <c r="I22" s="183">
        <f t="shared" si="9"/>
        <v>0</v>
      </c>
      <c r="J22" s="183">
        <f t="shared" si="9"/>
        <v>0</v>
      </c>
      <c r="K22" s="183">
        <f t="shared" si="9"/>
        <v>0</v>
      </c>
      <c r="L22" s="183">
        <f t="shared" si="9"/>
        <v>0</v>
      </c>
      <c r="M22" s="183">
        <f t="shared" si="9"/>
        <v>0</v>
      </c>
    </row>
    <row r="23" spans="1:13" s="13" customFormat="1" ht="12.75" customHeight="1">
      <c r="A23" s="5" t="s">
        <v>172</v>
      </c>
      <c r="B23" s="185">
        <f>B11</f>
        <v>7.0000000000000007E-2</v>
      </c>
      <c r="C23" s="5" t="s">
        <v>174</v>
      </c>
      <c r="D23" s="183">
        <f t="shared" ref="D23:M23" si="10">IF(AND($B25="Y",YEAR($B20)+$B22&gt;D$5),D28,IF((YEAR($B20)+$B22)&gt;D$5,FV(D20/$B24,$B24,D27),D21))</f>
        <v>0</v>
      </c>
      <c r="E23" s="183">
        <f t="shared" si="10"/>
        <v>0</v>
      </c>
      <c r="F23" s="183">
        <f t="shared" si="10"/>
        <v>0</v>
      </c>
      <c r="G23" s="183">
        <f t="shared" si="10"/>
        <v>0</v>
      </c>
      <c r="H23" s="183">
        <f t="shared" si="10"/>
        <v>0</v>
      </c>
      <c r="I23" s="183">
        <f t="shared" si="10"/>
        <v>0</v>
      </c>
      <c r="J23" s="183">
        <f t="shared" si="10"/>
        <v>0</v>
      </c>
      <c r="K23" s="183">
        <f t="shared" si="10"/>
        <v>0</v>
      </c>
      <c r="L23" s="183">
        <f t="shared" si="10"/>
        <v>0</v>
      </c>
      <c r="M23" s="183">
        <f t="shared" si="10"/>
        <v>0</v>
      </c>
    </row>
    <row r="24" spans="1:13" s="13" customFormat="1" ht="12.75" customHeight="1">
      <c r="A24" s="5" t="s">
        <v>171</v>
      </c>
      <c r="B24" s="131">
        <v>4</v>
      </c>
      <c r="C24" s="186" t="s">
        <v>640</v>
      </c>
      <c r="D24" s="183">
        <f t="shared" ref="D24:M24" si="11">IF(AND($B25="Y",YEAR($B20)+$B22&gt;D$5),D28+D20*(D21-D28*0.5),IF((YEAR($B20)+$B22)&gt;D$5,(D21*D20/$B24-D27)*$B24,(D21*(1+D20*MONTH($B20)/12))))</f>
        <v>0</v>
      </c>
      <c r="E24" s="183">
        <f t="shared" si="11"/>
        <v>0</v>
      </c>
      <c r="F24" s="183">
        <f t="shared" si="11"/>
        <v>0</v>
      </c>
      <c r="G24" s="183">
        <f t="shared" si="11"/>
        <v>0</v>
      </c>
      <c r="H24" s="183">
        <f t="shared" si="11"/>
        <v>0</v>
      </c>
      <c r="I24" s="183">
        <f t="shared" si="11"/>
        <v>0</v>
      </c>
      <c r="J24" s="183">
        <f t="shared" si="11"/>
        <v>0</v>
      </c>
      <c r="K24" s="183">
        <f t="shared" si="11"/>
        <v>0</v>
      </c>
      <c r="L24" s="183">
        <f t="shared" si="11"/>
        <v>0</v>
      </c>
      <c r="M24" s="183">
        <f t="shared" si="11"/>
        <v>0</v>
      </c>
    </row>
    <row r="25" spans="1:13" s="13" customFormat="1" ht="12.75" customHeight="1">
      <c r="A25" s="5" t="s">
        <v>767</v>
      </c>
      <c r="B25" s="131" t="s">
        <v>719</v>
      </c>
      <c r="C25" s="187" t="s">
        <v>768</v>
      </c>
      <c r="D25" s="188">
        <v>0</v>
      </c>
      <c r="E25" s="188">
        <v>0</v>
      </c>
      <c r="F25" s="188">
        <v>0</v>
      </c>
      <c r="G25" s="188">
        <v>0</v>
      </c>
      <c r="H25" s="188">
        <v>0</v>
      </c>
      <c r="I25" s="188">
        <v>0</v>
      </c>
      <c r="J25" s="188">
        <v>0</v>
      </c>
      <c r="K25" s="188">
        <v>0</v>
      </c>
      <c r="L25" s="188">
        <v>0</v>
      </c>
      <c r="M25" s="188">
        <v>0</v>
      </c>
    </row>
    <row r="26" spans="1:13" s="13" customFormat="1" ht="12.75" customHeight="1">
      <c r="A26" s="5" t="s">
        <v>182</v>
      </c>
      <c r="B26" s="131"/>
      <c r="C26" s="30" t="s">
        <v>175</v>
      </c>
      <c r="D26" s="183">
        <f t="shared" ref="D26:M26" si="12">D21+D22-D24-D25</f>
        <v>0</v>
      </c>
      <c r="E26" s="183">
        <f t="shared" si="12"/>
        <v>0</v>
      </c>
      <c r="F26" s="183">
        <f t="shared" si="12"/>
        <v>0</v>
      </c>
      <c r="G26" s="183">
        <f t="shared" si="12"/>
        <v>0</v>
      </c>
      <c r="H26" s="183">
        <f t="shared" si="12"/>
        <v>0</v>
      </c>
      <c r="I26" s="183">
        <f t="shared" si="12"/>
        <v>0</v>
      </c>
      <c r="J26" s="183">
        <f t="shared" si="12"/>
        <v>0</v>
      </c>
      <c r="K26" s="183">
        <f t="shared" si="12"/>
        <v>0</v>
      </c>
      <c r="L26" s="183">
        <f t="shared" si="12"/>
        <v>0</v>
      </c>
      <c r="M26" s="183">
        <f t="shared" si="12"/>
        <v>0</v>
      </c>
    </row>
    <row r="27" spans="1:13" s="13" customFormat="1" ht="12.75" hidden="1" customHeight="1">
      <c r="A27" s="5"/>
      <c r="B27" s="138"/>
      <c r="C27" s="5" t="s">
        <v>769</v>
      </c>
      <c r="D27" s="183" t="e">
        <f t="shared" ref="D27:M27" si="13">PPMT(D20/$B24,1,ROUND(($B22-(D$5-YEAR($B20))+MONTH($B20)/12)*$B24,0),D21)</f>
        <v>#NUM!</v>
      </c>
      <c r="E27" s="183" t="e">
        <f t="shared" si="13"/>
        <v>#NUM!</v>
      </c>
      <c r="F27" s="183" t="e">
        <f t="shared" si="13"/>
        <v>#NUM!</v>
      </c>
      <c r="G27" s="183" t="e">
        <f t="shared" si="13"/>
        <v>#NUM!</v>
      </c>
      <c r="H27" s="183" t="e">
        <f t="shared" si="13"/>
        <v>#NUM!</v>
      </c>
      <c r="I27" s="183" t="e">
        <f t="shared" si="13"/>
        <v>#NUM!</v>
      </c>
      <c r="J27" s="183" t="e">
        <f t="shared" si="13"/>
        <v>#NUM!</v>
      </c>
      <c r="K27" s="183" t="e">
        <f t="shared" si="13"/>
        <v>#NUM!</v>
      </c>
      <c r="L27" s="183" t="e">
        <f t="shared" si="13"/>
        <v>#NUM!</v>
      </c>
      <c r="M27" s="183" t="e">
        <f t="shared" si="13"/>
        <v>#NUM!</v>
      </c>
    </row>
    <row r="28" spans="1:13" s="13" customFormat="1" ht="12.75" hidden="1" customHeight="1">
      <c r="A28" s="5"/>
      <c r="B28" s="5"/>
      <c r="C28" s="5" t="s">
        <v>770</v>
      </c>
      <c r="D28" s="183">
        <f t="shared" ref="D28:M28" si="14">IF(YEAR($B20)+$B22&gt;D$5,D21/(YEAR($B20)+$B22-D$5+MONTH($B20)/12),D21)</f>
        <v>0</v>
      </c>
      <c r="E28" s="183">
        <f t="shared" si="14"/>
        <v>0</v>
      </c>
      <c r="F28" s="183">
        <f t="shared" si="14"/>
        <v>0</v>
      </c>
      <c r="G28" s="183">
        <f t="shared" si="14"/>
        <v>0</v>
      </c>
      <c r="H28" s="183">
        <f t="shared" si="14"/>
        <v>0</v>
      </c>
      <c r="I28" s="183">
        <f t="shared" si="14"/>
        <v>0</v>
      </c>
      <c r="J28" s="183">
        <f t="shared" si="14"/>
        <v>0</v>
      </c>
      <c r="K28" s="183">
        <f t="shared" si="14"/>
        <v>0</v>
      </c>
      <c r="L28" s="183">
        <f t="shared" si="14"/>
        <v>0</v>
      </c>
      <c r="M28" s="183">
        <f t="shared" si="14"/>
        <v>0</v>
      </c>
    </row>
    <row r="29" spans="1:13" s="13" customFormat="1" ht="12.75" customHeight="1">
      <c r="A29" s="5"/>
      <c r="B29" s="5"/>
      <c r="C29" s="5"/>
      <c r="D29" s="183"/>
      <c r="E29" s="183"/>
      <c r="F29" s="183"/>
      <c r="G29" s="183"/>
      <c r="H29" s="183"/>
      <c r="I29" s="183"/>
      <c r="J29" s="183"/>
      <c r="K29" s="183"/>
      <c r="L29" s="183"/>
      <c r="M29" s="183"/>
    </row>
    <row r="30" spans="1:13" s="13" customFormat="1" ht="12.75" customHeight="1">
      <c r="A30" s="5"/>
      <c r="B30" s="5"/>
      <c r="C30" s="5"/>
      <c r="D30" s="183"/>
      <c r="E30" s="183"/>
      <c r="F30" s="183"/>
      <c r="G30" s="183"/>
      <c r="H30" s="183"/>
      <c r="I30" s="183"/>
      <c r="J30" s="183"/>
      <c r="K30" s="183"/>
      <c r="L30" s="183"/>
      <c r="M30" s="183"/>
    </row>
    <row r="31" spans="1:13" s="13" customFormat="1" ht="12.75" customHeight="1">
      <c r="A31" s="30" t="s">
        <v>860</v>
      </c>
      <c r="B31" s="99"/>
      <c r="C31" t="s">
        <v>800</v>
      </c>
      <c r="D31" s="179" t="s">
        <v>801</v>
      </c>
      <c r="E31" s="1"/>
      <c r="F31"/>
      <c r="G31"/>
      <c r="H31"/>
      <c r="I31"/>
      <c r="J31"/>
      <c r="K31"/>
      <c r="L31"/>
      <c r="M31"/>
    </row>
    <row r="32" spans="1:13" s="13" customFormat="1" ht="12.75" customHeight="1">
      <c r="A32" s="26" t="s">
        <v>677</v>
      </c>
      <c r="B32" s="133">
        <v>29373</v>
      </c>
      <c r="C32" s="5" t="s">
        <v>639</v>
      </c>
      <c r="D32" s="180">
        <f>IF($D31="V",Input!G$70,IF(AND($B38=D$5,Input!G$65&gt;0),Input!G$65,$B35))</f>
        <v>7.0000000000000007E-2</v>
      </c>
      <c r="E32" s="180">
        <f>IF($D31="V",Input!H$70,IF(AND($B38=E$5,Input!H$65&gt;0),Input!H$65,D32))</f>
        <v>7.0000000000000007E-2</v>
      </c>
      <c r="F32" s="180">
        <f>IF($D31="V",Input!I$70,IF(AND($B38=F$5,Input!I$65&gt;0),Input!I$65,E32))</f>
        <v>7.0000000000000007E-2</v>
      </c>
      <c r="G32" s="180">
        <f>IF($D31="V",Input!J$70,IF(AND($B38=G$5,Input!J$65&gt;0),Input!J$65,F32))</f>
        <v>7.0000000000000007E-2</v>
      </c>
      <c r="H32" s="180">
        <f>IF($D31="V",Input!K$70,IF(AND($B38=H$5,Input!K$65&gt;0),Input!K$65,G32))</f>
        <v>7.0000000000000007E-2</v>
      </c>
      <c r="I32" s="180">
        <f>IF($D31="V",Input!L$70,IF(AND($B38=I$5,Input!L$65&gt;0),Input!L$65,H32))</f>
        <v>7.0000000000000007E-2</v>
      </c>
      <c r="J32" s="180">
        <f>IF($D31="V",Input!M$70,IF(AND($B38=J$5,Input!M$65&gt;0),Input!M$65,I32))</f>
        <v>7.0000000000000007E-2</v>
      </c>
      <c r="K32" s="180">
        <f>IF($D31="V",Input!N$70,IF(AND($B38=K$5,Input!N$65&gt;0),Input!N$65,J32))</f>
        <v>7.0000000000000007E-2</v>
      </c>
      <c r="L32" s="180">
        <f>IF($D31="V",Input!O$70,IF(AND($B38=L$5,Input!O$65&gt;0),Input!O$65,K32))</f>
        <v>7.0000000000000007E-2</v>
      </c>
      <c r="M32" s="180">
        <f>IF($D31="V",Input!P$70,IF(AND($B38=M$5,Input!P$65&gt;0),Input!P$65,L32))</f>
        <v>7.0000000000000007E-2</v>
      </c>
    </row>
    <row r="33" spans="1:13" s="13" customFormat="1" ht="12.75" customHeight="1">
      <c r="A33" s="5" t="s">
        <v>361</v>
      </c>
      <c r="B33" s="181">
        <v>0</v>
      </c>
      <c r="C33" s="27" t="s">
        <v>173</v>
      </c>
      <c r="D33" s="188">
        <v>0</v>
      </c>
      <c r="E33" s="183">
        <f t="shared" ref="E33:M33" si="15">D38</f>
        <v>0</v>
      </c>
      <c r="F33" s="183">
        <f t="shared" si="15"/>
        <v>0</v>
      </c>
      <c r="G33" s="183">
        <f t="shared" si="15"/>
        <v>0</v>
      </c>
      <c r="H33" s="183">
        <f t="shared" si="15"/>
        <v>0</v>
      </c>
      <c r="I33" s="183">
        <f t="shared" si="15"/>
        <v>0</v>
      </c>
      <c r="J33" s="183">
        <f t="shared" si="15"/>
        <v>0</v>
      </c>
      <c r="K33" s="183">
        <f t="shared" si="15"/>
        <v>0</v>
      </c>
      <c r="L33" s="183">
        <f t="shared" si="15"/>
        <v>0</v>
      </c>
      <c r="M33" s="183">
        <f t="shared" si="15"/>
        <v>0</v>
      </c>
    </row>
    <row r="34" spans="1:13" s="13" customFormat="1" ht="12.75" customHeight="1">
      <c r="A34" s="26" t="s">
        <v>170</v>
      </c>
      <c r="B34" s="131">
        <v>35</v>
      </c>
      <c r="C34" s="184" t="s">
        <v>169</v>
      </c>
      <c r="D34" s="183">
        <f t="shared" ref="D34:M34" si="16">D36-D35</f>
        <v>0</v>
      </c>
      <c r="E34" s="183">
        <f t="shared" si="16"/>
        <v>0</v>
      </c>
      <c r="F34" s="183">
        <f t="shared" si="16"/>
        <v>0</v>
      </c>
      <c r="G34" s="183">
        <f t="shared" si="16"/>
        <v>0</v>
      </c>
      <c r="H34" s="183">
        <f t="shared" si="16"/>
        <v>0</v>
      </c>
      <c r="I34" s="183">
        <f t="shared" si="16"/>
        <v>0</v>
      </c>
      <c r="J34" s="183">
        <f t="shared" si="16"/>
        <v>0</v>
      </c>
      <c r="K34" s="183">
        <f t="shared" si="16"/>
        <v>0</v>
      </c>
      <c r="L34" s="183">
        <f t="shared" si="16"/>
        <v>0</v>
      </c>
      <c r="M34" s="183">
        <f t="shared" si="16"/>
        <v>0</v>
      </c>
    </row>
    <row r="35" spans="1:13" s="13" customFormat="1" ht="12.75" customHeight="1">
      <c r="A35" s="5" t="s">
        <v>172</v>
      </c>
      <c r="B35" s="185">
        <f>B23</f>
        <v>7.0000000000000007E-2</v>
      </c>
      <c r="C35" s="5" t="s">
        <v>174</v>
      </c>
      <c r="D35" s="183">
        <f t="shared" ref="D35:M35" si="17">IF(AND($B37="Y",YEAR($B32)+$B34&gt;D$5),D40,IF((YEAR($B32)+$B34)&gt;D$5,FV(D32/$B36,$B36,D39),D33))</f>
        <v>0</v>
      </c>
      <c r="E35" s="183">
        <f t="shared" si="17"/>
        <v>0</v>
      </c>
      <c r="F35" s="183">
        <f t="shared" si="17"/>
        <v>0</v>
      </c>
      <c r="G35" s="183">
        <f t="shared" si="17"/>
        <v>0</v>
      </c>
      <c r="H35" s="183">
        <f t="shared" si="17"/>
        <v>0</v>
      </c>
      <c r="I35" s="183">
        <f t="shared" si="17"/>
        <v>0</v>
      </c>
      <c r="J35" s="183">
        <f t="shared" si="17"/>
        <v>0</v>
      </c>
      <c r="K35" s="183">
        <f t="shared" si="17"/>
        <v>0</v>
      </c>
      <c r="L35" s="183">
        <f t="shared" si="17"/>
        <v>0</v>
      </c>
      <c r="M35" s="183">
        <f t="shared" si="17"/>
        <v>0</v>
      </c>
    </row>
    <row r="36" spans="1:13" s="13" customFormat="1" ht="12.75" customHeight="1">
      <c r="A36" s="5" t="s">
        <v>171</v>
      </c>
      <c r="B36" s="131">
        <v>4</v>
      </c>
      <c r="C36" s="186" t="s">
        <v>640</v>
      </c>
      <c r="D36" s="183">
        <f t="shared" ref="D36:M36" si="18">IF(AND($B37="Y",YEAR($B32)+$B34&gt;D$5),D40+D32*(D33-D40*0.5),IF((YEAR($B32)+$B34)&gt;D$5,(D33*D32/$B36-D39)*$B36,(D33*(1+D32*MONTH($B32)/12))))</f>
        <v>0</v>
      </c>
      <c r="E36" s="183">
        <f t="shared" si="18"/>
        <v>0</v>
      </c>
      <c r="F36" s="183">
        <f t="shared" si="18"/>
        <v>0</v>
      </c>
      <c r="G36" s="183">
        <f t="shared" si="18"/>
        <v>0</v>
      </c>
      <c r="H36" s="183">
        <f t="shared" si="18"/>
        <v>0</v>
      </c>
      <c r="I36" s="183">
        <f t="shared" si="18"/>
        <v>0</v>
      </c>
      <c r="J36" s="183">
        <f t="shared" si="18"/>
        <v>0</v>
      </c>
      <c r="K36" s="183">
        <f t="shared" si="18"/>
        <v>0</v>
      </c>
      <c r="L36" s="183">
        <f t="shared" si="18"/>
        <v>0</v>
      </c>
      <c r="M36" s="183">
        <f t="shared" si="18"/>
        <v>0</v>
      </c>
    </row>
    <row r="37" spans="1:13" s="13" customFormat="1" ht="12.75" customHeight="1">
      <c r="A37" s="5" t="s">
        <v>767</v>
      </c>
      <c r="B37" s="131" t="s">
        <v>719</v>
      </c>
      <c r="C37" s="187" t="s">
        <v>768</v>
      </c>
      <c r="D37" s="188">
        <v>0</v>
      </c>
      <c r="E37" s="188">
        <v>0</v>
      </c>
      <c r="F37" s="188">
        <v>0</v>
      </c>
      <c r="G37" s="188">
        <v>0</v>
      </c>
      <c r="H37" s="188">
        <v>0</v>
      </c>
      <c r="I37" s="188">
        <v>0</v>
      </c>
      <c r="J37" s="188">
        <v>0</v>
      </c>
      <c r="K37" s="188">
        <v>0</v>
      </c>
      <c r="L37" s="188">
        <v>0</v>
      </c>
      <c r="M37" s="188">
        <v>0</v>
      </c>
    </row>
    <row r="38" spans="1:13" s="13" customFormat="1" ht="12.75" customHeight="1">
      <c r="A38" s="5" t="s">
        <v>182</v>
      </c>
      <c r="B38" s="131"/>
      <c r="C38" s="30" t="s">
        <v>175</v>
      </c>
      <c r="D38" s="183">
        <f t="shared" ref="D38:M38" si="19">D33+D34-D36-D37</f>
        <v>0</v>
      </c>
      <c r="E38" s="183">
        <f t="shared" si="19"/>
        <v>0</v>
      </c>
      <c r="F38" s="183">
        <f t="shared" si="19"/>
        <v>0</v>
      </c>
      <c r="G38" s="183">
        <f t="shared" si="19"/>
        <v>0</v>
      </c>
      <c r="H38" s="183">
        <f t="shared" si="19"/>
        <v>0</v>
      </c>
      <c r="I38" s="183">
        <f t="shared" si="19"/>
        <v>0</v>
      </c>
      <c r="J38" s="183">
        <f t="shared" si="19"/>
        <v>0</v>
      </c>
      <c r="K38" s="183">
        <f t="shared" si="19"/>
        <v>0</v>
      </c>
      <c r="L38" s="183">
        <f t="shared" si="19"/>
        <v>0</v>
      </c>
      <c r="M38" s="183">
        <f t="shared" si="19"/>
        <v>0</v>
      </c>
    </row>
    <row r="39" spans="1:13" s="13" customFormat="1" ht="12.75" hidden="1" customHeight="1">
      <c r="A39" s="5"/>
      <c r="B39" s="138"/>
      <c r="C39" s="5" t="s">
        <v>769</v>
      </c>
      <c r="D39" s="183" t="e">
        <f t="shared" ref="D39:M39" si="20">PPMT(D32/$B36,1,ROUND(($B34-(D$5-YEAR($B32))+MONTH($B32)/12)*$B36,0),D33)</f>
        <v>#NUM!</v>
      </c>
      <c r="E39" s="183" t="e">
        <f t="shared" si="20"/>
        <v>#NUM!</v>
      </c>
      <c r="F39" s="183" t="e">
        <f t="shared" si="20"/>
        <v>#NUM!</v>
      </c>
      <c r="G39" s="183" t="e">
        <f t="shared" si="20"/>
        <v>#NUM!</v>
      </c>
      <c r="H39" s="183" t="e">
        <f t="shared" si="20"/>
        <v>#NUM!</v>
      </c>
      <c r="I39" s="183" t="e">
        <f t="shared" si="20"/>
        <v>#NUM!</v>
      </c>
      <c r="J39" s="183" t="e">
        <f t="shared" si="20"/>
        <v>#NUM!</v>
      </c>
      <c r="K39" s="183" t="e">
        <f t="shared" si="20"/>
        <v>#NUM!</v>
      </c>
      <c r="L39" s="183" t="e">
        <f t="shared" si="20"/>
        <v>#NUM!</v>
      </c>
      <c r="M39" s="183" t="e">
        <f t="shared" si="20"/>
        <v>#NUM!</v>
      </c>
    </row>
    <row r="40" spans="1:13" s="13" customFormat="1" ht="12.75" hidden="1" customHeight="1">
      <c r="A40" s="5"/>
      <c r="B40" s="5"/>
      <c r="C40" s="5" t="s">
        <v>770</v>
      </c>
      <c r="D40" s="183">
        <f t="shared" ref="D40:M40" si="21">IF(YEAR($B32)+$B34&gt;D$5,D33/(YEAR($B32)+$B34-D$5+MONTH($B32)/12),D33)</f>
        <v>0</v>
      </c>
      <c r="E40" s="183">
        <f t="shared" si="21"/>
        <v>0</v>
      </c>
      <c r="F40" s="183">
        <f t="shared" si="21"/>
        <v>0</v>
      </c>
      <c r="G40" s="183">
        <f t="shared" si="21"/>
        <v>0</v>
      </c>
      <c r="H40" s="183">
        <f t="shared" si="21"/>
        <v>0</v>
      </c>
      <c r="I40" s="183">
        <f t="shared" si="21"/>
        <v>0</v>
      </c>
      <c r="J40" s="183">
        <f t="shared" si="21"/>
        <v>0</v>
      </c>
      <c r="K40" s="183">
        <f t="shared" si="21"/>
        <v>0</v>
      </c>
      <c r="L40" s="183">
        <f t="shared" si="21"/>
        <v>0</v>
      </c>
      <c r="M40" s="183">
        <f t="shared" si="21"/>
        <v>0</v>
      </c>
    </row>
    <row r="41" spans="1:13" s="13" customFormat="1" ht="12.75" customHeight="1">
      <c r="A41" s="5"/>
      <c r="B41" s="5"/>
      <c r="C41" s="5"/>
      <c r="D41" s="195"/>
      <c r="E41" s="195"/>
      <c r="F41" s="195"/>
      <c r="G41" s="195"/>
      <c r="H41" s="195"/>
      <c r="I41" s="195"/>
      <c r="J41" s="195"/>
      <c r="K41" s="195"/>
      <c r="L41" s="195"/>
      <c r="M41" s="195"/>
    </row>
    <row r="42" spans="1:13" s="13" customFormat="1" ht="12.75" customHeight="1">
      <c r="A42" s="5"/>
      <c r="B42" s="5"/>
      <c r="C42" s="5"/>
    </row>
    <row r="43" spans="1:13" s="13" customFormat="1" ht="12.75" customHeight="1">
      <c r="A43" s="30" t="s">
        <v>861</v>
      </c>
      <c r="B43" s="99"/>
      <c r="C43" t="s">
        <v>800</v>
      </c>
      <c r="D43" s="179" t="s">
        <v>801</v>
      </c>
      <c r="E43" s="1"/>
      <c r="F43"/>
      <c r="G43"/>
      <c r="H43"/>
      <c r="I43"/>
      <c r="J43"/>
      <c r="K43"/>
      <c r="L43"/>
      <c r="M43"/>
    </row>
    <row r="44" spans="1:13" s="13" customFormat="1" ht="12.75" customHeight="1">
      <c r="A44" s="26" t="s">
        <v>677</v>
      </c>
      <c r="B44" s="133">
        <v>29373</v>
      </c>
      <c r="C44" s="5" t="s">
        <v>639</v>
      </c>
      <c r="D44" s="180">
        <f>IF($D43="V",Input!G$70,IF(AND($B50=D$5,Input!G$65&gt;0),Input!G$65,$B47))</f>
        <v>7.0000000000000007E-2</v>
      </c>
      <c r="E44" s="180">
        <f>IF($D43="V",Input!H$70,IF(AND($B50=E$5,Input!H$65&gt;0),Input!H$65,D44))</f>
        <v>7.0000000000000007E-2</v>
      </c>
      <c r="F44" s="180">
        <f>IF($D43="V",Input!I$70,IF(AND($B50=F$5,Input!I$65&gt;0),Input!I$65,E44))</f>
        <v>7.0000000000000007E-2</v>
      </c>
      <c r="G44" s="180">
        <f>IF($D43="V",Input!J$70,IF(AND($B50=G$5,Input!J$65&gt;0),Input!J$65,F44))</f>
        <v>7.0000000000000007E-2</v>
      </c>
      <c r="H44" s="180">
        <f>IF($D43="V",Input!K$70,IF(AND($B50=H$5,Input!K$65&gt;0),Input!K$65,G44))</f>
        <v>7.0000000000000007E-2</v>
      </c>
      <c r="I44" s="180">
        <f>IF($D43="V",Input!L$70,IF(AND($B50=I$5,Input!L$65&gt;0),Input!L$65,H44))</f>
        <v>7.0000000000000007E-2</v>
      </c>
      <c r="J44" s="180">
        <f>IF($D43="V",Input!M$70,IF(AND($B50=J$5,Input!M$65&gt;0),Input!M$65,I44))</f>
        <v>7.0000000000000007E-2</v>
      </c>
      <c r="K44" s="180">
        <f>IF($D43="V",Input!N$70,IF(AND($B50=K$5,Input!N$65&gt;0),Input!N$65,J44))</f>
        <v>7.0000000000000007E-2</v>
      </c>
      <c r="L44" s="180">
        <f>IF($D43="V",Input!O$70,IF(AND($B50=L$5,Input!O$65&gt;0),Input!O$65,K44))</f>
        <v>7.0000000000000007E-2</v>
      </c>
      <c r="M44" s="180">
        <f>IF($D43="V",Input!P$70,IF(AND($B50=M$5,Input!P$65&gt;0),Input!P$65,L44))</f>
        <v>7.0000000000000007E-2</v>
      </c>
    </row>
    <row r="45" spans="1:13" s="13" customFormat="1" ht="12.75" customHeight="1">
      <c r="A45" s="5" t="s">
        <v>361</v>
      </c>
      <c r="B45" s="181">
        <v>0</v>
      </c>
      <c r="C45" s="27" t="s">
        <v>173</v>
      </c>
      <c r="D45" s="188">
        <v>0</v>
      </c>
      <c r="E45" s="183">
        <f t="shared" ref="E45:M45" si="22">D50</f>
        <v>0</v>
      </c>
      <c r="F45" s="183">
        <f t="shared" si="22"/>
        <v>0</v>
      </c>
      <c r="G45" s="183">
        <f t="shared" si="22"/>
        <v>0</v>
      </c>
      <c r="H45" s="183">
        <f t="shared" si="22"/>
        <v>0</v>
      </c>
      <c r="I45" s="183">
        <f t="shared" si="22"/>
        <v>0</v>
      </c>
      <c r="J45" s="183">
        <f t="shared" si="22"/>
        <v>0</v>
      </c>
      <c r="K45" s="183">
        <f t="shared" si="22"/>
        <v>0</v>
      </c>
      <c r="L45" s="183">
        <f t="shared" si="22"/>
        <v>0</v>
      </c>
      <c r="M45" s="183">
        <f t="shared" si="22"/>
        <v>0</v>
      </c>
    </row>
    <row r="46" spans="1:13" s="13" customFormat="1" ht="12.75" customHeight="1">
      <c r="A46" s="26" t="s">
        <v>170</v>
      </c>
      <c r="B46" s="131">
        <v>35</v>
      </c>
      <c r="C46" s="184" t="s">
        <v>169</v>
      </c>
      <c r="D46" s="183">
        <f t="shared" ref="D46:M46" si="23">D48-D47</f>
        <v>0</v>
      </c>
      <c r="E46" s="183">
        <f t="shared" si="23"/>
        <v>0</v>
      </c>
      <c r="F46" s="183">
        <f t="shared" si="23"/>
        <v>0</v>
      </c>
      <c r="G46" s="183">
        <f t="shared" si="23"/>
        <v>0</v>
      </c>
      <c r="H46" s="183">
        <f t="shared" si="23"/>
        <v>0</v>
      </c>
      <c r="I46" s="183">
        <f t="shared" si="23"/>
        <v>0</v>
      </c>
      <c r="J46" s="183">
        <f t="shared" si="23"/>
        <v>0</v>
      </c>
      <c r="K46" s="183">
        <f t="shared" si="23"/>
        <v>0</v>
      </c>
      <c r="L46" s="183">
        <f t="shared" si="23"/>
        <v>0</v>
      </c>
      <c r="M46" s="183">
        <f t="shared" si="23"/>
        <v>0</v>
      </c>
    </row>
    <row r="47" spans="1:13" s="13" customFormat="1" ht="12.75" customHeight="1">
      <c r="A47" s="5" t="s">
        <v>172</v>
      </c>
      <c r="B47" s="185">
        <f>B35</f>
        <v>7.0000000000000007E-2</v>
      </c>
      <c r="C47" s="5" t="s">
        <v>174</v>
      </c>
      <c r="D47" s="183">
        <f t="shared" ref="D47:M47" si="24">IF(AND($B49="Y",YEAR($B44)+$B46&gt;D$5),D52,IF((YEAR($B44)+$B46)&gt;D$5,FV(D44/$B48,$B48,D51),D45))</f>
        <v>0</v>
      </c>
      <c r="E47" s="183">
        <f t="shared" si="24"/>
        <v>0</v>
      </c>
      <c r="F47" s="183">
        <f t="shared" si="24"/>
        <v>0</v>
      </c>
      <c r="G47" s="183">
        <f t="shared" si="24"/>
        <v>0</v>
      </c>
      <c r="H47" s="183">
        <f t="shared" si="24"/>
        <v>0</v>
      </c>
      <c r="I47" s="183">
        <f t="shared" si="24"/>
        <v>0</v>
      </c>
      <c r="J47" s="183">
        <f t="shared" si="24"/>
        <v>0</v>
      </c>
      <c r="K47" s="183">
        <f t="shared" si="24"/>
        <v>0</v>
      </c>
      <c r="L47" s="183">
        <f t="shared" si="24"/>
        <v>0</v>
      </c>
      <c r="M47" s="183">
        <f t="shared" si="24"/>
        <v>0</v>
      </c>
    </row>
    <row r="48" spans="1:13" s="13" customFormat="1" ht="12.75" customHeight="1">
      <c r="A48" s="5" t="s">
        <v>171</v>
      </c>
      <c r="B48" s="131">
        <v>4</v>
      </c>
      <c r="C48" s="186" t="s">
        <v>640</v>
      </c>
      <c r="D48" s="183">
        <f t="shared" ref="D48:M48" si="25">IF(AND($B49="Y",YEAR($B44)+$B46&gt;D$5),D52+D44*(D45-D52*0.5),IF((YEAR($B44)+$B46)&gt;D$5,(D45*D44/$B48-D51)*$B48,(D45*(1+D44*MONTH($B44)/12))))</f>
        <v>0</v>
      </c>
      <c r="E48" s="183">
        <f t="shared" si="25"/>
        <v>0</v>
      </c>
      <c r="F48" s="183">
        <f t="shared" si="25"/>
        <v>0</v>
      </c>
      <c r="G48" s="183">
        <f t="shared" si="25"/>
        <v>0</v>
      </c>
      <c r="H48" s="183">
        <f t="shared" si="25"/>
        <v>0</v>
      </c>
      <c r="I48" s="183">
        <f t="shared" si="25"/>
        <v>0</v>
      </c>
      <c r="J48" s="183">
        <f t="shared" si="25"/>
        <v>0</v>
      </c>
      <c r="K48" s="183">
        <f t="shared" si="25"/>
        <v>0</v>
      </c>
      <c r="L48" s="183">
        <f t="shared" si="25"/>
        <v>0</v>
      </c>
      <c r="M48" s="183">
        <f t="shared" si="25"/>
        <v>0</v>
      </c>
    </row>
    <row r="49" spans="1:13" s="13" customFormat="1" ht="12.75" customHeight="1">
      <c r="A49" s="5" t="s">
        <v>767</v>
      </c>
      <c r="B49" s="131" t="s">
        <v>719</v>
      </c>
      <c r="C49" s="187" t="s">
        <v>768</v>
      </c>
      <c r="D49" s="188">
        <v>0</v>
      </c>
      <c r="E49" s="188">
        <v>0</v>
      </c>
      <c r="F49" s="188">
        <v>0</v>
      </c>
      <c r="G49" s="188">
        <v>0</v>
      </c>
      <c r="H49" s="188">
        <v>0</v>
      </c>
      <c r="I49" s="188">
        <v>0</v>
      </c>
      <c r="J49" s="188">
        <v>0</v>
      </c>
      <c r="K49" s="188">
        <v>0</v>
      </c>
      <c r="L49" s="188">
        <v>0</v>
      </c>
      <c r="M49" s="188">
        <v>0</v>
      </c>
    </row>
    <row r="50" spans="1:13" s="13" customFormat="1" ht="12.75" customHeight="1">
      <c r="A50" s="5" t="s">
        <v>182</v>
      </c>
      <c r="B50" s="131"/>
      <c r="C50" s="30" t="s">
        <v>175</v>
      </c>
      <c r="D50" s="183">
        <f t="shared" ref="D50:M50" si="26">D45+D46-D48-D49</f>
        <v>0</v>
      </c>
      <c r="E50" s="183">
        <f t="shared" si="26"/>
        <v>0</v>
      </c>
      <c r="F50" s="183">
        <f t="shared" si="26"/>
        <v>0</v>
      </c>
      <c r="G50" s="183">
        <f t="shared" si="26"/>
        <v>0</v>
      </c>
      <c r="H50" s="183">
        <f t="shared" si="26"/>
        <v>0</v>
      </c>
      <c r="I50" s="183">
        <f t="shared" si="26"/>
        <v>0</v>
      </c>
      <c r="J50" s="183">
        <f t="shared" si="26"/>
        <v>0</v>
      </c>
      <c r="K50" s="183">
        <f t="shared" si="26"/>
        <v>0</v>
      </c>
      <c r="L50" s="183">
        <f t="shared" si="26"/>
        <v>0</v>
      </c>
      <c r="M50" s="183">
        <f t="shared" si="26"/>
        <v>0</v>
      </c>
    </row>
    <row r="51" spans="1:13" s="13" customFormat="1" ht="12.75" hidden="1" customHeight="1">
      <c r="A51" s="5"/>
      <c r="B51" s="138"/>
      <c r="C51" s="5" t="s">
        <v>769</v>
      </c>
      <c r="D51" s="183" t="e">
        <f t="shared" ref="D51:M51" si="27">PPMT(D44/$B48,1,ROUND(($B46-(D$5-YEAR($B44))+MONTH($B44)/12)*$B48,0),D45)</f>
        <v>#NUM!</v>
      </c>
      <c r="E51" s="183" t="e">
        <f t="shared" si="27"/>
        <v>#NUM!</v>
      </c>
      <c r="F51" s="183" t="e">
        <f t="shared" si="27"/>
        <v>#NUM!</v>
      </c>
      <c r="G51" s="183" t="e">
        <f t="shared" si="27"/>
        <v>#NUM!</v>
      </c>
      <c r="H51" s="183" t="e">
        <f t="shared" si="27"/>
        <v>#NUM!</v>
      </c>
      <c r="I51" s="183" t="e">
        <f t="shared" si="27"/>
        <v>#NUM!</v>
      </c>
      <c r="J51" s="183" t="e">
        <f t="shared" si="27"/>
        <v>#NUM!</v>
      </c>
      <c r="K51" s="183" t="e">
        <f t="shared" si="27"/>
        <v>#NUM!</v>
      </c>
      <c r="L51" s="183" t="e">
        <f t="shared" si="27"/>
        <v>#NUM!</v>
      </c>
      <c r="M51" s="183" t="e">
        <f t="shared" si="27"/>
        <v>#NUM!</v>
      </c>
    </row>
    <row r="52" spans="1:13" s="13" customFormat="1" ht="12.75" hidden="1" customHeight="1">
      <c r="A52" s="5"/>
      <c r="B52" s="5"/>
      <c r="C52" s="5" t="s">
        <v>770</v>
      </c>
      <c r="D52" s="183">
        <f t="shared" ref="D52:M52" si="28">IF(YEAR($B44)+$B46&gt;D$5,D45/(YEAR($B44)+$B46-D$5+MONTH($B44)/12),D45)</f>
        <v>0</v>
      </c>
      <c r="E52" s="183">
        <f t="shared" si="28"/>
        <v>0</v>
      </c>
      <c r="F52" s="183">
        <f t="shared" si="28"/>
        <v>0</v>
      </c>
      <c r="G52" s="183">
        <f t="shared" si="28"/>
        <v>0</v>
      </c>
      <c r="H52" s="183">
        <f t="shared" si="28"/>
        <v>0</v>
      </c>
      <c r="I52" s="183">
        <f t="shared" si="28"/>
        <v>0</v>
      </c>
      <c r="J52" s="183">
        <f t="shared" si="28"/>
        <v>0</v>
      </c>
      <c r="K52" s="183">
        <f t="shared" si="28"/>
        <v>0</v>
      </c>
      <c r="L52" s="183">
        <f t="shared" si="28"/>
        <v>0</v>
      </c>
      <c r="M52" s="183">
        <f t="shared" si="28"/>
        <v>0</v>
      </c>
    </row>
    <row r="53" spans="1:13" s="13" customFormat="1" ht="12.75" customHeight="1">
      <c r="A53" s="5"/>
      <c r="B53" s="5"/>
      <c r="C53" s="5"/>
      <c r="D53" s="196"/>
      <c r="E53" s="196"/>
      <c r="F53" s="196"/>
      <c r="G53" s="196"/>
      <c r="H53" s="196"/>
      <c r="I53" s="196"/>
      <c r="J53" s="196"/>
      <c r="K53" s="196"/>
      <c r="L53" s="196"/>
      <c r="M53" s="196"/>
    </row>
    <row r="54" spans="1:13" s="13" customFormat="1" ht="12.75" customHeight="1">
      <c r="A54" s="5"/>
      <c r="B54" s="5"/>
      <c r="C54" s="5"/>
      <c r="D54" s="197"/>
      <c r="E54" s="195"/>
      <c r="F54" s="195"/>
      <c r="G54" s="195"/>
      <c r="H54" s="195"/>
      <c r="I54" s="195"/>
      <c r="J54" s="195"/>
      <c r="K54" s="195"/>
      <c r="L54" s="195"/>
      <c r="M54" s="195"/>
    </row>
    <row r="55" spans="1:13" s="13" customFormat="1" ht="12.75" customHeight="1">
      <c r="A55" s="30" t="s">
        <v>862</v>
      </c>
      <c r="B55" s="99"/>
      <c r="C55" t="s">
        <v>800</v>
      </c>
      <c r="D55" s="179" t="s">
        <v>801</v>
      </c>
      <c r="E55" s="1"/>
      <c r="F55"/>
      <c r="G55"/>
      <c r="H55"/>
      <c r="I55"/>
      <c r="J55"/>
      <c r="K55"/>
      <c r="L55"/>
      <c r="M55"/>
    </row>
    <row r="56" spans="1:13" s="13" customFormat="1" ht="12.75" customHeight="1">
      <c r="A56" s="26" t="s">
        <v>677</v>
      </c>
      <c r="B56" s="133">
        <v>29373</v>
      </c>
      <c r="C56" s="5" t="s">
        <v>639</v>
      </c>
      <c r="D56" s="180">
        <f>IF($D55="V",Input!G$70,IF(AND($B62=D$5,Input!G$65&gt;0),Input!G$65,$B59))</f>
        <v>7.0000000000000007E-2</v>
      </c>
      <c r="E56" s="180">
        <f>IF($D55="V",Input!H$70,IF(AND($B62=E$5,Input!H$65&gt;0),Input!H$65,D56))</f>
        <v>7.0000000000000007E-2</v>
      </c>
      <c r="F56" s="180">
        <f>IF($D55="V",Input!I$70,IF(AND($B62=F$5,Input!I$65&gt;0),Input!I$65,E56))</f>
        <v>7.0000000000000007E-2</v>
      </c>
      <c r="G56" s="180">
        <f>IF($D55="V",Input!J$70,IF(AND($B62=G$5,Input!J$65&gt;0),Input!J$65,F56))</f>
        <v>7.0000000000000007E-2</v>
      </c>
      <c r="H56" s="180">
        <f>IF($D55="V",Input!K$70,IF(AND($B62=H$5,Input!K$65&gt;0),Input!K$65,G56))</f>
        <v>7.0000000000000007E-2</v>
      </c>
      <c r="I56" s="180">
        <f>IF($D55="V",Input!L$70,IF(AND($B62=I$5,Input!L$65&gt;0),Input!L$65,H56))</f>
        <v>7.0000000000000007E-2</v>
      </c>
      <c r="J56" s="180">
        <f>IF($D55="V",Input!M$70,IF(AND($B62=J$5,Input!M$65&gt;0),Input!M$65,I56))</f>
        <v>7.0000000000000007E-2</v>
      </c>
      <c r="K56" s="180">
        <f>IF($D55="V",Input!N$70,IF(AND($B62=K$5,Input!N$65&gt;0),Input!N$65,J56))</f>
        <v>7.0000000000000007E-2</v>
      </c>
      <c r="L56" s="180">
        <f>IF($D55="V",Input!O$70,IF(AND($B62=L$5,Input!O$65&gt;0),Input!O$65,K56))</f>
        <v>7.0000000000000007E-2</v>
      </c>
      <c r="M56" s="180">
        <f>IF($D55="V",Input!P$70,IF(AND($B62=M$5,Input!P$65&gt;0),Input!P$65,L56))</f>
        <v>7.0000000000000007E-2</v>
      </c>
    </row>
    <row r="57" spans="1:13" s="13" customFormat="1" ht="12.75" customHeight="1">
      <c r="A57" s="5" t="s">
        <v>361</v>
      </c>
      <c r="B57" s="181">
        <v>0</v>
      </c>
      <c r="C57" s="27" t="s">
        <v>173</v>
      </c>
      <c r="D57" s="188">
        <v>0</v>
      </c>
      <c r="E57" s="183">
        <f t="shared" ref="E57:M57" si="29">D62</f>
        <v>0</v>
      </c>
      <c r="F57" s="183">
        <f t="shared" si="29"/>
        <v>0</v>
      </c>
      <c r="G57" s="183">
        <f t="shared" si="29"/>
        <v>0</v>
      </c>
      <c r="H57" s="183">
        <f t="shared" si="29"/>
        <v>0</v>
      </c>
      <c r="I57" s="183">
        <f t="shared" si="29"/>
        <v>0</v>
      </c>
      <c r="J57" s="183">
        <f t="shared" si="29"/>
        <v>0</v>
      </c>
      <c r="K57" s="183">
        <f t="shared" si="29"/>
        <v>0</v>
      </c>
      <c r="L57" s="183">
        <f t="shared" si="29"/>
        <v>0</v>
      </c>
      <c r="M57" s="183">
        <f t="shared" si="29"/>
        <v>0</v>
      </c>
    </row>
    <row r="58" spans="1:13" s="13" customFormat="1" ht="12.75" customHeight="1">
      <c r="A58" s="26" t="s">
        <v>170</v>
      </c>
      <c r="B58" s="131">
        <v>35</v>
      </c>
      <c r="C58" s="184" t="s">
        <v>169</v>
      </c>
      <c r="D58" s="183">
        <f t="shared" ref="D58:M58" si="30">D60-D59</f>
        <v>0</v>
      </c>
      <c r="E58" s="183">
        <f t="shared" si="30"/>
        <v>0</v>
      </c>
      <c r="F58" s="183">
        <f t="shared" si="30"/>
        <v>0</v>
      </c>
      <c r="G58" s="183">
        <f t="shared" si="30"/>
        <v>0</v>
      </c>
      <c r="H58" s="183">
        <f t="shared" si="30"/>
        <v>0</v>
      </c>
      <c r="I58" s="183">
        <f t="shared" si="30"/>
        <v>0</v>
      </c>
      <c r="J58" s="183">
        <f t="shared" si="30"/>
        <v>0</v>
      </c>
      <c r="K58" s="183">
        <f t="shared" si="30"/>
        <v>0</v>
      </c>
      <c r="L58" s="183">
        <f t="shared" si="30"/>
        <v>0</v>
      </c>
      <c r="M58" s="183">
        <f t="shared" si="30"/>
        <v>0</v>
      </c>
    </row>
    <row r="59" spans="1:13" s="13" customFormat="1" ht="12.75" customHeight="1">
      <c r="A59" s="5" t="s">
        <v>172</v>
      </c>
      <c r="B59" s="185">
        <f>B47</f>
        <v>7.0000000000000007E-2</v>
      </c>
      <c r="C59" s="5" t="s">
        <v>174</v>
      </c>
      <c r="D59" s="183">
        <f t="shared" ref="D59:M59" si="31">IF(AND($B61="Y",YEAR($B56)+$B58&gt;D$5),D64,IF((YEAR($B56)+$B58)&gt;D$5,FV(D56/$B60,$B60,D63),D57))</f>
        <v>0</v>
      </c>
      <c r="E59" s="183">
        <f t="shared" si="31"/>
        <v>0</v>
      </c>
      <c r="F59" s="183">
        <f t="shared" si="31"/>
        <v>0</v>
      </c>
      <c r="G59" s="183">
        <f t="shared" si="31"/>
        <v>0</v>
      </c>
      <c r="H59" s="183">
        <f t="shared" si="31"/>
        <v>0</v>
      </c>
      <c r="I59" s="183">
        <f t="shared" si="31"/>
        <v>0</v>
      </c>
      <c r="J59" s="183">
        <f t="shared" si="31"/>
        <v>0</v>
      </c>
      <c r="K59" s="183">
        <f t="shared" si="31"/>
        <v>0</v>
      </c>
      <c r="L59" s="183">
        <f t="shared" si="31"/>
        <v>0</v>
      </c>
      <c r="M59" s="183">
        <f t="shared" si="31"/>
        <v>0</v>
      </c>
    </row>
    <row r="60" spans="1:13" s="13" customFormat="1" ht="12.75" customHeight="1">
      <c r="A60" s="5" t="s">
        <v>171</v>
      </c>
      <c r="B60" s="131">
        <v>4</v>
      </c>
      <c r="C60" s="186" t="s">
        <v>640</v>
      </c>
      <c r="D60" s="183">
        <f t="shared" ref="D60:M60" si="32">IF(AND($B61="Y",YEAR($B56)+$B58&gt;D$5),D64+D56*(D57-D64*0.5),IF((YEAR($B56)+$B58)&gt;D$5,(D57*D56/$B60-D63)*$B60,(D57*(1+D56*MONTH($B56)/12))))</f>
        <v>0</v>
      </c>
      <c r="E60" s="183">
        <f t="shared" si="32"/>
        <v>0</v>
      </c>
      <c r="F60" s="183">
        <f t="shared" si="32"/>
        <v>0</v>
      </c>
      <c r="G60" s="183">
        <f t="shared" si="32"/>
        <v>0</v>
      </c>
      <c r="H60" s="183">
        <f t="shared" si="32"/>
        <v>0</v>
      </c>
      <c r="I60" s="183">
        <f t="shared" si="32"/>
        <v>0</v>
      </c>
      <c r="J60" s="183">
        <f t="shared" si="32"/>
        <v>0</v>
      </c>
      <c r="K60" s="183">
        <f t="shared" si="32"/>
        <v>0</v>
      </c>
      <c r="L60" s="183">
        <f t="shared" si="32"/>
        <v>0</v>
      </c>
      <c r="M60" s="183">
        <f t="shared" si="32"/>
        <v>0</v>
      </c>
    </row>
    <row r="61" spans="1:13" s="13" customFormat="1" ht="12.75" customHeight="1">
      <c r="A61" s="5" t="s">
        <v>767</v>
      </c>
      <c r="B61" s="131" t="s">
        <v>719</v>
      </c>
      <c r="C61" s="187" t="s">
        <v>768</v>
      </c>
      <c r="D61" s="188">
        <v>0</v>
      </c>
      <c r="E61" s="188">
        <v>0</v>
      </c>
      <c r="F61" s="188">
        <v>0</v>
      </c>
      <c r="G61" s="188">
        <v>0</v>
      </c>
      <c r="H61" s="188">
        <v>0</v>
      </c>
      <c r="I61" s="188">
        <v>0</v>
      </c>
      <c r="J61" s="188">
        <v>0</v>
      </c>
      <c r="K61" s="188">
        <v>0</v>
      </c>
      <c r="L61" s="188">
        <v>0</v>
      </c>
      <c r="M61" s="188">
        <v>0</v>
      </c>
    </row>
    <row r="62" spans="1:13" s="13" customFormat="1" ht="12.75" customHeight="1">
      <c r="A62" s="5" t="s">
        <v>182</v>
      </c>
      <c r="B62" s="131"/>
      <c r="C62" s="30" t="s">
        <v>175</v>
      </c>
      <c r="D62" s="183">
        <f t="shared" ref="D62:M62" si="33">D57+D58-D60-D61</f>
        <v>0</v>
      </c>
      <c r="E62" s="183">
        <f t="shared" si="33"/>
        <v>0</v>
      </c>
      <c r="F62" s="183">
        <f t="shared" si="33"/>
        <v>0</v>
      </c>
      <c r="G62" s="183">
        <f t="shared" si="33"/>
        <v>0</v>
      </c>
      <c r="H62" s="183">
        <f t="shared" si="33"/>
        <v>0</v>
      </c>
      <c r="I62" s="183">
        <f t="shared" si="33"/>
        <v>0</v>
      </c>
      <c r="J62" s="183">
        <f t="shared" si="33"/>
        <v>0</v>
      </c>
      <c r="K62" s="183">
        <f t="shared" si="33"/>
        <v>0</v>
      </c>
      <c r="L62" s="183">
        <f t="shared" si="33"/>
        <v>0</v>
      </c>
      <c r="M62" s="183">
        <f t="shared" si="33"/>
        <v>0</v>
      </c>
    </row>
    <row r="63" spans="1:13" s="13" customFormat="1" ht="12.75" hidden="1" customHeight="1">
      <c r="A63" s="5"/>
      <c r="B63" s="138"/>
      <c r="C63" s="5" t="s">
        <v>769</v>
      </c>
      <c r="D63" s="183" t="e">
        <f t="shared" ref="D63:M63" si="34">PPMT(D56/$B60,1,ROUND(($B58-(D$5-YEAR($B56))+MONTH($B56)/12)*$B60,0),D57)</f>
        <v>#NUM!</v>
      </c>
      <c r="E63" s="183" t="e">
        <f t="shared" si="34"/>
        <v>#NUM!</v>
      </c>
      <c r="F63" s="183" t="e">
        <f t="shared" si="34"/>
        <v>#NUM!</v>
      </c>
      <c r="G63" s="183" t="e">
        <f t="shared" si="34"/>
        <v>#NUM!</v>
      </c>
      <c r="H63" s="183" t="e">
        <f t="shared" si="34"/>
        <v>#NUM!</v>
      </c>
      <c r="I63" s="183" t="e">
        <f t="shared" si="34"/>
        <v>#NUM!</v>
      </c>
      <c r="J63" s="183" t="e">
        <f t="shared" si="34"/>
        <v>#NUM!</v>
      </c>
      <c r="K63" s="183" t="e">
        <f t="shared" si="34"/>
        <v>#NUM!</v>
      </c>
      <c r="L63" s="183" t="e">
        <f t="shared" si="34"/>
        <v>#NUM!</v>
      </c>
      <c r="M63" s="183" t="e">
        <f t="shared" si="34"/>
        <v>#NUM!</v>
      </c>
    </row>
    <row r="64" spans="1:13" s="13" customFormat="1" ht="12.75" hidden="1" customHeight="1">
      <c r="A64" s="5"/>
      <c r="B64" s="5"/>
      <c r="C64" s="5" t="s">
        <v>770</v>
      </c>
      <c r="D64" s="183">
        <f t="shared" ref="D64:M64" si="35">IF(YEAR($B56)+$B58&gt;D$5,D57/(YEAR($B56)+$B58-D$5+MONTH($B56)/12),D57)</f>
        <v>0</v>
      </c>
      <c r="E64" s="183">
        <f t="shared" si="35"/>
        <v>0</v>
      </c>
      <c r="F64" s="183">
        <f t="shared" si="35"/>
        <v>0</v>
      </c>
      <c r="G64" s="183">
        <f t="shared" si="35"/>
        <v>0</v>
      </c>
      <c r="H64" s="183">
        <f t="shared" si="35"/>
        <v>0</v>
      </c>
      <c r="I64" s="183">
        <f t="shared" si="35"/>
        <v>0</v>
      </c>
      <c r="J64" s="183">
        <f t="shared" si="35"/>
        <v>0</v>
      </c>
      <c r="K64" s="183">
        <f t="shared" si="35"/>
        <v>0</v>
      </c>
      <c r="L64" s="183">
        <f t="shared" si="35"/>
        <v>0</v>
      </c>
      <c r="M64" s="183">
        <f t="shared" si="35"/>
        <v>0</v>
      </c>
    </row>
    <row r="65" spans="1:13" s="13" customFormat="1" ht="12.75" customHeight="1">
      <c r="A65" s="5"/>
      <c r="B65" s="5"/>
      <c r="C65" s="5"/>
      <c r="D65" s="195"/>
      <c r="E65" s="195"/>
      <c r="F65" s="195"/>
      <c r="G65" s="195"/>
      <c r="H65" s="195"/>
      <c r="I65" s="195"/>
      <c r="J65" s="195"/>
      <c r="K65" s="195"/>
      <c r="L65" s="195"/>
      <c r="M65" s="195"/>
    </row>
    <row r="66" spans="1:13" s="13" customFormat="1" ht="12.75" customHeight="1">
      <c r="A66" s="5"/>
      <c r="B66" s="5"/>
      <c r="C66" s="5"/>
      <c r="D66" s="18"/>
      <c r="E66" s="14"/>
    </row>
    <row r="67" spans="1:13" s="13" customFormat="1" ht="12.75" customHeight="1">
      <c r="A67" s="30" t="s">
        <v>863</v>
      </c>
      <c r="B67" s="99"/>
      <c r="C67" t="s">
        <v>800</v>
      </c>
      <c r="D67" s="179" t="s">
        <v>801</v>
      </c>
      <c r="E67" s="1"/>
      <c r="F67"/>
      <c r="G67"/>
      <c r="H67"/>
      <c r="I67"/>
      <c r="J67"/>
      <c r="K67"/>
      <c r="L67"/>
      <c r="M67"/>
    </row>
    <row r="68" spans="1:13" s="13" customFormat="1" ht="12.75" customHeight="1">
      <c r="A68" s="26" t="s">
        <v>677</v>
      </c>
      <c r="B68" s="133">
        <v>29373</v>
      </c>
      <c r="C68" s="5" t="s">
        <v>639</v>
      </c>
      <c r="D68" s="180">
        <f>IF($D67="V",Input!G$70,IF(AND($B74=D$5,Input!G$65&gt;0),Input!G$65,$B71))</f>
        <v>7.0000000000000007E-2</v>
      </c>
      <c r="E68" s="180">
        <f>IF($D67="V",Input!H$70,IF(AND($B74=E$5,Input!H$65&gt;0),Input!H$65,D68))</f>
        <v>7.0000000000000007E-2</v>
      </c>
      <c r="F68" s="180">
        <f>IF($D67="V",Input!I$70,IF(AND($B74=F$5,Input!I$65&gt;0),Input!I$65,E68))</f>
        <v>7.0000000000000007E-2</v>
      </c>
      <c r="G68" s="180">
        <f>IF($D67="V",Input!J$70,IF(AND($B74=G$5,Input!J$65&gt;0),Input!J$65,F68))</f>
        <v>7.0000000000000007E-2</v>
      </c>
      <c r="H68" s="180">
        <f>IF($D67="V",Input!K$70,IF(AND($B74=H$5,Input!K$65&gt;0),Input!K$65,G68))</f>
        <v>7.0000000000000007E-2</v>
      </c>
      <c r="I68" s="180">
        <f>IF($D67="V",Input!L$70,IF(AND($B74=I$5,Input!L$65&gt;0),Input!L$65,H68))</f>
        <v>7.0000000000000007E-2</v>
      </c>
      <c r="J68" s="180">
        <f>IF($D67="V",Input!M$70,IF(AND($B74=J$5,Input!M$65&gt;0),Input!M$65,I68))</f>
        <v>7.0000000000000007E-2</v>
      </c>
      <c r="K68" s="180">
        <f>IF($D67="V",Input!N$70,IF(AND($B74=K$5,Input!N$65&gt;0),Input!N$65,J68))</f>
        <v>7.0000000000000007E-2</v>
      </c>
      <c r="L68" s="180">
        <f>IF($D67="V",Input!O$70,IF(AND($B74=L$5,Input!O$65&gt;0),Input!O$65,K68))</f>
        <v>7.0000000000000007E-2</v>
      </c>
      <c r="M68" s="180">
        <f>IF($D67="V",Input!P$70,IF(AND($B74=M$5,Input!P$65&gt;0),Input!P$65,L68))</f>
        <v>7.0000000000000007E-2</v>
      </c>
    </row>
    <row r="69" spans="1:13" s="13" customFormat="1" ht="12.75" customHeight="1">
      <c r="A69" s="5" t="s">
        <v>361</v>
      </c>
      <c r="B69" s="181">
        <v>0</v>
      </c>
      <c r="C69" s="27" t="s">
        <v>173</v>
      </c>
      <c r="D69" s="188">
        <v>0</v>
      </c>
      <c r="E69" s="183">
        <f t="shared" ref="E69:M69" si="36">D74</f>
        <v>0</v>
      </c>
      <c r="F69" s="183">
        <f t="shared" si="36"/>
        <v>0</v>
      </c>
      <c r="G69" s="183">
        <f t="shared" si="36"/>
        <v>0</v>
      </c>
      <c r="H69" s="183">
        <f t="shared" si="36"/>
        <v>0</v>
      </c>
      <c r="I69" s="183">
        <f t="shared" si="36"/>
        <v>0</v>
      </c>
      <c r="J69" s="183">
        <f t="shared" si="36"/>
        <v>0</v>
      </c>
      <c r="K69" s="183">
        <f t="shared" si="36"/>
        <v>0</v>
      </c>
      <c r="L69" s="183">
        <f t="shared" si="36"/>
        <v>0</v>
      </c>
      <c r="M69" s="183">
        <f t="shared" si="36"/>
        <v>0</v>
      </c>
    </row>
    <row r="70" spans="1:13" s="13" customFormat="1" ht="12.75" customHeight="1">
      <c r="A70" s="26" t="s">
        <v>170</v>
      </c>
      <c r="B70" s="131">
        <v>35</v>
      </c>
      <c r="C70" s="184" t="s">
        <v>169</v>
      </c>
      <c r="D70" s="183">
        <f t="shared" ref="D70:M70" si="37">D72-D71</f>
        <v>0</v>
      </c>
      <c r="E70" s="183">
        <f t="shared" si="37"/>
        <v>0</v>
      </c>
      <c r="F70" s="183">
        <f t="shared" si="37"/>
        <v>0</v>
      </c>
      <c r="G70" s="183">
        <f t="shared" si="37"/>
        <v>0</v>
      </c>
      <c r="H70" s="183">
        <f t="shared" si="37"/>
        <v>0</v>
      </c>
      <c r="I70" s="183">
        <f t="shared" si="37"/>
        <v>0</v>
      </c>
      <c r="J70" s="183">
        <f t="shared" si="37"/>
        <v>0</v>
      </c>
      <c r="K70" s="183">
        <f t="shared" si="37"/>
        <v>0</v>
      </c>
      <c r="L70" s="183">
        <f t="shared" si="37"/>
        <v>0</v>
      </c>
      <c r="M70" s="183">
        <f t="shared" si="37"/>
        <v>0</v>
      </c>
    </row>
    <row r="71" spans="1:13" s="13" customFormat="1" ht="12.75" customHeight="1">
      <c r="A71" s="5" t="s">
        <v>172</v>
      </c>
      <c r="B71" s="185">
        <f>B59</f>
        <v>7.0000000000000007E-2</v>
      </c>
      <c r="C71" s="5" t="s">
        <v>174</v>
      </c>
      <c r="D71" s="183">
        <f t="shared" ref="D71:M71" si="38">IF(AND($B73="Y",YEAR($B68)+$B70&gt;D$5),D76,IF((YEAR($B68)+$B70)&gt;D$5,FV(D68/$B72,$B72,D75),D69))</f>
        <v>0</v>
      </c>
      <c r="E71" s="183">
        <f t="shared" si="38"/>
        <v>0</v>
      </c>
      <c r="F71" s="183">
        <f t="shared" si="38"/>
        <v>0</v>
      </c>
      <c r="G71" s="183">
        <f t="shared" si="38"/>
        <v>0</v>
      </c>
      <c r="H71" s="183">
        <f t="shared" si="38"/>
        <v>0</v>
      </c>
      <c r="I71" s="183">
        <f t="shared" si="38"/>
        <v>0</v>
      </c>
      <c r="J71" s="183">
        <f t="shared" si="38"/>
        <v>0</v>
      </c>
      <c r="K71" s="183">
        <f t="shared" si="38"/>
        <v>0</v>
      </c>
      <c r="L71" s="183">
        <f t="shared" si="38"/>
        <v>0</v>
      </c>
      <c r="M71" s="183">
        <f t="shared" si="38"/>
        <v>0</v>
      </c>
    </row>
    <row r="72" spans="1:13" s="13" customFormat="1" ht="12.75" customHeight="1">
      <c r="A72" s="5" t="s">
        <v>171</v>
      </c>
      <c r="B72" s="131">
        <v>4</v>
      </c>
      <c r="C72" s="186" t="s">
        <v>640</v>
      </c>
      <c r="D72" s="183">
        <f t="shared" ref="D72:M72" si="39">IF(AND($B73="Y",YEAR($B68)+$B70&gt;D$5),D76+D68*(D69-D76*0.5),IF((YEAR($B68)+$B70)&gt;D$5,(D69*D68/$B72-D75)*$B72,(D69*(1+D68*MONTH($B68)/12))))</f>
        <v>0</v>
      </c>
      <c r="E72" s="183">
        <f t="shared" si="39"/>
        <v>0</v>
      </c>
      <c r="F72" s="183">
        <f t="shared" si="39"/>
        <v>0</v>
      </c>
      <c r="G72" s="183">
        <f t="shared" si="39"/>
        <v>0</v>
      </c>
      <c r="H72" s="183">
        <f t="shared" si="39"/>
        <v>0</v>
      </c>
      <c r="I72" s="183">
        <f t="shared" si="39"/>
        <v>0</v>
      </c>
      <c r="J72" s="183">
        <f t="shared" si="39"/>
        <v>0</v>
      </c>
      <c r="K72" s="183">
        <f t="shared" si="39"/>
        <v>0</v>
      </c>
      <c r="L72" s="183">
        <f t="shared" si="39"/>
        <v>0</v>
      </c>
      <c r="M72" s="183">
        <f t="shared" si="39"/>
        <v>0</v>
      </c>
    </row>
    <row r="73" spans="1:13" s="13" customFormat="1" ht="12.75" customHeight="1">
      <c r="A73" s="5" t="s">
        <v>767</v>
      </c>
      <c r="B73" s="131" t="s">
        <v>719</v>
      </c>
      <c r="C73" s="187" t="s">
        <v>768</v>
      </c>
      <c r="D73" s="188">
        <v>0</v>
      </c>
      <c r="E73" s="188">
        <v>0</v>
      </c>
      <c r="F73" s="188">
        <v>0</v>
      </c>
      <c r="G73" s="188">
        <v>0</v>
      </c>
      <c r="H73" s="188">
        <v>0</v>
      </c>
      <c r="I73" s="188">
        <v>0</v>
      </c>
      <c r="J73" s="188">
        <v>0</v>
      </c>
      <c r="K73" s="188">
        <v>0</v>
      </c>
      <c r="L73" s="188">
        <v>0</v>
      </c>
      <c r="M73" s="188">
        <v>0</v>
      </c>
    </row>
    <row r="74" spans="1:13" s="13" customFormat="1" ht="12.75" customHeight="1">
      <c r="A74" s="5" t="s">
        <v>182</v>
      </c>
      <c r="B74" s="131"/>
      <c r="C74" s="30" t="s">
        <v>175</v>
      </c>
      <c r="D74" s="183">
        <f t="shared" ref="D74:M74" si="40">D69+D70-D72-D73</f>
        <v>0</v>
      </c>
      <c r="E74" s="183">
        <f t="shared" si="40"/>
        <v>0</v>
      </c>
      <c r="F74" s="183">
        <f t="shared" si="40"/>
        <v>0</v>
      </c>
      <c r="G74" s="183">
        <f t="shared" si="40"/>
        <v>0</v>
      </c>
      <c r="H74" s="183">
        <f t="shared" si="40"/>
        <v>0</v>
      </c>
      <c r="I74" s="183">
        <f t="shared" si="40"/>
        <v>0</v>
      </c>
      <c r="J74" s="183">
        <f t="shared" si="40"/>
        <v>0</v>
      </c>
      <c r="K74" s="183">
        <f t="shared" si="40"/>
        <v>0</v>
      </c>
      <c r="L74" s="183">
        <f t="shared" si="40"/>
        <v>0</v>
      </c>
      <c r="M74" s="183">
        <f t="shared" si="40"/>
        <v>0</v>
      </c>
    </row>
    <row r="75" spans="1:13" s="13" customFormat="1" ht="12.75" hidden="1" customHeight="1">
      <c r="A75" s="5"/>
      <c r="B75" s="138"/>
      <c r="C75" s="5" t="s">
        <v>769</v>
      </c>
      <c r="D75" s="183" t="e">
        <f t="shared" ref="D75:M75" si="41">PPMT(D68/$B72,1,ROUND(($B70-(D$5-YEAR($B68))+MONTH($B68)/12)*$B72,0),D69)</f>
        <v>#NUM!</v>
      </c>
      <c r="E75" s="183" t="e">
        <f t="shared" si="41"/>
        <v>#NUM!</v>
      </c>
      <c r="F75" s="183" t="e">
        <f t="shared" si="41"/>
        <v>#NUM!</v>
      </c>
      <c r="G75" s="183" t="e">
        <f t="shared" si="41"/>
        <v>#NUM!</v>
      </c>
      <c r="H75" s="183" t="e">
        <f t="shared" si="41"/>
        <v>#NUM!</v>
      </c>
      <c r="I75" s="183" t="e">
        <f t="shared" si="41"/>
        <v>#NUM!</v>
      </c>
      <c r="J75" s="183" t="e">
        <f t="shared" si="41"/>
        <v>#NUM!</v>
      </c>
      <c r="K75" s="183" t="e">
        <f t="shared" si="41"/>
        <v>#NUM!</v>
      </c>
      <c r="L75" s="183" t="e">
        <f t="shared" si="41"/>
        <v>#NUM!</v>
      </c>
      <c r="M75" s="183" t="e">
        <f t="shared" si="41"/>
        <v>#NUM!</v>
      </c>
    </row>
    <row r="76" spans="1:13" s="13" customFormat="1" ht="12.75" hidden="1" customHeight="1">
      <c r="A76" s="5"/>
      <c r="B76" s="5"/>
      <c r="C76" s="5" t="s">
        <v>770</v>
      </c>
      <c r="D76" s="183">
        <f t="shared" ref="D76:M76" si="42">IF(YEAR($B68)+$B70&gt;D$5,D69/(YEAR($B68)+$B70-D$5+MONTH($B68)/12),D69)</f>
        <v>0</v>
      </c>
      <c r="E76" s="183">
        <f t="shared" si="42"/>
        <v>0</v>
      </c>
      <c r="F76" s="183">
        <f t="shared" si="42"/>
        <v>0</v>
      </c>
      <c r="G76" s="183">
        <f t="shared" si="42"/>
        <v>0</v>
      </c>
      <c r="H76" s="183">
        <f t="shared" si="42"/>
        <v>0</v>
      </c>
      <c r="I76" s="183">
        <f t="shared" si="42"/>
        <v>0</v>
      </c>
      <c r="J76" s="183">
        <f t="shared" si="42"/>
        <v>0</v>
      </c>
      <c r="K76" s="183">
        <f t="shared" si="42"/>
        <v>0</v>
      </c>
      <c r="L76" s="183">
        <f t="shared" si="42"/>
        <v>0</v>
      </c>
      <c r="M76" s="183">
        <f t="shared" si="42"/>
        <v>0</v>
      </c>
    </row>
    <row r="77" spans="1:13" s="13" customFormat="1" ht="12.75" customHeight="1">
      <c r="A77" s="5"/>
      <c r="B77" s="5"/>
      <c r="C77" s="5"/>
      <c r="D77" s="197"/>
      <c r="E77" s="195"/>
      <c r="F77" s="195"/>
      <c r="G77" s="195"/>
      <c r="H77" s="195"/>
      <c r="I77" s="195"/>
      <c r="J77" s="195"/>
      <c r="K77" s="195"/>
      <c r="L77" s="195"/>
      <c r="M77" s="195"/>
    </row>
    <row r="78" spans="1:13" s="13" customFormat="1" ht="12.75" customHeight="1">
      <c r="A78" s="5"/>
      <c r="B78" s="5"/>
      <c r="C78" s="5"/>
      <c r="D78" s="195"/>
      <c r="E78" s="195"/>
      <c r="F78" s="195"/>
      <c r="G78" s="195"/>
      <c r="H78" s="195"/>
      <c r="I78" s="195"/>
      <c r="J78" s="195"/>
      <c r="K78" s="195"/>
      <c r="L78" s="195"/>
      <c r="M78" s="195"/>
    </row>
    <row r="79" spans="1:13" s="13" customFormat="1" ht="12.75" customHeight="1">
      <c r="A79" s="5"/>
      <c r="B79" s="5"/>
      <c r="C79" s="5"/>
      <c r="D79" s="195"/>
      <c r="E79" s="195"/>
      <c r="F79" s="195"/>
      <c r="G79" s="195"/>
      <c r="H79" s="195"/>
      <c r="I79" s="195"/>
      <c r="J79" s="195"/>
      <c r="K79" s="195"/>
      <c r="L79" s="195"/>
      <c r="M79" s="195"/>
    </row>
    <row r="80" spans="1:13" s="13" customFormat="1" ht="12.75" customHeight="1">
      <c r="A80" s="5" t="s">
        <v>890</v>
      </c>
      <c r="B80" s="5"/>
      <c r="C80" s="5"/>
      <c r="D80" s="198">
        <f t="shared" ref="D80:M80" si="43">+D5</f>
        <v>2024</v>
      </c>
      <c r="E80" s="198">
        <f t="shared" si="43"/>
        <v>2025</v>
      </c>
      <c r="F80" s="198">
        <f t="shared" si="43"/>
        <v>2026</v>
      </c>
      <c r="G80" s="198">
        <f t="shared" si="43"/>
        <v>2027</v>
      </c>
      <c r="H80" s="198">
        <f t="shared" si="43"/>
        <v>2028</v>
      </c>
      <c r="I80" s="198">
        <f t="shared" si="43"/>
        <v>2029</v>
      </c>
      <c r="J80" s="198">
        <f t="shared" si="43"/>
        <v>2030</v>
      </c>
      <c r="K80" s="198">
        <f t="shared" si="43"/>
        <v>2031</v>
      </c>
      <c r="L80" s="198">
        <f t="shared" si="43"/>
        <v>2032</v>
      </c>
      <c r="M80" s="198">
        <f t="shared" si="43"/>
        <v>2033</v>
      </c>
    </row>
    <row r="81" spans="1:13" s="13" customFormat="1" ht="12.75" customHeight="1">
      <c r="A81" s="5"/>
      <c r="B81" s="5"/>
      <c r="C81" s="5"/>
      <c r="D81" s="199" t="str">
        <f t="shared" ref="D81:M81" si="44">+D6</f>
        <v xml:space="preserve">  -----------</v>
      </c>
      <c r="E81" s="199" t="str">
        <f t="shared" si="44"/>
        <v xml:space="preserve">  -----------</v>
      </c>
      <c r="F81" s="199" t="str">
        <f t="shared" si="44"/>
        <v xml:space="preserve">  -----------</v>
      </c>
      <c r="G81" s="199" t="str">
        <f t="shared" si="44"/>
        <v xml:space="preserve">  -----------</v>
      </c>
      <c r="H81" s="199" t="str">
        <f t="shared" si="44"/>
        <v xml:space="preserve">  -----------</v>
      </c>
      <c r="I81" s="199" t="str">
        <f t="shared" si="44"/>
        <v xml:space="preserve">  -----------</v>
      </c>
      <c r="J81" s="199" t="str">
        <f t="shared" si="44"/>
        <v xml:space="preserve">  -----------</v>
      </c>
      <c r="K81" s="199" t="str">
        <f t="shared" si="44"/>
        <v xml:space="preserve">  -----------</v>
      </c>
      <c r="L81" s="199" t="str">
        <f t="shared" si="44"/>
        <v xml:space="preserve">  -----------</v>
      </c>
      <c r="M81" s="199" t="str">
        <f t="shared" si="44"/>
        <v xml:space="preserve">  -----------</v>
      </c>
    </row>
    <row r="82" spans="1:13" s="13" customFormat="1" ht="12.75" customHeight="1">
      <c r="A82" s="30" t="s">
        <v>864</v>
      </c>
      <c r="B82" s="99"/>
      <c r="C82" t="s">
        <v>800</v>
      </c>
      <c r="D82" s="179" t="s">
        <v>801</v>
      </c>
      <c r="E82" s="1"/>
      <c r="F82"/>
      <c r="G82"/>
      <c r="H82"/>
      <c r="I82"/>
      <c r="J82"/>
      <c r="K82"/>
      <c r="L82"/>
      <c r="M82"/>
    </row>
    <row r="83" spans="1:13" s="13" customFormat="1" ht="12.75" customHeight="1">
      <c r="A83" s="26" t="s">
        <v>677</v>
      </c>
      <c r="B83" s="133">
        <v>29373</v>
      </c>
      <c r="C83" s="5" t="s">
        <v>639</v>
      </c>
      <c r="D83" s="180">
        <f>IF($D82="V",Input!G$70,IF(AND($B89=D$5,Input!G$65&gt;0),Input!G$65,$B86))</f>
        <v>7.0000000000000007E-2</v>
      </c>
      <c r="E83" s="180">
        <f>IF($D82="V",Input!H$70,IF(AND($B89=E$5,Input!H$65&gt;0),Input!H$65,D83))</f>
        <v>7.0000000000000007E-2</v>
      </c>
      <c r="F83" s="180">
        <f>IF($D82="V",Input!I$70,IF(AND($B89=F$5,Input!I$65&gt;0),Input!I$65,E83))</f>
        <v>7.0000000000000007E-2</v>
      </c>
      <c r="G83" s="180">
        <f>IF($D82="V",Input!J$70,IF(AND($B89=G$5,Input!J$65&gt;0),Input!J$65,F83))</f>
        <v>7.0000000000000007E-2</v>
      </c>
      <c r="H83" s="180">
        <f>IF($D82="V",Input!K$70,IF(AND($B89=H$5,Input!K$65&gt;0),Input!K$65,G83))</f>
        <v>7.0000000000000007E-2</v>
      </c>
      <c r="I83" s="180">
        <f>IF($D82="V",Input!L$70,IF(AND($B89=I$5,Input!L$65&gt;0),Input!L$65,H83))</f>
        <v>7.0000000000000007E-2</v>
      </c>
      <c r="J83" s="180">
        <f>IF($D82="V",Input!M$70,IF(AND($B89=J$5,Input!M$65&gt;0),Input!M$65,I83))</f>
        <v>7.0000000000000007E-2</v>
      </c>
      <c r="K83" s="180">
        <f>IF($D82="V",Input!N$70,IF(AND($B89=K$5,Input!N$65&gt;0),Input!N$65,J83))</f>
        <v>7.0000000000000007E-2</v>
      </c>
      <c r="L83" s="180">
        <f>IF($D82="V",Input!O$70,IF(AND($B89=L$5,Input!O$65&gt;0),Input!O$65,K83))</f>
        <v>7.0000000000000007E-2</v>
      </c>
      <c r="M83" s="180">
        <f>IF($D82="V",Input!P$70,IF(AND($B89=M$5,Input!P$65&gt;0),Input!P$65,L83))</f>
        <v>7.0000000000000007E-2</v>
      </c>
    </row>
    <row r="84" spans="1:13" s="13" customFormat="1" ht="12.75" customHeight="1">
      <c r="A84" s="5" t="s">
        <v>361</v>
      </c>
      <c r="B84" s="181">
        <v>0</v>
      </c>
      <c r="C84" s="27" t="s">
        <v>173</v>
      </c>
      <c r="D84" s="188">
        <v>0</v>
      </c>
      <c r="E84" s="183">
        <f t="shared" ref="E84:M84" si="45">D89</f>
        <v>0</v>
      </c>
      <c r="F84" s="183">
        <f t="shared" si="45"/>
        <v>0</v>
      </c>
      <c r="G84" s="183">
        <f t="shared" si="45"/>
        <v>0</v>
      </c>
      <c r="H84" s="183">
        <f t="shared" si="45"/>
        <v>0</v>
      </c>
      <c r="I84" s="183">
        <f t="shared" si="45"/>
        <v>0</v>
      </c>
      <c r="J84" s="183">
        <f t="shared" si="45"/>
        <v>0</v>
      </c>
      <c r="K84" s="183">
        <f t="shared" si="45"/>
        <v>0</v>
      </c>
      <c r="L84" s="183">
        <f t="shared" si="45"/>
        <v>0</v>
      </c>
      <c r="M84" s="183">
        <f t="shared" si="45"/>
        <v>0</v>
      </c>
    </row>
    <row r="85" spans="1:13" s="13" customFormat="1" ht="12.75" customHeight="1">
      <c r="A85" s="26" t="s">
        <v>170</v>
      </c>
      <c r="B85" s="131">
        <v>35</v>
      </c>
      <c r="C85" s="184" t="s">
        <v>169</v>
      </c>
      <c r="D85" s="183">
        <f t="shared" ref="D85:M85" si="46">D87-D86</f>
        <v>0</v>
      </c>
      <c r="E85" s="183">
        <f t="shared" si="46"/>
        <v>0</v>
      </c>
      <c r="F85" s="183">
        <f t="shared" si="46"/>
        <v>0</v>
      </c>
      <c r="G85" s="183">
        <f t="shared" si="46"/>
        <v>0</v>
      </c>
      <c r="H85" s="183">
        <f t="shared" si="46"/>
        <v>0</v>
      </c>
      <c r="I85" s="183">
        <f t="shared" si="46"/>
        <v>0</v>
      </c>
      <c r="J85" s="183">
        <f t="shared" si="46"/>
        <v>0</v>
      </c>
      <c r="K85" s="183">
        <f t="shared" si="46"/>
        <v>0</v>
      </c>
      <c r="L85" s="183">
        <f t="shared" si="46"/>
        <v>0</v>
      </c>
      <c r="M85" s="183">
        <f t="shared" si="46"/>
        <v>0</v>
      </c>
    </row>
    <row r="86" spans="1:13" s="13" customFormat="1" ht="12.75" customHeight="1">
      <c r="A86" s="5" t="s">
        <v>172</v>
      </c>
      <c r="B86" s="185">
        <f>B71</f>
        <v>7.0000000000000007E-2</v>
      </c>
      <c r="C86" s="5" t="s">
        <v>174</v>
      </c>
      <c r="D86" s="183">
        <f t="shared" ref="D86:M86" si="47">IF(AND($B88="Y",YEAR($B83)+$B85&gt;D$5),D91,IF((YEAR($B83)+$B85)&gt;D$5,FV(D83/$B87,$B87,D90),D84))</f>
        <v>0</v>
      </c>
      <c r="E86" s="183">
        <f t="shared" si="47"/>
        <v>0</v>
      </c>
      <c r="F86" s="183">
        <f t="shared" si="47"/>
        <v>0</v>
      </c>
      <c r="G86" s="183">
        <f t="shared" si="47"/>
        <v>0</v>
      </c>
      <c r="H86" s="183">
        <f t="shared" si="47"/>
        <v>0</v>
      </c>
      <c r="I86" s="183">
        <f t="shared" si="47"/>
        <v>0</v>
      </c>
      <c r="J86" s="183">
        <f t="shared" si="47"/>
        <v>0</v>
      </c>
      <c r="K86" s="183">
        <f t="shared" si="47"/>
        <v>0</v>
      </c>
      <c r="L86" s="183">
        <f t="shared" si="47"/>
        <v>0</v>
      </c>
      <c r="M86" s="183">
        <f t="shared" si="47"/>
        <v>0</v>
      </c>
    </row>
    <row r="87" spans="1:13" s="13" customFormat="1" ht="12.75" customHeight="1">
      <c r="A87" s="5" t="s">
        <v>171</v>
      </c>
      <c r="B87" s="131">
        <v>4</v>
      </c>
      <c r="C87" s="186" t="s">
        <v>640</v>
      </c>
      <c r="D87" s="183">
        <f t="shared" ref="D87:M87" si="48">IF(AND($B88="Y",YEAR($B83)+$B85&gt;D$5),D91+D83*(D84-D91*0.5),IF((YEAR($B83)+$B85)&gt;D$5,(D84*D83/$B87-D90)*$B87,(D84*(1+D83*MONTH($B83)/12))))</f>
        <v>0</v>
      </c>
      <c r="E87" s="183">
        <f t="shared" si="48"/>
        <v>0</v>
      </c>
      <c r="F87" s="183">
        <f t="shared" si="48"/>
        <v>0</v>
      </c>
      <c r="G87" s="183">
        <f t="shared" si="48"/>
        <v>0</v>
      </c>
      <c r="H87" s="183">
        <f t="shared" si="48"/>
        <v>0</v>
      </c>
      <c r="I87" s="183">
        <f t="shared" si="48"/>
        <v>0</v>
      </c>
      <c r="J87" s="183">
        <f t="shared" si="48"/>
        <v>0</v>
      </c>
      <c r="K87" s="183">
        <f t="shared" si="48"/>
        <v>0</v>
      </c>
      <c r="L87" s="183">
        <f t="shared" si="48"/>
        <v>0</v>
      </c>
      <c r="M87" s="183">
        <f t="shared" si="48"/>
        <v>0</v>
      </c>
    </row>
    <row r="88" spans="1:13" s="13" customFormat="1" ht="12.75" customHeight="1">
      <c r="A88" s="5" t="s">
        <v>767</v>
      </c>
      <c r="B88" s="131" t="s">
        <v>719</v>
      </c>
      <c r="C88" s="187" t="s">
        <v>768</v>
      </c>
      <c r="D88" s="188">
        <v>0</v>
      </c>
      <c r="E88" s="188">
        <v>0</v>
      </c>
      <c r="F88" s="188">
        <v>0</v>
      </c>
      <c r="G88" s="188">
        <v>0</v>
      </c>
      <c r="H88" s="188">
        <v>0</v>
      </c>
      <c r="I88" s="188">
        <v>0</v>
      </c>
      <c r="J88" s="188">
        <v>0</v>
      </c>
      <c r="K88" s="188">
        <v>0</v>
      </c>
      <c r="L88" s="188">
        <v>0</v>
      </c>
      <c r="M88" s="188">
        <v>0</v>
      </c>
    </row>
    <row r="89" spans="1:13" s="13" customFormat="1" ht="12.75" customHeight="1">
      <c r="A89" s="5" t="s">
        <v>182</v>
      </c>
      <c r="B89" s="131"/>
      <c r="C89" s="30" t="s">
        <v>175</v>
      </c>
      <c r="D89" s="183">
        <f t="shared" ref="D89:M89" si="49">D84+D85-D87-D88</f>
        <v>0</v>
      </c>
      <c r="E89" s="183">
        <f t="shared" si="49"/>
        <v>0</v>
      </c>
      <c r="F89" s="183">
        <f t="shared" si="49"/>
        <v>0</v>
      </c>
      <c r="G89" s="183">
        <f t="shared" si="49"/>
        <v>0</v>
      </c>
      <c r="H89" s="183">
        <f t="shared" si="49"/>
        <v>0</v>
      </c>
      <c r="I89" s="183">
        <f t="shared" si="49"/>
        <v>0</v>
      </c>
      <c r="J89" s="183">
        <f t="shared" si="49"/>
        <v>0</v>
      </c>
      <c r="K89" s="183">
        <f t="shared" si="49"/>
        <v>0</v>
      </c>
      <c r="L89" s="183">
        <f t="shared" si="49"/>
        <v>0</v>
      </c>
      <c r="M89" s="183">
        <f t="shared" si="49"/>
        <v>0</v>
      </c>
    </row>
    <row r="90" spans="1:13" s="13" customFormat="1" ht="12.75" hidden="1" customHeight="1">
      <c r="A90" s="5"/>
      <c r="B90" s="138"/>
      <c r="C90" s="5" t="s">
        <v>769</v>
      </c>
      <c r="D90" s="183" t="e">
        <f t="shared" ref="D90:M90" si="50">PPMT(D83/$B87,1,ROUND(($B85-(D$5-YEAR($B83))+MONTH($B83)/12)*$B87,0),D84)</f>
        <v>#NUM!</v>
      </c>
      <c r="E90" s="183" t="e">
        <f t="shared" si="50"/>
        <v>#NUM!</v>
      </c>
      <c r="F90" s="183" t="e">
        <f t="shared" si="50"/>
        <v>#NUM!</v>
      </c>
      <c r="G90" s="183" t="e">
        <f t="shared" si="50"/>
        <v>#NUM!</v>
      </c>
      <c r="H90" s="183" t="e">
        <f t="shared" si="50"/>
        <v>#NUM!</v>
      </c>
      <c r="I90" s="183" t="e">
        <f t="shared" si="50"/>
        <v>#NUM!</v>
      </c>
      <c r="J90" s="183" t="e">
        <f t="shared" si="50"/>
        <v>#NUM!</v>
      </c>
      <c r="K90" s="183" t="e">
        <f t="shared" si="50"/>
        <v>#NUM!</v>
      </c>
      <c r="L90" s="183" t="e">
        <f t="shared" si="50"/>
        <v>#NUM!</v>
      </c>
      <c r="M90" s="183" t="e">
        <f t="shared" si="50"/>
        <v>#NUM!</v>
      </c>
    </row>
    <row r="91" spans="1:13" s="13" customFormat="1" ht="12.75" hidden="1" customHeight="1">
      <c r="A91" s="5"/>
      <c r="B91" s="5"/>
      <c r="C91" s="5" t="s">
        <v>770</v>
      </c>
      <c r="D91" s="183">
        <f t="shared" ref="D91:M91" si="51">IF(YEAR($B83)+$B85&gt;D$5,D84/(YEAR($B83)+$B85-D$5+MONTH($B83)/12),D84)</f>
        <v>0</v>
      </c>
      <c r="E91" s="183">
        <f t="shared" si="51"/>
        <v>0</v>
      </c>
      <c r="F91" s="183">
        <f t="shared" si="51"/>
        <v>0</v>
      </c>
      <c r="G91" s="183">
        <f t="shared" si="51"/>
        <v>0</v>
      </c>
      <c r="H91" s="183">
        <f t="shared" si="51"/>
        <v>0</v>
      </c>
      <c r="I91" s="183">
        <f t="shared" si="51"/>
        <v>0</v>
      </c>
      <c r="J91" s="183">
        <f t="shared" si="51"/>
        <v>0</v>
      </c>
      <c r="K91" s="183">
        <f t="shared" si="51"/>
        <v>0</v>
      </c>
      <c r="L91" s="183">
        <f t="shared" si="51"/>
        <v>0</v>
      </c>
      <c r="M91" s="183">
        <f t="shared" si="51"/>
        <v>0</v>
      </c>
    </row>
    <row r="92" spans="1:13" s="13" customFormat="1" ht="12.75" customHeight="1">
      <c r="A92"/>
      <c r="B92"/>
      <c r="C92" s="5"/>
    </row>
    <row r="93" spans="1:13" s="13" customFormat="1" ht="12.75" customHeight="1">
      <c r="A93" s="30" t="s">
        <v>865</v>
      </c>
      <c r="B93" s="99"/>
      <c r="C93" t="s">
        <v>800</v>
      </c>
      <c r="D93" s="179" t="s">
        <v>801</v>
      </c>
      <c r="E93" s="1"/>
      <c r="F93"/>
      <c r="G93"/>
      <c r="H93"/>
      <c r="I93"/>
      <c r="J93"/>
      <c r="K93"/>
      <c r="L93"/>
      <c r="M93"/>
    </row>
    <row r="94" spans="1:13" s="13" customFormat="1" ht="12.75" customHeight="1">
      <c r="A94" s="26" t="s">
        <v>677</v>
      </c>
      <c r="B94" s="133">
        <v>29373</v>
      </c>
      <c r="C94" s="5" t="s">
        <v>639</v>
      </c>
      <c r="D94" s="180">
        <f>IF($D93="V",Input!G$70,IF(AND($B100=D$5,Input!G$65&gt;0),Input!G$65,$B97))</f>
        <v>7.0000000000000007E-2</v>
      </c>
      <c r="E94" s="180">
        <f>IF($D93="V",Input!H$70,IF(AND($B100=E$5,Input!H$65&gt;0),Input!H$65,D94))</f>
        <v>7.0000000000000007E-2</v>
      </c>
      <c r="F94" s="180">
        <f>IF($D93="V",Input!I$70,IF(AND($B100=F$5,Input!I$65&gt;0),Input!I$65,E94))</f>
        <v>7.0000000000000007E-2</v>
      </c>
      <c r="G94" s="180">
        <f>IF($D93="V",Input!J$70,IF(AND($B100=G$5,Input!J$65&gt;0),Input!J$65,F94))</f>
        <v>7.0000000000000007E-2</v>
      </c>
      <c r="H94" s="180">
        <f>IF($D93="V",Input!K$70,IF(AND($B100=H$5,Input!K$65&gt;0),Input!K$65,G94))</f>
        <v>7.0000000000000007E-2</v>
      </c>
      <c r="I94" s="180">
        <f>IF($D93="V",Input!L$70,IF(AND($B100=I$5,Input!L$65&gt;0),Input!L$65,H94))</f>
        <v>7.0000000000000007E-2</v>
      </c>
      <c r="J94" s="180">
        <f>IF($D93="V",Input!M$70,IF(AND($B100=J$5,Input!M$65&gt;0),Input!M$65,I94))</f>
        <v>7.0000000000000007E-2</v>
      </c>
      <c r="K94" s="180">
        <f>IF($D93="V",Input!N$70,IF(AND($B100=K$5,Input!N$65&gt;0),Input!N$65,J94))</f>
        <v>7.0000000000000007E-2</v>
      </c>
      <c r="L94" s="180">
        <f>IF($D93="V",Input!O$70,IF(AND($B100=L$5,Input!O$65&gt;0),Input!O$65,K94))</f>
        <v>7.0000000000000007E-2</v>
      </c>
      <c r="M94" s="180">
        <f>IF($D93="V",Input!P$70,IF(AND($B100=M$5,Input!P$65&gt;0),Input!P$65,L94))</f>
        <v>7.0000000000000007E-2</v>
      </c>
    </row>
    <row r="95" spans="1:13" s="13" customFormat="1" ht="12.75" customHeight="1">
      <c r="A95" s="5" t="s">
        <v>361</v>
      </c>
      <c r="B95" s="181">
        <v>0</v>
      </c>
      <c r="C95" s="27" t="s">
        <v>173</v>
      </c>
      <c r="D95" s="188">
        <v>0</v>
      </c>
      <c r="E95" s="183">
        <f t="shared" ref="E95:M95" si="52">D100</f>
        <v>0</v>
      </c>
      <c r="F95" s="183">
        <f t="shared" si="52"/>
        <v>0</v>
      </c>
      <c r="G95" s="183">
        <f t="shared" si="52"/>
        <v>0</v>
      </c>
      <c r="H95" s="183">
        <f t="shared" si="52"/>
        <v>0</v>
      </c>
      <c r="I95" s="183">
        <f t="shared" si="52"/>
        <v>0</v>
      </c>
      <c r="J95" s="183">
        <f t="shared" si="52"/>
        <v>0</v>
      </c>
      <c r="K95" s="183">
        <f t="shared" si="52"/>
        <v>0</v>
      </c>
      <c r="L95" s="183">
        <f t="shared" si="52"/>
        <v>0</v>
      </c>
      <c r="M95" s="183">
        <f t="shared" si="52"/>
        <v>0</v>
      </c>
    </row>
    <row r="96" spans="1:13" s="13" customFormat="1" ht="12.75" customHeight="1">
      <c r="A96" s="26" t="s">
        <v>170</v>
      </c>
      <c r="B96" s="131">
        <v>35</v>
      </c>
      <c r="C96" s="184" t="s">
        <v>169</v>
      </c>
      <c r="D96" s="183">
        <f t="shared" ref="D96:M96" si="53">D98-D97</f>
        <v>0</v>
      </c>
      <c r="E96" s="183">
        <f t="shared" si="53"/>
        <v>0</v>
      </c>
      <c r="F96" s="183">
        <f t="shared" si="53"/>
        <v>0</v>
      </c>
      <c r="G96" s="183">
        <f t="shared" si="53"/>
        <v>0</v>
      </c>
      <c r="H96" s="183">
        <f t="shared" si="53"/>
        <v>0</v>
      </c>
      <c r="I96" s="183">
        <f t="shared" si="53"/>
        <v>0</v>
      </c>
      <c r="J96" s="183">
        <f t="shared" si="53"/>
        <v>0</v>
      </c>
      <c r="K96" s="183">
        <f t="shared" si="53"/>
        <v>0</v>
      </c>
      <c r="L96" s="183">
        <f t="shared" si="53"/>
        <v>0</v>
      </c>
      <c r="M96" s="183">
        <f t="shared" si="53"/>
        <v>0</v>
      </c>
    </row>
    <row r="97" spans="1:13" s="13" customFormat="1" ht="12.75" customHeight="1">
      <c r="A97" s="5" t="s">
        <v>172</v>
      </c>
      <c r="B97" s="185">
        <f>B86</f>
        <v>7.0000000000000007E-2</v>
      </c>
      <c r="C97" s="5" t="s">
        <v>174</v>
      </c>
      <c r="D97" s="183">
        <f t="shared" ref="D97:M97" si="54">IF(AND($B99="Y",YEAR($B94)+$B96&gt;D$5),D102,IF((YEAR($B94)+$B96)&gt;D$5,FV(D94/$B98,$B98,D101),D95))</f>
        <v>0</v>
      </c>
      <c r="E97" s="183">
        <f t="shared" si="54"/>
        <v>0</v>
      </c>
      <c r="F97" s="183">
        <f t="shared" si="54"/>
        <v>0</v>
      </c>
      <c r="G97" s="183">
        <f t="shared" si="54"/>
        <v>0</v>
      </c>
      <c r="H97" s="183">
        <f t="shared" si="54"/>
        <v>0</v>
      </c>
      <c r="I97" s="183">
        <f t="shared" si="54"/>
        <v>0</v>
      </c>
      <c r="J97" s="183">
        <f t="shared" si="54"/>
        <v>0</v>
      </c>
      <c r="K97" s="183">
        <f t="shared" si="54"/>
        <v>0</v>
      </c>
      <c r="L97" s="183">
        <f t="shared" si="54"/>
        <v>0</v>
      </c>
      <c r="M97" s="183">
        <f t="shared" si="54"/>
        <v>0</v>
      </c>
    </row>
    <row r="98" spans="1:13" s="13" customFormat="1" ht="12.75" customHeight="1">
      <c r="A98" s="5" t="s">
        <v>171</v>
      </c>
      <c r="B98" s="131">
        <v>4</v>
      </c>
      <c r="C98" s="186" t="s">
        <v>640</v>
      </c>
      <c r="D98" s="183">
        <f t="shared" ref="D98:M98" si="55">IF(AND($B99="Y",YEAR($B94)+$B96&gt;D$5),D102+D94*(D95-D102*0.5),IF((YEAR($B94)+$B96)&gt;D$5,(D95*D94/$B98-D101)*$B98,(D95*(1+D94*MONTH($B94)/12))))</f>
        <v>0</v>
      </c>
      <c r="E98" s="183">
        <f t="shared" si="55"/>
        <v>0</v>
      </c>
      <c r="F98" s="183">
        <f t="shared" si="55"/>
        <v>0</v>
      </c>
      <c r="G98" s="183">
        <f t="shared" si="55"/>
        <v>0</v>
      </c>
      <c r="H98" s="183">
        <f t="shared" si="55"/>
        <v>0</v>
      </c>
      <c r="I98" s="183">
        <f t="shared" si="55"/>
        <v>0</v>
      </c>
      <c r="J98" s="183">
        <f t="shared" si="55"/>
        <v>0</v>
      </c>
      <c r="K98" s="183">
        <f t="shared" si="55"/>
        <v>0</v>
      </c>
      <c r="L98" s="183">
        <f t="shared" si="55"/>
        <v>0</v>
      </c>
      <c r="M98" s="183">
        <f t="shared" si="55"/>
        <v>0</v>
      </c>
    </row>
    <row r="99" spans="1:13" s="13" customFormat="1" ht="12.75" customHeight="1">
      <c r="A99" s="5" t="s">
        <v>767</v>
      </c>
      <c r="B99" s="131" t="s">
        <v>719</v>
      </c>
      <c r="C99" s="187" t="s">
        <v>768</v>
      </c>
      <c r="D99" s="188">
        <v>0</v>
      </c>
      <c r="E99" s="188">
        <v>0</v>
      </c>
      <c r="F99" s="188">
        <v>0</v>
      </c>
      <c r="G99" s="188">
        <v>0</v>
      </c>
      <c r="H99" s="188">
        <v>0</v>
      </c>
      <c r="I99" s="188">
        <v>0</v>
      </c>
      <c r="J99" s="188">
        <v>0</v>
      </c>
      <c r="K99" s="188">
        <v>0</v>
      </c>
      <c r="L99" s="188">
        <v>0</v>
      </c>
      <c r="M99" s="188">
        <v>0</v>
      </c>
    </row>
    <row r="100" spans="1:13" s="13" customFormat="1" ht="12.75" customHeight="1">
      <c r="A100" s="5" t="s">
        <v>182</v>
      </c>
      <c r="B100" s="131"/>
      <c r="C100" s="30" t="s">
        <v>175</v>
      </c>
      <c r="D100" s="183">
        <f t="shared" ref="D100:M100" si="56">D95+D96-D98-D99</f>
        <v>0</v>
      </c>
      <c r="E100" s="183">
        <f t="shared" si="56"/>
        <v>0</v>
      </c>
      <c r="F100" s="183">
        <f t="shared" si="56"/>
        <v>0</v>
      </c>
      <c r="G100" s="183">
        <f t="shared" si="56"/>
        <v>0</v>
      </c>
      <c r="H100" s="183">
        <f t="shared" si="56"/>
        <v>0</v>
      </c>
      <c r="I100" s="183">
        <f t="shared" si="56"/>
        <v>0</v>
      </c>
      <c r="J100" s="183">
        <f t="shared" si="56"/>
        <v>0</v>
      </c>
      <c r="K100" s="183">
        <f t="shared" si="56"/>
        <v>0</v>
      </c>
      <c r="L100" s="183">
        <f t="shared" si="56"/>
        <v>0</v>
      </c>
      <c r="M100" s="183">
        <f t="shared" si="56"/>
        <v>0</v>
      </c>
    </row>
    <row r="101" spans="1:13" s="13" customFormat="1" ht="12.75" hidden="1" customHeight="1">
      <c r="A101" s="5"/>
      <c r="B101" s="138"/>
      <c r="C101" s="5" t="s">
        <v>769</v>
      </c>
      <c r="D101" s="183" t="e">
        <f t="shared" ref="D101:M101" si="57">PPMT(D94/$B98,1,ROUND(($B96-(D$5-YEAR($B94))+MONTH($B94)/12)*$B98,0),D95)</f>
        <v>#NUM!</v>
      </c>
      <c r="E101" s="183" t="e">
        <f t="shared" si="57"/>
        <v>#NUM!</v>
      </c>
      <c r="F101" s="183" t="e">
        <f t="shared" si="57"/>
        <v>#NUM!</v>
      </c>
      <c r="G101" s="183" t="e">
        <f t="shared" si="57"/>
        <v>#NUM!</v>
      </c>
      <c r="H101" s="183" t="e">
        <f t="shared" si="57"/>
        <v>#NUM!</v>
      </c>
      <c r="I101" s="183" t="e">
        <f t="shared" si="57"/>
        <v>#NUM!</v>
      </c>
      <c r="J101" s="183" t="e">
        <f t="shared" si="57"/>
        <v>#NUM!</v>
      </c>
      <c r="K101" s="183" t="e">
        <f t="shared" si="57"/>
        <v>#NUM!</v>
      </c>
      <c r="L101" s="183" t="e">
        <f t="shared" si="57"/>
        <v>#NUM!</v>
      </c>
      <c r="M101" s="183" t="e">
        <f t="shared" si="57"/>
        <v>#NUM!</v>
      </c>
    </row>
    <row r="102" spans="1:13" s="13" customFormat="1" ht="12.75" hidden="1" customHeight="1">
      <c r="A102" s="5"/>
      <c r="B102" s="5"/>
      <c r="C102" s="5" t="s">
        <v>770</v>
      </c>
      <c r="D102" s="183">
        <f t="shared" ref="D102:M102" si="58">IF(YEAR($B94)+$B96&gt;D$5,D95/(YEAR($B94)+$B96-D$5+MONTH($B94)/12),D95)</f>
        <v>0</v>
      </c>
      <c r="E102" s="183">
        <f t="shared" si="58"/>
        <v>0</v>
      </c>
      <c r="F102" s="183">
        <f t="shared" si="58"/>
        <v>0</v>
      </c>
      <c r="G102" s="183">
        <f t="shared" si="58"/>
        <v>0</v>
      </c>
      <c r="H102" s="183">
        <f t="shared" si="58"/>
        <v>0</v>
      </c>
      <c r="I102" s="183">
        <f t="shared" si="58"/>
        <v>0</v>
      </c>
      <c r="J102" s="183">
        <f t="shared" si="58"/>
        <v>0</v>
      </c>
      <c r="K102" s="183">
        <f t="shared" si="58"/>
        <v>0</v>
      </c>
      <c r="L102" s="183">
        <f t="shared" si="58"/>
        <v>0</v>
      </c>
      <c r="M102" s="183">
        <f t="shared" si="58"/>
        <v>0</v>
      </c>
    </row>
    <row r="103" spans="1:13" s="13" customFormat="1" ht="12.75" customHeight="1">
      <c r="A103"/>
      <c r="B103"/>
      <c r="C103" s="5"/>
      <c r="D103" s="196"/>
      <c r="E103" s="196"/>
      <c r="F103" s="196"/>
      <c r="G103" s="196"/>
      <c r="H103" s="196"/>
      <c r="I103" s="196"/>
      <c r="J103" s="196"/>
      <c r="K103" s="196"/>
      <c r="L103" s="196"/>
      <c r="M103" s="196"/>
    </row>
    <row r="104" spans="1:13" s="13" customFormat="1" ht="12.75" customHeight="1">
      <c r="A104" s="30" t="s">
        <v>866</v>
      </c>
      <c r="B104" s="99"/>
      <c r="C104" t="s">
        <v>800</v>
      </c>
      <c r="D104" s="179" t="s">
        <v>801</v>
      </c>
      <c r="E104" s="1"/>
      <c r="F104"/>
      <c r="G104"/>
      <c r="H104"/>
      <c r="I104"/>
      <c r="J104"/>
      <c r="K104"/>
      <c r="L104"/>
      <c r="M104"/>
    </row>
    <row r="105" spans="1:13" s="13" customFormat="1" ht="12.75" customHeight="1">
      <c r="A105" s="26" t="s">
        <v>677</v>
      </c>
      <c r="B105" s="133">
        <v>29373</v>
      </c>
      <c r="C105" s="5" t="s">
        <v>639</v>
      </c>
      <c r="D105" s="180">
        <f>IF($D104="V",Input!G$70,IF(AND($B111=D$5,Input!G$65&gt;0),Input!G$65,$B108))</f>
        <v>7.0000000000000007E-2</v>
      </c>
      <c r="E105" s="180">
        <f>IF($D104="V",Input!H$70,IF(AND($B111=E$5,Input!H$65&gt;0),Input!H$65,D105))</f>
        <v>7.0000000000000007E-2</v>
      </c>
      <c r="F105" s="180">
        <f>IF($D104="V",Input!I$70,IF(AND($B111=F$5,Input!I$65&gt;0),Input!I$65,E105))</f>
        <v>7.0000000000000007E-2</v>
      </c>
      <c r="G105" s="180">
        <f>IF($D104="V",Input!J$70,IF(AND($B111=G$5,Input!J$65&gt;0),Input!J$65,F105))</f>
        <v>7.0000000000000007E-2</v>
      </c>
      <c r="H105" s="180">
        <f>IF($D104="V",Input!K$70,IF(AND($B111=H$5,Input!K$65&gt;0),Input!K$65,G105))</f>
        <v>7.0000000000000007E-2</v>
      </c>
      <c r="I105" s="180">
        <f>IF($D104="V",Input!L$70,IF(AND($B111=I$5,Input!L$65&gt;0),Input!L$65,H105))</f>
        <v>7.0000000000000007E-2</v>
      </c>
      <c r="J105" s="180">
        <f>IF($D104="V",Input!M$70,IF(AND($B111=J$5,Input!M$65&gt;0),Input!M$65,I105))</f>
        <v>7.0000000000000007E-2</v>
      </c>
      <c r="K105" s="180">
        <f>IF($D104="V",Input!N$70,IF(AND($B111=K$5,Input!N$65&gt;0),Input!N$65,J105))</f>
        <v>7.0000000000000007E-2</v>
      </c>
      <c r="L105" s="180">
        <f>IF($D104="V",Input!O$70,IF(AND($B111=L$5,Input!O$65&gt;0),Input!O$65,K105))</f>
        <v>7.0000000000000007E-2</v>
      </c>
      <c r="M105" s="180">
        <f>IF($D104="V",Input!P$70,IF(AND($B111=M$5,Input!P$65&gt;0),Input!P$65,L105))</f>
        <v>7.0000000000000007E-2</v>
      </c>
    </row>
    <row r="106" spans="1:13" s="13" customFormat="1" ht="12.75" customHeight="1">
      <c r="A106" s="5" t="s">
        <v>361</v>
      </c>
      <c r="B106" s="181">
        <v>0</v>
      </c>
      <c r="C106" s="27" t="s">
        <v>173</v>
      </c>
      <c r="D106" s="188">
        <v>0</v>
      </c>
      <c r="E106" s="183">
        <f t="shared" ref="E106:M106" si="59">D111</f>
        <v>0</v>
      </c>
      <c r="F106" s="183">
        <f t="shared" si="59"/>
        <v>0</v>
      </c>
      <c r="G106" s="183">
        <f t="shared" si="59"/>
        <v>0</v>
      </c>
      <c r="H106" s="183">
        <f t="shared" si="59"/>
        <v>0</v>
      </c>
      <c r="I106" s="183">
        <f t="shared" si="59"/>
        <v>0</v>
      </c>
      <c r="J106" s="183">
        <f t="shared" si="59"/>
        <v>0</v>
      </c>
      <c r="K106" s="183">
        <f t="shared" si="59"/>
        <v>0</v>
      </c>
      <c r="L106" s="183">
        <f t="shared" si="59"/>
        <v>0</v>
      </c>
      <c r="M106" s="183">
        <f t="shared" si="59"/>
        <v>0</v>
      </c>
    </row>
    <row r="107" spans="1:13" s="13" customFormat="1" ht="12.75" customHeight="1">
      <c r="A107" s="26" t="s">
        <v>170</v>
      </c>
      <c r="B107" s="131">
        <v>35</v>
      </c>
      <c r="C107" s="184" t="s">
        <v>169</v>
      </c>
      <c r="D107" s="183">
        <f t="shared" ref="D107:M107" si="60">D109-D108</f>
        <v>0</v>
      </c>
      <c r="E107" s="183">
        <f t="shared" si="60"/>
        <v>0</v>
      </c>
      <c r="F107" s="183">
        <f t="shared" si="60"/>
        <v>0</v>
      </c>
      <c r="G107" s="183">
        <f t="shared" si="60"/>
        <v>0</v>
      </c>
      <c r="H107" s="183">
        <f t="shared" si="60"/>
        <v>0</v>
      </c>
      <c r="I107" s="183">
        <f t="shared" si="60"/>
        <v>0</v>
      </c>
      <c r="J107" s="183">
        <f t="shared" si="60"/>
        <v>0</v>
      </c>
      <c r="K107" s="183">
        <f t="shared" si="60"/>
        <v>0</v>
      </c>
      <c r="L107" s="183">
        <f t="shared" si="60"/>
        <v>0</v>
      </c>
      <c r="M107" s="183">
        <f t="shared" si="60"/>
        <v>0</v>
      </c>
    </row>
    <row r="108" spans="1:13" s="13" customFormat="1" ht="12.75" customHeight="1">
      <c r="A108" s="5" t="s">
        <v>172</v>
      </c>
      <c r="B108" s="185">
        <f>B97</f>
        <v>7.0000000000000007E-2</v>
      </c>
      <c r="C108" s="5" t="s">
        <v>174</v>
      </c>
      <c r="D108" s="183">
        <f t="shared" ref="D108:M108" si="61">IF(AND($B110="Y",YEAR($B105)+$B107&gt;D$5),D113,IF((YEAR($B105)+$B107)&gt;D$5,FV(D105/$B109,$B109,D112),D106))</f>
        <v>0</v>
      </c>
      <c r="E108" s="183">
        <f t="shared" si="61"/>
        <v>0</v>
      </c>
      <c r="F108" s="183">
        <f t="shared" si="61"/>
        <v>0</v>
      </c>
      <c r="G108" s="183">
        <f t="shared" si="61"/>
        <v>0</v>
      </c>
      <c r="H108" s="183">
        <f t="shared" si="61"/>
        <v>0</v>
      </c>
      <c r="I108" s="183">
        <f t="shared" si="61"/>
        <v>0</v>
      </c>
      <c r="J108" s="183">
        <f t="shared" si="61"/>
        <v>0</v>
      </c>
      <c r="K108" s="183">
        <f t="shared" si="61"/>
        <v>0</v>
      </c>
      <c r="L108" s="183">
        <f t="shared" si="61"/>
        <v>0</v>
      </c>
      <c r="M108" s="183">
        <f t="shared" si="61"/>
        <v>0</v>
      </c>
    </row>
    <row r="109" spans="1:13" s="13" customFormat="1" ht="12.75" customHeight="1">
      <c r="A109" s="5" t="s">
        <v>171</v>
      </c>
      <c r="B109" s="131">
        <v>4</v>
      </c>
      <c r="C109" s="186" t="s">
        <v>640</v>
      </c>
      <c r="D109" s="183">
        <f t="shared" ref="D109:M109" si="62">IF(AND($B110="Y",YEAR($B105)+$B107&gt;D$5),D113+D105*(D106-D113*0.5),IF((YEAR($B105)+$B107)&gt;D$5,(D106*D105/$B109-D112)*$B109,(D106*(1+D105*MONTH($B105)/12))))</f>
        <v>0</v>
      </c>
      <c r="E109" s="183">
        <f t="shared" si="62"/>
        <v>0</v>
      </c>
      <c r="F109" s="183">
        <f t="shared" si="62"/>
        <v>0</v>
      </c>
      <c r="G109" s="183">
        <f t="shared" si="62"/>
        <v>0</v>
      </c>
      <c r="H109" s="183">
        <f t="shared" si="62"/>
        <v>0</v>
      </c>
      <c r="I109" s="183">
        <f t="shared" si="62"/>
        <v>0</v>
      </c>
      <c r="J109" s="183">
        <f t="shared" si="62"/>
        <v>0</v>
      </c>
      <c r="K109" s="183">
        <f t="shared" si="62"/>
        <v>0</v>
      </c>
      <c r="L109" s="183">
        <f t="shared" si="62"/>
        <v>0</v>
      </c>
      <c r="M109" s="183">
        <f t="shared" si="62"/>
        <v>0</v>
      </c>
    </row>
    <row r="110" spans="1:13" s="13" customFormat="1" ht="12.75" customHeight="1">
      <c r="A110" s="5" t="s">
        <v>767</v>
      </c>
      <c r="B110" s="131" t="s">
        <v>719</v>
      </c>
      <c r="C110" s="187" t="s">
        <v>768</v>
      </c>
      <c r="D110" s="188">
        <v>0</v>
      </c>
      <c r="E110" s="188">
        <v>0</v>
      </c>
      <c r="F110" s="188">
        <v>0</v>
      </c>
      <c r="G110" s="188">
        <v>0</v>
      </c>
      <c r="H110" s="188">
        <v>0</v>
      </c>
      <c r="I110" s="188">
        <v>0</v>
      </c>
      <c r="J110" s="188">
        <v>0</v>
      </c>
      <c r="K110" s="188">
        <v>0</v>
      </c>
      <c r="L110" s="188">
        <v>0</v>
      </c>
      <c r="M110" s="188">
        <v>0</v>
      </c>
    </row>
    <row r="111" spans="1:13" s="13" customFormat="1" ht="12.75" customHeight="1">
      <c r="A111" s="5" t="s">
        <v>182</v>
      </c>
      <c r="B111" s="131"/>
      <c r="C111" s="30" t="s">
        <v>175</v>
      </c>
      <c r="D111" s="183">
        <f t="shared" ref="D111:M111" si="63">D106+D107-D109-D110</f>
        <v>0</v>
      </c>
      <c r="E111" s="183">
        <f t="shared" si="63"/>
        <v>0</v>
      </c>
      <c r="F111" s="183">
        <f t="shared" si="63"/>
        <v>0</v>
      </c>
      <c r="G111" s="183">
        <f t="shared" si="63"/>
        <v>0</v>
      </c>
      <c r="H111" s="183">
        <f t="shared" si="63"/>
        <v>0</v>
      </c>
      <c r="I111" s="183">
        <f t="shared" si="63"/>
        <v>0</v>
      </c>
      <c r="J111" s="183">
        <f t="shared" si="63"/>
        <v>0</v>
      </c>
      <c r="K111" s="183">
        <f t="shared" si="63"/>
        <v>0</v>
      </c>
      <c r="L111" s="183">
        <f t="shared" si="63"/>
        <v>0</v>
      </c>
      <c r="M111" s="183">
        <f t="shared" si="63"/>
        <v>0</v>
      </c>
    </row>
    <row r="112" spans="1:13" s="13" customFormat="1" ht="12.75" hidden="1" customHeight="1">
      <c r="A112" s="5"/>
      <c r="B112" s="138"/>
      <c r="C112" s="5" t="s">
        <v>769</v>
      </c>
      <c r="D112" s="183" t="e">
        <f t="shared" ref="D112:M112" si="64">PPMT(D105/$B109,1,ROUND(($B107-(D$5-YEAR($B105))+MONTH($B105)/12)*$B109,0),D106)</f>
        <v>#NUM!</v>
      </c>
      <c r="E112" s="183" t="e">
        <f t="shared" si="64"/>
        <v>#NUM!</v>
      </c>
      <c r="F112" s="183" t="e">
        <f t="shared" si="64"/>
        <v>#NUM!</v>
      </c>
      <c r="G112" s="183" t="e">
        <f t="shared" si="64"/>
        <v>#NUM!</v>
      </c>
      <c r="H112" s="183" t="e">
        <f t="shared" si="64"/>
        <v>#NUM!</v>
      </c>
      <c r="I112" s="183" t="e">
        <f t="shared" si="64"/>
        <v>#NUM!</v>
      </c>
      <c r="J112" s="183" t="e">
        <f t="shared" si="64"/>
        <v>#NUM!</v>
      </c>
      <c r="K112" s="183" t="e">
        <f t="shared" si="64"/>
        <v>#NUM!</v>
      </c>
      <c r="L112" s="183" t="e">
        <f t="shared" si="64"/>
        <v>#NUM!</v>
      </c>
      <c r="M112" s="183" t="e">
        <f t="shared" si="64"/>
        <v>#NUM!</v>
      </c>
    </row>
    <row r="113" spans="1:13" s="13" customFormat="1" ht="12.75" hidden="1" customHeight="1">
      <c r="A113" s="5"/>
      <c r="B113" s="5"/>
      <c r="C113" s="5" t="s">
        <v>770</v>
      </c>
      <c r="D113" s="183">
        <f t="shared" ref="D113:M113" si="65">IF(YEAR($B105)+$B107&gt;D$5,D106/(YEAR($B105)+$B107-D$5+MONTH($B105)/12),D106)</f>
        <v>0</v>
      </c>
      <c r="E113" s="183">
        <f t="shared" si="65"/>
        <v>0</v>
      </c>
      <c r="F113" s="183">
        <f t="shared" si="65"/>
        <v>0</v>
      </c>
      <c r="G113" s="183">
        <f t="shared" si="65"/>
        <v>0</v>
      </c>
      <c r="H113" s="183">
        <f t="shared" si="65"/>
        <v>0</v>
      </c>
      <c r="I113" s="183">
        <f t="shared" si="65"/>
        <v>0</v>
      </c>
      <c r="J113" s="183">
        <f t="shared" si="65"/>
        <v>0</v>
      </c>
      <c r="K113" s="183">
        <f t="shared" si="65"/>
        <v>0</v>
      </c>
      <c r="L113" s="183">
        <f t="shared" si="65"/>
        <v>0</v>
      </c>
      <c r="M113" s="183">
        <f t="shared" si="65"/>
        <v>0</v>
      </c>
    </row>
    <row r="114" spans="1:13" s="13" customFormat="1" ht="12.75" customHeight="1">
      <c r="A114"/>
      <c r="B114"/>
      <c r="C114" s="5"/>
      <c r="D114" s="195"/>
      <c r="E114" s="195"/>
      <c r="F114" s="195"/>
      <c r="G114" s="195"/>
      <c r="H114" s="195"/>
      <c r="I114" s="195"/>
      <c r="J114" s="195"/>
      <c r="K114" s="195"/>
      <c r="L114" s="195"/>
      <c r="M114" s="195"/>
    </row>
    <row r="115" spans="1:13" s="13" customFormat="1" ht="12.75" customHeight="1">
      <c r="A115" s="30" t="s">
        <v>867</v>
      </c>
      <c r="B115" s="99"/>
      <c r="C115" t="s">
        <v>800</v>
      </c>
      <c r="D115" s="179" t="s">
        <v>801</v>
      </c>
      <c r="E115" s="1"/>
      <c r="F115"/>
      <c r="G115"/>
      <c r="H115"/>
      <c r="I115"/>
      <c r="J115"/>
      <c r="K115"/>
      <c r="L115"/>
      <c r="M115"/>
    </row>
    <row r="116" spans="1:13" s="13" customFormat="1" ht="12.75" customHeight="1">
      <c r="A116" s="26" t="s">
        <v>677</v>
      </c>
      <c r="B116" s="133">
        <v>29373</v>
      </c>
      <c r="C116" s="5" t="s">
        <v>639</v>
      </c>
      <c r="D116" s="180">
        <f>IF($D115="V",Input!G$70,IF(AND($B122=D$5,Input!G$65&gt;0),Input!G$65,$B119))</f>
        <v>7.0000000000000007E-2</v>
      </c>
      <c r="E116" s="180">
        <f>IF($D115="V",Input!H$70,IF(AND($B122=E$5,Input!H$65&gt;0),Input!H$65,D116))</f>
        <v>7.0000000000000007E-2</v>
      </c>
      <c r="F116" s="180">
        <f>IF($D115="V",Input!I$70,IF(AND($B122=F$5,Input!I$65&gt;0),Input!I$65,E116))</f>
        <v>7.0000000000000007E-2</v>
      </c>
      <c r="G116" s="180">
        <f>IF($D115="V",Input!J$70,IF(AND($B122=G$5,Input!J$65&gt;0),Input!J$65,F116))</f>
        <v>7.0000000000000007E-2</v>
      </c>
      <c r="H116" s="180">
        <f>IF($D115="V",Input!K$70,IF(AND($B122=H$5,Input!K$65&gt;0),Input!K$65,G116))</f>
        <v>7.0000000000000007E-2</v>
      </c>
      <c r="I116" s="180">
        <f>IF($D115="V",Input!L$70,IF(AND($B122=I$5,Input!L$65&gt;0),Input!L$65,H116))</f>
        <v>7.0000000000000007E-2</v>
      </c>
      <c r="J116" s="180">
        <f>IF($D115="V",Input!M$70,IF(AND($B122=J$5,Input!M$65&gt;0),Input!M$65,I116))</f>
        <v>7.0000000000000007E-2</v>
      </c>
      <c r="K116" s="180">
        <f>IF($D115="V",Input!N$70,IF(AND($B122=K$5,Input!N$65&gt;0),Input!N$65,J116))</f>
        <v>7.0000000000000007E-2</v>
      </c>
      <c r="L116" s="180">
        <f>IF($D115="V",Input!O$70,IF(AND($B122=L$5,Input!O$65&gt;0),Input!O$65,K116))</f>
        <v>7.0000000000000007E-2</v>
      </c>
      <c r="M116" s="180">
        <f>IF($D115="V",Input!P$70,IF(AND($B122=M$5,Input!P$65&gt;0),Input!P$65,L116))</f>
        <v>7.0000000000000007E-2</v>
      </c>
    </row>
    <row r="117" spans="1:13" s="13" customFormat="1" ht="12.75" customHeight="1">
      <c r="A117" s="5" t="s">
        <v>361</v>
      </c>
      <c r="B117" s="181">
        <v>0</v>
      </c>
      <c r="C117" s="27" t="s">
        <v>173</v>
      </c>
      <c r="D117" s="188">
        <v>0</v>
      </c>
      <c r="E117" s="183">
        <f t="shared" ref="E117:M117" si="66">D122</f>
        <v>0</v>
      </c>
      <c r="F117" s="183">
        <f t="shared" si="66"/>
        <v>0</v>
      </c>
      <c r="G117" s="183">
        <f t="shared" si="66"/>
        <v>0</v>
      </c>
      <c r="H117" s="183">
        <f t="shared" si="66"/>
        <v>0</v>
      </c>
      <c r="I117" s="183">
        <f t="shared" si="66"/>
        <v>0</v>
      </c>
      <c r="J117" s="183">
        <f t="shared" si="66"/>
        <v>0</v>
      </c>
      <c r="K117" s="183">
        <f t="shared" si="66"/>
        <v>0</v>
      </c>
      <c r="L117" s="183">
        <f t="shared" si="66"/>
        <v>0</v>
      </c>
      <c r="M117" s="183">
        <f t="shared" si="66"/>
        <v>0</v>
      </c>
    </row>
    <row r="118" spans="1:13" s="13" customFormat="1" ht="12.75" customHeight="1">
      <c r="A118" s="26" t="s">
        <v>170</v>
      </c>
      <c r="B118" s="131">
        <v>35</v>
      </c>
      <c r="C118" s="184" t="s">
        <v>169</v>
      </c>
      <c r="D118" s="183">
        <f t="shared" ref="D118:M118" si="67">D120-D119</f>
        <v>0</v>
      </c>
      <c r="E118" s="183">
        <f t="shared" si="67"/>
        <v>0</v>
      </c>
      <c r="F118" s="183">
        <f t="shared" si="67"/>
        <v>0</v>
      </c>
      <c r="G118" s="183">
        <f t="shared" si="67"/>
        <v>0</v>
      </c>
      <c r="H118" s="183">
        <f t="shared" si="67"/>
        <v>0</v>
      </c>
      <c r="I118" s="183">
        <f t="shared" si="67"/>
        <v>0</v>
      </c>
      <c r="J118" s="183">
        <f t="shared" si="67"/>
        <v>0</v>
      </c>
      <c r="K118" s="183">
        <f t="shared" si="67"/>
        <v>0</v>
      </c>
      <c r="L118" s="183">
        <f t="shared" si="67"/>
        <v>0</v>
      </c>
      <c r="M118" s="183">
        <f t="shared" si="67"/>
        <v>0</v>
      </c>
    </row>
    <row r="119" spans="1:13" s="13" customFormat="1" ht="12.75" customHeight="1">
      <c r="A119" s="5" t="s">
        <v>172</v>
      </c>
      <c r="B119" s="185">
        <f>B108</f>
        <v>7.0000000000000007E-2</v>
      </c>
      <c r="C119" s="5" t="s">
        <v>174</v>
      </c>
      <c r="D119" s="183">
        <f t="shared" ref="D119:M119" si="68">IF(AND($B121="Y",YEAR($B116)+$B118&gt;D$5),D124,IF((YEAR($B116)+$B118)&gt;D$5,FV(D116/$B120,$B120,D123),D117))</f>
        <v>0</v>
      </c>
      <c r="E119" s="183">
        <f t="shared" si="68"/>
        <v>0</v>
      </c>
      <c r="F119" s="183">
        <f t="shared" si="68"/>
        <v>0</v>
      </c>
      <c r="G119" s="183">
        <f t="shared" si="68"/>
        <v>0</v>
      </c>
      <c r="H119" s="183">
        <f t="shared" si="68"/>
        <v>0</v>
      </c>
      <c r="I119" s="183">
        <f t="shared" si="68"/>
        <v>0</v>
      </c>
      <c r="J119" s="183">
        <f t="shared" si="68"/>
        <v>0</v>
      </c>
      <c r="K119" s="183">
        <f t="shared" si="68"/>
        <v>0</v>
      </c>
      <c r="L119" s="183">
        <f t="shared" si="68"/>
        <v>0</v>
      </c>
      <c r="M119" s="183">
        <f t="shared" si="68"/>
        <v>0</v>
      </c>
    </row>
    <row r="120" spans="1:13" s="13" customFormat="1" ht="12.75" customHeight="1">
      <c r="A120" s="5" t="s">
        <v>171</v>
      </c>
      <c r="B120" s="131">
        <v>4</v>
      </c>
      <c r="C120" s="186" t="s">
        <v>640</v>
      </c>
      <c r="D120" s="183">
        <f t="shared" ref="D120:M120" si="69">IF(AND($B121="Y",YEAR($B116)+$B118&gt;D$5),D124+D116*(D117-D124*0.5),IF((YEAR($B116)+$B118)&gt;D$5,(D117*D116/$B120-D123)*$B120,(D117*(1+D116*MONTH($B116)/12))))</f>
        <v>0</v>
      </c>
      <c r="E120" s="183">
        <f t="shared" si="69"/>
        <v>0</v>
      </c>
      <c r="F120" s="183">
        <f t="shared" si="69"/>
        <v>0</v>
      </c>
      <c r="G120" s="183">
        <f t="shared" si="69"/>
        <v>0</v>
      </c>
      <c r="H120" s="183">
        <f t="shared" si="69"/>
        <v>0</v>
      </c>
      <c r="I120" s="183">
        <f t="shared" si="69"/>
        <v>0</v>
      </c>
      <c r="J120" s="183">
        <f t="shared" si="69"/>
        <v>0</v>
      </c>
      <c r="K120" s="183">
        <f t="shared" si="69"/>
        <v>0</v>
      </c>
      <c r="L120" s="183">
        <f t="shared" si="69"/>
        <v>0</v>
      </c>
      <c r="M120" s="183">
        <f t="shared" si="69"/>
        <v>0</v>
      </c>
    </row>
    <row r="121" spans="1:13" s="13" customFormat="1" ht="12.75" customHeight="1">
      <c r="A121" s="5" t="s">
        <v>767</v>
      </c>
      <c r="B121" s="131" t="s">
        <v>719</v>
      </c>
      <c r="C121" s="187" t="s">
        <v>768</v>
      </c>
      <c r="D121" s="188">
        <v>0</v>
      </c>
      <c r="E121" s="188">
        <v>0</v>
      </c>
      <c r="F121" s="188">
        <v>0</v>
      </c>
      <c r="G121" s="188">
        <v>0</v>
      </c>
      <c r="H121" s="188">
        <v>0</v>
      </c>
      <c r="I121" s="188">
        <v>0</v>
      </c>
      <c r="J121" s="188">
        <v>0</v>
      </c>
      <c r="K121" s="188">
        <v>0</v>
      </c>
      <c r="L121" s="188">
        <v>0</v>
      </c>
      <c r="M121" s="188">
        <v>0</v>
      </c>
    </row>
    <row r="122" spans="1:13" s="13" customFormat="1" ht="12.75" customHeight="1">
      <c r="A122" s="5" t="s">
        <v>182</v>
      </c>
      <c r="B122" s="131"/>
      <c r="C122" s="30" t="s">
        <v>175</v>
      </c>
      <c r="D122" s="183">
        <f t="shared" ref="D122:M122" si="70">D117+D118-D120-D121</f>
        <v>0</v>
      </c>
      <c r="E122" s="183">
        <f t="shared" si="70"/>
        <v>0</v>
      </c>
      <c r="F122" s="183">
        <f t="shared" si="70"/>
        <v>0</v>
      </c>
      <c r="G122" s="183">
        <f t="shared" si="70"/>
        <v>0</v>
      </c>
      <c r="H122" s="183">
        <f t="shared" si="70"/>
        <v>0</v>
      </c>
      <c r="I122" s="183">
        <f t="shared" si="70"/>
        <v>0</v>
      </c>
      <c r="J122" s="183">
        <f t="shared" si="70"/>
        <v>0</v>
      </c>
      <c r="K122" s="183">
        <f t="shared" si="70"/>
        <v>0</v>
      </c>
      <c r="L122" s="183">
        <f t="shared" si="70"/>
        <v>0</v>
      </c>
      <c r="M122" s="183">
        <f t="shared" si="70"/>
        <v>0</v>
      </c>
    </row>
    <row r="123" spans="1:13" s="13" customFormat="1" ht="12.75" hidden="1" customHeight="1">
      <c r="A123" s="5"/>
      <c r="B123" s="138"/>
      <c r="C123" s="5" t="s">
        <v>769</v>
      </c>
      <c r="D123" s="183" t="e">
        <f t="shared" ref="D123:M123" si="71">PPMT(D116/$B120,1,ROUND(($B118-(D$5-YEAR($B116))+MONTH($B116)/12)*$B120,0),D117)</f>
        <v>#NUM!</v>
      </c>
      <c r="E123" s="183" t="e">
        <f t="shared" si="71"/>
        <v>#NUM!</v>
      </c>
      <c r="F123" s="183" t="e">
        <f t="shared" si="71"/>
        <v>#NUM!</v>
      </c>
      <c r="G123" s="183" t="e">
        <f t="shared" si="71"/>
        <v>#NUM!</v>
      </c>
      <c r="H123" s="183" t="e">
        <f t="shared" si="71"/>
        <v>#NUM!</v>
      </c>
      <c r="I123" s="183" t="e">
        <f t="shared" si="71"/>
        <v>#NUM!</v>
      </c>
      <c r="J123" s="183" t="e">
        <f t="shared" si="71"/>
        <v>#NUM!</v>
      </c>
      <c r="K123" s="183" t="e">
        <f t="shared" si="71"/>
        <v>#NUM!</v>
      </c>
      <c r="L123" s="183" t="e">
        <f t="shared" si="71"/>
        <v>#NUM!</v>
      </c>
      <c r="M123" s="183" t="e">
        <f t="shared" si="71"/>
        <v>#NUM!</v>
      </c>
    </row>
    <row r="124" spans="1:13" s="13" customFormat="1" ht="12.75" hidden="1" customHeight="1">
      <c r="A124" s="5"/>
      <c r="B124" s="5"/>
      <c r="C124" s="5" t="s">
        <v>770</v>
      </c>
      <c r="D124" s="183">
        <f t="shared" ref="D124:M124" si="72">IF(YEAR($B116)+$B118&gt;D$5,D117/(YEAR($B116)+$B118-D$5+MONTH($B116)/12),D117)</f>
        <v>0</v>
      </c>
      <c r="E124" s="183">
        <f t="shared" si="72"/>
        <v>0</v>
      </c>
      <c r="F124" s="183">
        <f t="shared" si="72"/>
        <v>0</v>
      </c>
      <c r="G124" s="183">
        <f t="shared" si="72"/>
        <v>0</v>
      </c>
      <c r="H124" s="183">
        <f t="shared" si="72"/>
        <v>0</v>
      </c>
      <c r="I124" s="183">
        <f t="shared" si="72"/>
        <v>0</v>
      </c>
      <c r="J124" s="183">
        <f t="shared" si="72"/>
        <v>0</v>
      </c>
      <c r="K124" s="183">
        <f t="shared" si="72"/>
        <v>0</v>
      </c>
      <c r="L124" s="183">
        <f t="shared" si="72"/>
        <v>0</v>
      </c>
      <c r="M124" s="183">
        <f t="shared" si="72"/>
        <v>0</v>
      </c>
    </row>
    <row r="125" spans="1:13" s="13" customFormat="1" ht="12.75" customHeight="1">
      <c r="A125"/>
      <c r="B125"/>
      <c r="C125" s="5"/>
      <c r="D125" s="195"/>
      <c r="E125" s="195"/>
      <c r="F125" s="195"/>
      <c r="G125" s="195"/>
      <c r="H125" s="195"/>
      <c r="I125" s="195"/>
      <c r="J125" s="195"/>
      <c r="K125" s="195"/>
      <c r="L125" s="195"/>
      <c r="M125" s="195"/>
    </row>
    <row r="126" spans="1:13" s="13" customFormat="1" ht="12.75" customHeight="1">
      <c r="A126" s="30" t="s">
        <v>868</v>
      </c>
      <c r="B126" s="99"/>
      <c r="C126" t="s">
        <v>800</v>
      </c>
      <c r="D126" s="179" t="s">
        <v>801</v>
      </c>
      <c r="E126" s="1"/>
      <c r="F126"/>
      <c r="G126"/>
      <c r="H126"/>
      <c r="I126"/>
      <c r="J126"/>
      <c r="K126"/>
      <c r="L126"/>
      <c r="M126"/>
    </row>
    <row r="127" spans="1:13" s="13" customFormat="1" ht="12.75" customHeight="1">
      <c r="A127" s="26" t="s">
        <v>677</v>
      </c>
      <c r="B127" s="133">
        <v>29373</v>
      </c>
      <c r="C127" s="5" t="s">
        <v>639</v>
      </c>
      <c r="D127" s="180">
        <f>IF($D126="V",Input!G$70,IF(AND($B133=D$5,Input!G$65&gt;0),Input!G$65,$B130))</f>
        <v>7.0000000000000007E-2</v>
      </c>
      <c r="E127" s="180">
        <f>IF($D126="V",Input!H$70,IF(AND($B133=E$5,Input!H$65&gt;0),Input!H$65,D127))</f>
        <v>7.0000000000000007E-2</v>
      </c>
      <c r="F127" s="180">
        <f>IF($D126="V",Input!I$70,IF(AND($B133=F$5,Input!I$65&gt;0),Input!I$65,E127))</f>
        <v>7.0000000000000007E-2</v>
      </c>
      <c r="G127" s="180">
        <f>IF($D126="V",Input!J$70,IF(AND($B133=G$5,Input!J$65&gt;0),Input!J$65,F127))</f>
        <v>7.0000000000000007E-2</v>
      </c>
      <c r="H127" s="180">
        <f>IF($D126="V",Input!K$70,IF(AND($B133=H$5,Input!K$65&gt;0),Input!K$65,G127))</f>
        <v>7.0000000000000007E-2</v>
      </c>
      <c r="I127" s="180">
        <f>IF($D126="V",Input!L$70,IF(AND($B133=I$5,Input!L$65&gt;0),Input!L$65,H127))</f>
        <v>7.0000000000000007E-2</v>
      </c>
      <c r="J127" s="180">
        <f>IF($D126="V",Input!M$70,IF(AND($B133=J$5,Input!M$65&gt;0),Input!M$65,I127))</f>
        <v>7.0000000000000007E-2</v>
      </c>
      <c r="K127" s="180">
        <f>IF($D126="V",Input!N$70,IF(AND($B133=K$5,Input!N$65&gt;0),Input!N$65,J127))</f>
        <v>7.0000000000000007E-2</v>
      </c>
      <c r="L127" s="180">
        <f>IF($D126="V",Input!O$70,IF(AND($B133=L$5,Input!O$65&gt;0),Input!O$65,K127))</f>
        <v>7.0000000000000007E-2</v>
      </c>
      <c r="M127" s="180">
        <f>IF($D126="V",Input!P$70,IF(AND($B133=M$5,Input!P$65&gt;0),Input!P$65,L127))</f>
        <v>7.0000000000000007E-2</v>
      </c>
    </row>
    <row r="128" spans="1:13" s="13" customFormat="1" ht="12.75" customHeight="1">
      <c r="A128" s="5" t="s">
        <v>361</v>
      </c>
      <c r="B128" s="181">
        <v>0</v>
      </c>
      <c r="C128" s="27" t="s">
        <v>173</v>
      </c>
      <c r="D128" s="188">
        <v>0</v>
      </c>
      <c r="E128" s="183">
        <f t="shared" ref="E128:M128" si="73">D133</f>
        <v>0</v>
      </c>
      <c r="F128" s="183">
        <f t="shared" si="73"/>
        <v>0</v>
      </c>
      <c r="G128" s="183">
        <f t="shared" si="73"/>
        <v>0</v>
      </c>
      <c r="H128" s="183">
        <f t="shared" si="73"/>
        <v>0</v>
      </c>
      <c r="I128" s="183">
        <f t="shared" si="73"/>
        <v>0</v>
      </c>
      <c r="J128" s="183">
        <f t="shared" si="73"/>
        <v>0</v>
      </c>
      <c r="K128" s="183">
        <f t="shared" si="73"/>
        <v>0</v>
      </c>
      <c r="L128" s="183">
        <f t="shared" si="73"/>
        <v>0</v>
      </c>
      <c r="M128" s="183">
        <f t="shared" si="73"/>
        <v>0</v>
      </c>
    </row>
    <row r="129" spans="1:13" s="13" customFormat="1" ht="12.75" customHeight="1">
      <c r="A129" s="26" t="s">
        <v>170</v>
      </c>
      <c r="B129" s="131">
        <v>35</v>
      </c>
      <c r="C129" s="184" t="s">
        <v>169</v>
      </c>
      <c r="D129" s="183">
        <f t="shared" ref="D129:M129" si="74">D131-D130</f>
        <v>0</v>
      </c>
      <c r="E129" s="183">
        <f t="shared" si="74"/>
        <v>0</v>
      </c>
      <c r="F129" s="183">
        <f t="shared" si="74"/>
        <v>0</v>
      </c>
      <c r="G129" s="183">
        <f t="shared" si="74"/>
        <v>0</v>
      </c>
      <c r="H129" s="183">
        <f t="shared" si="74"/>
        <v>0</v>
      </c>
      <c r="I129" s="183">
        <f t="shared" si="74"/>
        <v>0</v>
      </c>
      <c r="J129" s="183">
        <f t="shared" si="74"/>
        <v>0</v>
      </c>
      <c r="K129" s="183">
        <f t="shared" si="74"/>
        <v>0</v>
      </c>
      <c r="L129" s="183">
        <f t="shared" si="74"/>
        <v>0</v>
      </c>
      <c r="M129" s="183">
        <f t="shared" si="74"/>
        <v>0</v>
      </c>
    </row>
    <row r="130" spans="1:13" s="13" customFormat="1" ht="12.75" customHeight="1">
      <c r="A130" s="5" t="s">
        <v>172</v>
      </c>
      <c r="B130" s="185">
        <f>B119</f>
        <v>7.0000000000000007E-2</v>
      </c>
      <c r="C130" s="5" t="s">
        <v>174</v>
      </c>
      <c r="D130" s="183">
        <f t="shared" ref="D130:M130" si="75">IF(AND($B132="Y",YEAR($B127)+$B129&gt;D$5),D135,IF((YEAR($B127)+$B129)&gt;D$5,FV(D127/$B131,$B131,D134),D128))</f>
        <v>0</v>
      </c>
      <c r="E130" s="183">
        <f t="shared" si="75"/>
        <v>0</v>
      </c>
      <c r="F130" s="183">
        <f t="shared" si="75"/>
        <v>0</v>
      </c>
      <c r="G130" s="183">
        <f t="shared" si="75"/>
        <v>0</v>
      </c>
      <c r="H130" s="183">
        <f t="shared" si="75"/>
        <v>0</v>
      </c>
      <c r="I130" s="183">
        <f t="shared" si="75"/>
        <v>0</v>
      </c>
      <c r="J130" s="183">
        <f t="shared" si="75"/>
        <v>0</v>
      </c>
      <c r="K130" s="183">
        <f t="shared" si="75"/>
        <v>0</v>
      </c>
      <c r="L130" s="183">
        <f t="shared" si="75"/>
        <v>0</v>
      </c>
      <c r="M130" s="183">
        <f t="shared" si="75"/>
        <v>0</v>
      </c>
    </row>
    <row r="131" spans="1:13" s="13" customFormat="1" ht="12.75" customHeight="1">
      <c r="A131" s="5" t="s">
        <v>171</v>
      </c>
      <c r="B131" s="131">
        <v>4</v>
      </c>
      <c r="C131" s="186" t="s">
        <v>640</v>
      </c>
      <c r="D131" s="183">
        <f t="shared" ref="D131:M131" si="76">IF(AND($B132="Y",YEAR($B127)+$B129&gt;D$5),D135+D127*(D128-D135*0.5),IF((YEAR($B127)+$B129)&gt;D$5,(D128*D127/$B131-D134)*$B131,(D128*(1+D127*MONTH($B127)/12))))</f>
        <v>0</v>
      </c>
      <c r="E131" s="183">
        <f t="shared" si="76"/>
        <v>0</v>
      </c>
      <c r="F131" s="183">
        <f t="shared" si="76"/>
        <v>0</v>
      </c>
      <c r="G131" s="183">
        <f t="shared" si="76"/>
        <v>0</v>
      </c>
      <c r="H131" s="183">
        <f t="shared" si="76"/>
        <v>0</v>
      </c>
      <c r="I131" s="183">
        <f t="shared" si="76"/>
        <v>0</v>
      </c>
      <c r="J131" s="183">
        <f t="shared" si="76"/>
        <v>0</v>
      </c>
      <c r="K131" s="183">
        <f t="shared" si="76"/>
        <v>0</v>
      </c>
      <c r="L131" s="183">
        <f t="shared" si="76"/>
        <v>0</v>
      </c>
      <c r="M131" s="183">
        <f t="shared" si="76"/>
        <v>0</v>
      </c>
    </row>
    <row r="132" spans="1:13" s="13" customFormat="1" ht="12.75" customHeight="1">
      <c r="A132" s="5" t="s">
        <v>767</v>
      </c>
      <c r="B132" s="131" t="s">
        <v>719</v>
      </c>
      <c r="C132" s="187" t="s">
        <v>768</v>
      </c>
      <c r="D132" s="188">
        <v>0</v>
      </c>
      <c r="E132" s="188">
        <v>0</v>
      </c>
      <c r="F132" s="188">
        <v>0</v>
      </c>
      <c r="G132" s="188">
        <v>0</v>
      </c>
      <c r="H132" s="188">
        <v>0</v>
      </c>
      <c r="I132" s="188">
        <v>0</v>
      </c>
      <c r="J132" s="188">
        <v>0</v>
      </c>
      <c r="K132" s="188">
        <v>0</v>
      </c>
      <c r="L132" s="188">
        <v>0</v>
      </c>
      <c r="M132" s="188">
        <v>0</v>
      </c>
    </row>
    <row r="133" spans="1:13" s="13" customFormat="1" ht="12.75" customHeight="1">
      <c r="A133" s="5" t="s">
        <v>182</v>
      </c>
      <c r="B133" s="131"/>
      <c r="C133" s="30" t="s">
        <v>175</v>
      </c>
      <c r="D133" s="183">
        <f t="shared" ref="D133:M133" si="77">D128+D129-D131-D132</f>
        <v>0</v>
      </c>
      <c r="E133" s="183">
        <f t="shared" si="77"/>
        <v>0</v>
      </c>
      <c r="F133" s="183">
        <f t="shared" si="77"/>
        <v>0</v>
      </c>
      <c r="G133" s="183">
        <f t="shared" si="77"/>
        <v>0</v>
      </c>
      <c r="H133" s="183">
        <f t="shared" si="77"/>
        <v>0</v>
      </c>
      <c r="I133" s="183">
        <f t="shared" si="77"/>
        <v>0</v>
      </c>
      <c r="J133" s="183">
        <f t="shared" si="77"/>
        <v>0</v>
      </c>
      <c r="K133" s="183">
        <f t="shared" si="77"/>
        <v>0</v>
      </c>
      <c r="L133" s="183">
        <f t="shared" si="77"/>
        <v>0</v>
      </c>
      <c r="M133" s="183">
        <f t="shared" si="77"/>
        <v>0</v>
      </c>
    </row>
    <row r="134" spans="1:13" s="13" customFormat="1" ht="12.75" hidden="1" customHeight="1">
      <c r="A134" s="5"/>
      <c r="B134" s="138"/>
      <c r="C134" s="5" t="s">
        <v>769</v>
      </c>
      <c r="D134" s="183" t="e">
        <f t="shared" ref="D134:M134" si="78">PPMT(D127/$B131,1,ROUND(($B129-(D$5-YEAR($B127))+MONTH($B127)/12)*$B131,0),D128)</f>
        <v>#NUM!</v>
      </c>
      <c r="E134" s="183" t="e">
        <f t="shared" si="78"/>
        <v>#NUM!</v>
      </c>
      <c r="F134" s="183" t="e">
        <f t="shared" si="78"/>
        <v>#NUM!</v>
      </c>
      <c r="G134" s="183" t="e">
        <f t="shared" si="78"/>
        <v>#NUM!</v>
      </c>
      <c r="H134" s="183" t="e">
        <f t="shared" si="78"/>
        <v>#NUM!</v>
      </c>
      <c r="I134" s="183" t="e">
        <f t="shared" si="78"/>
        <v>#NUM!</v>
      </c>
      <c r="J134" s="183" t="e">
        <f t="shared" si="78"/>
        <v>#NUM!</v>
      </c>
      <c r="K134" s="183" t="e">
        <f t="shared" si="78"/>
        <v>#NUM!</v>
      </c>
      <c r="L134" s="183" t="e">
        <f t="shared" si="78"/>
        <v>#NUM!</v>
      </c>
      <c r="M134" s="183" t="e">
        <f t="shared" si="78"/>
        <v>#NUM!</v>
      </c>
    </row>
    <row r="135" spans="1:13" s="13" customFormat="1" ht="12.75" hidden="1" customHeight="1">
      <c r="A135" s="5"/>
      <c r="B135" s="5"/>
      <c r="C135" s="5" t="s">
        <v>770</v>
      </c>
      <c r="D135" s="183">
        <f t="shared" ref="D135:M135" si="79">IF(YEAR($B127)+$B129&gt;D$5,D128/(YEAR($B127)+$B129-D$5+MONTH($B127)/12),D128)</f>
        <v>0</v>
      </c>
      <c r="E135" s="183">
        <f t="shared" si="79"/>
        <v>0</v>
      </c>
      <c r="F135" s="183">
        <f t="shared" si="79"/>
        <v>0</v>
      </c>
      <c r="G135" s="183">
        <f t="shared" si="79"/>
        <v>0</v>
      </c>
      <c r="H135" s="183">
        <f t="shared" si="79"/>
        <v>0</v>
      </c>
      <c r="I135" s="183">
        <f t="shared" si="79"/>
        <v>0</v>
      </c>
      <c r="J135" s="183">
        <f t="shared" si="79"/>
        <v>0</v>
      </c>
      <c r="K135" s="183">
        <f t="shared" si="79"/>
        <v>0</v>
      </c>
      <c r="L135" s="183">
        <f t="shared" si="79"/>
        <v>0</v>
      </c>
      <c r="M135" s="183">
        <f t="shared" si="79"/>
        <v>0</v>
      </c>
    </row>
    <row r="136" spans="1:13" s="13" customFormat="1" ht="12.75" customHeight="1">
      <c r="A136" s="5"/>
      <c r="B136" s="5"/>
      <c r="C136" s="5"/>
    </row>
    <row r="137" spans="1:13" s="13" customFormat="1" ht="12.75" customHeight="1">
      <c r="A137" s="30" t="s">
        <v>869</v>
      </c>
      <c r="B137" s="99"/>
      <c r="C137" t="s">
        <v>800</v>
      </c>
      <c r="D137" s="179" t="s">
        <v>801</v>
      </c>
      <c r="E137" s="1"/>
      <c r="F137"/>
      <c r="G137"/>
      <c r="H137"/>
      <c r="I137"/>
      <c r="J137"/>
      <c r="K137"/>
      <c r="L137"/>
      <c r="M137"/>
    </row>
    <row r="138" spans="1:13" s="13" customFormat="1" ht="12.75" customHeight="1">
      <c r="A138" s="26" t="s">
        <v>677</v>
      </c>
      <c r="B138" s="133">
        <v>29373</v>
      </c>
      <c r="C138" s="5" t="s">
        <v>639</v>
      </c>
      <c r="D138" s="180">
        <f>IF($D137="V",Input!G$70,IF(AND($B144=D$5,Input!G$65&gt;0),Input!G$65,$B141))</f>
        <v>7.0000000000000007E-2</v>
      </c>
      <c r="E138" s="180">
        <f>IF($D137="V",Input!H$70,IF(AND($B144=E$5,Input!H$65&gt;0),Input!H$65,D138))</f>
        <v>7.0000000000000007E-2</v>
      </c>
      <c r="F138" s="180">
        <f>IF($D137="V",Input!I$70,IF(AND($B144=F$5,Input!I$65&gt;0),Input!I$65,E138))</f>
        <v>7.0000000000000007E-2</v>
      </c>
      <c r="G138" s="180">
        <f>IF($D137="V",Input!J$70,IF(AND($B144=G$5,Input!J$65&gt;0),Input!J$65,F138))</f>
        <v>7.0000000000000007E-2</v>
      </c>
      <c r="H138" s="180">
        <f>IF($D137="V",Input!K$70,IF(AND($B144=H$5,Input!K$65&gt;0),Input!K$65,G138))</f>
        <v>7.0000000000000007E-2</v>
      </c>
      <c r="I138" s="180">
        <f>IF($D137="V",Input!L$70,IF(AND($B144=I$5,Input!L$65&gt;0),Input!L$65,H138))</f>
        <v>7.0000000000000007E-2</v>
      </c>
      <c r="J138" s="180">
        <f>IF($D137="V",Input!M$70,IF(AND($B144=J$5,Input!M$65&gt;0),Input!M$65,I138))</f>
        <v>7.0000000000000007E-2</v>
      </c>
      <c r="K138" s="180">
        <f>IF($D137="V",Input!N$70,IF(AND($B144=K$5,Input!N$65&gt;0),Input!N$65,J138))</f>
        <v>7.0000000000000007E-2</v>
      </c>
      <c r="L138" s="180">
        <f>IF($D137="V",Input!O$70,IF(AND($B144=L$5,Input!O$65&gt;0),Input!O$65,K138))</f>
        <v>7.0000000000000007E-2</v>
      </c>
      <c r="M138" s="180">
        <f>IF($D137="V",Input!P$70,IF(AND($B144=M$5,Input!P$65&gt;0),Input!P$65,L138))</f>
        <v>7.0000000000000007E-2</v>
      </c>
    </row>
    <row r="139" spans="1:13" s="13" customFormat="1" ht="12.75" customHeight="1">
      <c r="A139" s="5" t="s">
        <v>361</v>
      </c>
      <c r="B139" s="181">
        <v>0</v>
      </c>
      <c r="C139" s="27" t="s">
        <v>173</v>
      </c>
      <c r="D139" s="188">
        <v>0</v>
      </c>
      <c r="E139" s="183">
        <f t="shared" ref="E139:M139" si="80">D144</f>
        <v>0</v>
      </c>
      <c r="F139" s="183">
        <f t="shared" si="80"/>
        <v>0</v>
      </c>
      <c r="G139" s="183">
        <f t="shared" si="80"/>
        <v>0</v>
      </c>
      <c r="H139" s="183">
        <f t="shared" si="80"/>
        <v>0</v>
      </c>
      <c r="I139" s="183">
        <f t="shared" si="80"/>
        <v>0</v>
      </c>
      <c r="J139" s="183">
        <f t="shared" si="80"/>
        <v>0</v>
      </c>
      <c r="K139" s="183">
        <f t="shared" si="80"/>
        <v>0</v>
      </c>
      <c r="L139" s="183">
        <f t="shared" si="80"/>
        <v>0</v>
      </c>
      <c r="M139" s="183">
        <f t="shared" si="80"/>
        <v>0</v>
      </c>
    </row>
    <row r="140" spans="1:13" s="13" customFormat="1" ht="12.75" customHeight="1">
      <c r="A140" s="26" t="s">
        <v>170</v>
      </c>
      <c r="B140" s="131">
        <v>35</v>
      </c>
      <c r="C140" s="184" t="s">
        <v>169</v>
      </c>
      <c r="D140" s="183">
        <f t="shared" ref="D140:M140" si="81">D142-D141</f>
        <v>0</v>
      </c>
      <c r="E140" s="183">
        <f t="shared" si="81"/>
        <v>0</v>
      </c>
      <c r="F140" s="183">
        <f t="shared" si="81"/>
        <v>0</v>
      </c>
      <c r="G140" s="183">
        <f t="shared" si="81"/>
        <v>0</v>
      </c>
      <c r="H140" s="183">
        <f t="shared" si="81"/>
        <v>0</v>
      </c>
      <c r="I140" s="183">
        <f t="shared" si="81"/>
        <v>0</v>
      </c>
      <c r="J140" s="183">
        <f t="shared" si="81"/>
        <v>0</v>
      </c>
      <c r="K140" s="183">
        <f t="shared" si="81"/>
        <v>0</v>
      </c>
      <c r="L140" s="183">
        <f t="shared" si="81"/>
        <v>0</v>
      </c>
      <c r="M140" s="183">
        <f t="shared" si="81"/>
        <v>0</v>
      </c>
    </row>
    <row r="141" spans="1:13" s="13" customFormat="1" ht="12.75" customHeight="1">
      <c r="A141" s="5" t="s">
        <v>172</v>
      </c>
      <c r="B141" s="185">
        <f>B130</f>
        <v>7.0000000000000007E-2</v>
      </c>
      <c r="C141" s="5" t="s">
        <v>174</v>
      </c>
      <c r="D141" s="183">
        <f t="shared" ref="D141:M141" si="82">IF(AND($B143="Y",YEAR($B138)+$B140&gt;D$5),D146,IF((YEAR($B138)+$B140)&gt;D$5,FV(D138/$B142,$B142,D145),D139))</f>
        <v>0</v>
      </c>
      <c r="E141" s="183">
        <f t="shared" si="82"/>
        <v>0</v>
      </c>
      <c r="F141" s="183">
        <f t="shared" si="82"/>
        <v>0</v>
      </c>
      <c r="G141" s="183">
        <f t="shared" si="82"/>
        <v>0</v>
      </c>
      <c r="H141" s="183">
        <f t="shared" si="82"/>
        <v>0</v>
      </c>
      <c r="I141" s="183">
        <f t="shared" si="82"/>
        <v>0</v>
      </c>
      <c r="J141" s="183">
        <f t="shared" si="82"/>
        <v>0</v>
      </c>
      <c r="K141" s="183">
        <f t="shared" si="82"/>
        <v>0</v>
      </c>
      <c r="L141" s="183">
        <f t="shared" si="82"/>
        <v>0</v>
      </c>
      <c r="M141" s="183">
        <f t="shared" si="82"/>
        <v>0</v>
      </c>
    </row>
    <row r="142" spans="1:13" s="13" customFormat="1" ht="12.75" customHeight="1">
      <c r="A142" s="5" t="s">
        <v>171</v>
      </c>
      <c r="B142" s="131">
        <v>4</v>
      </c>
      <c r="C142" s="186" t="s">
        <v>640</v>
      </c>
      <c r="D142" s="183">
        <f t="shared" ref="D142:M142" si="83">IF(AND($B143="Y",YEAR($B138)+$B140&gt;D$5),D146+D138*(D139-D146*0.5),IF((YEAR($B138)+$B140)&gt;D$5,(D139*D138/$B142-D145)*$B142,(D139*(1+D138*MONTH($B138)/12))))</f>
        <v>0</v>
      </c>
      <c r="E142" s="183">
        <f t="shared" si="83"/>
        <v>0</v>
      </c>
      <c r="F142" s="183">
        <f t="shared" si="83"/>
        <v>0</v>
      </c>
      <c r="G142" s="183">
        <f t="shared" si="83"/>
        <v>0</v>
      </c>
      <c r="H142" s="183">
        <f t="shared" si="83"/>
        <v>0</v>
      </c>
      <c r="I142" s="183">
        <f t="shared" si="83"/>
        <v>0</v>
      </c>
      <c r="J142" s="183">
        <f t="shared" si="83"/>
        <v>0</v>
      </c>
      <c r="K142" s="183">
        <f t="shared" si="83"/>
        <v>0</v>
      </c>
      <c r="L142" s="183">
        <f t="shared" si="83"/>
        <v>0</v>
      </c>
      <c r="M142" s="183">
        <f t="shared" si="83"/>
        <v>0</v>
      </c>
    </row>
    <row r="143" spans="1:13" s="13" customFormat="1" ht="12.75" customHeight="1">
      <c r="A143" s="5" t="s">
        <v>767</v>
      </c>
      <c r="B143" s="131" t="s">
        <v>719</v>
      </c>
      <c r="C143" s="187" t="s">
        <v>768</v>
      </c>
      <c r="D143" s="188">
        <v>0</v>
      </c>
      <c r="E143" s="188">
        <v>0</v>
      </c>
      <c r="F143" s="188">
        <v>0</v>
      </c>
      <c r="G143" s="188">
        <v>0</v>
      </c>
      <c r="H143" s="188">
        <v>0</v>
      </c>
      <c r="I143" s="188">
        <v>0</v>
      </c>
      <c r="J143" s="188">
        <v>0</v>
      </c>
      <c r="K143" s="188">
        <v>0</v>
      </c>
      <c r="L143" s="188">
        <v>0</v>
      </c>
      <c r="M143" s="188">
        <v>0</v>
      </c>
    </row>
    <row r="144" spans="1:13" s="13" customFormat="1" ht="12.75" customHeight="1">
      <c r="A144" s="5" t="s">
        <v>182</v>
      </c>
      <c r="B144" s="131"/>
      <c r="C144" s="30" t="s">
        <v>175</v>
      </c>
      <c r="D144" s="183">
        <f t="shared" ref="D144:M144" si="84">D139+D140-D142-D143</f>
        <v>0</v>
      </c>
      <c r="E144" s="183">
        <f t="shared" si="84"/>
        <v>0</v>
      </c>
      <c r="F144" s="183">
        <f t="shared" si="84"/>
        <v>0</v>
      </c>
      <c r="G144" s="183">
        <f t="shared" si="84"/>
        <v>0</v>
      </c>
      <c r="H144" s="183">
        <f t="shared" si="84"/>
        <v>0</v>
      </c>
      <c r="I144" s="183">
        <f t="shared" si="84"/>
        <v>0</v>
      </c>
      <c r="J144" s="183">
        <f t="shared" si="84"/>
        <v>0</v>
      </c>
      <c r="K144" s="183">
        <f t="shared" si="84"/>
        <v>0</v>
      </c>
      <c r="L144" s="183">
        <f t="shared" si="84"/>
        <v>0</v>
      </c>
      <c r="M144" s="183">
        <f t="shared" si="84"/>
        <v>0</v>
      </c>
    </row>
    <row r="145" spans="1:13" s="13" customFormat="1" ht="12.75" hidden="1" customHeight="1">
      <c r="A145" s="5"/>
      <c r="B145" s="138"/>
      <c r="C145" s="5" t="s">
        <v>769</v>
      </c>
      <c r="D145" s="183" t="e">
        <f t="shared" ref="D145:M145" si="85">PPMT(D138/$B142,1,ROUND(($B140-(D$5-YEAR($B138))+MONTH($B138)/12)*$B142,0),D139)</f>
        <v>#NUM!</v>
      </c>
      <c r="E145" s="183" t="e">
        <f t="shared" si="85"/>
        <v>#NUM!</v>
      </c>
      <c r="F145" s="183" t="e">
        <f t="shared" si="85"/>
        <v>#NUM!</v>
      </c>
      <c r="G145" s="183" t="e">
        <f t="shared" si="85"/>
        <v>#NUM!</v>
      </c>
      <c r="H145" s="183" t="e">
        <f t="shared" si="85"/>
        <v>#NUM!</v>
      </c>
      <c r="I145" s="183" t="e">
        <f t="shared" si="85"/>
        <v>#NUM!</v>
      </c>
      <c r="J145" s="183" t="e">
        <f t="shared" si="85"/>
        <v>#NUM!</v>
      </c>
      <c r="K145" s="183" t="e">
        <f t="shared" si="85"/>
        <v>#NUM!</v>
      </c>
      <c r="L145" s="183" t="e">
        <f t="shared" si="85"/>
        <v>#NUM!</v>
      </c>
      <c r="M145" s="183" t="e">
        <f t="shared" si="85"/>
        <v>#NUM!</v>
      </c>
    </row>
    <row r="146" spans="1:13" s="13" customFormat="1" ht="12.75" hidden="1" customHeight="1">
      <c r="A146" s="5"/>
      <c r="B146" s="5"/>
      <c r="C146" s="5" t="s">
        <v>770</v>
      </c>
      <c r="D146" s="183">
        <f t="shared" ref="D146:M146" si="86">IF(YEAR($B138)+$B140&gt;D$5,D139/(YEAR($B138)+$B140-D$5+MONTH($B138)/12),D139)</f>
        <v>0</v>
      </c>
      <c r="E146" s="183">
        <f t="shared" si="86"/>
        <v>0</v>
      </c>
      <c r="F146" s="183">
        <f t="shared" si="86"/>
        <v>0</v>
      </c>
      <c r="G146" s="183">
        <f t="shared" si="86"/>
        <v>0</v>
      </c>
      <c r="H146" s="183">
        <f t="shared" si="86"/>
        <v>0</v>
      </c>
      <c r="I146" s="183">
        <f t="shared" si="86"/>
        <v>0</v>
      </c>
      <c r="J146" s="183">
        <f t="shared" si="86"/>
        <v>0</v>
      </c>
      <c r="K146" s="183">
        <f t="shared" si="86"/>
        <v>0</v>
      </c>
      <c r="L146" s="183">
        <f t="shared" si="86"/>
        <v>0</v>
      </c>
      <c r="M146" s="183">
        <f t="shared" si="86"/>
        <v>0</v>
      </c>
    </row>
    <row r="147" spans="1:13" s="13" customFormat="1" ht="12.75" customHeight="1">
      <c r="A147" s="5"/>
      <c r="B147" s="5"/>
      <c r="C147" s="5"/>
      <c r="D147" s="196"/>
      <c r="E147" s="196"/>
      <c r="F147" s="196"/>
      <c r="G147" s="196"/>
      <c r="H147" s="196"/>
      <c r="I147" s="196"/>
      <c r="J147" s="196"/>
      <c r="K147" s="196"/>
      <c r="L147" s="196"/>
      <c r="M147" s="196"/>
    </row>
    <row r="148" spans="1:13" s="13" customFormat="1" ht="12.75" customHeight="1">
      <c r="A148" s="30" t="s">
        <v>870</v>
      </c>
      <c r="B148" s="99"/>
      <c r="C148" t="s">
        <v>800</v>
      </c>
      <c r="D148" s="179" t="s">
        <v>801</v>
      </c>
      <c r="E148" s="1"/>
      <c r="F148"/>
      <c r="G148"/>
      <c r="H148"/>
      <c r="I148"/>
      <c r="J148"/>
      <c r="K148"/>
      <c r="L148"/>
      <c r="M148"/>
    </row>
    <row r="149" spans="1:13" s="13" customFormat="1" ht="12.75" customHeight="1">
      <c r="A149" s="26" t="s">
        <v>677</v>
      </c>
      <c r="B149" s="133">
        <v>29373</v>
      </c>
      <c r="C149" s="5" t="s">
        <v>639</v>
      </c>
      <c r="D149" s="180">
        <f>IF($D148="V",Input!G$70,IF(AND($B155=D$5,Input!G$65&gt;0),Input!G$65,$B152))</f>
        <v>7.0000000000000007E-2</v>
      </c>
      <c r="E149" s="180">
        <f>IF($D148="V",Input!H$70,IF(AND($B155=E$5,Input!H$65&gt;0),Input!H$65,D149))</f>
        <v>7.0000000000000007E-2</v>
      </c>
      <c r="F149" s="180">
        <f>IF($D148="V",Input!I$70,IF(AND($B155=F$5,Input!I$65&gt;0),Input!I$65,E149))</f>
        <v>7.0000000000000007E-2</v>
      </c>
      <c r="G149" s="180">
        <f>IF($D148="V",Input!J$70,IF(AND($B155=G$5,Input!J$65&gt;0),Input!J$65,F149))</f>
        <v>7.0000000000000007E-2</v>
      </c>
      <c r="H149" s="180">
        <f>IF($D148="V",Input!K$70,IF(AND($B155=H$5,Input!K$65&gt;0),Input!K$65,G149))</f>
        <v>7.0000000000000007E-2</v>
      </c>
      <c r="I149" s="180">
        <f>IF($D148="V",Input!L$70,IF(AND($B155=I$5,Input!L$65&gt;0),Input!L$65,H149))</f>
        <v>7.0000000000000007E-2</v>
      </c>
      <c r="J149" s="180">
        <f>IF($D148="V",Input!M$70,IF(AND($B155=J$5,Input!M$65&gt;0),Input!M$65,I149))</f>
        <v>7.0000000000000007E-2</v>
      </c>
      <c r="K149" s="180">
        <f>IF($D148="V",Input!N$70,IF(AND($B155=K$5,Input!N$65&gt;0),Input!N$65,J149))</f>
        <v>7.0000000000000007E-2</v>
      </c>
      <c r="L149" s="180">
        <f>IF($D148="V",Input!O$70,IF(AND($B155=L$5,Input!O$65&gt;0),Input!O$65,K149))</f>
        <v>7.0000000000000007E-2</v>
      </c>
      <c r="M149" s="180">
        <f>IF($D148="V",Input!P$70,IF(AND($B155=M$5,Input!P$65&gt;0),Input!P$65,L149))</f>
        <v>7.0000000000000007E-2</v>
      </c>
    </row>
    <row r="150" spans="1:13" s="13" customFormat="1" ht="12.75" customHeight="1">
      <c r="A150" s="5" t="s">
        <v>361</v>
      </c>
      <c r="B150" s="181">
        <v>0</v>
      </c>
      <c r="C150" s="27" t="s">
        <v>173</v>
      </c>
      <c r="D150" s="188">
        <v>0</v>
      </c>
      <c r="E150" s="183">
        <f t="shared" ref="E150:M150" si="87">D155</f>
        <v>0</v>
      </c>
      <c r="F150" s="183">
        <f t="shared" si="87"/>
        <v>0</v>
      </c>
      <c r="G150" s="183">
        <f t="shared" si="87"/>
        <v>0</v>
      </c>
      <c r="H150" s="183">
        <f t="shared" si="87"/>
        <v>0</v>
      </c>
      <c r="I150" s="183">
        <f t="shared" si="87"/>
        <v>0</v>
      </c>
      <c r="J150" s="183">
        <f t="shared" si="87"/>
        <v>0</v>
      </c>
      <c r="K150" s="183">
        <f t="shared" si="87"/>
        <v>0</v>
      </c>
      <c r="L150" s="183">
        <f t="shared" si="87"/>
        <v>0</v>
      </c>
      <c r="M150" s="183">
        <f t="shared" si="87"/>
        <v>0</v>
      </c>
    </row>
    <row r="151" spans="1:13" s="13" customFormat="1" ht="12.75" customHeight="1">
      <c r="A151" s="26" t="s">
        <v>170</v>
      </c>
      <c r="B151" s="131">
        <v>35</v>
      </c>
      <c r="C151" s="184" t="s">
        <v>169</v>
      </c>
      <c r="D151" s="183">
        <f t="shared" ref="D151:M151" si="88">D153-D152</f>
        <v>0</v>
      </c>
      <c r="E151" s="183">
        <f t="shared" si="88"/>
        <v>0</v>
      </c>
      <c r="F151" s="183">
        <f t="shared" si="88"/>
        <v>0</v>
      </c>
      <c r="G151" s="183">
        <f t="shared" si="88"/>
        <v>0</v>
      </c>
      <c r="H151" s="183">
        <f t="shared" si="88"/>
        <v>0</v>
      </c>
      <c r="I151" s="183">
        <f t="shared" si="88"/>
        <v>0</v>
      </c>
      <c r="J151" s="183">
        <f t="shared" si="88"/>
        <v>0</v>
      </c>
      <c r="K151" s="183">
        <f t="shared" si="88"/>
        <v>0</v>
      </c>
      <c r="L151" s="183">
        <f t="shared" si="88"/>
        <v>0</v>
      </c>
      <c r="M151" s="183">
        <f t="shared" si="88"/>
        <v>0</v>
      </c>
    </row>
    <row r="152" spans="1:13" s="13" customFormat="1" ht="12.75" customHeight="1">
      <c r="A152" s="5" t="s">
        <v>172</v>
      </c>
      <c r="B152" s="185">
        <f>B141</f>
        <v>7.0000000000000007E-2</v>
      </c>
      <c r="C152" s="5" t="s">
        <v>174</v>
      </c>
      <c r="D152" s="183">
        <f t="shared" ref="D152:M152" si="89">IF(AND($B154="Y",YEAR($B149)+$B151&gt;D$5),D157,IF((YEAR($B149)+$B151)&gt;D$5,FV(D149/$B153,$B153,D156),D150))</f>
        <v>0</v>
      </c>
      <c r="E152" s="183">
        <f t="shared" si="89"/>
        <v>0</v>
      </c>
      <c r="F152" s="183">
        <f t="shared" si="89"/>
        <v>0</v>
      </c>
      <c r="G152" s="183">
        <f t="shared" si="89"/>
        <v>0</v>
      </c>
      <c r="H152" s="183">
        <f t="shared" si="89"/>
        <v>0</v>
      </c>
      <c r="I152" s="183">
        <f t="shared" si="89"/>
        <v>0</v>
      </c>
      <c r="J152" s="183">
        <f t="shared" si="89"/>
        <v>0</v>
      </c>
      <c r="K152" s="183">
        <f t="shared" si="89"/>
        <v>0</v>
      </c>
      <c r="L152" s="183">
        <f t="shared" si="89"/>
        <v>0</v>
      </c>
      <c r="M152" s="183">
        <f t="shared" si="89"/>
        <v>0</v>
      </c>
    </row>
    <row r="153" spans="1:13" s="13" customFormat="1" ht="12.75" customHeight="1">
      <c r="A153" s="5" t="s">
        <v>171</v>
      </c>
      <c r="B153" s="131">
        <v>4</v>
      </c>
      <c r="C153" s="186" t="s">
        <v>640</v>
      </c>
      <c r="D153" s="183">
        <f t="shared" ref="D153:M153" si="90">IF(AND($B154="Y",YEAR($B149)+$B151&gt;D$5),D157+D149*(D150-D157*0.5),IF((YEAR($B149)+$B151)&gt;D$5,(D150*D149/$B153-D156)*$B153,(D150*(1+D149*MONTH($B149)/12))))</f>
        <v>0</v>
      </c>
      <c r="E153" s="183">
        <f t="shared" si="90"/>
        <v>0</v>
      </c>
      <c r="F153" s="183">
        <f t="shared" si="90"/>
        <v>0</v>
      </c>
      <c r="G153" s="183">
        <f t="shared" si="90"/>
        <v>0</v>
      </c>
      <c r="H153" s="183">
        <f t="shared" si="90"/>
        <v>0</v>
      </c>
      <c r="I153" s="183">
        <f t="shared" si="90"/>
        <v>0</v>
      </c>
      <c r="J153" s="183">
        <f t="shared" si="90"/>
        <v>0</v>
      </c>
      <c r="K153" s="183">
        <f t="shared" si="90"/>
        <v>0</v>
      </c>
      <c r="L153" s="183">
        <f t="shared" si="90"/>
        <v>0</v>
      </c>
      <c r="M153" s="183">
        <f t="shared" si="90"/>
        <v>0</v>
      </c>
    </row>
    <row r="154" spans="1:13" s="13" customFormat="1" ht="12.75" customHeight="1">
      <c r="A154" s="5" t="s">
        <v>767</v>
      </c>
      <c r="B154" s="131" t="s">
        <v>719</v>
      </c>
      <c r="C154" s="187" t="s">
        <v>768</v>
      </c>
      <c r="D154" s="188">
        <v>0</v>
      </c>
      <c r="E154" s="188">
        <v>0</v>
      </c>
      <c r="F154" s="188">
        <v>0</v>
      </c>
      <c r="G154" s="188">
        <v>0</v>
      </c>
      <c r="H154" s="188">
        <v>0</v>
      </c>
      <c r="I154" s="188">
        <v>0</v>
      </c>
      <c r="J154" s="188">
        <v>0</v>
      </c>
      <c r="K154" s="188">
        <v>0</v>
      </c>
      <c r="L154" s="188">
        <v>0</v>
      </c>
      <c r="M154" s="188">
        <v>0</v>
      </c>
    </row>
    <row r="155" spans="1:13" s="13" customFormat="1" ht="12.75" customHeight="1">
      <c r="A155" s="5" t="s">
        <v>182</v>
      </c>
      <c r="B155" s="131"/>
      <c r="C155" s="30" t="s">
        <v>175</v>
      </c>
      <c r="D155" s="183">
        <f t="shared" ref="D155:M155" si="91">D150+D151-D153-D154</f>
        <v>0</v>
      </c>
      <c r="E155" s="183">
        <f t="shared" si="91"/>
        <v>0</v>
      </c>
      <c r="F155" s="183">
        <f t="shared" si="91"/>
        <v>0</v>
      </c>
      <c r="G155" s="183">
        <f t="shared" si="91"/>
        <v>0</v>
      </c>
      <c r="H155" s="183">
        <f t="shared" si="91"/>
        <v>0</v>
      </c>
      <c r="I155" s="183">
        <f t="shared" si="91"/>
        <v>0</v>
      </c>
      <c r="J155" s="183">
        <f t="shared" si="91"/>
        <v>0</v>
      </c>
      <c r="K155" s="183">
        <f t="shared" si="91"/>
        <v>0</v>
      </c>
      <c r="L155" s="183">
        <f t="shared" si="91"/>
        <v>0</v>
      </c>
      <c r="M155" s="183">
        <f t="shared" si="91"/>
        <v>0</v>
      </c>
    </row>
    <row r="156" spans="1:13" s="13" customFormat="1" ht="12.75" hidden="1" customHeight="1">
      <c r="A156" s="5"/>
      <c r="B156" s="138"/>
      <c r="C156" s="5" t="s">
        <v>769</v>
      </c>
      <c r="D156" s="183" t="e">
        <f t="shared" ref="D156:M156" si="92">PPMT(D149/$B153,1,ROUND(($B151-(D$5-YEAR($B149))+MONTH($B149)/12)*$B153,0),D150)</f>
        <v>#NUM!</v>
      </c>
      <c r="E156" s="183" t="e">
        <f t="shared" si="92"/>
        <v>#NUM!</v>
      </c>
      <c r="F156" s="183" t="e">
        <f t="shared" si="92"/>
        <v>#NUM!</v>
      </c>
      <c r="G156" s="183" t="e">
        <f t="shared" si="92"/>
        <v>#NUM!</v>
      </c>
      <c r="H156" s="183" t="e">
        <f t="shared" si="92"/>
        <v>#NUM!</v>
      </c>
      <c r="I156" s="183" t="e">
        <f t="shared" si="92"/>
        <v>#NUM!</v>
      </c>
      <c r="J156" s="183" t="e">
        <f t="shared" si="92"/>
        <v>#NUM!</v>
      </c>
      <c r="K156" s="183" t="e">
        <f t="shared" si="92"/>
        <v>#NUM!</v>
      </c>
      <c r="L156" s="183" t="e">
        <f t="shared" si="92"/>
        <v>#NUM!</v>
      </c>
      <c r="M156" s="183" t="e">
        <f t="shared" si="92"/>
        <v>#NUM!</v>
      </c>
    </row>
    <row r="157" spans="1:13" s="13" customFormat="1" ht="12.75" hidden="1" customHeight="1">
      <c r="A157" s="5"/>
      <c r="B157" s="5"/>
      <c r="C157" s="5" t="s">
        <v>770</v>
      </c>
      <c r="D157" s="183">
        <f t="shared" ref="D157:M157" si="93">IF(YEAR($B149)+$B151&gt;D$5,D150/(YEAR($B149)+$B151-D$5+MONTH($B149)/12),D150)</f>
        <v>0</v>
      </c>
      <c r="E157" s="183">
        <f t="shared" si="93"/>
        <v>0</v>
      </c>
      <c r="F157" s="183">
        <f t="shared" si="93"/>
        <v>0</v>
      </c>
      <c r="G157" s="183">
        <f t="shared" si="93"/>
        <v>0</v>
      </c>
      <c r="H157" s="183">
        <f t="shared" si="93"/>
        <v>0</v>
      </c>
      <c r="I157" s="183">
        <f t="shared" si="93"/>
        <v>0</v>
      </c>
      <c r="J157" s="183">
        <f t="shared" si="93"/>
        <v>0</v>
      </c>
      <c r="K157" s="183">
        <f t="shared" si="93"/>
        <v>0</v>
      </c>
      <c r="L157" s="183">
        <f t="shared" si="93"/>
        <v>0</v>
      </c>
      <c r="M157" s="183">
        <f t="shared" si="93"/>
        <v>0</v>
      </c>
    </row>
    <row r="158" spans="1:13" s="13" customFormat="1" ht="12.75" customHeight="1">
      <c r="A158" s="5"/>
      <c r="B158" s="5"/>
      <c r="C158" s="5"/>
      <c r="D158" s="195"/>
      <c r="E158" s="195"/>
      <c r="F158" s="195"/>
      <c r="G158" s="195"/>
      <c r="H158" s="195"/>
      <c r="I158" s="195"/>
      <c r="J158" s="195"/>
      <c r="K158" s="195"/>
      <c r="L158" s="195"/>
      <c r="M158" s="195"/>
    </row>
    <row r="159" spans="1:13" s="13" customFormat="1" ht="12.75" customHeight="1">
      <c r="A159" s="5"/>
      <c r="B159" s="5"/>
      <c r="C159" s="5"/>
      <c r="D159" s="195"/>
      <c r="E159" s="195"/>
      <c r="F159" s="195"/>
      <c r="G159" s="195"/>
      <c r="H159" s="195"/>
      <c r="I159" s="195"/>
      <c r="J159" s="195"/>
      <c r="K159" s="195"/>
      <c r="L159" s="195"/>
      <c r="M159" s="195"/>
    </row>
    <row r="160" spans="1:13" s="13" customFormat="1" ht="12.75" customHeight="1">
      <c r="A160" s="5" t="s">
        <v>891</v>
      </c>
      <c r="B160" s="5"/>
      <c r="C160" s="5"/>
      <c r="D160" s="198">
        <f t="shared" ref="D160:M160" si="94">+D5</f>
        <v>2024</v>
      </c>
      <c r="E160" s="198">
        <f t="shared" si="94"/>
        <v>2025</v>
      </c>
      <c r="F160" s="198">
        <f t="shared" si="94"/>
        <v>2026</v>
      </c>
      <c r="G160" s="198">
        <f t="shared" si="94"/>
        <v>2027</v>
      </c>
      <c r="H160" s="198">
        <f t="shared" si="94"/>
        <v>2028</v>
      </c>
      <c r="I160" s="198">
        <f t="shared" si="94"/>
        <v>2029</v>
      </c>
      <c r="J160" s="198">
        <f t="shared" si="94"/>
        <v>2030</v>
      </c>
      <c r="K160" s="198">
        <f t="shared" si="94"/>
        <v>2031</v>
      </c>
      <c r="L160" s="198">
        <f t="shared" si="94"/>
        <v>2032</v>
      </c>
      <c r="M160" s="198">
        <f t="shared" si="94"/>
        <v>2033</v>
      </c>
    </row>
    <row r="161" spans="1:13" s="13" customFormat="1" ht="12.75" customHeight="1">
      <c r="A161" s="5"/>
      <c r="B161" s="5"/>
      <c r="C161" s="5"/>
      <c r="D161" s="199" t="str">
        <f t="shared" ref="D161:M161" si="95">+D6</f>
        <v xml:space="preserve">  -----------</v>
      </c>
      <c r="E161" s="199" t="str">
        <f t="shared" si="95"/>
        <v xml:space="preserve">  -----------</v>
      </c>
      <c r="F161" s="199" t="str">
        <f t="shared" si="95"/>
        <v xml:space="preserve">  -----------</v>
      </c>
      <c r="G161" s="199" t="str">
        <f t="shared" si="95"/>
        <v xml:space="preserve">  -----------</v>
      </c>
      <c r="H161" s="199" t="str">
        <f t="shared" si="95"/>
        <v xml:space="preserve">  -----------</v>
      </c>
      <c r="I161" s="199" t="str">
        <f t="shared" si="95"/>
        <v xml:space="preserve">  -----------</v>
      </c>
      <c r="J161" s="199" t="str">
        <f t="shared" si="95"/>
        <v xml:space="preserve">  -----------</v>
      </c>
      <c r="K161" s="199" t="str">
        <f t="shared" si="95"/>
        <v xml:space="preserve">  -----------</v>
      </c>
      <c r="L161" s="199" t="str">
        <f t="shared" si="95"/>
        <v xml:space="preserve">  -----------</v>
      </c>
      <c r="M161" s="199" t="str">
        <f t="shared" si="95"/>
        <v xml:space="preserve">  -----------</v>
      </c>
    </row>
    <row r="162" spans="1:13" s="13" customFormat="1" ht="12.75" customHeight="1">
      <c r="A162" s="30" t="s">
        <v>871</v>
      </c>
      <c r="B162" s="99"/>
      <c r="C162" t="s">
        <v>800</v>
      </c>
      <c r="D162" s="179" t="s">
        <v>801</v>
      </c>
      <c r="E162" s="1"/>
      <c r="F162"/>
      <c r="G162"/>
      <c r="H162"/>
      <c r="I162"/>
      <c r="J162"/>
      <c r="K162"/>
      <c r="L162"/>
      <c r="M162"/>
    </row>
    <row r="163" spans="1:13" s="13" customFormat="1" ht="12.75" customHeight="1">
      <c r="A163" s="26" t="s">
        <v>677</v>
      </c>
      <c r="B163" s="133">
        <v>29373</v>
      </c>
      <c r="C163" s="5" t="s">
        <v>639</v>
      </c>
      <c r="D163" s="180">
        <f>IF($D162="V",Input!G$70,IF(AND($B169=D$5,Input!G$65&gt;0),Input!G$65,$B166))</f>
        <v>7.0000000000000007E-2</v>
      </c>
      <c r="E163" s="180">
        <f>IF($D162="V",Input!H$70,IF(AND($B169=E$5,Input!H$65&gt;0),Input!H$65,D163))</f>
        <v>7.0000000000000007E-2</v>
      </c>
      <c r="F163" s="180">
        <f>IF($D162="V",Input!I$70,IF(AND($B169=F$5,Input!I$65&gt;0),Input!I$65,E163))</f>
        <v>7.0000000000000007E-2</v>
      </c>
      <c r="G163" s="180">
        <f>IF($D162="V",Input!J$70,IF(AND($B169=G$5,Input!J$65&gt;0),Input!J$65,F163))</f>
        <v>7.0000000000000007E-2</v>
      </c>
      <c r="H163" s="180">
        <f>IF($D162="V",Input!K$70,IF(AND($B169=H$5,Input!K$65&gt;0),Input!K$65,G163))</f>
        <v>7.0000000000000007E-2</v>
      </c>
      <c r="I163" s="180">
        <f>IF($D162="V",Input!L$70,IF(AND($B169=I$5,Input!L$65&gt;0),Input!L$65,H163))</f>
        <v>7.0000000000000007E-2</v>
      </c>
      <c r="J163" s="180">
        <f>IF($D162="V",Input!M$70,IF(AND($B169=J$5,Input!M$65&gt;0),Input!M$65,I163))</f>
        <v>7.0000000000000007E-2</v>
      </c>
      <c r="K163" s="180">
        <f>IF($D162="V",Input!N$70,IF(AND($B169=K$5,Input!N$65&gt;0),Input!N$65,J163))</f>
        <v>7.0000000000000007E-2</v>
      </c>
      <c r="L163" s="180">
        <f>IF($D162="V",Input!O$70,IF(AND($B169=L$5,Input!O$65&gt;0),Input!O$65,K163))</f>
        <v>7.0000000000000007E-2</v>
      </c>
      <c r="M163" s="180">
        <f>IF($D162="V",Input!P$70,IF(AND($B169=M$5,Input!P$65&gt;0),Input!P$65,L163))</f>
        <v>7.0000000000000007E-2</v>
      </c>
    </row>
    <row r="164" spans="1:13" s="13" customFormat="1" ht="12.75" customHeight="1">
      <c r="A164" s="5" t="s">
        <v>361</v>
      </c>
      <c r="B164" s="181">
        <v>0</v>
      </c>
      <c r="C164" s="27" t="s">
        <v>173</v>
      </c>
      <c r="D164" s="188">
        <v>0</v>
      </c>
      <c r="E164" s="183">
        <f t="shared" ref="E164:M164" si="96">D169</f>
        <v>0</v>
      </c>
      <c r="F164" s="183">
        <f t="shared" si="96"/>
        <v>0</v>
      </c>
      <c r="G164" s="183">
        <f t="shared" si="96"/>
        <v>0</v>
      </c>
      <c r="H164" s="183">
        <f t="shared" si="96"/>
        <v>0</v>
      </c>
      <c r="I164" s="183">
        <f t="shared" si="96"/>
        <v>0</v>
      </c>
      <c r="J164" s="183">
        <f t="shared" si="96"/>
        <v>0</v>
      </c>
      <c r="K164" s="183">
        <f t="shared" si="96"/>
        <v>0</v>
      </c>
      <c r="L164" s="183">
        <f t="shared" si="96"/>
        <v>0</v>
      </c>
      <c r="M164" s="183">
        <f t="shared" si="96"/>
        <v>0</v>
      </c>
    </row>
    <row r="165" spans="1:13" s="13" customFormat="1" ht="12.75" customHeight="1">
      <c r="A165" s="26" t="s">
        <v>170</v>
      </c>
      <c r="B165" s="131">
        <v>35</v>
      </c>
      <c r="C165" s="184" t="s">
        <v>169</v>
      </c>
      <c r="D165" s="183">
        <f t="shared" ref="D165:M165" si="97">D167-D166</f>
        <v>0</v>
      </c>
      <c r="E165" s="183">
        <f t="shared" si="97"/>
        <v>0</v>
      </c>
      <c r="F165" s="183">
        <f t="shared" si="97"/>
        <v>0</v>
      </c>
      <c r="G165" s="183">
        <f t="shared" si="97"/>
        <v>0</v>
      </c>
      <c r="H165" s="183">
        <f t="shared" si="97"/>
        <v>0</v>
      </c>
      <c r="I165" s="183">
        <f t="shared" si="97"/>
        <v>0</v>
      </c>
      <c r="J165" s="183">
        <f t="shared" si="97"/>
        <v>0</v>
      </c>
      <c r="K165" s="183">
        <f t="shared" si="97"/>
        <v>0</v>
      </c>
      <c r="L165" s="183">
        <f t="shared" si="97"/>
        <v>0</v>
      </c>
      <c r="M165" s="183">
        <f t="shared" si="97"/>
        <v>0</v>
      </c>
    </row>
    <row r="166" spans="1:13" s="13" customFormat="1" ht="12.75" customHeight="1">
      <c r="A166" s="5" t="s">
        <v>172</v>
      </c>
      <c r="B166" s="185">
        <f>B152</f>
        <v>7.0000000000000007E-2</v>
      </c>
      <c r="C166" s="5" t="s">
        <v>174</v>
      </c>
      <c r="D166" s="183">
        <f t="shared" ref="D166:M166" si="98">IF(AND($B168="Y",YEAR($B163)+$B165&gt;D$5),D171,IF((YEAR($B163)+$B165)&gt;D$5,FV(D163/$B167,$B167,D170),D164))</f>
        <v>0</v>
      </c>
      <c r="E166" s="183">
        <f t="shared" si="98"/>
        <v>0</v>
      </c>
      <c r="F166" s="183">
        <f t="shared" si="98"/>
        <v>0</v>
      </c>
      <c r="G166" s="183">
        <f t="shared" si="98"/>
        <v>0</v>
      </c>
      <c r="H166" s="183">
        <f t="shared" si="98"/>
        <v>0</v>
      </c>
      <c r="I166" s="183">
        <f t="shared" si="98"/>
        <v>0</v>
      </c>
      <c r="J166" s="183">
        <f t="shared" si="98"/>
        <v>0</v>
      </c>
      <c r="K166" s="183">
        <f t="shared" si="98"/>
        <v>0</v>
      </c>
      <c r="L166" s="183">
        <f t="shared" si="98"/>
        <v>0</v>
      </c>
      <c r="M166" s="183">
        <f t="shared" si="98"/>
        <v>0</v>
      </c>
    </row>
    <row r="167" spans="1:13" s="13" customFormat="1" ht="12.75" customHeight="1">
      <c r="A167" s="5" t="s">
        <v>171</v>
      </c>
      <c r="B167" s="131">
        <v>4</v>
      </c>
      <c r="C167" s="186" t="s">
        <v>640</v>
      </c>
      <c r="D167" s="183">
        <f t="shared" ref="D167:M167" si="99">IF(AND($B168="Y",YEAR($B163)+$B165&gt;D$5),D171+D163*(D164-D171*0.5),IF((YEAR($B163)+$B165)&gt;D$5,(D164*D163/$B167-D170)*$B167,(D164*(1+D163*MONTH($B163)/12))))</f>
        <v>0</v>
      </c>
      <c r="E167" s="183">
        <f t="shared" si="99"/>
        <v>0</v>
      </c>
      <c r="F167" s="183">
        <f t="shared" si="99"/>
        <v>0</v>
      </c>
      <c r="G167" s="183">
        <f t="shared" si="99"/>
        <v>0</v>
      </c>
      <c r="H167" s="183">
        <f t="shared" si="99"/>
        <v>0</v>
      </c>
      <c r="I167" s="183">
        <f t="shared" si="99"/>
        <v>0</v>
      </c>
      <c r="J167" s="183">
        <f t="shared" si="99"/>
        <v>0</v>
      </c>
      <c r="K167" s="183">
        <f t="shared" si="99"/>
        <v>0</v>
      </c>
      <c r="L167" s="183">
        <f t="shared" si="99"/>
        <v>0</v>
      </c>
      <c r="M167" s="183">
        <f t="shared" si="99"/>
        <v>0</v>
      </c>
    </row>
    <row r="168" spans="1:13" s="13" customFormat="1" ht="12.75" customHeight="1">
      <c r="A168" s="5" t="s">
        <v>767</v>
      </c>
      <c r="B168" s="131" t="s">
        <v>719</v>
      </c>
      <c r="C168" s="187" t="s">
        <v>768</v>
      </c>
      <c r="D168" s="188">
        <v>0</v>
      </c>
      <c r="E168" s="188">
        <v>0</v>
      </c>
      <c r="F168" s="188">
        <v>0</v>
      </c>
      <c r="G168" s="188">
        <v>0</v>
      </c>
      <c r="H168" s="188">
        <v>0</v>
      </c>
      <c r="I168" s="188">
        <v>0</v>
      </c>
      <c r="J168" s="188">
        <v>0</v>
      </c>
      <c r="K168" s="188">
        <v>0</v>
      </c>
      <c r="L168" s="188">
        <v>0</v>
      </c>
      <c r="M168" s="188">
        <v>0</v>
      </c>
    </row>
    <row r="169" spans="1:13" s="13" customFormat="1" ht="12.75" customHeight="1">
      <c r="A169" s="5" t="s">
        <v>182</v>
      </c>
      <c r="B169" s="131"/>
      <c r="C169" s="30" t="s">
        <v>175</v>
      </c>
      <c r="D169" s="183">
        <f t="shared" ref="D169:M169" si="100">D164+D165-D167-D168</f>
        <v>0</v>
      </c>
      <c r="E169" s="183">
        <f t="shared" si="100"/>
        <v>0</v>
      </c>
      <c r="F169" s="183">
        <f t="shared" si="100"/>
        <v>0</v>
      </c>
      <c r="G169" s="183">
        <f t="shared" si="100"/>
        <v>0</v>
      </c>
      <c r="H169" s="183">
        <f t="shared" si="100"/>
        <v>0</v>
      </c>
      <c r="I169" s="183">
        <f t="shared" si="100"/>
        <v>0</v>
      </c>
      <c r="J169" s="183">
        <f t="shared" si="100"/>
        <v>0</v>
      </c>
      <c r="K169" s="183">
        <f t="shared" si="100"/>
        <v>0</v>
      </c>
      <c r="L169" s="183">
        <f t="shared" si="100"/>
        <v>0</v>
      </c>
      <c r="M169" s="183">
        <f t="shared" si="100"/>
        <v>0</v>
      </c>
    </row>
    <row r="170" spans="1:13" s="13" customFormat="1" ht="12.75" hidden="1" customHeight="1">
      <c r="A170" s="5"/>
      <c r="B170" s="138"/>
      <c r="C170" s="5" t="s">
        <v>769</v>
      </c>
      <c r="D170" s="183" t="e">
        <f t="shared" ref="D170:M170" si="101">PPMT(D163/$B167,1,ROUND(($B165-(D$5-YEAR($B163))+MONTH($B163)/12)*$B167,0),D164)</f>
        <v>#NUM!</v>
      </c>
      <c r="E170" s="183" t="e">
        <f t="shared" si="101"/>
        <v>#NUM!</v>
      </c>
      <c r="F170" s="183" t="e">
        <f t="shared" si="101"/>
        <v>#NUM!</v>
      </c>
      <c r="G170" s="183" t="e">
        <f t="shared" si="101"/>
        <v>#NUM!</v>
      </c>
      <c r="H170" s="183" t="e">
        <f t="shared" si="101"/>
        <v>#NUM!</v>
      </c>
      <c r="I170" s="183" t="e">
        <f t="shared" si="101"/>
        <v>#NUM!</v>
      </c>
      <c r="J170" s="183" t="e">
        <f t="shared" si="101"/>
        <v>#NUM!</v>
      </c>
      <c r="K170" s="183" t="e">
        <f t="shared" si="101"/>
        <v>#NUM!</v>
      </c>
      <c r="L170" s="183" t="e">
        <f t="shared" si="101"/>
        <v>#NUM!</v>
      </c>
      <c r="M170" s="183" t="e">
        <f t="shared" si="101"/>
        <v>#NUM!</v>
      </c>
    </row>
    <row r="171" spans="1:13" s="13" customFormat="1" ht="12.75" hidden="1" customHeight="1">
      <c r="A171" s="5"/>
      <c r="B171" s="5"/>
      <c r="C171" s="5" t="s">
        <v>770</v>
      </c>
      <c r="D171" s="183">
        <f t="shared" ref="D171:M171" si="102">IF(YEAR($B163)+$B165&gt;D$5,D164/(YEAR($B163)+$B165-D$5+MONTH($B163)/12),D164)</f>
        <v>0</v>
      </c>
      <c r="E171" s="183">
        <f t="shared" si="102"/>
        <v>0</v>
      </c>
      <c r="F171" s="183">
        <f t="shared" si="102"/>
        <v>0</v>
      </c>
      <c r="G171" s="183">
        <f t="shared" si="102"/>
        <v>0</v>
      </c>
      <c r="H171" s="183">
        <f t="shared" si="102"/>
        <v>0</v>
      </c>
      <c r="I171" s="183">
        <f t="shared" si="102"/>
        <v>0</v>
      </c>
      <c r="J171" s="183">
        <f t="shared" si="102"/>
        <v>0</v>
      </c>
      <c r="K171" s="183">
        <f t="shared" si="102"/>
        <v>0</v>
      </c>
      <c r="L171" s="183">
        <f t="shared" si="102"/>
        <v>0</v>
      </c>
      <c r="M171" s="183">
        <f t="shared" si="102"/>
        <v>0</v>
      </c>
    </row>
    <row r="172" spans="1:13" s="13" customFormat="1" ht="12.75" customHeight="1">
      <c r="A172" s="5"/>
      <c r="B172" s="5"/>
      <c r="C172" s="5"/>
    </row>
    <row r="173" spans="1:13" s="13" customFormat="1" ht="12.75" customHeight="1">
      <c r="A173" s="30" t="s">
        <v>872</v>
      </c>
      <c r="B173" s="99"/>
      <c r="C173" t="s">
        <v>800</v>
      </c>
      <c r="D173" s="179" t="s">
        <v>801</v>
      </c>
      <c r="E173" s="1"/>
      <c r="F173"/>
      <c r="G173"/>
      <c r="H173"/>
      <c r="I173"/>
      <c r="J173"/>
      <c r="K173"/>
      <c r="L173"/>
      <c r="M173"/>
    </row>
    <row r="174" spans="1:13" s="13" customFormat="1" ht="12.75" customHeight="1">
      <c r="A174" s="26" t="s">
        <v>677</v>
      </c>
      <c r="B174" s="133">
        <v>29373</v>
      </c>
      <c r="C174" s="5" t="s">
        <v>639</v>
      </c>
      <c r="D174" s="180">
        <f>IF($D173="V",Input!G$70,IF(AND($B180=D$5,Input!G$65&gt;0),Input!G$65,$B177))</f>
        <v>7.0000000000000007E-2</v>
      </c>
      <c r="E174" s="180">
        <f>IF($D173="V",Input!H$70,IF(AND($B180=E$5,Input!H$65&gt;0),Input!H$65,D174))</f>
        <v>7.0000000000000007E-2</v>
      </c>
      <c r="F174" s="180">
        <f>IF($D173="V",Input!I$70,IF(AND($B180=F$5,Input!I$65&gt;0),Input!I$65,E174))</f>
        <v>7.0000000000000007E-2</v>
      </c>
      <c r="G174" s="180">
        <f>IF($D173="V",Input!J$70,IF(AND($B180=G$5,Input!J$65&gt;0),Input!J$65,F174))</f>
        <v>7.0000000000000007E-2</v>
      </c>
      <c r="H174" s="180">
        <f>IF($D173="V",Input!K$70,IF(AND($B180=H$5,Input!K$65&gt;0),Input!K$65,G174))</f>
        <v>7.0000000000000007E-2</v>
      </c>
      <c r="I174" s="180">
        <f>IF($D173="V",Input!L$70,IF(AND($B180=I$5,Input!L$65&gt;0),Input!L$65,H174))</f>
        <v>7.0000000000000007E-2</v>
      </c>
      <c r="J174" s="180">
        <f>IF($D173="V",Input!M$70,IF(AND($B180=J$5,Input!M$65&gt;0),Input!M$65,I174))</f>
        <v>7.0000000000000007E-2</v>
      </c>
      <c r="K174" s="180">
        <f>IF($D173="V",Input!N$70,IF(AND($B180=K$5,Input!N$65&gt;0),Input!N$65,J174))</f>
        <v>7.0000000000000007E-2</v>
      </c>
      <c r="L174" s="180">
        <f>IF($D173="V",Input!O$70,IF(AND($B180=L$5,Input!O$65&gt;0),Input!O$65,K174))</f>
        <v>7.0000000000000007E-2</v>
      </c>
      <c r="M174" s="180">
        <f>IF($D173="V",Input!P$70,IF(AND($B180=M$5,Input!P$65&gt;0),Input!P$65,L174))</f>
        <v>7.0000000000000007E-2</v>
      </c>
    </row>
    <row r="175" spans="1:13" s="13" customFormat="1" ht="12.75" customHeight="1">
      <c r="A175" s="5" t="s">
        <v>361</v>
      </c>
      <c r="B175" s="181">
        <v>0</v>
      </c>
      <c r="C175" s="27" t="s">
        <v>173</v>
      </c>
      <c r="D175" s="188">
        <v>0</v>
      </c>
      <c r="E175" s="183">
        <f t="shared" ref="E175:M175" si="103">D180</f>
        <v>0</v>
      </c>
      <c r="F175" s="183">
        <f t="shared" si="103"/>
        <v>0</v>
      </c>
      <c r="G175" s="183">
        <f t="shared" si="103"/>
        <v>0</v>
      </c>
      <c r="H175" s="183">
        <f t="shared" si="103"/>
        <v>0</v>
      </c>
      <c r="I175" s="183">
        <f t="shared" si="103"/>
        <v>0</v>
      </c>
      <c r="J175" s="183">
        <f t="shared" si="103"/>
        <v>0</v>
      </c>
      <c r="K175" s="183">
        <f t="shared" si="103"/>
        <v>0</v>
      </c>
      <c r="L175" s="183">
        <f t="shared" si="103"/>
        <v>0</v>
      </c>
      <c r="M175" s="183">
        <f t="shared" si="103"/>
        <v>0</v>
      </c>
    </row>
    <row r="176" spans="1:13" s="13" customFormat="1" ht="12.75" customHeight="1">
      <c r="A176" s="26" t="s">
        <v>170</v>
      </c>
      <c r="B176" s="131">
        <v>35</v>
      </c>
      <c r="C176" s="184" t="s">
        <v>169</v>
      </c>
      <c r="D176" s="183">
        <f t="shared" ref="D176:M176" si="104">D178-D177</f>
        <v>0</v>
      </c>
      <c r="E176" s="183">
        <f t="shared" si="104"/>
        <v>0</v>
      </c>
      <c r="F176" s="183">
        <f t="shared" si="104"/>
        <v>0</v>
      </c>
      <c r="G176" s="183">
        <f t="shared" si="104"/>
        <v>0</v>
      </c>
      <c r="H176" s="183">
        <f t="shared" si="104"/>
        <v>0</v>
      </c>
      <c r="I176" s="183">
        <f t="shared" si="104"/>
        <v>0</v>
      </c>
      <c r="J176" s="183">
        <f t="shared" si="104"/>
        <v>0</v>
      </c>
      <c r="K176" s="183">
        <f t="shared" si="104"/>
        <v>0</v>
      </c>
      <c r="L176" s="183">
        <f t="shared" si="104"/>
        <v>0</v>
      </c>
      <c r="M176" s="183">
        <f t="shared" si="104"/>
        <v>0</v>
      </c>
    </row>
    <row r="177" spans="1:13" s="13" customFormat="1" ht="12.75" customHeight="1">
      <c r="A177" s="5" t="s">
        <v>172</v>
      </c>
      <c r="B177" s="185">
        <f>B166</f>
        <v>7.0000000000000007E-2</v>
      </c>
      <c r="C177" s="5" t="s">
        <v>174</v>
      </c>
      <c r="D177" s="183">
        <f t="shared" ref="D177:M177" si="105">IF(AND($B179="Y",YEAR($B174)+$B176&gt;D$5),D182,IF((YEAR($B174)+$B176)&gt;D$5,FV(D174/$B178,$B178,D181),D175))</f>
        <v>0</v>
      </c>
      <c r="E177" s="183">
        <f t="shared" si="105"/>
        <v>0</v>
      </c>
      <c r="F177" s="183">
        <f t="shared" si="105"/>
        <v>0</v>
      </c>
      <c r="G177" s="183">
        <f t="shared" si="105"/>
        <v>0</v>
      </c>
      <c r="H177" s="183">
        <f t="shared" si="105"/>
        <v>0</v>
      </c>
      <c r="I177" s="183">
        <f t="shared" si="105"/>
        <v>0</v>
      </c>
      <c r="J177" s="183">
        <f t="shared" si="105"/>
        <v>0</v>
      </c>
      <c r="K177" s="183">
        <f t="shared" si="105"/>
        <v>0</v>
      </c>
      <c r="L177" s="183">
        <f t="shared" si="105"/>
        <v>0</v>
      </c>
      <c r="M177" s="183">
        <f t="shared" si="105"/>
        <v>0</v>
      </c>
    </row>
    <row r="178" spans="1:13" s="13" customFormat="1" ht="12.75" customHeight="1">
      <c r="A178" s="5" t="s">
        <v>171</v>
      </c>
      <c r="B178" s="131">
        <v>4</v>
      </c>
      <c r="C178" s="186" t="s">
        <v>640</v>
      </c>
      <c r="D178" s="183">
        <f t="shared" ref="D178:M178" si="106">IF(AND($B179="Y",YEAR($B174)+$B176&gt;D$5),D182+D174*(D175-D182*0.5),IF((YEAR($B174)+$B176)&gt;D$5,(D175*D174/$B178-D181)*$B178,(D175*(1+D174*MONTH($B174)/12))))</f>
        <v>0</v>
      </c>
      <c r="E178" s="183">
        <f t="shared" si="106"/>
        <v>0</v>
      </c>
      <c r="F178" s="183">
        <f t="shared" si="106"/>
        <v>0</v>
      </c>
      <c r="G178" s="183">
        <f t="shared" si="106"/>
        <v>0</v>
      </c>
      <c r="H178" s="183">
        <f t="shared" si="106"/>
        <v>0</v>
      </c>
      <c r="I178" s="183">
        <f t="shared" si="106"/>
        <v>0</v>
      </c>
      <c r="J178" s="183">
        <f t="shared" si="106"/>
        <v>0</v>
      </c>
      <c r="K178" s="183">
        <f t="shared" si="106"/>
        <v>0</v>
      </c>
      <c r="L178" s="183">
        <f t="shared" si="106"/>
        <v>0</v>
      </c>
      <c r="M178" s="183">
        <f t="shared" si="106"/>
        <v>0</v>
      </c>
    </row>
    <row r="179" spans="1:13" s="13" customFormat="1" ht="12.75" customHeight="1">
      <c r="A179" s="5" t="s">
        <v>767</v>
      </c>
      <c r="B179" s="131" t="s">
        <v>719</v>
      </c>
      <c r="C179" s="187" t="s">
        <v>768</v>
      </c>
      <c r="D179" s="188">
        <v>0</v>
      </c>
      <c r="E179" s="188">
        <v>0</v>
      </c>
      <c r="F179" s="188">
        <v>0</v>
      </c>
      <c r="G179" s="188">
        <v>0</v>
      </c>
      <c r="H179" s="188">
        <v>0</v>
      </c>
      <c r="I179" s="188">
        <v>0</v>
      </c>
      <c r="J179" s="188">
        <v>0</v>
      </c>
      <c r="K179" s="188">
        <v>0</v>
      </c>
      <c r="L179" s="188">
        <v>0</v>
      </c>
      <c r="M179" s="188">
        <v>0</v>
      </c>
    </row>
    <row r="180" spans="1:13" s="13" customFormat="1" ht="12.75" customHeight="1">
      <c r="A180" s="5" t="s">
        <v>182</v>
      </c>
      <c r="B180" s="131"/>
      <c r="C180" s="30" t="s">
        <v>175</v>
      </c>
      <c r="D180" s="183">
        <f t="shared" ref="D180:M180" si="107">D175+D176-D178-D179</f>
        <v>0</v>
      </c>
      <c r="E180" s="183">
        <f t="shared" si="107"/>
        <v>0</v>
      </c>
      <c r="F180" s="183">
        <f t="shared" si="107"/>
        <v>0</v>
      </c>
      <c r="G180" s="183">
        <f t="shared" si="107"/>
        <v>0</v>
      </c>
      <c r="H180" s="183">
        <f t="shared" si="107"/>
        <v>0</v>
      </c>
      <c r="I180" s="183">
        <f t="shared" si="107"/>
        <v>0</v>
      </c>
      <c r="J180" s="183">
        <f t="shared" si="107"/>
        <v>0</v>
      </c>
      <c r="K180" s="183">
        <f t="shared" si="107"/>
        <v>0</v>
      </c>
      <c r="L180" s="183">
        <f t="shared" si="107"/>
        <v>0</v>
      </c>
      <c r="M180" s="183">
        <f t="shared" si="107"/>
        <v>0</v>
      </c>
    </row>
    <row r="181" spans="1:13" s="13" customFormat="1" ht="12.75" hidden="1" customHeight="1">
      <c r="A181" s="5"/>
      <c r="B181" s="138"/>
      <c r="C181" s="5" t="s">
        <v>769</v>
      </c>
      <c r="D181" s="183" t="e">
        <f t="shared" ref="D181:M181" si="108">PPMT(D174/$B178,1,ROUND(($B176-(D$5-YEAR($B174))+MONTH($B174)/12)*$B178,0),D175)</f>
        <v>#NUM!</v>
      </c>
      <c r="E181" s="183" t="e">
        <f t="shared" si="108"/>
        <v>#NUM!</v>
      </c>
      <c r="F181" s="183" t="e">
        <f t="shared" si="108"/>
        <v>#NUM!</v>
      </c>
      <c r="G181" s="183" t="e">
        <f t="shared" si="108"/>
        <v>#NUM!</v>
      </c>
      <c r="H181" s="183" t="e">
        <f t="shared" si="108"/>
        <v>#NUM!</v>
      </c>
      <c r="I181" s="183" t="e">
        <f t="shared" si="108"/>
        <v>#NUM!</v>
      </c>
      <c r="J181" s="183" t="e">
        <f t="shared" si="108"/>
        <v>#NUM!</v>
      </c>
      <c r="K181" s="183" t="e">
        <f t="shared" si="108"/>
        <v>#NUM!</v>
      </c>
      <c r="L181" s="183" t="e">
        <f t="shared" si="108"/>
        <v>#NUM!</v>
      </c>
      <c r="M181" s="183" t="e">
        <f t="shared" si="108"/>
        <v>#NUM!</v>
      </c>
    </row>
    <row r="182" spans="1:13" s="13" customFormat="1" ht="12.75" hidden="1" customHeight="1">
      <c r="A182" s="5"/>
      <c r="B182" s="5"/>
      <c r="C182" s="5" t="s">
        <v>770</v>
      </c>
      <c r="D182" s="183">
        <f t="shared" ref="D182:M182" si="109">IF(YEAR($B174)+$B176&gt;D$5,D175/(YEAR($B174)+$B176-D$5+MONTH($B174)/12),D175)</f>
        <v>0</v>
      </c>
      <c r="E182" s="183">
        <f t="shared" si="109"/>
        <v>0</v>
      </c>
      <c r="F182" s="183">
        <f t="shared" si="109"/>
        <v>0</v>
      </c>
      <c r="G182" s="183">
        <f t="shared" si="109"/>
        <v>0</v>
      </c>
      <c r="H182" s="183">
        <f t="shared" si="109"/>
        <v>0</v>
      </c>
      <c r="I182" s="183">
        <f t="shared" si="109"/>
        <v>0</v>
      </c>
      <c r="J182" s="183">
        <f t="shared" si="109"/>
        <v>0</v>
      </c>
      <c r="K182" s="183">
        <f t="shared" si="109"/>
        <v>0</v>
      </c>
      <c r="L182" s="183">
        <f t="shared" si="109"/>
        <v>0</v>
      </c>
      <c r="M182" s="183">
        <f t="shared" si="109"/>
        <v>0</v>
      </c>
    </row>
    <row r="183" spans="1:13" s="13" customFormat="1" ht="12.75" customHeight="1">
      <c r="A183"/>
      <c r="B183"/>
      <c r="C183" s="5"/>
      <c r="D183" s="195"/>
      <c r="E183" s="195"/>
      <c r="F183" s="195"/>
      <c r="G183" s="195"/>
      <c r="H183" s="195"/>
      <c r="I183" s="195"/>
      <c r="J183" s="195"/>
      <c r="K183" s="195"/>
      <c r="L183" s="195"/>
      <c r="M183" s="195"/>
    </row>
    <row r="184" spans="1:13" s="13" customFormat="1" ht="12.75" customHeight="1">
      <c r="A184" s="30" t="s">
        <v>873</v>
      </c>
      <c r="B184" s="99"/>
      <c r="C184" t="s">
        <v>800</v>
      </c>
      <c r="D184" s="179" t="s">
        <v>801</v>
      </c>
      <c r="E184" s="1"/>
      <c r="F184"/>
      <c r="G184"/>
      <c r="H184"/>
      <c r="I184"/>
      <c r="J184"/>
      <c r="K184"/>
      <c r="L184"/>
      <c r="M184"/>
    </row>
    <row r="185" spans="1:13" s="13" customFormat="1" ht="12.75" customHeight="1">
      <c r="A185" s="26" t="s">
        <v>677</v>
      </c>
      <c r="B185" s="133">
        <v>29373</v>
      </c>
      <c r="C185" s="5" t="s">
        <v>639</v>
      </c>
      <c r="D185" s="180">
        <f>IF($D184="V",Input!G$70,IF(AND($B191=D$5,Input!G$65&gt;0),Input!G$65,$B188))</f>
        <v>7.0000000000000007E-2</v>
      </c>
      <c r="E185" s="180">
        <f>IF($D184="V",Input!H$70,IF(AND($B191=E$5,Input!H$65&gt;0),Input!H$65,D185))</f>
        <v>7.0000000000000007E-2</v>
      </c>
      <c r="F185" s="180">
        <f>IF($D184="V",Input!I$70,IF(AND($B191=F$5,Input!I$65&gt;0),Input!I$65,E185))</f>
        <v>7.0000000000000007E-2</v>
      </c>
      <c r="G185" s="180">
        <f>IF($D184="V",Input!J$70,IF(AND($B191=G$5,Input!J$65&gt;0),Input!J$65,F185))</f>
        <v>7.0000000000000007E-2</v>
      </c>
      <c r="H185" s="180">
        <f>IF($D184="V",Input!K$70,IF(AND($B191=H$5,Input!K$65&gt;0),Input!K$65,G185))</f>
        <v>7.0000000000000007E-2</v>
      </c>
      <c r="I185" s="180">
        <f>IF($D184="V",Input!L$70,IF(AND($B191=I$5,Input!L$65&gt;0),Input!L$65,H185))</f>
        <v>7.0000000000000007E-2</v>
      </c>
      <c r="J185" s="180">
        <f>IF($D184="V",Input!M$70,IF(AND($B191=J$5,Input!M$65&gt;0),Input!M$65,I185))</f>
        <v>7.0000000000000007E-2</v>
      </c>
      <c r="K185" s="180">
        <f>IF($D184="V",Input!N$70,IF(AND($B191=K$5,Input!N$65&gt;0),Input!N$65,J185))</f>
        <v>7.0000000000000007E-2</v>
      </c>
      <c r="L185" s="180">
        <f>IF($D184="V",Input!O$70,IF(AND($B191=L$5,Input!O$65&gt;0),Input!O$65,K185))</f>
        <v>7.0000000000000007E-2</v>
      </c>
      <c r="M185" s="180">
        <f>IF($D184="V",Input!P$70,IF(AND($B191=M$5,Input!P$65&gt;0),Input!P$65,L185))</f>
        <v>7.0000000000000007E-2</v>
      </c>
    </row>
    <row r="186" spans="1:13" s="13" customFormat="1" ht="12.75" customHeight="1">
      <c r="A186" s="5" t="s">
        <v>361</v>
      </c>
      <c r="B186" s="181">
        <v>0</v>
      </c>
      <c r="C186" s="27" t="s">
        <v>173</v>
      </c>
      <c r="D186" s="188">
        <v>0</v>
      </c>
      <c r="E186" s="183">
        <f t="shared" ref="E186:M186" si="110">D191</f>
        <v>0</v>
      </c>
      <c r="F186" s="183">
        <f t="shared" si="110"/>
        <v>0</v>
      </c>
      <c r="G186" s="183">
        <f t="shared" si="110"/>
        <v>0</v>
      </c>
      <c r="H186" s="183">
        <f t="shared" si="110"/>
        <v>0</v>
      </c>
      <c r="I186" s="183">
        <f t="shared" si="110"/>
        <v>0</v>
      </c>
      <c r="J186" s="183">
        <f t="shared" si="110"/>
        <v>0</v>
      </c>
      <c r="K186" s="183">
        <f t="shared" si="110"/>
        <v>0</v>
      </c>
      <c r="L186" s="183">
        <f t="shared" si="110"/>
        <v>0</v>
      </c>
      <c r="M186" s="183">
        <f t="shared" si="110"/>
        <v>0</v>
      </c>
    </row>
    <row r="187" spans="1:13" s="13" customFormat="1" ht="12.75" customHeight="1">
      <c r="A187" s="26" t="s">
        <v>170</v>
      </c>
      <c r="B187" s="131">
        <v>35</v>
      </c>
      <c r="C187" s="184" t="s">
        <v>169</v>
      </c>
      <c r="D187" s="183">
        <f t="shared" ref="D187:M187" si="111">D189-D188</f>
        <v>0</v>
      </c>
      <c r="E187" s="183">
        <f t="shared" si="111"/>
        <v>0</v>
      </c>
      <c r="F187" s="183">
        <f t="shared" si="111"/>
        <v>0</v>
      </c>
      <c r="G187" s="183">
        <f t="shared" si="111"/>
        <v>0</v>
      </c>
      <c r="H187" s="183">
        <f t="shared" si="111"/>
        <v>0</v>
      </c>
      <c r="I187" s="183">
        <f t="shared" si="111"/>
        <v>0</v>
      </c>
      <c r="J187" s="183">
        <f t="shared" si="111"/>
        <v>0</v>
      </c>
      <c r="K187" s="183">
        <f t="shared" si="111"/>
        <v>0</v>
      </c>
      <c r="L187" s="183">
        <f t="shared" si="111"/>
        <v>0</v>
      </c>
      <c r="M187" s="183">
        <f t="shared" si="111"/>
        <v>0</v>
      </c>
    </row>
    <row r="188" spans="1:13" s="13" customFormat="1" ht="12.75" customHeight="1">
      <c r="A188" s="5" t="s">
        <v>172</v>
      </c>
      <c r="B188" s="185">
        <f>B177</f>
        <v>7.0000000000000007E-2</v>
      </c>
      <c r="C188" s="5" t="s">
        <v>174</v>
      </c>
      <c r="D188" s="183">
        <f t="shared" ref="D188:M188" si="112">IF(AND($B190="Y",YEAR($B185)+$B187&gt;D$5),D193,IF((YEAR($B185)+$B187)&gt;D$5,FV(D185/$B189,$B189,D192),D186))</f>
        <v>0</v>
      </c>
      <c r="E188" s="183">
        <f t="shared" si="112"/>
        <v>0</v>
      </c>
      <c r="F188" s="183">
        <f t="shared" si="112"/>
        <v>0</v>
      </c>
      <c r="G188" s="183">
        <f t="shared" si="112"/>
        <v>0</v>
      </c>
      <c r="H188" s="183">
        <f t="shared" si="112"/>
        <v>0</v>
      </c>
      <c r="I188" s="183">
        <f t="shared" si="112"/>
        <v>0</v>
      </c>
      <c r="J188" s="183">
        <f t="shared" si="112"/>
        <v>0</v>
      </c>
      <c r="K188" s="183">
        <f t="shared" si="112"/>
        <v>0</v>
      </c>
      <c r="L188" s="183">
        <f t="shared" si="112"/>
        <v>0</v>
      </c>
      <c r="M188" s="183">
        <f t="shared" si="112"/>
        <v>0</v>
      </c>
    </row>
    <row r="189" spans="1:13" s="13" customFormat="1" ht="12.75" customHeight="1">
      <c r="A189" s="5" t="s">
        <v>171</v>
      </c>
      <c r="B189" s="131">
        <v>4</v>
      </c>
      <c r="C189" s="186" t="s">
        <v>640</v>
      </c>
      <c r="D189" s="183">
        <f t="shared" ref="D189:M189" si="113">IF(AND($B190="Y",YEAR($B185)+$B187&gt;D$5),D193+D185*(D186-D193*0.5),IF((YEAR($B185)+$B187)&gt;D$5,(D186*D185/$B189-D192)*$B189,(D186*(1+D185*MONTH($B185)/12))))</f>
        <v>0</v>
      </c>
      <c r="E189" s="183">
        <f t="shared" si="113"/>
        <v>0</v>
      </c>
      <c r="F189" s="183">
        <f t="shared" si="113"/>
        <v>0</v>
      </c>
      <c r="G189" s="183">
        <f t="shared" si="113"/>
        <v>0</v>
      </c>
      <c r="H189" s="183">
        <f t="shared" si="113"/>
        <v>0</v>
      </c>
      <c r="I189" s="183">
        <f t="shared" si="113"/>
        <v>0</v>
      </c>
      <c r="J189" s="183">
        <f t="shared" si="113"/>
        <v>0</v>
      </c>
      <c r="K189" s="183">
        <f t="shared" si="113"/>
        <v>0</v>
      </c>
      <c r="L189" s="183">
        <f t="shared" si="113"/>
        <v>0</v>
      </c>
      <c r="M189" s="183">
        <f t="shared" si="113"/>
        <v>0</v>
      </c>
    </row>
    <row r="190" spans="1:13" s="13" customFormat="1" ht="12.75" customHeight="1">
      <c r="A190" s="5" t="s">
        <v>767</v>
      </c>
      <c r="B190" s="131" t="s">
        <v>719</v>
      </c>
      <c r="C190" s="187" t="s">
        <v>768</v>
      </c>
      <c r="D190" s="188">
        <v>0</v>
      </c>
      <c r="E190" s="188">
        <v>0</v>
      </c>
      <c r="F190" s="188">
        <v>0</v>
      </c>
      <c r="G190" s="188">
        <v>0</v>
      </c>
      <c r="H190" s="188">
        <v>0</v>
      </c>
      <c r="I190" s="188">
        <v>0</v>
      </c>
      <c r="J190" s="188">
        <v>0</v>
      </c>
      <c r="K190" s="188">
        <v>0</v>
      </c>
      <c r="L190" s="188">
        <v>0</v>
      </c>
      <c r="M190" s="188">
        <v>0</v>
      </c>
    </row>
    <row r="191" spans="1:13" s="13" customFormat="1" ht="12.75" customHeight="1">
      <c r="A191" s="5" t="s">
        <v>182</v>
      </c>
      <c r="B191" s="131"/>
      <c r="C191" s="30" t="s">
        <v>175</v>
      </c>
      <c r="D191" s="183">
        <f t="shared" ref="D191:M191" si="114">D186+D187-D189-D190</f>
        <v>0</v>
      </c>
      <c r="E191" s="183">
        <f t="shared" si="114"/>
        <v>0</v>
      </c>
      <c r="F191" s="183">
        <f t="shared" si="114"/>
        <v>0</v>
      </c>
      <c r="G191" s="183">
        <f t="shared" si="114"/>
        <v>0</v>
      </c>
      <c r="H191" s="183">
        <f t="shared" si="114"/>
        <v>0</v>
      </c>
      <c r="I191" s="183">
        <f t="shared" si="114"/>
        <v>0</v>
      </c>
      <c r="J191" s="183">
        <f t="shared" si="114"/>
        <v>0</v>
      </c>
      <c r="K191" s="183">
        <f t="shared" si="114"/>
        <v>0</v>
      </c>
      <c r="L191" s="183">
        <f t="shared" si="114"/>
        <v>0</v>
      </c>
      <c r="M191" s="183">
        <f t="shared" si="114"/>
        <v>0</v>
      </c>
    </row>
    <row r="192" spans="1:13" s="13" customFormat="1" ht="12.75" hidden="1" customHeight="1">
      <c r="A192" s="5"/>
      <c r="B192" s="138"/>
      <c r="C192" s="5" t="s">
        <v>769</v>
      </c>
      <c r="D192" s="183" t="e">
        <f t="shared" ref="D192:M192" si="115">PPMT(D185/$B189,1,ROUND(($B187-(D$5-YEAR($B185))+MONTH($B185)/12)*$B189,0),D186)</f>
        <v>#NUM!</v>
      </c>
      <c r="E192" s="183" t="e">
        <f t="shared" si="115"/>
        <v>#NUM!</v>
      </c>
      <c r="F192" s="183" t="e">
        <f t="shared" si="115"/>
        <v>#NUM!</v>
      </c>
      <c r="G192" s="183" t="e">
        <f t="shared" si="115"/>
        <v>#NUM!</v>
      </c>
      <c r="H192" s="183" t="e">
        <f t="shared" si="115"/>
        <v>#NUM!</v>
      </c>
      <c r="I192" s="183" t="e">
        <f t="shared" si="115"/>
        <v>#NUM!</v>
      </c>
      <c r="J192" s="183" t="e">
        <f t="shared" si="115"/>
        <v>#NUM!</v>
      </c>
      <c r="K192" s="183" t="e">
        <f t="shared" si="115"/>
        <v>#NUM!</v>
      </c>
      <c r="L192" s="183" t="e">
        <f t="shared" si="115"/>
        <v>#NUM!</v>
      </c>
      <c r="M192" s="183" t="e">
        <f t="shared" si="115"/>
        <v>#NUM!</v>
      </c>
    </row>
    <row r="193" spans="1:13" s="13" customFormat="1" ht="12.75" hidden="1" customHeight="1">
      <c r="A193" s="5"/>
      <c r="B193" s="5"/>
      <c r="C193" s="5" t="s">
        <v>770</v>
      </c>
      <c r="D193" s="183">
        <f t="shared" ref="D193:M193" si="116">IF(YEAR($B185)+$B187&gt;D$5,D186/(YEAR($B185)+$B187-D$5+MONTH($B185)/12),D186)</f>
        <v>0</v>
      </c>
      <c r="E193" s="183">
        <f t="shared" si="116"/>
        <v>0</v>
      </c>
      <c r="F193" s="183">
        <f t="shared" si="116"/>
        <v>0</v>
      </c>
      <c r="G193" s="183">
        <f t="shared" si="116"/>
        <v>0</v>
      </c>
      <c r="H193" s="183">
        <f t="shared" si="116"/>
        <v>0</v>
      </c>
      <c r="I193" s="183">
        <f t="shared" si="116"/>
        <v>0</v>
      </c>
      <c r="J193" s="183">
        <f t="shared" si="116"/>
        <v>0</v>
      </c>
      <c r="K193" s="183">
        <f t="shared" si="116"/>
        <v>0</v>
      </c>
      <c r="L193" s="183">
        <f t="shared" si="116"/>
        <v>0</v>
      </c>
      <c r="M193" s="183">
        <f t="shared" si="116"/>
        <v>0</v>
      </c>
    </row>
    <row r="194" spans="1:13" s="13" customFormat="1" ht="12.75" customHeight="1">
      <c r="A194"/>
      <c r="B194"/>
      <c r="C194" s="5"/>
      <c r="D194" s="195"/>
      <c r="E194" s="195"/>
      <c r="F194" s="195"/>
      <c r="G194" s="195"/>
      <c r="H194" s="195"/>
      <c r="I194" s="195"/>
      <c r="J194" s="195"/>
      <c r="K194" s="195"/>
      <c r="L194" s="195"/>
      <c r="M194" s="195"/>
    </row>
    <row r="195" spans="1:13" s="13" customFormat="1" ht="12.75" customHeight="1">
      <c r="A195" s="30" t="s">
        <v>874</v>
      </c>
      <c r="B195" s="99"/>
      <c r="C195" t="s">
        <v>800</v>
      </c>
      <c r="D195" s="179" t="s">
        <v>801</v>
      </c>
      <c r="E195" s="1"/>
      <c r="F195"/>
      <c r="G195"/>
      <c r="H195"/>
      <c r="I195"/>
      <c r="J195"/>
      <c r="K195"/>
      <c r="L195"/>
      <c r="M195"/>
    </row>
    <row r="196" spans="1:13" s="13" customFormat="1" ht="12.75" customHeight="1">
      <c r="A196" s="26" t="s">
        <v>677</v>
      </c>
      <c r="B196" s="133">
        <v>29373</v>
      </c>
      <c r="C196" s="5" t="s">
        <v>639</v>
      </c>
      <c r="D196" s="180">
        <f>IF($D195="V",Input!G$70,IF(AND($B202=D$5,Input!G$65&gt;0),Input!G$65,$B199))</f>
        <v>7.0000000000000007E-2</v>
      </c>
      <c r="E196" s="180">
        <f>IF($D195="V",Input!H$70,IF(AND($B202=E$5,Input!H$65&gt;0),Input!H$65,D196))</f>
        <v>7.0000000000000007E-2</v>
      </c>
      <c r="F196" s="180">
        <f>IF($D195="V",Input!I$70,IF(AND($B202=F$5,Input!I$65&gt;0),Input!I$65,E196))</f>
        <v>7.0000000000000007E-2</v>
      </c>
      <c r="G196" s="180">
        <f>IF($D195="V",Input!J$70,IF(AND($B202=G$5,Input!J$65&gt;0),Input!J$65,F196))</f>
        <v>7.0000000000000007E-2</v>
      </c>
      <c r="H196" s="180">
        <f>IF($D195="V",Input!K$70,IF(AND($B202=H$5,Input!K$65&gt;0),Input!K$65,G196))</f>
        <v>7.0000000000000007E-2</v>
      </c>
      <c r="I196" s="180">
        <f>IF($D195="V",Input!L$70,IF(AND($B202=I$5,Input!L$65&gt;0),Input!L$65,H196))</f>
        <v>7.0000000000000007E-2</v>
      </c>
      <c r="J196" s="180">
        <f>IF($D195="V",Input!M$70,IF(AND($B202=J$5,Input!M$65&gt;0),Input!M$65,I196))</f>
        <v>7.0000000000000007E-2</v>
      </c>
      <c r="K196" s="180">
        <f>IF($D195="V",Input!N$70,IF(AND($B202=K$5,Input!N$65&gt;0),Input!N$65,J196))</f>
        <v>7.0000000000000007E-2</v>
      </c>
      <c r="L196" s="180">
        <f>IF($D195="V",Input!O$70,IF(AND($B202=L$5,Input!O$65&gt;0),Input!O$65,K196))</f>
        <v>7.0000000000000007E-2</v>
      </c>
      <c r="M196" s="180">
        <f>IF($D195="V",Input!P$70,IF(AND($B202=M$5,Input!P$65&gt;0),Input!P$65,L196))</f>
        <v>7.0000000000000007E-2</v>
      </c>
    </row>
    <row r="197" spans="1:13" s="13" customFormat="1" ht="12.75" customHeight="1">
      <c r="A197" s="5" t="s">
        <v>361</v>
      </c>
      <c r="B197" s="181">
        <v>0</v>
      </c>
      <c r="C197" s="27" t="s">
        <v>173</v>
      </c>
      <c r="D197" s="188">
        <v>0</v>
      </c>
      <c r="E197" s="183">
        <f t="shared" ref="E197:M197" si="117">D202</f>
        <v>0</v>
      </c>
      <c r="F197" s="183">
        <f t="shared" si="117"/>
        <v>0</v>
      </c>
      <c r="G197" s="183">
        <f t="shared" si="117"/>
        <v>0</v>
      </c>
      <c r="H197" s="183">
        <f t="shared" si="117"/>
        <v>0</v>
      </c>
      <c r="I197" s="183">
        <f t="shared" si="117"/>
        <v>0</v>
      </c>
      <c r="J197" s="183">
        <f t="shared" si="117"/>
        <v>0</v>
      </c>
      <c r="K197" s="183">
        <f t="shared" si="117"/>
        <v>0</v>
      </c>
      <c r="L197" s="183">
        <f t="shared" si="117"/>
        <v>0</v>
      </c>
      <c r="M197" s="183">
        <f t="shared" si="117"/>
        <v>0</v>
      </c>
    </row>
    <row r="198" spans="1:13" s="13" customFormat="1" ht="12.75" customHeight="1">
      <c r="A198" s="26" t="s">
        <v>170</v>
      </c>
      <c r="B198" s="131">
        <v>35</v>
      </c>
      <c r="C198" s="184" t="s">
        <v>169</v>
      </c>
      <c r="D198" s="183">
        <f t="shared" ref="D198:M198" si="118">D200-D199</f>
        <v>0</v>
      </c>
      <c r="E198" s="183">
        <f t="shared" si="118"/>
        <v>0</v>
      </c>
      <c r="F198" s="183">
        <f t="shared" si="118"/>
        <v>0</v>
      </c>
      <c r="G198" s="183">
        <f t="shared" si="118"/>
        <v>0</v>
      </c>
      <c r="H198" s="183">
        <f t="shared" si="118"/>
        <v>0</v>
      </c>
      <c r="I198" s="183">
        <f t="shared" si="118"/>
        <v>0</v>
      </c>
      <c r="J198" s="183">
        <f t="shared" si="118"/>
        <v>0</v>
      </c>
      <c r="K198" s="183">
        <f t="shared" si="118"/>
        <v>0</v>
      </c>
      <c r="L198" s="183">
        <f t="shared" si="118"/>
        <v>0</v>
      </c>
      <c r="M198" s="183">
        <f t="shared" si="118"/>
        <v>0</v>
      </c>
    </row>
    <row r="199" spans="1:13" s="13" customFormat="1" ht="12.75" customHeight="1">
      <c r="A199" s="5" t="s">
        <v>172</v>
      </c>
      <c r="B199" s="185">
        <f>B188</f>
        <v>7.0000000000000007E-2</v>
      </c>
      <c r="C199" s="5" t="s">
        <v>174</v>
      </c>
      <c r="D199" s="183">
        <f t="shared" ref="D199:M199" si="119">IF(AND($B201="Y",YEAR($B196)+$B198&gt;D$5),D204,IF((YEAR($B196)+$B198)&gt;D$5,FV(D196/$B200,$B200,D203),D197))</f>
        <v>0</v>
      </c>
      <c r="E199" s="183">
        <f t="shared" si="119"/>
        <v>0</v>
      </c>
      <c r="F199" s="183">
        <f t="shared" si="119"/>
        <v>0</v>
      </c>
      <c r="G199" s="183">
        <f t="shared" si="119"/>
        <v>0</v>
      </c>
      <c r="H199" s="183">
        <f t="shared" si="119"/>
        <v>0</v>
      </c>
      <c r="I199" s="183">
        <f t="shared" si="119"/>
        <v>0</v>
      </c>
      <c r="J199" s="183">
        <f t="shared" si="119"/>
        <v>0</v>
      </c>
      <c r="K199" s="183">
        <f t="shared" si="119"/>
        <v>0</v>
      </c>
      <c r="L199" s="183">
        <f t="shared" si="119"/>
        <v>0</v>
      </c>
      <c r="M199" s="183">
        <f t="shared" si="119"/>
        <v>0</v>
      </c>
    </row>
    <row r="200" spans="1:13" s="13" customFormat="1" ht="12.75" customHeight="1">
      <c r="A200" s="5" t="s">
        <v>171</v>
      </c>
      <c r="B200" s="131">
        <v>4</v>
      </c>
      <c r="C200" s="186" t="s">
        <v>640</v>
      </c>
      <c r="D200" s="183">
        <f t="shared" ref="D200:M200" si="120">IF(AND($B201="Y",YEAR($B196)+$B198&gt;D$5),D204+D196*(D197-D204*0.5),IF((YEAR($B196)+$B198)&gt;D$5,(D197*D196/$B200-D203)*$B200,(D197*(1+D196*MONTH($B196)/12))))</f>
        <v>0</v>
      </c>
      <c r="E200" s="183">
        <f t="shared" si="120"/>
        <v>0</v>
      </c>
      <c r="F200" s="183">
        <f t="shared" si="120"/>
        <v>0</v>
      </c>
      <c r="G200" s="183">
        <f t="shared" si="120"/>
        <v>0</v>
      </c>
      <c r="H200" s="183">
        <f t="shared" si="120"/>
        <v>0</v>
      </c>
      <c r="I200" s="183">
        <f t="shared" si="120"/>
        <v>0</v>
      </c>
      <c r="J200" s="183">
        <f t="shared" si="120"/>
        <v>0</v>
      </c>
      <c r="K200" s="183">
        <f t="shared" si="120"/>
        <v>0</v>
      </c>
      <c r="L200" s="183">
        <f t="shared" si="120"/>
        <v>0</v>
      </c>
      <c r="M200" s="183">
        <f t="shared" si="120"/>
        <v>0</v>
      </c>
    </row>
    <row r="201" spans="1:13" s="13" customFormat="1" ht="12.75" customHeight="1">
      <c r="A201" s="5" t="s">
        <v>767</v>
      </c>
      <c r="B201" s="131" t="s">
        <v>719</v>
      </c>
      <c r="C201" s="187" t="s">
        <v>768</v>
      </c>
      <c r="D201" s="188">
        <v>0</v>
      </c>
      <c r="E201" s="188">
        <v>0</v>
      </c>
      <c r="F201" s="188">
        <v>0</v>
      </c>
      <c r="G201" s="188">
        <v>0</v>
      </c>
      <c r="H201" s="188">
        <v>0</v>
      </c>
      <c r="I201" s="188">
        <v>0</v>
      </c>
      <c r="J201" s="188">
        <v>0</v>
      </c>
      <c r="K201" s="188">
        <v>0</v>
      </c>
      <c r="L201" s="188">
        <v>0</v>
      </c>
      <c r="M201" s="188">
        <v>0</v>
      </c>
    </row>
    <row r="202" spans="1:13" s="13" customFormat="1" ht="12.75" customHeight="1">
      <c r="A202" s="5" t="s">
        <v>182</v>
      </c>
      <c r="B202" s="131"/>
      <c r="C202" s="30" t="s">
        <v>175</v>
      </c>
      <c r="D202" s="183">
        <f t="shared" ref="D202:M202" si="121">D197+D198-D200-D201</f>
        <v>0</v>
      </c>
      <c r="E202" s="183">
        <f t="shared" si="121"/>
        <v>0</v>
      </c>
      <c r="F202" s="183">
        <f t="shared" si="121"/>
        <v>0</v>
      </c>
      <c r="G202" s="183">
        <f t="shared" si="121"/>
        <v>0</v>
      </c>
      <c r="H202" s="183">
        <f t="shared" si="121"/>
        <v>0</v>
      </c>
      <c r="I202" s="183">
        <f t="shared" si="121"/>
        <v>0</v>
      </c>
      <c r="J202" s="183">
        <f t="shared" si="121"/>
        <v>0</v>
      </c>
      <c r="K202" s="183">
        <f t="shared" si="121"/>
        <v>0</v>
      </c>
      <c r="L202" s="183">
        <f t="shared" si="121"/>
        <v>0</v>
      </c>
      <c r="M202" s="183">
        <f t="shared" si="121"/>
        <v>0</v>
      </c>
    </row>
    <row r="203" spans="1:13" s="13" customFormat="1" ht="12.75" hidden="1" customHeight="1">
      <c r="A203" s="5"/>
      <c r="B203" s="138"/>
      <c r="C203" s="5" t="s">
        <v>769</v>
      </c>
      <c r="D203" s="183" t="e">
        <f t="shared" ref="D203:M203" si="122">PPMT(D196/$B200,1,ROUND(($B198-(D$5-YEAR($B196))+MONTH($B196)/12)*$B200,0),D197)</f>
        <v>#NUM!</v>
      </c>
      <c r="E203" s="183" t="e">
        <f t="shared" si="122"/>
        <v>#NUM!</v>
      </c>
      <c r="F203" s="183" t="e">
        <f t="shared" si="122"/>
        <v>#NUM!</v>
      </c>
      <c r="G203" s="183" t="e">
        <f t="shared" si="122"/>
        <v>#NUM!</v>
      </c>
      <c r="H203" s="183" t="e">
        <f t="shared" si="122"/>
        <v>#NUM!</v>
      </c>
      <c r="I203" s="183" t="e">
        <f t="shared" si="122"/>
        <v>#NUM!</v>
      </c>
      <c r="J203" s="183" t="e">
        <f t="shared" si="122"/>
        <v>#NUM!</v>
      </c>
      <c r="K203" s="183" t="e">
        <f t="shared" si="122"/>
        <v>#NUM!</v>
      </c>
      <c r="L203" s="183" t="e">
        <f t="shared" si="122"/>
        <v>#NUM!</v>
      </c>
      <c r="M203" s="183" t="e">
        <f t="shared" si="122"/>
        <v>#NUM!</v>
      </c>
    </row>
    <row r="204" spans="1:13" s="13" customFormat="1" ht="12.75" hidden="1" customHeight="1">
      <c r="A204" s="5"/>
      <c r="B204" s="5"/>
      <c r="C204" s="5" t="s">
        <v>770</v>
      </c>
      <c r="D204" s="183">
        <f t="shared" ref="D204:M204" si="123">IF(YEAR($B196)+$B198&gt;D$5,D197/(YEAR($B196)+$B198-D$5+MONTH($B196)/12),D197)</f>
        <v>0</v>
      </c>
      <c r="E204" s="183">
        <f t="shared" si="123"/>
        <v>0</v>
      </c>
      <c r="F204" s="183">
        <f t="shared" si="123"/>
        <v>0</v>
      </c>
      <c r="G204" s="183">
        <f t="shared" si="123"/>
        <v>0</v>
      </c>
      <c r="H204" s="183">
        <f t="shared" si="123"/>
        <v>0</v>
      </c>
      <c r="I204" s="183">
        <f t="shared" si="123"/>
        <v>0</v>
      </c>
      <c r="J204" s="183">
        <f t="shared" si="123"/>
        <v>0</v>
      </c>
      <c r="K204" s="183">
        <f t="shared" si="123"/>
        <v>0</v>
      </c>
      <c r="L204" s="183">
        <f t="shared" si="123"/>
        <v>0</v>
      </c>
      <c r="M204" s="183">
        <f t="shared" si="123"/>
        <v>0</v>
      </c>
    </row>
    <row r="205" spans="1:13" s="13" customFormat="1" ht="12.75" customHeight="1">
      <c r="A205" s="5"/>
      <c r="B205" s="5"/>
      <c r="C205" s="5"/>
      <c r="D205" s="195"/>
      <c r="E205" s="195"/>
      <c r="F205" s="195"/>
      <c r="G205" s="195"/>
      <c r="H205" s="195"/>
      <c r="I205" s="195"/>
      <c r="J205" s="195"/>
      <c r="K205" s="195"/>
      <c r="L205" s="195"/>
      <c r="M205" s="195"/>
    </row>
    <row r="206" spans="1:13" s="13" customFormat="1" ht="12.75" customHeight="1">
      <c r="A206" s="30" t="s">
        <v>875</v>
      </c>
      <c r="B206" s="99"/>
      <c r="C206" t="s">
        <v>800</v>
      </c>
      <c r="D206" s="179" t="s">
        <v>801</v>
      </c>
      <c r="E206" s="1"/>
      <c r="F206"/>
      <c r="G206"/>
      <c r="H206"/>
      <c r="I206"/>
      <c r="J206"/>
      <c r="K206"/>
      <c r="L206"/>
      <c r="M206"/>
    </row>
    <row r="207" spans="1:13" s="13" customFormat="1" ht="12.75" customHeight="1">
      <c r="A207" s="26" t="s">
        <v>677</v>
      </c>
      <c r="B207" s="133">
        <v>29373</v>
      </c>
      <c r="C207" s="5" t="s">
        <v>639</v>
      </c>
      <c r="D207" s="180">
        <f>IF($D206="V",Input!G$70,IF(AND($B213=D$5,Input!G$65&gt;0),Input!G$65,$B210))</f>
        <v>7.0000000000000007E-2</v>
      </c>
      <c r="E207" s="180">
        <f>IF($D206="V",Input!H$70,IF(AND($B213=E$5,Input!H$65&gt;0),Input!H$65,D207))</f>
        <v>7.0000000000000007E-2</v>
      </c>
      <c r="F207" s="180">
        <f>IF($D206="V",Input!I$70,IF(AND($B213=F$5,Input!I$65&gt;0),Input!I$65,E207))</f>
        <v>7.0000000000000007E-2</v>
      </c>
      <c r="G207" s="180">
        <f>IF($D206="V",Input!J$70,IF(AND($B213=G$5,Input!J$65&gt;0),Input!J$65,F207))</f>
        <v>7.0000000000000007E-2</v>
      </c>
      <c r="H207" s="180">
        <f>IF($D206="V",Input!K$70,IF(AND($B213=H$5,Input!K$65&gt;0),Input!K$65,G207))</f>
        <v>7.0000000000000007E-2</v>
      </c>
      <c r="I207" s="180">
        <f>IF($D206="V",Input!L$70,IF(AND($B213=I$5,Input!L$65&gt;0),Input!L$65,H207))</f>
        <v>7.0000000000000007E-2</v>
      </c>
      <c r="J207" s="180">
        <f>IF($D206="V",Input!M$70,IF(AND($B213=J$5,Input!M$65&gt;0),Input!M$65,I207))</f>
        <v>7.0000000000000007E-2</v>
      </c>
      <c r="K207" s="180">
        <f>IF($D206="V",Input!N$70,IF(AND($B213=K$5,Input!N$65&gt;0),Input!N$65,J207))</f>
        <v>7.0000000000000007E-2</v>
      </c>
      <c r="L207" s="180">
        <f>IF($D206="V",Input!O$70,IF(AND($B213=L$5,Input!O$65&gt;0),Input!O$65,K207))</f>
        <v>7.0000000000000007E-2</v>
      </c>
      <c r="M207" s="180">
        <f>IF($D206="V",Input!P$70,IF(AND($B213=M$5,Input!P$65&gt;0),Input!P$65,L207))</f>
        <v>7.0000000000000007E-2</v>
      </c>
    </row>
    <row r="208" spans="1:13" s="13" customFormat="1" ht="12.75" customHeight="1">
      <c r="A208" s="5" t="s">
        <v>361</v>
      </c>
      <c r="B208" s="181">
        <v>0</v>
      </c>
      <c r="C208" s="27" t="s">
        <v>173</v>
      </c>
      <c r="D208" s="188">
        <v>0</v>
      </c>
      <c r="E208" s="183">
        <f t="shared" ref="E208:M208" si="124">D213</f>
        <v>0</v>
      </c>
      <c r="F208" s="183">
        <f t="shared" si="124"/>
        <v>0</v>
      </c>
      <c r="G208" s="183">
        <f t="shared" si="124"/>
        <v>0</v>
      </c>
      <c r="H208" s="183">
        <f t="shared" si="124"/>
        <v>0</v>
      </c>
      <c r="I208" s="183">
        <f t="shared" si="124"/>
        <v>0</v>
      </c>
      <c r="J208" s="183">
        <f t="shared" si="124"/>
        <v>0</v>
      </c>
      <c r="K208" s="183">
        <f t="shared" si="124"/>
        <v>0</v>
      </c>
      <c r="L208" s="183">
        <f t="shared" si="124"/>
        <v>0</v>
      </c>
      <c r="M208" s="183">
        <f t="shared" si="124"/>
        <v>0</v>
      </c>
    </row>
    <row r="209" spans="1:13" s="13" customFormat="1" ht="12.75" customHeight="1">
      <c r="A209" s="26" t="s">
        <v>170</v>
      </c>
      <c r="B209" s="131">
        <v>35</v>
      </c>
      <c r="C209" s="184" t="s">
        <v>169</v>
      </c>
      <c r="D209" s="183">
        <f t="shared" ref="D209:M209" si="125">D211-D210</f>
        <v>0</v>
      </c>
      <c r="E209" s="183">
        <f t="shared" si="125"/>
        <v>0</v>
      </c>
      <c r="F209" s="183">
        <f t="shared" si="125"/>
        <v>0</v>
      </c>
      <c r="G209" s="183">
        <f t="shared" si="125"/>
        <v>0</v>
      </c>
      <c r="H209" s="183">
        <f t="shared" si="125"/>
        <v>0</v>
      </c>
      <c r="I209" s="183">
        <f t="shared" si="125"/>
        <v>0</v>
      </c>
      <c r="J209" s="183">
        <f t="shared" si="125"/>
        <v>0</v>
      </c>
      <c r="K209" s="183">
        <f t="shared" si="125"/>
        <v>0</v>
      </c>
      <c r="L209" s="183">
        <f t="shared" si="125"/>
        <v>0</v>
      </c>
      <c r="M209" s="183">
        <f t="shared" si="125"/>
        <v>0</v>
      </c>
    </row>
    <row r="210" spans="1:13" s="13" customFormat="1" ht="12.75" customHeight="1">
      <c r="A210" s="5" t="s">
        <v>172</v>
      </c>
      <c r="B210" s="185">
        <f>B199</f>
        <v>7.0000000000000007E-2</v>
      </c>
      <c r="C210" s="5" t="s">
        <v>174</v>
      </c>
      <c r="D210" s="183">
        <f t="shared" ref="D210:M210" si="126">IF(AND($B212="Y",YEAR($B207)+$B209&gt;D$5),D215,IF((YEAR($B207)+$B209)&gt;D$5,FV(D207/$B211,$B211,D214),D208))</f>
        <v>0</v>
      </c>
      <c r="E210" s="183">
        <f t="shared" si="126"/>
        <v>0</v>
      </c>
      <c r="F210" s="183">
        <f t="shared" si="126"/>
        <v>0</v>
      </c>
      <c r="G210" s="183">
        <f t="shared" si="126"/>
        <v>0</v>
      </c>
      <c r="H210" s="183">
        <f t="shared" si="126"/>
        <v>0</v>
      </c>
      <c r="I210" s="183">
        <f t="shared" si="126"/>
        <v>0</v>
      </c>
      <c r="J210" s="183">
        <f t="shared" si="126"/>
        <v>0</v>
      </c>
      <c r="K210" s="183">
        <f t="shared" si="126"/>
        <v>0</v>
      </c>
      <c r="L210" s="183">
        <f t="shared" si="126"/>
        <v>0</v>
      </c>
      <c r="M210" s="183">
        <f t="shared" si="126"/>
        <v>0</v>
      </c>
    </row>
    <row r="211" spans="1:13" s="13" customFormat="1" ht="12.75" customHeight="1">
      <c r="A211" s="5" t="s">
        <v>171</v>
      </c>
      <c r="B211" s="131">
        <v>4</v>
      </c>
      <c r="C211" s="186" t="s">
        <v>640</v>
      </c>
      <c r="D211" s="183">
        <f t="shared" ref="D211:M211" si="127">IF(AND($B212="Y",YEAR($B207)+$B209&gt;D$5),D215+D207*(D208-D215*0.5),IF((YEAR($B207)+$B209)&gt;D$5,(D208*D207/$B211-D214)*$B211,(D208*(1+D207*MONTH($B207)/12))))</f>
        <v>0</v>
      </c>
      <c r="E211" s="183">
        <f t="shared" si="127"/>
        <v>0</v>
      </c>
      <c r="F211" s="183">
        <f t="shared" si="127"/>
        <v>0</v>
      </c>
      <c r="G211" s="183">
        <f t="shared" si="127"/>
        <v>0</v>
      </c>
      <c r="H211" s="183">
        <f t="shared" si="127"/>
        <v>0</v>
      </c>
      <c r="I211" s="183">
        <f t="shared" si="127"/>
        <v>0</v>
      </c>
      <c r="J211" s="183">
        <f t="shared" si="127"/>
        <v>0</v>
      </c>
      <c r="K211" s="183">
        <f t="shared" si="127"/>
        <v>0</v>
      </c>
      <c r="L211" s="183">
        <f t="shared" si="127"/>
        <v>0</v>
      </c>
      <c r="M211" s="183">
        <f t="shared" si="127"/>
        <v>0</v>
      </c>
    </row>
    <row r="212" spans="1:13" s="13" customFormat="1" ht="12.75" customHeight="1">
      <c r="A212" s="5" t="s">
        <v>767</v>
      </c>
      <c r="B212" s="131" t="s">
        <v>719</v>
      </c>
      <c r="C212" s="187" t="s">
        <v>768</v>
      </c>
      <c r="D212" s="188">
        <v>0</v>
      </c>
      <c r="E212" s="188">
        <v>0</v>
      </c>
      <c r="F212" s="188">
        <v>0</v>
      </c>
      <c r="G212" s="188">
        <v>0</v>
      </c>
      <c r="H212" s="188">
        <v>0</v>
      </c>
      <c r="I212" s="188">
        <v>0</v>
      </c>
      <c r="J212" s="188">
        <v>0</v>
      </c>
      <c r="K212" s="188">
        <v>0</v>
      </c>
      <c r="L212" s="188">
        <v>0</v>
      </c>
      <c r="M212" s="188">
        <v>0</v>
      </c>
    </row>
    <row r="213" spans="1:13" s="13" customFormat="1" ht="12.75" customHeight="1">
      <c r="A213" s="5" t="s">
        <v>182</v>
      </c>
      <c r="B213" s="131"/>
      <c r="C213" s="30" t="s">
        <v>175</v>
      </c>
      <c r="D213" s="183">
        <f t="shared" ref="D213:M213" si="128">D208+D209-D211-D212</f>
        <v>0</v>
      </c>
      <c r="E213" s="183">
        <f t="shared" si="128"/>
        <v>0</v>
      </c>
      <c r="F213" s="183">
        <f t="shared" si="128"/>
        <v>0</v>
      </c>
      <c r="G213" s="183">
        <f t="shared" si="128"/>
        <v>0</v>
      </c>
      <c r="H213" s="183">
        <f t="shared" si="128"/>
        <v>0</v>
      </c>
      <c r="I213" s="183">
        <f t="shared" si="128"/>
        <v>0</v>
      </c>
      <c r="J213" s="183">
        <f t="shared" si="128"/>
        <v>0</v>
      </c>
      <c r="K213" s="183">
        <f t="shared" si="128"/>
        <v>0</v>
      </c>
      <c r="L213" s="183">
        <f t="shared" si="128"/>
        <v>0</v>
      </c>
      <c r="M213" s="183">
        <f t="shared" si="128"/>
        <v>0</v>
      </c>
    </row>
    <row r="214" spans="1:13" s="13" customFormat="1" ht="12.75" hidden="1" customHeight="1">
      <c r="A214" s="5"/>
      <c r="B214" s="138"/>
      <c r="C214" s="5" t="s">
        <v>769</v>
      </c>
      <c r="D214" s="183" t="e">
        <f t="shared" ref="D214:M214" si="129">PPMT(D207/$B211,1,ROUND(($B209-(D$5-YEAR($B207))+MONTH($B207)/12)*$B211,0),D208)</f>
        <v>#NUM!</v>
      </c>
      <c r="E214" s="183" t="e">
        <f t="shared" si="129"/>
        <v>#NUM!</v>
      </c>
      <c r="F214" s="183" t="e">
        <f t="shared" si="129"/>
        <v>#NUM!</v>
      </c>
      <c r="G214" s="183" t="e">
        <f t="shared" si="129"/>
        <v>#NUM!</v>
      </c>
      <c r="H214" s="183" t="e">
        <f t="shared" si="129"/>
        <v>#NUM!</v>
      </c>
      <c r="I214" s="183" t="e">
        <f t="shared" si="129"/>
        <v>#NUM!</v>
      </c>
      <c r="J214" s="183" t="e">
        <f t="shared" si="129"/>
        <v>#NUM!</v>
      </c>
      <c r="K214" s="183" t="e">
        <f t="shared" si="129"/>
        <v>#NUM!</v>
      </c>
      <c r="L214" s="183" t="e">
        <f t="shared" si="129"/>
        <v>#NUM!</v>
      </c>
      <c r="M214" s="183" t="e">
        <f t="shared" si="129"/>
        <v>#NUM!</v>
      </c>
    </row>
    <row r="215" spans="1:13" s="13" customFormat="1" ht="12.75" hidden="1" customHeight="1">
      <c r="A215" s="5"/>
      <c r="B215" s="5"/>
      <c r="C215" s="5" t="s">
        <v>770</v>
      </c>
      <c r="D215" s="183">
        <f t="shared" ref="D215:M215" si="130">IF(YEAR($B207)+$B209&gt;D$5,D208/(YEAR($B207)+$B209-D$5+MONTH($B207)/12),D208)</f>
        <v>0</v>
      </c>
      <c r="E215" s="183">
        <f t="shared" si="130"/>
        <v>0</v>
      </c>
      <c r="F215" s="183">
        <f t="shared" si="130"/>
        <v>0</v>
      </c>
      <c r="G215" s="183">
        <f t="shared" si="130"/>
        <v>0</v>
      </c>
      <c r="H215" s="183">
        <f t="shared" si="130"/>
        <v>0</v>
      </c>
      <c r="I215" s="183">
        <f t="shared" si="130"/>
        <v>0</v>
      </c>
      <c r="J215" s="183">
        <f t="shared" si="130"/>
        <v>0</v>
      </c>
      <c r="K215" s="183">
        <f t="shared" si="130"/>
        <v>0</v>
      </c>
      <c r="L215" s="183">
        <f t="shared" si="130"/>
        <v>0</v>
      </c>
      <c r="M215" s="183">
        <f t="shared" si="130"/>
        <v>0</v>
      </c>
    </row>
    <row r="216" spans="1:13" s="13" customFormat="1" ht="12.75" customHeight="1">
      <c r="A216" s="5"/>
      <c r="B216" s="5"/>
      <c r="C216" s="5"/>
    </row>
    <row r="217" spans="1:13" s="13" customFormat="1" ht="12.75" customHeight="1">
      <c r="A217" s="30" t="s">
        <v>876</v>
      </c>
      <c r="B217" s="99"/>
      <c r="C217" t="s">
        <v>800</v>
      </c>
      <c r="D217" s="179" t="s">
        <v>801</v>
      </c>
      <c r="E217" s="1"/>
      <c r="F217"/>
      <c r="G217"/>
      <c r="H217"/>
      <c r="I217"/>
      <c r="J217"/>
      <c r="K217"/>
      <c r="L217"/>
      <c r="M217"/>
    </row>
    <row r="218" spans="1:13" s="13" customFormat="1" ht="12.75" customHeight="1">
      <c r="A218" s="26" t="s">
        <v>677</v>
      </c>
      <c r="B218" s="133">
        <v>29373</v>
      </c>
      <c r="C218" s="5" t="s">
        <v>639</v>
      </c>
      <c r="D218" s="180">
        <f>IF($D217="V",Input!G$70,IF(AND($B224=D$5,Input!G$65&gt;0),Input!G$65,$B221))</f>
        <v>7.0000000000000007E-2</v>
      </c>
      <c r="E218" s="180">
        <f>IF($D217="V",Input!H$70,IF(AND($B224=E$5,Input!H$65&gt;0),Input!H$65,D218))</f>
        <v>7.0000000000000007E-2</v>
      </c>
      <c r="F218" s="180">
        <f>IF($D217="V",Input!I$70,IF(AND($B224=F$5,Input!I$65&gt;0),Input!I$65,E218))</f>
        <v>7.0000000000000007E-2</v>
      </c>
      <c r="G218" s="180">
        <f>IF($D217="V",Input!J$70,IF(AND($B224=G$5,Input!J$65&gt;0),Input!J$65,F218))</f>
        <v>7.0000000000000007E-2</v>
      </c>
      <c r="H218" s="180">
        <f>IF($D217="V",Input!K$70,IF(AND($B224=H$5,Input!K$65&gt;0),Input!K$65,G218))</f>
        <v>7.0000000000000007E-2</v>
      </c>
      <c r="I218" s="180">
        <f>IF($D217="V",Input!L$70,IF(AND($B224=I$5,Input!L$65&gt;0),Input!L$65,H218))</f>
        <v>7.0000000000000007E-2</v>
      </c>
      <c r="J218" s="180">
        <f>IF($D217="V",Input!M$70,IF(AND($B224=J$5,Input!M$65&gt;0),Input!M$65,I218))</f>
        <v>7.0000000000000007E-2</v>
      </c>
      <c r="K218" s="180">
        <f>IF($D217="V",Input!N$70,IF(AND($B224=K$5,Input!N$65&gt;0),Input!N$65,J218))</f>
        <v>7.0000000000000007E-2</v>
      </c>
      <c r="L218" s="180">
        <f>IF($D217="V",Input!O$70,IF(AND($B224=L$5,Input!O$65&gt;0),Input!O$65,K218))</f>
        <v>7.0000000000000007E-2</v>
      </c>
      <c r="M218" s="180">
        <f>IF($D217="V",Input!P$70,IF(AND($B224=M$5,Input!P$65&gt;0),Input!P$65,L218))</f>
        <v>7.0000000000000007E-2</v>
      </c>
    </row>
    <row r="219" spans="1:13" s="13" customFormat="1" ht="12.75" customHeight="1">
      <c r="A219" s="5" t="s">
        <v>361</v>
      </c>
      <c r="B219" s="181">
        <v>0</v>
      </c>
      <c r="C219" s="27" t="s">
        <v>173</v>
      </c>
      <c r="D219" s="188">
        <v>0</v>
      </c>
      <c r="E219" s="183">
        <f t="shared" ref="E219:M219" si="131">D224</f>
        <v>0</v>
      </c>
      <c r="F219" s="183">
        <f t="shared" si="131"/>
        <v>0</v>
      </c>
      <c r="G219" s="183">
        <f t="shared" si="131"/>
        <v>0</v>
      </c>
      <c r="H219" s="183">
        <f t="shared" si="131"/>
        <v>0</v>
      </c>
      <c r="I219" s="183">
        <f t="shared" si="131"/>
        <v>0</v>
      </c>
      <c r="J219" s="183">
        <f t="shared" si="131"/>
        <v>0</v>
      </c>
      <c r="K219" s="183">
        <f t="shared" si="131"/>
        <v>0</v>
      </c>
      <c r="L219" s="183">
        <f t="shared" si="131"/>
        <v>0</v>
      </c>
      <c r="M219" s="183">
        <f t="shared" si="131"/>
        <v>0</v>
      </c>
    </row>
    <row r="220" spans="1:13" s="13" customFormat="1" ht="12.75" customHeight="1">
      <c r="A220" s="26" t="s">
        <v>170</v>
      </c>
      <c r="B220" s="131">
        <v>35</v>
      </c>
      <c r="C220" s="184" t="s">
        <v>169</v>
      </c>
      <c r="D220" s="183">
        <f t="shared" ref="D220:M220" si="132">D222-D221</f>
        <v>0</v>
      </c>
      <c r="E220" s="183">
        <f t="shared" si="132"/>
        <v>0</v>
      </c>
      <c r="F220" s="183">
        <f t="shared" si="132"/>
        <v>0</v>
      </c>
      <c r="G220" s="183">
        <f t="shared" si="132"/>
        <v>0</v>
      </c>
      <c r="H220" s="183">
        <f t="shared" si="132"/>
        <v>0</v>
      </c>
      <c r="I220" s="183">
        <f t="shared" si="132"/>
        <v>0</v>
      </c>
      <c r="J220" s="183">
        <f t="shared" si="132"/>
        <v>0</v>
      </c>
      <c r="K220" s="183">
        <f t="shared" si="132"/>
        <v>0</v>
      </c>
      <c r="L220" s="183">
        <f t="shared" si="132"/>
        <v>0</v>
      </c>
      <c r="M220" s="183">
        <f t="shared" si="132"/>
        <v>0</v>
      </c>
    </row>
    <row r="221" spans="1:13" s="13" customFormat="1" ht="12.75" customHeight="1">
      <c r="A221" s="5" t="s">
        <v>172</v>
      </c>
      <c r="B221" s="185">
        <f>B210</f>
        <v>7.0000000000000007E-2</v>
      </c>
      <c r="C221" s="5" t="s">
        <v>174</v>
      </c>
      <c r="D221" s="183">
        <f t="shared" ref="D221:M221" si="133">IF(AND($B223="Y",YEAR($B218)+$B220&gt;D$5),D226,IF((YEAR($B218)+$B220)&gt;D$5,FV(D218/$B222,$B222,D225),D219))</f>
        <v>0</v>
      </c>
      <c r="E221" s="183">
        <f t="shared" si="133"/>
        <v>0</v>
      </c>
      <c r="F221" s="183">
        <f t="shared" si="133"/>
        <v>0</v>
      </c>
      <c r="G221" s="183">
        <f t="shared" si="133"/>
        <v>0</v>
      </c>
      <c r="H221" s="183">
        <f t="shared" si="133"/>
        <v>0</v>
      </c>
      <c r="I221" s="183">
        <f t="shared" si="133"/>
        <v>0</v>
      </c>
      <c r="J221" s="183">
        <f t="shared" si="133"/>
        <v>0</v>
      </c>
      <c r="K221" s="183">
        <f t="shared" si="133"/>
        <v>0</v>
      </c>
      <c r="L221" s="183">
        <f t="shared" si="133"/>
        <v>0</v>
      </c>
      <c r="M221" s="183">
        <f t="shared" si="133"/>
        <v>0</v>
      </c>
    </row>
    <row r="222" spans="1:13" s="13" customFormat="1" ht="12.75" customHeight="1">
      <c r="A222" s="5" t="s">
        <v>171</v>
      </c>
      <c r="B222" s="131">
        <v>4</v>
      </c>
      <c r="C222" s="186" t="s">
        <v>640</v>
      </c>
      <c r="D222" s="183">
        <f t="shared" ref="D222:M222" si="134">IF(AND($B223="Y",YEAR($B218)+$B220&gt;D$5),D226+D218*(D219-D226*0.5),IF((YEAR($B218)+$B220)&gt;D$5,(D219*D218/$B222-D225)*$B222,(D219*(1+D218*MONTH($B218)/12))))</f>
        <v>0</v>
      </c>
      <c r="E222" s="183">
        <f t="shared" si="134"/>
        <v>0</v>
      </c>
      <c r="F222" s="183">
        <f t="shared" si="134"/>
        <v>0</v>
      </c>
      <c r="G222" s="183">
        <f t="shared" si="134"/>
        <v>0</v>
      </c>
      <c r="H222" s="183">
        <f t="shared" si="134"/>
        <v>0</v>
      </c>
      <c r="I222" s="183">
        <f t="shared" si="134"/>
        <v>0</v>
      </c>
      <c r="J222" s="183">
        <f t="shared" si="134"/>
        <v>0</v>
      </c>
      <c r="K222" s="183">
        <f t="shared" si="134"/>
        <v>0</v>
      </c>
      <c r="L222" s="183">
        <f t="shared" si="134"/>
        <v>0</v>
      </c>
      <c r="M222" s="183">
        <f t="shared" si="134"/>
        <v>0</v>
      </c>
    </row>
    <row r="223" spans="1:13" s="13" customFormat="1" ht="12.75" customHeight="1">
      <c r="A223" s="5" t="s">
        <v>767</v>
      </c>
      <c r="B223" s="131" t="s">
        <v>719</v>
      </c>
      <c r="C223" s="187" t="s">
        <v>768</v>
      </c>
      <c r="D223" s="188">
        <v>0</v>
      </c>
      <c r="E223" s="188">
        <v>0</v>
      </c>
      <c r="F223" s="188">
        <v>0</v>
      </c>
      <c r="G223" s="188">
        <v>0</v>
      </c>
      <c r="H223" s="188">
        <v>0</v>
      </c>
      <c r="I223" s="188">
        <v>0</v>
      </c>
      <c r="J223" s="188">
        <v>0</v>
      </c>
      <c r="K223" s="188">
        <v>0</v>
      </c>
      <c r="L223" s="188">
        <v>0</v>
      </c>
      <c r="M223" s="188">
        <v>0</v>
      </c>
    </row>
    <row r="224" spans="1:13" s="13" customFormat="1" ht="12.75" customHeight="1">
      <c r="A224" s="5" t="s">
        <v>182</v>
      </c>
      <c r="B224" s="131"/>
      <c r="C224" s="30" t="s">
        <v>175</v>
      </c>
      <c r="D224" s="183">
        <f t="shared" ref="D224:M224" si="135">D219+D220-D222-D223</f>
        <v>0</v>
      </c>
      <c r="E224" s="183">
        <f t="shared" si="135"/>
        <v>0</v>
      </c>
      <c r="F224" s="183">
        <f t="shared" si="135"/>
        <v>0</v>
      </c>
      <c r="G224" s="183">
        <f t="shared" si="135"/>
        <v>0</v>
      </c>
      <c r="H224" s="183">
        <f t="shared" si="135"/>
        <v>0</v>
      </c>
      <c r="I224" s="183">
        <f t="shared" si="135"/>
        <v>0</v>
      </c>
      <c r="J224" s="183">
        <f t="shared" si="135"/>
        <v>0</v>
      </c>
      <c r="K224" s="183">
        <f t="shared" si="135"/>
        <v>0</v>
      </c>
      <c r="L224" s="183">
        <f t="shared" si="135"/>
        <v>0</v>
      </c>
      <c r="M224" s="183">
        <f t="shared" si="135"/>
        <v>0</v>
      </c>
    </row>
    <row r="225" spans="1:13" s="13" customFormat="1" ht="12.75" hidden="1" customHeight="1">
      <c r="A225" s="5"/>
      <c r="B225" s="138"/>
      <c r="C225" s="5" t="s">
        <v>769</v>
      </c>
      <c r="D225" s="183" t="e">
        <f t="shared" ref="D225:M225" si="136">PPMT(D218/$B222,1,ROUND(($B220-(D$5-YEAR($B218))+MONTH($B218)/12)*$B222,0),D219)</f>
        <v>#NUM!</v>
      </c>
      <c r="E225" s="183" t="e">
        <f t="shared" si="136"/>
        <v>#NUM!</v>
      </c>
      <c r="F225" s="183" t="e">
        <f t="shared" si="136"/>
        <v>#NUM!</v>
      </c>
      <c r="G225" s="183" t="e">
        <f t="shared" si="136"/>
        <v>#NUM!</v>
      </c>
      <c r="H225" s="183" t="e">
        <f t="shared" si="136"/>
        <v>#NUM!</v>
      </c>
      <c r="I225" s="183" t="e">
        <f t="shared" si="136"/>
        <v>#NUM!</v>
      </c>
      <c r="J225" s="183" t="e">
        <f t="shared" si="136"/>
        <v>#NUM!</v>
      </c>
      <c r="K225" s="183" t="e">
        <f t="shared" si="136"/>
        <v>#NUM!</v>
      </c>
      <c r="L225" s="183" t="e">
        <f t="shared" si="136"/>
        <v>#NUM!</v>
      </c>
      <c r="M225" s="183" t="e">
        <f t="shared" si="136"/>
        <v>#NUM!</v>
      </c>
    </row>
    <row r="226" spans="1:13" s="13" customFormat="1" ht="12.75" hidden="1" customHeight="1">
      <c r="A226" s="5"/>
      <c r="B226" s="5"/>
      <c r="C226" s="5" t="s">
        <v>770</v>
      </c>
      <c r="D226" s="183">
        <f t="shared" ref="D226:M226" si="137">IF(YEAR($B218)+$B220&gt;D$5,D219/(YEAR($B218)+$B220-D$5+MONTH($B218)/12),D219)</f>
        <v>0</v>
      </c>
      <c r="E226" s="183">
        <f t="shared" si="137"/>
        <v>0</v>
      </c>
      <c r="F226" s="183">
        <f t="shared" si="137"/>
        <v>0</v>
      </c>
      <c r="G226" s="183">
        <f t="shared" si="137"/>
        <v>0</v>
      </c>
      <c r="H226" s="183">
        <f t="shared" si="137"/>
        <v>0</v>
      </c>
      <c r="I226" s="183">
        <f t="shared" si="137"/>
        <v>0</v>
      </c>
      <c r="J226" s="183">
        <f t="shared" si="137"/>
        <v>0</v>
      </c>
      <c r="K226" s="183">
        <f t="shared" si="137"/>
        <v>0</v>
      </c>
      <c r="L226" s="183">
        <f t="shared" si="137"/>
        <v>0</v>
      </c>
      <c r="M226" s="183">
        <f t="shared" si="137"/>
        <v>0</v>
      </c>
    </row>
    <row r="227" spans="1:13" s="13" customFormat="1" ht="12.75" customHeight="1">
      <c r="A227" s="5"/>
      <c r="B227" s="5"/>
      <c r="C227" s="5"/>
      <c r="D227" s="196"/>
      <c r="E227" s="196"/>
      <c r="F227" s="196"/>
      <c r="G227" s="196"/>
      <c r="H227" s="196"/>
      <c r="I227" s="196"/>
      <c r="J227" s="196"/>
      <c r="K227" s="196"/>
      <c r="L227" s="196"/>
      <c r="M227" s="196"/>
    </row>
    <row r="228" spans="1:13" s="13" customFormat="1" ht="12.75" customHeight="1">
      <c r="A228" s="30" t="s">
        <v>877</v>
      </c>
      <c r="B228" s="99"/>
      <c r="C228" t="s">
        <v>800</v>
      </c>
      <c r="D228" s="179" t="s">
        <v>801</v>
      </c>
      <c r="E228" s="1"/>
      <c r="F228"/>
      <c r="G228"/>
      <c r="H228"/>
      <c r="I228"/>
      <c r="J228"/>
      <c r="K228"/>
      <c r="L228"/>
      <c r="M228"/>
    </row>
    <row r="229" spans="1:13" s="13" customFormat="1" ht="12.75" customHeight="1">
      <c r="A229" s="26" t="s">
        <v>677</v>
      </c>
      <c r="B229" s="133">
        <v>29373</v>
      </c>
      <c r="C229" s="5" t="s">
        <v>639</v>
      </c>
      <c r="D229" s="180">
        <f>IF($D228="V",Input!G$70,IF(AND($B235=D$5,Input!G$65&gt;0),Input!G$65,$B232))</f>
        <v>7.0000000000000007E-2</v>
      </c>
      <c r="E229" s="180">
        <f>IF($D228="V",Input!H$70,IF(AND($B235=E$5,Input!H$65&gt;0),Input!H$65,D229))</f>
        <v>7.0000000000000007E-2</v>
      </c>
      <c r="F229" s="180">
        <f>IF($D228="V",Input!I$70,IF(AND($B235=F$5,Input!I$65&gt;0),Input!I$65,E229))</f>
        <v>7.0000000000000007E-2</v>
      </c>
      <c r="G229" s="180">
        <f>IF($D228="V",Input!J$70,IF(AND($B235=G$5,Input!J$65&gt;0),Input!J$65,F229))</f>
        <v>7.0000000000000007E-2</v>
      </c>
      <c r="H229" s="180">
        <f>IF($D228="V",Input!K$70,IF(AND($B235=H$5,Input!K$65&gt;0),Input!K$65,G229))</f>
        <v>7.0000000000000007E-2</v>
      </c>
      <c r="I229" s="180">
        <f>IF($D228="V",Input!L$70,IF(AND($B235=I$5,Input!L$65&gt;0),Input!L$65,H229))</f>
        <v>7.0000000000000007E-2</v>
      </c>
      <c r="J229" s="180">
        <f>IF($D228="V",Input!M$70,IF(AND($B235=J$5,Input!M$65&gt;0),Input!M$65,I229))</f>
        <v>7.0000000000000007E-2</v>
      </c>
      <c r="K229" s="180">
        <f>IF($D228="V",Input!N$70,IF(AND($B235=K$5,Input!N$65&gt;0),Input!N$65,J229))</f>
        <v>7.0000000000000007E-2</v>
      </c>
      <c r="L229" s="180">
        <f>IF($D228="V",Input!O$70,IF(AND($B235=L$5,Input!O$65&gt;0),Input!O$65,K229))</f>
        <v>7.0000000000000007E-2</v>
      </c>
      <c r="M229" s="180">
        <f>IF($D228="V",Input!P$70,IF(AND($B235=M$5,Input!P$65&gt;0),Input!P$65,L229))</f>
        <v>7.0000000000000007E-2</v>
      </c>
    </row>
    <row r="230" spans="1:13" s="13" customFormat="1" ht="12.75" customHeight="1">
      <c r="A230" s="5" t="s">
        <v>361</v>
      </c>
      <c r="B230" s="181">
        <v>0</v>
      </c>
      <c r="C230" s="27" t="s">
        <v>173</v>
      </c>
      <c r="D230" s="188">
        <v>0</v>
      </c>
      <c r="E230" s="183">
        <f t="shared" ref="E230:M230" si="138">D235</f>
        <v>0</v>
      </c>
      <c r="F230" s="183">
        <f t="shared" si="138"/>
        <v>0</v>
      </c>
      <c r="G230" s="183">
        <f t="shared" si="138"/>
        <v>0</v>
      </c>
      <c r="H230" s="183">
        <f t="shared" si="138"/>
        <v>0</v>
      </c>
      <c r="I230" s="183">
        <f t="shared" si="138"/>
        <v>0</v>
      </c>
      <c r="J230" s="183">
        <f t="shared" si="138"/>
        <v>0</v>
      </c>
      <c r="K230" s="183">
        <f t="shared" si="138"/>
        <v>0</v>
      </c>
      <c r="L230" s="183">
        <f t="shared" si="138"/>
        <v>0</v>
      </c>
      <c r="M230" s="183">
        <f t="shared" si="138"/>
        <v>0</v>
      </c>
    </row>
    <row r="231" spans="1:13" s="13" customFormat="1" ht="12.75" customHeight="1">
      <c r="A231" s="26" t="s">
        <v>170</v>
      </c>
      <c r="B231" s="131">
        <v>35</v>
      </c>
      <c r="C231" s="184" t="s">
        <v>169</v>
      </c>
      <c r="D231" s="183">
        <f t="shared" ref="D231:M231" si="139">D233-D232</f>
        <v>0</v>
      </c>
      <c r="E231" s="183">
        <f t="shared" si="139"/>
        <v>0</v>
      </c>
      <c r="F231" s="183">
        <f t="shared" si="139"/>
        <v>0</v>
      </c>
      <c r="G231" s="183">
        <f t="shared" si="139"/>
        <v>0</v>
      </c>
      <c r="H231" s="183">
        <f t="shared" si="139"/>
        <v>0</v>
      </c>
      <c r="I231" s="183">
        <f t="shared" si="139"/>
        <v>0</v>
      </c>
      <c r="J231" s="183">
        <f t="shared" si="139"/>
        <v>0</v>
      </c>
      <c r="K231" s="183">
        <f t="shared" si="139"/>
        <v>0</v>
      </c>
      <c r="L231" s="183">
        <f t="shared" si="139"/>
        <v>0</v>
      </c>
      <c r="M231" s="183">
        <f t="shared" si="139"/>
        <v>0</v>
      </c>
    </row>
    <row r="232" spans="1:13" s="13" customFormat="1" ht="12.75" customHeight="1">
      <c r="A232" s="5" t="s">
        <v>172</v>
      </c>
      <c r="B232" s="185">
        <f>B221</f>
        <v>7.0000000000000007E-2</v>
      </c>
      <c r="C232" s="5" t="s">
        <v>174</v>
      </c>
      <c r="D232" s="183">
        <f t="shared" ref="D232:M232" si="140">IF(AND($B234="Y",YEAR($B229)+$B231&gt;D$5),D237,IF((YEAR($B229)+$B231)&gt;D$5,FV(D229/$B233,$B233,D236),D230))</f>
        <v>0</v>
      </c>
      <c r="E232" s="183">
        <f t="shared" si="140"/>
        <v>0</v>
      </c>
      <c r="F232" s="183">
        <f t="shared" si="140"/>
        <v>0</v>
      </c>
      <c r="G232" s="183">
        <f t="shared" si="140"/>
        <v>0</v>
      </c>
      <c r="H232" s="183">
        <f t="shared" si="140"/>
        <v>0</v>
      </c>
      <c r="I232" s="183">
        <f t="shared" si="140"/>
        <v>0</v>
      </c>
      <c r="J232" s="183">
        <f t="shared" si="140"/>
        <v>0</v>
      </c>
      <c r="K232" s="183">
        <f t="shared" si="140"/>
        <v>0</v>
      </c>
      <c r="L232" s="183">
        <f t="shared" si="140"/>
        <v>0</v>
      </c>
      <c r="M232" s="183">
        <f t="shared" si="140"/>
        <v>0</v>
      </c>
    </row>
    <row r="233" spans="1:13" s="13" customFormat="1" ht="12.75" customHeight="1">
      <c r="A233" s="5" t="s">
        <v>171</v>
      </c>
      <c r="B233" s="131">
        <v>4</v>
      </c>
      <c r="C233" s="186" t="s">
        <v>640</v>
      </c>
      <c r="D233" s="183">
        <f t="shared" ref="D233:M233" si="141">IF(AND($B234="Y",YEAR($B229)+$B231&gt;D$5),D237+D229*(D230-D237*0.5),IF((YEAR($B229)+$B231)&gt;D$5,(D230*D229/$B233-D236)*$B233,(D230*(1+D229*MONTH($B229)/12))))</f>
        <v>0</v>
      </c>
      <c r="E233" s="183">
        <f t="shared" si="141"/>
        <v>0</v>
      </c>
      <c r="F233" s="183">
        <f t="shared" si="141"/>
        <v>0</v>
      </c>
      <c r="G233" s="183">
        <f t="shared" si="141"/>
        <v>0</v>
      </c>
      <c r="H233" s="183">
        <f t="shared" si="141"/>
        <v>0</v>
      </c>
      <c r="I233" s="183">
        <f t="shared" si="141"/>
        <v>0</v>
      </c>
      <c r="J233" s="183">
        <f t="shared" si="141"/>
        <v>0</v>
      </c>
      <c r="K233" s="183">
        <f t="shared" si="141"/>
        <v>0</v>
      </c>
      <c r="L233" s="183">
        <f t="shared" si="141"/>
        <v>0</v>
      </c>
      <c r="M233" s="183">
        <f t="shared" si="141"/>
        <v>0</v>
      </c>
    </row>
    <row r="234" spans="1:13" s="13" customFormat="1" ht="12.75" customHeight="1">
      <c r="A234" s="5" t="s">
        <v>767</v>
      </c>
      <c r="B234" s="131" t="s">
        <v>719</v>
      </c>
      <c r="C234" s="187" t="s">
        <v>768</v>
      </c>
      <c r="D234" s="188">
        <v>0</v>
      </c>
      <c r="E234" s="188">
        <v>0</v>
      </c>
      <c r="F234" s="188">
        <v>0</v>
      </c>
      <c r="G234" s="188">
        <v>0</v>
      </c>
      <c r="H234" s="188">
        <v>0</v>
      </c>
      <c r="I234" s="188">
        <v>0</v>
      </c>
      <c r="J234" s="188">
        <v>0</v>
      </c>
      <c r="K234" s="188">
        <v>0</v>
      </c>
      <c r="L234" s="188">
        <v>0</v>
      </c>
      <c r="M234" s="188">
        <v>0</v>
      </c>
    </row>
    <row r="235" spans="1:13" s="13" customFormat="1" ht="12.75" customHeight="1">
      <c r="A235" s="5" t="s">
        <v>182</v>
      </c>
      <c r="B235" s="131"/>
      <c r="C235" s="30" t="s">
        <v>175</v>
      </c>
      <c r="D235" s="183">
        <f t="shared" ref="D235:M235" si="142">D230+D231-D233-D234</f>
        <v>0</v>
      </c>
      <c r="E235" s="183">
        <f t="shared" si="142"/>
        <v>0</v>
      </c>
      <c r="F235" s="183">
        <f t="shared" si="142"/>
        <v>0</v>
      </c>
      <c r="G235" s="183">
        <f t="shared" si="142"/>
        <v>0</v>
      </c>
      <c r="H235" s="183">
        <f t="shared" si="142"/>
        <v>0</v>
      </c>
      <c r="I235" s="183">
        <f t="shared" si="142"/>
        <v>0</v>
      </c>
      <c r="J235" s="183">
        <f t="shared" si="142"/>
        <v>0</v>
      </c>
      <c r="K235" s="183">
        <f t="shared" si="142"/>
        <v>0</v>
      </c>
      <c r="L235" s="183">
        <f t="shared" si="142"/>
        <v>0</v>
      </c>
      <c r="M235" s="183">
        <f t="shared" si="142"/>
        <v>0</v>
      </c>
    </row>
    <row r="236" spans="1:13" s="13" customFormat="1" ht="12.75" hidden="1" customHeight="1">
      <c r="A236" s="5"/>
      <c r="B236" s="138"/>
      <c r="C236" s="5" t="s">
        <v>769</v>
      </c>
      <c r="D236" s="183" t="e">
        <f t="shared" ref="D236:M236" si="143">PPMT(D229/$B233,1,ROUND(($B231-(D$5-YEAR($B229))+MONTH($B229)/12)*$B233,0),D230)</f>
        <v>#NUM!</v>
      </c>
      <c r="E236" s="183" t="e">
        <f t="shared" si="143"/>
        <v>#NUM!</v>
      </c>
      <c r="F236" s="183" t="e">
        <f t="shared" si="143"/>
        <v>#NUM!</v>
      </c>
      <c r="G236" s="183" t="e">
        <f t="shared" si="143"/>
        <v>#NUM!</v>
      </c>
      <c r="H236" s="183" t="e">
        <f t="shared" si="143"/>
        <v>#NUM!</v>
      </c>
      <c r="I236" s="183" t="e">
        <f t="shared" si="143"/>
        <v>#NUM!</v>
      </c>
      <c r="J236" s="183" t="e">
        <f t="shared" si="143"/>
        <v>#NUM!</v>
      </c>
      <c r="K236" s="183" t="e">
        <f t="shared" si="143"/>
        <v>#NUM!</v>
      </c>
      <c r="L236" s="183" t="e">
        <f t="shared" si="143"/>
        <v>#NUM!</v>
      </c>
      <c r="M236" s="183" t="e">
        <f t="shared" si="143"/>
        <v>#NUM!</v>
      </c>
    </row>
    <row r="237" spans="1:13" s="13" customFormat="1" ht="12.75" hidden="1" customHeight="1">
      <c r="A237" s="5"/>
      <c r="B237" s="5"/>
      <c r="C237" s="5" t="s">
        <v>770</v>
      </c>
      <c r="D237" s="183">
        <f t="shared" ref="D237:M237" si="144">IF(YEAR($B229)+$B231&gt;D$5,D230/(YEAR($B229)+$B231-D$5+MONTH($B229)/12),D230)</f>
        <v>0</v>
      </c>
      <c r="E237" s="183">
        <f t="shared" si="144"/>
        <v>0</v>
      </c>
      <c r="F237" s="183">
        <f t="shared" si="144"/>
        <v>0</v>
      </c>
      <c r="G237" s="183">
        <f t="shared" si="144"/>
        <v>0</v>
      </c>
      <c r="H237" s="183">
        <f t="shared" si="144"/>
        <v>0</v>
      </c>
      <c r="I237" s="183">
        <f t="shared" si="144"/>
        <v>0</v>
      </c>
      <c r="J237" s="183">
        <f t="shared" si="144"/>
        <v>0</v>
      </c>
      <c r="K237" s="183">
        <f t="shared" si="144"/>
        <v>0</v>
      </c>
      <c r="L237" s="183">
        <f t="shared" si="144"/>
        <v>0</v>
      </c>
      <c r="M237" s="183">
        <f t="shared" si="144"/>
        <v>0</v>
      </c>
    </row>
    <row r="238" spans="1:13" s="13" customFormat="1" ht="12.75" customHeight="1">
      <c r="A238" s="5"/>
      <c r="B238" s="5"/>
      <c r="C238" s="5"/>
      <c r="D238" s="195"/>
      <c r="E238" s="195"/>
      <c r="F238" s="195"/>
      <c r="G238" s="195"/>
      <c r="H238" s="195"/>
      <c r="I238" s="195"/>
      <c r="J238" s="195"/>
      <c r="K238" s="195"/>
      <c r="L238" s="195"/>
      <c r="M238" s="195"/>
    </row>
    <row r="239" spans="1:13" s="13" customFormat="1" ht="12.75" customHeight="1">
      <c r="A239" s="5"/>
      <c r="B239" s="5"/>
      <c r="C239" s="5"/>
      <c r="D239" s="195"/>
      <c r="E239" s="195"/>
      <c r="F239" s="195"/>
      <c r="G239" s="195"/>
      <c r="H239" s="195"/>
      <c r="I239" s="195"/>
      <c r="J239" s="195"/>
      <c r="K239" s="195"/>
      <c r="L239" s="195"/>
      <c r="M239" s="195"/>
    </row>
    <row r="240" spans="1:13" s="13" customFormat="1" ht="12.75" customHeight="1">
      <c r="A240" s="5"/>
      <c r="B240" s="5"/>
      <c r="C240" s="5"/>
      <c r="D240" s="195"/>
      <c r="E240" s="195"/>
      <c r="F240" s="195"/>
      <c r="G240" s="195"/>
      <c r="H240" s="195"/>
      <c r="I240" s="195"/>
      <c r="J240" s="195"/>
      <c r="K240" s="195"/>
      <c r="L240" s="195"/>
      <c r="M240" s="195"/>
    </row>
    <row r="241" spans="1:13" s="13" customFormat="1" ht="12.75" customHeight="1">
      <c r="A241" s="5" t="s">
        <v>892</v>
      </c>
      <c r="B241" s="5"/>
      <c r="C241" s="5"/>
      <c r="D241" s="198">
        <f t="shared" ref="D241:M241" si="145">+D5</f>
        <v>2024</v>
      </c>
      <c r="E241" s="198">
        <f t="shared" si="145"/>
        <v>2025</v>
      </c>
      <c r="F241" s="198">
        <f t="shared" si="145"/>
        <v>2026</v>
      </c>
      <c r="G241" s="198">
        <f t="shared" si="145"/>
        <v>2027</v>
      </c>
      <c r="H241" s="198">
        <f t="shared" si="145"/>
        <v>2028</v>
      </c>
      <c r="I241" s="198">
        <f t="shared" si="145"/>
        <v>2029</v>
      </c>
      <c r="J241" s="198">
        <f t="shared" si="145"/>
        <v>2030</v>
      </c>
      <c r="K241" s="198">
        <f t="shared" si="145"/>
        <v>2031</v>
      </c>
      <c r="L241" s="198">
        <f t="shared" si="145"/>
        <v>2032</v>
      </c>
      <c r="M241" s="198">
        <f t="shared" si="145"/>
        <v>2033</v>
      </c>
    </row>
    <row r="242" spans="1:13" s="13" customFormat="1" ht="12.75" customHeight="1">
      <c r="A242" s="5"/>
      <c r="B242" s="5"/>
      <c r="C242" s="5"/>
      <c r="D242" s="199" t="str">
        <f t="shared" ref="D242:M242" si="146">+D6</f>
        <v xml:space="preserve">  -----------</v>
      </c>
      <c r="E242" s="199" t="str">
        <f t="shared" si="146"/>
        <v xml:space="preserve">  -----------</v>
      </c>
      <c r="F242" s="199" t="str">
        <f t="shared" si="146"/>
        <v xml:space="preserve">  -----------</v>
      </c>
      <c r="G242" s="199" t="str">
        <f t="shared" si="146"/>
        <v xml:space="preserve">  -----------</v>
      </c>
      <c r="H242" s="199" t="str">
        <f t="shared" si="146"/>
        <v xml:space="preserve">  -----------</v>
      </c>
      <c r="I242" s="199" t="str">
        <f t="shared" si="146"/>
        <v xml:space="preserve">  -----------</v>
      </c>
      <c r="J242" s="199" t="str">
        <f t="shared" si="146"/>
        <v xml:space="preserve">  -----------</v>
      </c>
      <c r="K242" s="199" t="str">
        <f t="shared" si="146"/>
        <v xml:space="preserve">  -----------</v>
      </c>
      <c r="L242" s="199" t="str">
        <f t="shared" si="146"/>
        <v xml:space="preserve">  -----------</v>
      </c>
      <c r="M242" s="199" t="str">
        <f t="shared" si="146"/>
        <v xml:space="preserve">  -----------</v>
      </c>
    </row>
    <row r="243" spans="1:13" s="13" customFormat="1" ht="12.75" customHeight="1">
      <c r="A243" s="30" t="s">
        <v>878</v>
      </c>
      <c r="B243" s="99"/>
      <c r="C243" t="s">
        <v>800</v>
      </c>
      <c r="D243" s="179" t="s">
        <v>801</v>
      </c>
      <c r="E243" s="1"/>
      <c r="F243"/>
      <c r="G243"/>
      <c r="H243"/>
      <c r="I243"/>
      <c r="J243"/>
      <c r="K243"/>
      <c r="L243"/>
      <c r="M243"/>
    </row>
    <row r="244" spans="1:13" s="13" customFormat="1" ht="12.75" customHeight="1">
      <c r="A244" s="26" t="s">
        <v>677</v>
      </c>
      <c r="B244" s="133">
        <v>29373</v>
      </c>
      <c r="C244" s="5" t="s">
        <v>639</v>
      </c>
      <c r="D244" s="180">
        <f>IF($D243="V",Input!G$70,IF(AND($B250=D$5,Input!G$65&gt;0),Input!G$65,$B247))</f>
        <v>7.0000000000000007E-2</v>
      </c>
      <c r="E244" s="180">
        <f>IF($D243="V",Input!H$70,IF(AND($B250=E$5,Input!H$65&gt;0),Input!H$65,D244))</f>
        <v>7.0000000000000007E-2</v>
      </c>
      <c r="F244" s="180">
        <f>IF($D243="V",Input!I$70,IF(AND($B250=F$5,Input!I$65&gt;0),Input!I$65,E244))</f>
        <v>7.0000000000000007E-2</v>
      </c>
      <c r="G244" s="180">
        <f>IF($D243="V",Input!J$70,IF(AND($B250=G$5,Input!J$65&gt;0),Input!J$65,F244))</f>
        <v>7.0000000000000007E-2</v>
      </c>
      <c r="H244" s="180">
        <f>IF($D243="V",Input!K$70,IF(AND($B250=H$5,Input!K$65&gt;0),Input!K$65,G244))</f>
        <v>7.0000000000000007E-2</v>
      </c>
      <c r="I244" s="180">
        <f>IF($D243="V",Input!L$70,IF(AND($B250=I$5,Input!L$65&gt;0),Input!L$65,H244))</f>
        <v>7.0000000000000007E-2</v>
      </c>
      <c r="J244" s="180">
        <f>IF($D243="V",Input!M$70,IF(AND($B250=J$5,Input!M$65&gt;0),Input!M$65,I244))</f>
        <v>7.0000000000000007E-2</v>
      </c>
      <c r="K244" s="180">
        <f>IF($D243="V",Input!N$70,IF(AND($B250=K$5,Input!N$65&gt;0),Input!N$65,J244))</f>
        <v>7.0000000000000007E-2</v>
      </c>
      <c r="L244" s="180">
        <f>IF($D243="V",Input!O$70,IF(AND($B250=L$5,Input!O$65&gt;0),Input!O$65,K244))</f>
        <v>7.0000000000000007E-2</v>
      </c>
      <c r="M244" s="180">
        <f>IF($D243="V",Input!P$70,IF(AND($B250=M$5,Input!P$65&gt;0),Input!P$65,L244))</f>
        <v>7.0000000000000007E-2</v>
      </c>
    </row>
    <row r="245" spans="1:13" s="13" customFormat="1" ht="12.75" customHeight="1">
      <c r="A245" s="5" t="s">
        <v>361</v>
      </c>
      <c r="B245" s="181">
        <v>0</v>
      </c>
      <c r="C245" s="27" t="s">
        <v>173</v>
      </c>
      <c r="D245" s="188">
        <v>0</v>
      </c>
      <c r="E245" s="183">
        <f t="shared" ref="E245:M245" si="147">D250</f>
        <v>0</v>
      </c>
      <c r="F245" s="183">
        <f t="shared" si="147"/>
        <v>0</v>
      </c>
      <c r="G245" s="183">
        <f t="shared" si="147"/>
        <v>0</v>
      </c>
      <c r="H245" s="183">
        <f t="shared" si="147"/>
        <v>0</v>
      </c>
      <c r="I245" s="183">
        <f t="shared" si="147"/>
        <v>0</v>
      </c>
      <c r="J245" s="183">
        <f t="shared" si="147"/>
        <v>0</v>
      </c>
      <c r="K245" s="183">
        <f t="shared" si="147"/>
        <v>0</v>
      </c>
      <c r="L245" s="183">
        <f t="shared" si="147"/>
        <v>0</v>
      </c>
      <c r="M245" s="183">
        <f t="shared" si="147"/>
        <v>0</v>
      </c>
    </row>
    <row r="246" spans="1:13" s="13" customFormat="1" ht="12.75" customHeight="1">
      <c r="A246" s="26" t="s">
        <v>170</v>
      </c>
      <c r="B246" s="131">
        <v>35</v>
      </c>
      <c r="C246" s="184" t="s">
        <v>169</v>
      </c>
      <c r="D246" s="183">
        <f t="shared" ref="D246:M246" si="148">D248-D247</f>
        <v>0</v>
      </c>
      <c r="E246" s="183">
        <f t="shared" si="148"/>
        <v>0</v>
      </c>
      <c r="F246" s="183">
        <f t="shared" si="148"/>
        <v>0</v>
      </c>
      <c r="G246" s="183">
        <f t="shared" si="148"/>
        <v>0</v>
      </c>
      <c r="H246" s="183">
        <f t="shared" si="148"/>
        <v>0</v>
      </c>
      <c r="I246" s="183">
        <f t="shared" si="148"/>
        <v>0</v>
      </c>
      <c r="J246" s="183">
        <f t="shared" si="148"/>
        <v>0</v>
      </c>
      <c r="K246" s="183">
        <f t="shared" si="148"/>
        <v>0</v>
      </c>
      <c r="L246" s="183">
        <f t="shared" si="148"/>
        <v>0</v>
      </c>
      <c r="M246" s="183">
        <f t="shared" si="148"/>
        <v>0</v>
      </c>
    </row>
    <row r="247" spans="1:13" s="13" customFormat="1" ht="12.75" customHeight="1">
      <c r="A247" s="5" t="s">
        <v>172</v>
      </c>
      <c r="B247" s="185">
        <f>B232</f>
        <v>7.0000000000000007E-2</v>
      </c>
      <c r="C247" s="5" t="s">
        <v>174</v>
      </c>
      <c r="D247" s="183">
        <f t="shared" ref="D247:M247" si="149">IF(AND($B249="Y",YEAR($B244)+$B246&gt;D$5),D252,IF((YEAR($B244)+$B246)&gt;D$5,FV(D244/$B248,$B248,D251),D245))</f>
        <v>0</v>
      </c>
      <c r="E247" s="183">
        <f t="shared" si="149"/>
        <v>0</v>
      </c>
      <c r="F247" s="183">
        <f t="shared" si="149"/>
        <v>0</v>
      </c>
      <c r="G247" s="183">
        <f t="shared" si="149"/>
        <v>0</v>
      </c>
      <c r="H247" s="183">
        <f t="shared" si="149"/>
        <v>0</v>
      </c>
      <c r="I247" s="183">
        <f t="shared" si="149"/>
        <v>0</v>
      </c>
      <c r="J247" s="183">
        <f t="shared" si="149"/>
        <v>0</v>
      </c>
      <c r="K247" s="183">
        <f t="shared" si="149"/>
        <v>0</v>
      </c>
      <c r="L247" s="183">
        <f t="shared" si="149"/>
        <v>0</v>
      </c>
      <c r="M247" s="183">
        <f t="shared" si="149"/>
        <v>0</v>
      </c>
    </row>
    <row r="248" spans="1:13" s="13" customFormat="1" ht="12.75" customHeight="1">
      <c r="A248" s="5" t="s">
        <v>171</v>
      </c>
      <c r="B248" s="131">
        <v>4</v>
      </c>
      <c r="C248" s="186" t="s">
        <v>640</v>
      </c>
      <c r="D248" s="183">
        <f t="shared" ref="D248:M248" si="150">IF(AND($B249="Y",YEAR($B244)+$B246&gt;D$5),D252+D244*(D245-D252*0.5),IF((YEAR($B244)+$B246)&gt;D$5,(D245*D244/$B248-D251)*$B248,(D245*(1+D244*MONTH($B244)/12))))</f>
        <v>0</v>
      </c>
      <c r="E248" s="183">
        <f t="shared" si="150"/>
        <v>0</v>
      </c>
      <c r="F248" s="183">
        <f t="shared" si="150"/>
        <v>0</v>
      </c>
      <c r="G248" s="183">
        <f t="shared" si="150"/>
        <v>0</v>
      </c>
      <c r="H248" s="183">
        <f t="shared" si="150"/>
        <v>0</v>
      </c>
      <c r="I248" s="183">
        <f t="shared" si="150"/>
        <v>0</v>
      </c>
      <c r="J248" s="183">
        <f t="shared" si="150"/>
        <v>0</v>
      </c>
      <c r="K248" s="183">
        <f t="shared" si="150"/>
        <v>0</v>
      </c>
      <c r="L248" s="183">
        <f t="shared" si="150"/>
        <v>0</v>
      </c>
      <c r="M248" s="183">
        <f t="shared" si="150"/>
        <v>0</v>
      </c>
    </row>
    <row r="249" spans="1:13" s="13" customFormat="1" ht="12.75" customHeight="1">
      <c r="A249" s="5" t="s">
        <v>767</v>
      </c>
      <c r="B249" s="131" t="s">
        <v>719</v>
      </c>
      <c r="C249" s="187" t="s">
        <v>768</v>
      </c>
      <c r="D249" s="188">
        <v>0</v>
      </c>
      <c r="E249" s="188">
        <v>0</v>
      </c>
      <c r="F249" s="188">
        <v>0</v>
      </c>
      <c r="G249" s="188">
        <v>0</v>
      </c>
      <c r="H249" s="188">
        <v>0</v>
      </c>
      <c r="I249" s="188">
        <v>0</v>
      </c>
      <c r="J249" s="188">
        <v>0</v>
      </c>
      <c r="K249" s="188">
        <v>0</v>
      </c>
      <c r="L249" s="188">
        <v>0</v>
      </c>
      <c r="M249" s="188">
        <v>0</v>
      </c>
    </row>
    <row r="250" spans="1:13" s="13" customFormat="1" ht="12.75" customHeight="1">
      <c r="A250" s="5" t="s">
        <v>182</v>
      </c>
      <c r="B250" s="131"/>
      <c r="C250" s="30" t="s">
        <v>175</v>
      </c>
      <c r="D250" s="183">
        <f t="shared" ref="D250:M250" si="151">D245+D246-D248-D249</f>
        <v>0</v>
      </c>
      <c r="E250" s="183">
        <f t="shared" si="151"/>
        <v>0</v>
      </c>
      <c r="F250" s="183">
        <f t="shared" si="151"/>
        <v>0</v>
      </c>
      <c r="G250" s="183">
        <f t="shared" si="151"/>
        <v>0</v>
      </c>
      <c r="H250" s="183">
        <f t="shared" si="151"/>
        <v>0</v>
      </c>
      <c r="I250" s="183">
        <f t="shared" si="151"/>
        <v>0</v>
      </c>
      <c r="J250" s="183">
        <f t="shared" si="151"/>
        <v>0</v>
      </c>
      <c r="K250" s="183">
        <f t="shared" si="151"/>
        <v>0</v>
      </c>
      <c r="L250" s="183">
        <f t="shared" si="151"/>
        <v>0</v>
      </c>
      <c r="M250" s="183">
        <f t="shared" si="151"/>
        <v>0</v>
      </c>
    </row>
    <row r="251" spans="1:13" s="13" customFormat="1" ht="12.75" hidden="1" customHeight="1">
      <c r="A251" s="5"/>
      <c r="B251" s="138"/>
      <c r="C251" s="5" t="s">
        <v>769</v>
      </c>
      <c r="D251" s="183" t="e">
        <f t="shared" ref="D251:M251" si="152">PPMT(D244/$B248,1,ROUND(($B246-(D$5-YEAR($B244))+MONTH($B244)/12)*$B248,0),D245)</f>
        <v>#NUM!</v>
      </c>
      <c r="E251" s="183" t="e">
        <f t="shared" si="152"/>
        <v>#NUM!</v>
      </c>
      <c r="F251" s="183" t="e">
        <f t="shared" si="152"/>
        <v>#NUM!</v>
      </c>
      <c r="G251" s="183" t="e">
        <f t="shared" si="152"/>
        <v>#NUM!</v>
      </c>
      <c r="H251" s="183" t="e">
        <f t="shared" si="152"/>
        <v>#NUM!</v>
      </c>
      <c r="I251" s="183" t="e">
        <f t="shared" si="152"/>
        <v>#NUM!</v>
      </c>
      <c r="J251" s="183" t="e">
        <f t="shared" si="152"/>
        <v>#NUM!</v>
      </c>
      <c r="K251" s="183" t="e">
        <f t="shared" si="152"/>
        <v>#NUM!</v>
      </c>
      <c r="L251" s="183" t="e">
        <f t="shared" si="152"/>
        <v>#NUM!</v>
      </c>
      <c r="M251" s="183" t="e">
        <f t="shared" si="152"/>
        <v>#NUM!</v>
      </c>
    </row>
    <row r="252" spans="1:13" s="13" customFormat="1" ht="12.75" hidden="1" customHeight="1">
      <c r="A252" s="5"/>
      <c r="B252" s="5"/>
      <c r="C252" s="5" t="s">
        <v>770</v>
      </c>
      <c r="D252" s="183">
        <f t="shared" ref="D252:M252" si="153">IF(YEAR($B244)+$B246&gt;D$5,D245/(YEAR($B244)+$B246-D$5+MONTH($B244)/12),D245)</f>
        <v>0</v>
      </c>
      <c r="E252" s="183">
        <f t="shared" si="153"/>
        <v>0</v>
      </c>
      <c r="F252" s="183">
        <f t="shared" si="153"/>
        <v>0</v>
      </c>
      <c r="G252" s="183">
        <f t="shared" si="153"/>
        <v>0</v>
      </c>
      <c r="H252" s="183">
        <f t="shared" si="153"/>
        <v>0</v>
      </c>
      <c r="I252" s="183">
        <f t="shared" si="153"/>
        <v>0</v>
      </c>
      <c r="J252" s="183">
        <f t="shared" si="153"/>
        <v>0</v>
      </c>
      <c r="K252" s="183">
        <f t="shared" si="153"/>
        <v>0</v>
      </c>
      <c r="L252" s="183">
        <f t="shared" si="153"/>
        <v>0</v>
      </c>
      <c r="M252" s="183">
        <f t="shared" si="153"/>
        <v>0</v>
      </c>
    </row>
    <row r="253" spans="1:13" s="13" customFormat="1" ht="12.75" customHeight="1">
      <c r="A253"/>
      <c r="B253"/>
      <c r="C253" s="5"/>
    </row>
    <row r="254" spans="1:13" s="13" customFormat="1" ht="12.75" customHeight="1">
      <c r="A254" s="30" t="s">
        <v>879</v>
      </c>
      <c r="B254" s="99"/>
      <c r="C254" t="s">
        <v>800</v>
      </c>
      <c r="D254" s="179" t="s">
        <v>801</v>
      </c>
      <c r="E254" s="1"/>
      <c r="F254"/>
      <c r="G254"/>
      <c r="H254"/>
      <c r="I254"/>
      <c r="J254"/>
      <c r="K254"/>
      <c r="L254"/>
      <c r="M254"/>
    </row>
    <row r="255" spans="1:13" s="13" customFormat="1" ht="12.75" customHeight="1">
      <c r="A255" s="26" t="s">
        <v>677</v>
      </c>
      <c r="B255" s="133">
        <v>29373</v>
      </c>
      <c r="C255" s="5" t="s">
        <v>639</v>
      </c>
      <c r="D255" s="180">
        <f>IF($D254="V",Input!G$70,IF(AND($B261=D$5,Input!G$65&gt;0),Input!G$65,$B258))</f>
        <v>7.0000000000000007E-2</v>
      </c>
      <c r="E255" s="180">
        <f>IF($D254="V",Input!H$70,IF(AND($B261=E$5,Input!H$65&gt;0),Input!H$65,D255))</f>
        <v>7.0000000000000007E-2</v>
      </c>
      <c r="F255" s="180">
        <f>IF($D254="V",Input!I$70,IF(AND($B261=F$5,Input!I$65&gt;0),Input!I$65,E255))</f>
        <v>7.0000000000000007E-2</v>
      </c>
      <c r="G255" s="180">
        <f>IF($D254="V",Input!J$70,IF(AND($B261=G$5,Input!J$65&gt;0),Input!J$65,F255))</f>
        <v>7.0000000000000007E-2</v>
      </c>
      <c r="H255" s="180">
        <f>IF($D254="V",Input!K$70,IF(AND($B261=H$5,Input!K$65&gt;0),Input!K$65,G255))</f>
        <v>7.0000000000000007E-2</v>
      </c>
      <c r="I255" s="180">
        <f>IF($D254="V",Input!L$70,IF(AND($B261=I$5,Input!L$65&gt;0),Input!L$65,H255))</f>
        <v>7.0000000000000007E-2</v>
      </c>
      <c r="J255" s="180">
        <f>IF($D254="V",Input!M$70,IF(AND($B261=J$5,Input!M$65&gt;0),Input!M$65,I255))</f>
        <v>7.0000000000000007E-2</v>
      </c>
      <c r="K255" s="180">
        <f>IF($D254="V",Input!N$70,IF(AND($B261=K$5,Input!N$65&gt;0),Input!N$65,J255))</f>
        <v>7.0000000000000007E-2</v>
      </c>
      <c r="L255" s="180">
        <f>IF($D254="V",Input!O$70,IF(AND($B261=L$5,Input!O$65&gt;0),Input!O$65,K255))</f>
        <v>7.0000000000000007E-2</v>
      </c>
      <c r="M255" s="180">
        <f>IF($D254="V",Input!P$70,IF(AND($B261=M$5,Input!P$65&gt;0),Input!P$65,L255))</f>
        <v>7.0000000000000007E-2</v>
      </c>
    </row>
    <row r="256" spans="1:13" s="13" customFormat="1" ht="12.75" customHeight="1">
      <c r="A256" s="5" t="s">
        <v>361</v>
      </c>
      <c r="B256" s="181">
        <v>0</v>
      </c>
      <c r="C256" s="27" t="s">
        <v>173</v>
      </c>
      <c r="D256" s="188">
        <v>0</v>
      </c>
      <c r="E256" s="183">
        <f t="shared" ref="E256:M256" si="154">D261</f>
        <v>0</v>
      </c>
      <c r="F256" s="183">
        <f t="shared" si="154"/>
        <v>0</v>
      </c>
      <c r="G256" s="183">
        <f t="shared" si="154"/>
        <v>0</v>
      </c>
      <c r="H256" s="183">
        <f t="shared" si="154"/>
        <v>0</v>
      </c>
      <c r="I256" s="183">
        <f t="shared" si="154"/>
        <v>0</v>
      </c>
      <c r="J256" s="183">
        <f t="shared" si="154"/>
        <v>0</v>
      </c>
      <c r="K256" s="183">
        <f t="shared" si="154"/>
        <v>0</v>
      </c>
      <c r="L256" s="183">
        <f t="shared" si="154"/>
        <v>0</v>
      </c>
      <c r="M256" s="183">
        <f t="shared" si="154"/>
        <v>0</v>
      </c>
    </row>
    <row r="257" spans="1:13" s="13" customFormat="1" ht="12.75" customHeight="1">
      <c r="A257" s="26" t="s">
        <v>170</v>
      </c>
      <c r="B257" s="131">
        <v>35</v>
      </c>
      <c r="C257" s="184" t="s">
        <v>169</v>
      </c>
      <c r="D257" s="183">
        <f t="shared" ref="D257:M257" si="155">D259-D258</f>
        <v>0</v>
      </c>
      <c r="E257" s="183">
        <f t="shared" si="155"/>
        <v>0</v>
      </c>
      <c r="F257" s="183">
        <f t="shared" si="155"/>
        <v>0</v>
      </c>
      <c r="G257" s="183">
        <f t="shared" si="155"/>
        <v>0</v>
      </c>
      <c r="H257" s="183">
        <f t="shared" si="155"/>
        <v>0</v>
      </c>
      <c r="I257" s="183">
        <f t="shared" si="155"/>
        <v>0</v>
      </c>
      <c r="J257" s="183">
        <f t="shared" si="155"/>
        <v>0</v>
      </c>
      <c r="K257" s="183">
        <f t="shared" si="155"/>
        <v>0</v>
      </c>
      <c r="L257" s="183">
        <f t="shared" si="155"/>
        <v>0</v>
      </c>
      <c r="M257" s="183">
        <f t="shared" si="155"/>
        <v>0</v>
      </c>
    </row>
    <row r="258" spans="1:13" s="13" customFormat="1" ht="12.75" customHeight="1">
      <c r="A258" s="5" t="s">
        <v>172</v>
      </c>
      <c r="B258" s="185">
        <f>B247</f>
        <v>7.0000000000000007E-2</v>
      </c>
      <c r="C258" s="5" t="s">
        <v>174</v>
      </c>
      <c r="D258" s="183">
        <f t="shared" ref="D258:M258" si="156">IF(AND($B260="Y",YEAR($B255)+$B257&gt;D$5),D263,IF((YEAR($B255)+$B257)&gt;D$5,FV(D255/$B259,$B259,D262),D256))</f>
        <v>0</v>
      </c>
      <c r="E258" s="183">
        <f t="shared" si="156"/>
        <v>0</v>
      </c>
      <c r="F258" s="183">
        <f t="shared" si="156"/>
        <v>0</v>
      </c>
      <c r="G258" s="183">
        <f t="shared" si="156"/>
        <v>0</v>
      </c>
      <c r="H258" s="183">
        <f t="shared" si="156"/>
        <v>0</v>
      </c>
      <c r="I258" s="183">
        <f t="shared" si="156"/>
        <v>0</v>
      </c>
      <c r="J258" s="183">
        <f t="shared" si="156"/>
        <v>0</v>
      </c>
      <c r="K258" s="183">
        <f t="shared" si="156"/>
        <v>0</v>
      </c>
      <c r="L258" s="183">
        <f t="shared" si="156"/>
        <v>0</v>
      </c>
      <c r="M258" s="183">
        <f t="shared" si="156"/>
        <v>0</v>
      </c>
    </row>
    <row r="259" spans="1:13" s="13" customFormat="1" ht="12.75" customHeight="1">
      <c r="A259" s="5" t="s">
        <v>171</v>
      </c>
      <c r="B259" s="131">
        <v>4</v>
      </c>
      <c r="C259" s="186" t="s">
        <v>640</v>
      </c>
      <c r="D259" s="183">
        <f t="shared" ref="D259:M259" si="157">IF(AND($B260="Y",YEAR($B255)+$B257&gt;D$5),D263+D255*(D256-D263*0.5),IF((YEAR($B255)+$B257)&gt;D$5,(D256*D255/$B259-D262)*$B259,(D256*(1+D255*MONTH($B255)/12))))</f>
        <v>0</v>
      </c>
      <c r="E259" s="183">
        <f t="shared" si="157"/>
        <v>0</v>
      </c>
      <c r="F259" s="183">
        <f t="shared" si="157"/>
        <v>0</v>
      </c>
      <c r="G259" s="183">
        <f t="shared" si="157"/>
        <v>0</v>
      </c>
      <c r="H259" s="183">
        <f t="shared" si="157"/>
        <v>0</v>
      </c>
      <c r="I259" s="183">
        <f t="shared" si="157"/>
        <v>0</v>
      </c>
      <c r="J259" s="183">
        <f t="shared" si="157"/>
        <v>0</v>
      </c>
      <c r="K259" s="183">
        <f t="shared" si="157"/>
        <v>0</v>
      </c>
      <c r="L259" s="183">
        <f t="shared" si="157"/>
        <v>0</v>
      </c>
      <c r="M259" s="183">
        <f t="shared" si="157"/>
        <v>0</v>
      </c>
    </row>
    <row r="260" spans="1:13" s="13" customFormat="1" ht="12.75" customHeight="1">
      <c r="A260" s="5" t="s">
        <v>767</v>
      </c>
      <c r="B260" s="131" t="s">
        <v>719</v>
      </c>
      <c r="C260" s="187" t="s">
        <v>768</v>
      </c>
      <c r="D260" s="188">
        <v>0</v>
      </c>
      <c r="E260" s="188">
        <v>0</v>
      </c>
      <c r="F260" s="188">
        <v>0</v>
      </c>
      <c r="G260" s="188">
        <v>0</v>
      </c>
      <c r="H260" s="188">
        <v>0</v>
      </c>
      <c r="I260" s="188">
        <v>0</v>
      </c>
      <c r="J260" s="188">
        <v>0</v>
      </c>
      <c r="K260" s="188">
        <v>0</v>
      </c>
      <c r="L260" s="188">
        <v>0</v>
      </c>
      <c r="M260" s="188">
        <v>0</v>
      </c>
    </row>
    <row r="261" spans="1:13" s="13" customFormat="1" ht="12.75" customHeight="1">
      <c r="A261" s="5" t="s">
        <v>182</v>
      </c>
      <c r="B261" s="131"/>
      <c r="C261" s="30" t="s">
        <v>175</v>
      </c>
      <c r="D261" s="183">
        <f t="shared" ref="D261:M261" si="158">D256+D257-D259-D260</f>
        <v>0</v>
      </c>
      <c r="E261" s="183">
        <f t="shared" si="158"/>
        <v>0</v>
      </c>
      <c r="F261" s="183">
        <f t="shared" si="158"/>
        <v>0</v>
      </c>
      <c r="G261" s="183">
        <f t="shared" si="158"/>
        <v>0</v>
      </c>
      <c r="H261" s="183">
        <f t="shared" si="158"/>
        <v>0</v>
      </c>
      <c r="I261" s="183">
        <f t="shared" si="158"/>
        <v>0</v>
      </c>
      <c r="J261" s="183">
        <f t="shared" si="158"/>
        <v>0</v>
      </c>
      <c r="K261" s="183">
        <f t="shared" si="158"/>
        <v>0</v>
      </c>
      <c r="L261" s="183">
        <f t="shared" si="158"/>
        <v>0</v>
      </c>
      <c r="M261" s="183">
        <f t="shared" si="158"/>
        <v>0</v>
      </c>
    </row>
    <row r="262" spans="1:13" s="13" customFormat="1" ht="12.75" hidden="1" customHeight="1">
      <c r="A262" s="5"/>
      <c r="B262" s="138"/>
      <c r="C262" s="5" t="s">
        <v>769</v>
      </c>
      <c r="D262" s="183" t="e">
        <f t="shared" ref="D262:M262" si="159">PPMT(D255/$B259,1,ROUND(($B257-(D$5-YEAR($B255))+MONTH($B255)/12)*$B259,0),D256)</f>
        <v>#NUM!</v>
      </c>
      <c r="E262" s="183" t="e">
        <f t="shared" si="159"/>
        <v>#NUM!</v>
      </c>
      <c r="F262" s="183" t="e">
        <f t="shared" si="159"/>
        <v>#NUM!</v>
      </c>
      <c r="G262" s="183" t="e">
        <f t="shared" si="159"/>
        <v>#NUM!</v>
      </c>
      <c r="H262" s="183" t="e">
        <f t="shared" si="159"/>
        <v>#NUM!</v>
      </c>
      <c r="I262" s="183" t="e">
        <f t="shared" si="159"/>
        <v>#NUM!</v>
      </c>
      <c r="J262" s="183" t="e">
        <f t="shared" si="159"/>
        <v>#NUM!</v>
      </c>
      <c r="K262" s="183" t="e">
        <f t="shared" si="159"/>
        <v>#NUM!</v>
      </c>
      <c r="L262" s="183" t="e">
        <f t="shared" si="159"/>
        <v>#NUM!</v>
      </c>
      <c r="M262" s="183" t="e">
        <f t="shared" si="159"/>
        <v>#NUM!</v>
      </c>
    </row>
    <row r="263" spans="1:13" s="13" customFormat="1" ht="12.75" hidden="1" customHeight="1">
      <c r="A263" s="5"/>
      <c r="B263" s="5"/>
      <c r="C263" s="5" t="s">
        <v>770</v>
      </c>
      <c r="D263" s="183">
        <f t="shared" ref="D263:M263" si="160">IF(YEAR($B255)+$B257&gt;D$5,D256/(YEAR($B255)+$B257-D$5+MONTH($B255)/12),D256)</f>
        <v>0</v>
      </c>
      <c r="E263" s="183">
        <f t="shared" si="160"/>
        <v>0</v>
      </c>
      <c r="F263" s="183">
        <f t="shared" si="160"/>
        <v>0</v>
      </c>
      <c r="G263" s="183">
        <f t="shared" si="160"/>
        <v>0</v>
      </c>
      <c r="H263" s="183">
        <f t="shared" si="160"/>
        <v>0</v>
      </c>
      <c r="I263" s="183">
        <f t="shared" si="160"/>
        <v>0</v>
      </c>
      <c r="J263" s="183">
        <f t="shared" si="160"/>
        <v>0</v>
      </c>
      <c r="K263" s="183">
        <f t="shared" si="160"/>
        <v>0</v>
      </c>
      <c r="L263" s="183">
        <f t="shared" si="160"/>
        <v>0</v>
      </c>
      <c r="M263" s="183">
        <f t="shared" si="160"/>
        <v>0</v>
      </c>
    </row>
    <row r="264" spans="1:13" s="13" customFormat="1" ht="12.75" customHeight="1">
      <c r="A264" s="5"/>
      <c r="B264" s="5"/>
      <c r="C264" s="5"/>
    </row>
    <row r="265" spans="1:13" s="13" customFormat="1" ht="12.75" customHeight="1">
      <c r="A265" s="30" t="s">
        <v>880</v>
      </c>
      <c r="B265" s="99"/>
      <c r="C265" t="s">
        <v>800</v>
      </c>
      <c r="D265" s="179" t="s">
        <v>801</v>
      </c>
      <c r="E265" s="1"/>
      <c r="F265"/>
      <c r="G265"/>
      <c r="H265"/>
      <c r="I265"/>
      <c r="J265"/>
      <c r="K265"/>
      <c r="L265"/>
      <c r="M265"/>
    </row>
    <row r="266" spans="1:13" s="13" customFormat="1" ht="12.75" customHeight="1">
      <c r="A266" s="26" t="s">
        <v>677</v>
      </c>
      <c r="B266" s="133">
        <v>29373</v>
      </c>
      <c r="C266" s="5" t="s">
        <v>639</v>
      </c>
      <c r="D266" s="180">
        <f>IF($D265="V",Input!G$70,IF(AND($B272=D$5,Input!G$65&gt;0),Input!G$65,$B269))</f>
        <v>7.0000000000000007E-2</v>
      </c>
      <c r="E266" s="180">
        <f>IF($D265="V",Input!H$70,IF(AND($B272=E$5,Input!H$65&gt;0),Input!H$65,D266))</f>
        <v>7.0000000000000007E-2</v>
      </c>
      <c r="F266" s="180">
        <f>IF($D265="V",Input!I$70,IF(AND($B272=F$5,Input!I$65&gt;0),Input!I$65,E266))</f>
        <v>7.0000000000000007E-2</v>
      </c>
      <c r="G266" s="180">
        <f>IF($D265="V",Input!J$70,IF(AND($B272=G$5,Input!J$65&gt;0),Input!J$65,F266))</f>
        <v>7.0000000000000007E-2</v>
      </c>
      <c r="H266" s="180">
        <f>IF($D265="V",Input!K$70,IF(AND($B272=H$5,Input!K$65&gt;0),Input!K$65,G266))</f>
        <v>7.0000000000000007E-2</v>
      </c>
      <c r="I266" s="180">
        <f>IF($D265="V",Input!L$70,IF(AND($B272=I$5,Input!L$65&gt;0),Input!L$65,H266))</f>
        <v>7.0000000000000007E-2</v>
      </c>
      <c r="J266" s="180">
        <f>IF($D265="V",Input!M$70,IF(AND($B272=J$5,Input!M$65&gt;0),Input!M$65,I266))</f>
        <v>7.0000000000000007E-2</v>
      </c>
      <c r="K266" s="180">
        <f>IF($D265="V",Input!N$70,IF(AND($B272=K$5,Input!N$65&gt;0),Input!N$65,J266))</f>
        <v>7.0000000000000007E-2</v>
      </c>
      <c r="L266" s="180">
        <f>IF($D265="V",Input!O$70,IF(AND($B272=L$5,Input!O$65&gt;0),Input!O$65,K266))</f>
        <v>7.0000000000000007E-2</v>
      </c>
      <c r="M266" s="180">
        <f>IF($D265="V",Input!P$70,IF(AND($B272=M$5,Input!P$65&gt;0),Input!P$65,L266))</f>
        <v>7.0000000000000007E-2</v>
      </c>
    </row>
    <row r="267" spans="1:13" s="13" customFormat="1" ht="12.75" customHeight="1">
      <c r="A267" s="5" t="s">
        <v>361</v>
      </c>
      <c r="B267" s="181">
        <v>0</v>
      </c>
      <c r="C267" s="27" t="s">
        <v>173</v>
      </c>
      <c r="D267" s="188">
        <v>0</v>
      </c>
      <c r="E267" s="183">
        <f t="shared" ref="E267:M267" si="161">D272</f>
        <v>0</v>
      </c>
      <c r="F267" s="183">
        <f t="shared" si="161"/>
        <v>0</v>
      </c>
      <c r="G267" s="183">
        <f t="shared" si="161"/>
        <v>0</v>
      </c>
      <c r="H267" s="183">
        <f t="shared" si="161"/>
        <v>0</v>
      </c>
      <c r="I267" s="183">
        <f t="shared" si="161"/>
        <v>0</v>
      </c>
      <c r="J267" s="183">
        <f t="shared" si="161"/>
        <v>0</v>
      </c>
      <c r="K267" s="183">
        <f t="shared" si="161"/>
        <v>0</v>
      </c>
      <c r="L267" s="183">
        <f t="shared" si="161"/>
        <v>0</v>
      </c>
      <c r="M267" s="183">
        <f t="shared" si="161"/>
        <v>0</v>
      </c>
    </row>
    <row r="268" spans="1:13" s="13" customFormat="1" ht="12.75" customHeight="1">
      <c r="A268" s="26" t="s">
        <v>170</v>
      </c>
      <c r="B268" s="131">
        <v>35</v>
      </c>
      <c r="C268" s="184" t="s">
        <v>169</v>
      </c>
      <c r="D268" s="183">
        <f t="shared" ref="D268:M268" si="162">D270-D269</f>
        <v>0</v>
      </c>
      <c r="E268" s="183">
        <f t="shared" si="162"/>
        <v>0</v>
      </c>
      <c r="F268" s="183">
        <f t="shared" si="162"/>
        <v>0</v>
      </c>
      <c r="G268" s="183">
        <f t="shared" si="162"/>
        <v>0</v>
      </c>
      <c r="H268" s="183">
        <f t="shared" si="162"/>
        <v>0</v>
      </c>
      <c r="I268" s="183">
        <f t="shared" si="162"/>
        <v>0</v>
      </c>
      <c r="J268" s="183">
        <f t="shared" si="162"/>
        <v>0</v>
      </c>
      <c r="K268" s="183">
        <f t="shared" si="162"/>
        <v>0</v>
      </c>
      <c r="L268" s="183">
        <f t="shared" si="162"/>
        <v>0</v>
      </c>
      <c r="M268" s="183">
        <f t="shared" si="162"/>
        <v>0</v>
      </c>
    </row>
    <row r="269" spans="1:13" s="13" customFormat="1" ht="12.75" customHeight="1">
      <c r="A269" s="5" t="s">
        <v>172</v>
      </c>
      <c r="B269" s="185">
        <f>B258</f>
        <v>7.0000000000000007E-2</v>
      </c>
      <c r="C269" s="5" t="s">
        <v>174</v>
      </c>
      <c r="D269" s="183">
        <f t="shared" ref="D269:M269" si="163">IF(AND($B271="Y",YEAR($B266)+$B268&gt;D$5),D274,IF((YEAR($B266)+$B268)&gt;D$5,FV(D266/$B270,$B270,D273),D267))</f>
        <v>0</v>
      </c>
      <c r="E269" s="183">
        <f t="shared" si="163"/>
        <v>0</v>
      </c>
      <c r="F269" s="183">
        <f t="shared" si="163"/>
        <v>0</v>
      </c>
      <c r="G269" s="183">
        <f t="shared" si="163"/>
        <v>0</v>
      </c>
      <c r="H269" s="183">
        <f t="shared" si="163"/>
        <v>0</v>
      </c>
      <c r="I269" s="183">
        <f t="shared" si="163"/>
        <v>0</v>
      </c>
      <c r="J269" s="183">
        <f t="shared" si="163"/>
        <v>0</v>
      </c>
      <c r="K269" s="183">
        <f t="shared" si="163"/>
        <v>0</v>
      </c>
      <c r="L269" s="183">
        <f t="shared" si="163"/>
        <v>0</v>
      </c>
      <c r="M269" s="183">
        <f t="shared" si="163"/>
        <v>0</v>
      </c>
    </row>
    <row r="270" spans="1:13" s="13" customFormat="1" ht="12.75" customHeight="1">
      <c r="A270" s="5" t="s">
        <v>171</v>
      </c>
      <c r="B270" s="131">
        <v>4</v>
      </c>
      <c r="C270" s="186" t="s">
        <v>640</v>
      </c>
      <c r="D270" s="183">
        <f t="shared" ref="D270:M270" si="164">IF(AND($B271="Y",YEAR($B266)+$B268&gt;D$5),D274+D266*(D267-D274*0.5),IF((YEAR($B266)+$B268)&gt;D$5,(D267*D266/$B270-D273)*$B270,(D267*(1+D266*MONTH($B266)/12))))</f>
        <v>0</v>
      </c>
      <c r="E270" s="183">
        <f t="shared" si="164"/>
        <v>0</v>
      </c>
      <c r="F270" s="183">
        <f t="shared" si="164"/>
        <v>0</v>
      </c>
      <c r="G270" s="183">
        <f t="shared" si="164"/>
        <v>0</v>
      </c>
      <c r="H270" s="183">
        <f t="shared" si="164"/>
        <v>0</v>
      </c>
      <c r="I270" s="183">
        <f t="shared" si="164"/>
        <v>0</v>
      </c>
      <c r="J270" s="183">
        <f t="shared" si="164"/>
        <v>0</v>
      </c>
      <c r="K270" s="183">
        <f t="shared" si="164"/>
        <v>0</v>
      </c>
      <c r="L270" s="183">
        <f t="shared" si="164"/>
        <v>0</v>
      </c>
      <c r="M270" s="183">
        <f t="shared" si="164"/>
        <v>0</v>
      </c>
    </row>
    <row r="271" spans="1:13" s="13" customFormat="1" ht="12.75" customHeight="1">
      <c r="A271" s="5" t="s">
        <v>767</v>
      </c>
      <c r="B271" s="131" t="s">
        <v>719</v>
      </c>
      <c r="C271" s="187" t="s">
        <v>768</v>
      </c>
      <c r="D271" s="188">
        <v>0</v>
      </c>
      <c r="E271" s="188">
        <v>0</v>
      </c>
      <c r="F271" s="188">
        <v>0</v>
      </c>
      <c r="G271" s="188">
        <v>0</v>
      </c>
      <c r="H271" s="188">
        <v>0</v>
      </c>
      <c r="I271" s="188">
        <v>0</v>
      </c>
      <c r="J271" s="188">
        <v>0</v>
      </c>
      <c r="K271" s="188">
        <v>0</v>
      </c>
      <c r="L271" s="188">
        <v>0</v>
      </c>
      <c r="M271" s="188">
        <v>0</v>
      </c>
    </row>
    <row r="272" spans="1:13" s="13" customFormat="1" ht="12.75" customHeight="1">
      <c r="A272" s="5" t="s">
        <v>182</v>
      </c>
      <c r="B272" s="131"/>
      <c r="C272" s="30" t="s">
        <v>175</v>
      </c>
      <c r="D272" s="183">
        <f t="shared" ref="D272:M272" si="165">D267+D268-D270-D271</f>
        <v>0</v>
      </c>
      <c r="E272" s="183">
        <f t="shared" si="165"/>
        <v>0</v>
      </c>
      <c r="F272" s="183">
        <f t="shared" si="165"/>
        <v>0</v>
      </c>
      <c r="G272" s="183">
        <f t="shared" si="165"/>
        <v>0</v>
      </c>
      <c r="H272" s="183">
        <f t="shared" si="165"/>
        <v>0</v>
      </c>
      <c r="I272" s="183">
        <f t="shared" si="165"/>
        <v>0</v>
      </c>
      <c r="J272" s="183">
        <f t="shared" si="165"/>
        <v>0</v>
      </c>
      <c r="K272" s="183">
        <f t="shared" si="165"/>
        <v>0</v>
      </c>
      <c r="L272" s="183">
        <f t="shared" si="165"/>
        <v>0</v>
      </c>
      <c r="M272" s="183">
        <f t="shared" si="165"/>
        <v>0</v>
      </c>
    </row>
    <row r="273" spans="1:13" s="13" customFormat="1" ht="12.75" hidden="1" customHeight="1">
      <c r="A273" s="5"/>
      <c r="B273" s="138"/>
      <c r="C273" s="5" t="s">
        <v>769</v>
      </c>
      <c r="D273" s="183" t="e">
        <f t="shared" ref="D273:M273" si="166">PPMT(D266/$B270,1,ROUND(($B268-(D$5-YEAR($B266))+MONTH($B266)/12)*$B270,0),D267)</f>
        <v>#NUM!</v>
      </c>
      <c r="E273" s="183" t="e">
        <f t="shared" si="166"/>
        <v>#NUM!</v>
      </c>
      <c r="F273" s="183" t="e">
        <f t="shared" si="166"/>
        <v>#NUM!</v>
      </c>
      <c r="G273" s="183" t="e">
        <f t="shared" si="166"/>
        <v>#NUM!</v>
      </c>
      <c r="H273" s="183" t="e">
        <f t="shared" si="166"/>
        <v>#NUM!</v>
      </c>
      <c r="I273" s="183" t="e">
        <f t="shared" si="166"/>
        <v>#NUM!</v>
      </c>
      <c r="J273" s="183" t="e">
        <f t="shared" si="166"/>
        <v>#NUM!</v>
      </c>
      <c r="K273" s="183" t="e">
        <f t="shared" si="166"/>
        <v>#NUM!</v>
      </c>
      <c r="L273" s="183" t="e">
        <f t="shared" si="166"/>
        <v>#NUM!</v>
      </c>
      <c r="M273" s="183" t="e">
        <f t="shared" si="166"/>
        <v>#NUM!</v>
      </c>
    </row>
    <row r="274" spans="1:13" s="13" customFormat="1" ht="12.75" hidden="1" customHeight="1">
      <c r="A274" s="5"/>
      <c r="B274" s="5"/>
      <c r="C274" s="5" t="s">
        <v>770</v>
      </c>
      <c r="D274" s="183">
        <f t="shared" ref="D274:M274" si="167">IF(YEAR($B266)+$B268&gt;D$5,D267/(YEAR($B266)+$B268-D$5+MONTH($B266)/12),D267)</f>
        <v>0</v>
      </c>
      <c r="E274" s="183">
        <f t="shared" si="167"/>
        <v>0</v>
      </c>
      <c r="F274" s="183">
        <f t="shared" si="167"/>
        <v>0</v>
      </c>
      <c r="G274" s="183">
        <f t="shared" si="167"/>
        <v>0</v>
      </c>
      <c r="H274" s="183">
        <f t="shared" si="167"/>
        <v>0</v>
      </c>
      <c r="I274" s="183">
        <f t="shared" si="167"/>
        <v>0</v>
      </c>
      <c r="J274" s="183">
        <f t="shared" si="167"/>
        <v>0</v>
      </c>
      <c r="K274" s="183">
        <f t="shared" si="167"/>
        <v>0</v>
      </c>
      <c r="L274" s="183">
        <f t="shared" si="167"/>
        <v>0</v>
      </c>
      <c r="M274" s="183">
        <f t="shared" si="167"/>
        <v>0</v>
      </c>
    </row>
    <row r="275" spans="1:13" s="13" customFormat="1" ht="12.75" customHeight="1">
      <c r="A275" s="5"/>
      <c r="B275" s="5"/>
      <c r="C275" s="5"/>
    </row>
    <row r="276" spans="1:13" s="13" customFormat="1" ht="12.75" customHeight="1">
      <c r="A276" s="30" t="s">
        <v>881</v>
      </c>
      <c r="B276" s="99"/>
      <c r="C276" t="s">
        <v>800</v>
      </c>
      <c r="D276" s="179" t="s">
        <v>801</v>
      </c>
      <c r="E276" s="1"/>
      <c r="F276"/>
      <c r="G276"/>
      <c r="H276"/>
      <c r="I276"/>
      <c r="J276"/>
      <c r="K276"/>
      <c r="L276"/>
      <c r="M276"/>
    </row>
    <row r="277" spans="1:13" s="13" customFormat="1" ht="12.75" customHeight="1">
      <c r="A277" s="26" t="s">
        <v>677</v>
      </c>
      <c r="B277" s="133">
        <v>29373</v>
      </c>
      <c r="C277" s="5" t="s">
        <v>639</v>
      </c>
      <c r="D277" s="180">
        <f>IF($D276="V",Input!G$70,IF(AND($B283=D$5,Input!G$65&gt;0),Input!G$65,$B280))</f>
        <v>7.0000000000000007E-2</v>
      </c>
      <c r="E277" s="180">
        <f>IF($D276="V",Input!H$70,IF(AND($B283=E$5,Input!H$65&gt;0),Input!H$65,D277))</f>
        <v>7.0000000000000007E-2</v>
      </c>
      <c r="F277" s="180">
        <f>IF($D276="V",Input!I$70,IF(AND($B283=F$5,Input!I$65&gt;0),Input!I$65,E277))</f>
        <v>7.0000000000000007E-2</v>
      </c>
      <c r="G277" s="180">
        <f>IF($D276="V",Input!J$70,IF(AND($B283=G$5,Input!J$65&gt;0),Input!J$65,F277))</f>
        <v>7.0000000000000007E-2</v>
      </c>
      <c r="H277" s="180">
        <f>IF($D276="V",Input!K$70,IF(AND($B283=H$5,Input!K$65&gt;0),Input!K$65,G277))</f>
        <v>7.0000000000000007E-2</v>
      </c>
      <c r="I277" s="180">
        <f>IF($D276="V",Input!L$70,IF(AND($B283=I$5,Input!L$65&gt;0),Input!L$65,H277))</f>
        <v>7.0000000000000007E-2</v>
      </c>
      <c r="J277" s="180">
        <f>IF($D276="V",Input!M$70,IF(AND($B283=J$5,Input!M$65&gt;0),Input!M$65,I277))</f>
        <v>7.0000000000000007E-2</v>
      </c>
      <c r="K277" s="180">
        <f>IF($D276="V",Input!N$70,IF(AND($B283=K$5,Input!N$65&gt;0),Input!N$65,J277))</f>
        <v>7.0000000000000007E-2</v>
      </c>
      <c r="L277" s="180">
        <f>IF($D276="V",Input!O$70,IF(AND($B283=L$5,Input!O$65&gt;0),Input!O$65,K277))</f>
        <v>7.0000000000000007E-2</v>
      </c>
      <c r="M277" s="180">
        <f>IF($D276="V",Input!P$70,IF(AND($B283=M$5,Input!P$65&gt;0),Input!P$65,L277))</f>
        <v>7.0000000000000007E-2</v>
      </c>
    </row>
    <row r="278" spans="1:13" s="13" customFormat="1" ht="12.75" customHeight="1">
      <c r="A278" s="5" t="s">
        <v>361</v>
      </c>
      <c r="B278" s="181">
        <v>0</v>
      </c>
      <c r="C278" s="27" t="s">
        <v>173</v>
      </c>
      <c r="D278" s="188">
        <v>0</v>
      </c>
      <c r="E278" s="183">
        <f t="shared" ref="E278:M278" si="168">D283</f>
        <v>0</v>
      </c>
      <c r="F278" s="183">
        <f t="shared" si="168"/>
        <v>0</v>
      </c>
      <c r="G278" s="183">
        <f t="shared" si="168"/>
        <v>0</v>
      </c>
      <c r="H278" s="183">
        <f t="shared" si="168"/>
        <v>0</v>
      </c>
      <c r="I278" s="183">
        <f t="shared" si="168"/>
        <v>0</v>
      </c>
      <c r="J278" s="183">
        <f t="shared" si="168"/>
        <v>0</v>
      </c>
      <c r="K278" s="183">
        <f t="shared" si="168"/>
        <v>0</v>
      </c>
      <c r="L278" s="183">
        <f t="shared" si="168"/>
        <v>0</v>
      </c>
      <c r="M278" s="183">
        <f t="shared" si="168"/>
        <v>0</v>
      </c>
    </row>
    <row r="279" spans="1:13" s="13" customFormat="1" ht="12.75" customHeight="1">
      <c r="A279" s="26" t="s">
        <v>170</v>
      </c>
      <c r="B279" s="131">
        <v>35</v>
      </c>
      <c r="C279" s="184" t="s">
        <v>169</v>
      </c>
      <c r="D279" s="183">
        <f t="shared" ref="D279:M279" si="169">D281-D280</f>
        <v>0</v>
      </c>
      <c r="E279" s="183">
        <f t="shared" si="169"/>
        <v>0</v>
      </c>
      <c r="F279" s="183">
        <f t="shared" si="169"/>
        <v>0</v>
      </c>
      <c r="G279" s="183">
        <f t="shared" si="169"/>
        <v>0</v>
      </c>
      <c r="H279" s="183">
        <f t="shared" si="169"/>
        <v>0</v>
      </c>
      <c r="I279" s="183">
        <f t="shared" si="169"/>
        <v>0</v>
      </c>
      <c r="J279" s="183">
        <f t="shared" si="169"/>
        <v>0</v>
      </c>
      <c r="K279" s="183">
        <f t="shared" si="169"/>
        <v>0</v>
      </c>
      <c r="L279" s="183">
        <f t="shared" si="169"/>
        <v>0</v>
      </c>
      <c r="M279" s="183">
        <f t="shared" si="169"/>
        <v>0</v>
      </c>
    </row>
    <row r="280" spans="1:13" s="13" customFormat="1" ht="12.75" customHeight="1">
      <c r="A280" s="5" t="s">
        <v>172</v>
      </c>
      <c r="B280" s="185">
        <f>B269</f>
        <v>7.0000000000000007E-2</v>
      </c>
      <c r="C280" s="5" t="s">
        <v>174</v>
      </c>
      <c r="D280" s="183">
        <f t="shared" ref="D280:M280" si="170">IF(AND($B282="Y",YEAR($B277)+$B279&gt;D$5),D285,IF((YEAR($B277)+$B279)&gt;D$5,FV(D277/$B281,$B281,D284),D278))</f>
        <v>0</v>
      </c>
      <c r="E280" s="183">
        <f t="shared" si="170"/>
        <v>0</v>
      </c>
      <c r="F280" s="183">
        <f t="shared" si="170"/>
        <v>0</v>
      </c>
      <c r="G280" s="183">
        <f t="shared" si="170"/>
        <v>0</v>
      </c>
      <c r="H280" s="183">
        <f t="shared" si="170"/>
        <v>0</v>
      </c>
      <c r="I280" s="183">
        <f t="shared" si="170"/>
        <v>0</v>
      </c>
      <c r="J280" s="183">
        <f t="shared" si="170"/>
        <v>0</v>
      </c>
      <c r="K280" s="183">
        <f t="shared" si="170"/>
        <v>0</v>
      </c>
      <c r="L280" s="183">
        <f t="shared" si="170"/>
        <v>0</v>
      </c>
      <c r="M280" s="183">
        <f t="shared" si="170"/>
        <v>0</v>
      </c>
    </row>
    <row r="281" spans="1:13" s="13" customFormat="1" ht="12.75" customHeight="1">
      <c r="A281" s="5" t="s">
        <v>171</v>
      </c>
      <c r="B281" s="131">
        <v>4</v>
      </c>
      <c r="C281" s="186" t="s">
        <v>640</v>
      </c>
      <c r="D281" s="183">
        <f t="shared" ref="D281:M281" si="171">IF(AND($B282="Y",YEAR($B277)+$B279&gt;D$5),D285+D277*(D278-D285*0.5),IF((YEAR($B277)+$B279)&gt;D$5,(D278*D277/$B281-D284)*$B281,(D278*(1+D277*MONTH($B277)/12))))</f>
        <v>0</v>
      </c>
      <c r="E281" s="183">
        <f t="shared" si="171"/>
        <v>0</v>
      </c>
      <c r="F281" s="183">
        <f t="shared" si="171"/>
        <v>0</v>
      </c>
      <c r="G281" s="183">
        <f t="shared" si="171"/>
        <v>0</v>
      </c>
      <c r="H281" s="183">
        <f t="shared" si="171"/>
        <v>0</v>
      </c>
      <c r="I281" s="183">
        <f t="shared" si="171"/>
        <v>0</v>
      </c>
      <c r="J281" s="183">
        <f t="shared" si="171"/>
        <v>0</v>
      </c>
      <c r="K281" s="183">
        <f t="shared" si="171"/>
        <v>0</v>
      </c>
      <c r="L281" s="183">
        <f t="shared" si="171"/>
        <v>0</v>
      </c>
      <c r="M281" s="183">
        <f t="shared" si="171"/>
        <v>0</v>
      </c>
    </row>
    <row r="282" spans="1:13" s="13" customFormat="1" ht="12.75" customHeight="1">
      <c r="A282" s="5" t="s">
        <v>767</v>
      </c>
      <c r="B282" s="131" t="s">
        <v>719</v>
      </c>
      <c r="C282" s="187" t="s">
        <v>768</v>
      </c>
      <c r="D282" s="188">
        <v>0</v>
      </c>
      <c r="E282" s="188">
        <v>0</v>
      </c>
      <c r="F282" s="188">
        <v>0</v>
      </c>
      <c r="G282" s="188">
        <v>0</v>
      </c>
      <c r="H282" s="188">
        <v>0</v>
      </c>
      <c r="I282" s="188">
        <v>0</v>
      </c>
      <c r="J282" s="188">
        <v>0</v>
      </c>
      <c r="K282" s="188">
        <v>0</v>
      </c>
      <c r="L282" s="188">
        <v>0</v>
      </c>
      <c r="M282" s="188">
        <v>0</v>
      </c>
    </row>
    <row r="283" spans="1:13" s="13" customFormat="1" ht="12.75" customHeight="1">
      <c r="A283" s="5" t="s">
        <v>182</v>
      </c>
      <c r="B283" s="131"/>
      <c r="C283" s="30" t="s">
        <v>175</v>
      </c>
      <c r="D283" s="183">
        <f t="shared" ref="D283:M283" si="172">D278+D279-D281-D282</f>
        <v>0</v>
      </c>
      <c r="E283" s="183">
        <f t="shared" si="172"/>
        <v>0</v>
      </c>
      <c r="F283" s="183">
        <f t="shared" si="172"/>
        <v>0</v>
      </c>
      <c r="G283" s="183">
        <f t="shared" si="172"/>
        <v>0</v>
      </c>
      <c r="H283" s="183">
        <f t="shared" si="172"/>
        <v>0</v>
      </c>
      <c r="I283" s="183">
        <f t="shared" si="172"/>
        <v>0</v>
      </c>
      <c r="J283" s="183">
        <f t="shared" si="172"/>
        <v>0</v>
      </c>
      <c r="K283" s="183">
        <f t="shared" si="172"/>
        <v>0</v>
      </c>
      <c r="L283" s="183">
        <f t="shared" si="172"/>
        <v>0</v>
      </c>
      <c r="M283" s="183">
        <f t="shared" si="172"/>
        <v>0</v>
      </c>
    </row>
    <row r="284" spans="1:13" s="13" customFormat="1" ht="12.75" hidden="1" customHeight="1">
      <c r="A284" s="5"/>
      <c r="B284" s="138"/>
      <c r="C284" s="5" t="s">
        <v>769</v>
      </c>
      <c r="D284" s="183" t="e">
        <f t="shared" ref="D284:M284" si="173">PPMT(D277/$B281,1,ROUND(($B279-(D$5-YEAR($B277))+MONTH($B277)/12)*$B281,0),D278)</f>
        <v>#NUM!</v>
      </c>
      <c r="E284" s="183" t="e">
        <f t="shared" si="173"/>
        <v>#NUM!</v>
      </c>
      <c r="F284" s="183" t="e">
        <f t="shared" si="173"/>
        <v>#NUM!</v>
      </c>
      <c r="G284" s="183" t="e">
        <f t="shared" si="173"/>
        <v>#NUM!</v>
      </c>
      <c r="H284" s="183" t="e">
        <f t="shared" si="173"/>
        <v>#NUM!</v>
      </c>
      <c r="I284" s="183" t="e">
        <f t="shared" si="173"/>
        <v>#NUM!</v>
      </c>
      <c r="J284" s="183" t="e">
        <f t="shared" si="173"/>
        <v>#NUM!</v>
      </c>
      <c r="K284" s="183" t="e">
        <f t="shared" si="173"/>
        <v>#NUM!</v>
      </c>
      <c r="L284" s="183" t="e">
        <f t="shared" si="173"/>
        <v>#NUM!</v>
      </c>
      <c r="M284" s="183" t="e">
        <f t="shared" si="173"/>
        <v>#NUM!</v>
      </c>
    </row>
    <row r="285" spans="1:13" s="13" customFormat="1" ht="12.75" hidden="1" customHeight="1">
      <c r="A285" s="5"/>
      <c r="B285" s="5"/>
      <c r="C285" s="5" t="s">
        <v>770</v>
      </c>
      <c r="D285" s="183">
        <f t="shared" ref="D285:M285" si="174">IF(YEAR($B277)+$B279&gt;D$5,D278/(YEAR($B277)+$B279-D$5+MONTH($B277)/12),D278)</f>
        <v>0</v>
      </c>
      <c r="E285" s="183">
        <f t="shared" si="174"/>
        <v>0</v>
      </c>
      <c r="F285" s="183">
        <f t="shared" si="174"/>
        <v>0</v>
      </c>
      <c r="G285" s="183">
        <f t="shared" si="174"/>
        <v>0</v>
      </c>
      <c r="H285" s="183">
        <f t="shared" si="174"/>
        <v>0</v>
      </c>
      <c r="I285" s="183">
        <f t="shared" si="174"/>
        <v>0</v>
      </c>
      <c r="J285" s="183">
        <f t="shared" si="174"/>
        <v>0</v>
      </c>
      <c r="K285" s="183">
        <f t="shared" si="174"/>
        <v>0</v>
      </c>
      <c r="L285" s="183">
        <f t="shared" si="174"/>
        <v>0</v>
      </c>
      <c r="M285" s="183">
        <f t="shared" si="174"/>
        <v>0</v>
      </c>
    </row>
    <row r="286" spans="1:13" s="13" customFormat="1" ht="12.75" customHeight="1">
      <c r="A286" s="5"/>
      <c r="B286" s="5"/>
      <c r="C286" s="5"/>
    </row>
    <row r="287" spans="1:13" s="13" customFormat="1" ht="12.75" customHeight="1">
      <c r="A287" s="30" t="s">
        <v>882</v>
      </c>
      <c r="B287" s="99"/>
      <c r="C287" t="s">
        <v>800</v>
      </c>
      <c r="D287" s="179" t="s">
        <v>801</v>
      </c>
      <c r="E287" s="1"/>
      <c r="F287"/>
      <c r="G287"/>
      <c r="H287"/>
      <c r="I287"/>
      <c r="J287"/>
      <c r="K287"/>
      <c r="L287"/>
      <c r="M287"/>
    </row>
    <row r="288" spans="1:13" s="13" customFormat="1" ht="12.75" customHeight="1">
      <c r="A288" s="26" t="s">
        <v>677</v>
      </c>
      <c r="B288" s="133">
        <v>29373</v>
      </c>
      <c r="C288" s="5" t="s">
        <v>639</v>
      </c>
      <c r="D288" s="180">
        <f>IF($D287="V",Input!G$70,IF(AND($B294=D$5,Input!G$65&gt;0),Input!G$65,$B291))</f>
        <v>7.0000000000000007E-2</v>
      </c>
      <c r="E288" s="180">
        <f>IF($D287="V",Input!H$70,IF(AND($B294=E$5,Input!H$65&gt;0),Input!H$65,D288))</f>
        <v>7.0000000000000007E-2</v>
      </c>
      <c r="F288" s="180">
        <f>IF($D287="V",Input!I$70,IF(AND($B294=F$5,Input!I$65&gt;0),Input!I$65,E288))</f>
        <v>7.0000000000000007E-2</v>
      </c>
      <c r="G288" s="180">
        <f>IF($D287="V",Input!J$70,IF(AND($B294=G$5,Input!J$65&gt;0),Input!J$65,F288))</f>
        <v>7.0000000000000007E-2</v>
      </c>
      <c r="H288" s="180">
        <f>IF($D287="V",Input!K$70,IF(AND($B294=H$5,Input!K$65&gt;0),Input!K$65,G288))</f>
        <v>7.0000000000000007E-2</v>
      </c>
      <c r="I288" s="180">
        <f>IF($D287="V",Input!L$70,IF(AND($B294=I$5,Input!L$65&gt;0),Input!L$65,H288))</f>
        <v>7.0000000000000007E-2</v>
      </c>
      <c r="J288" s="180">
        <f>IF($D287="V",Input!M$70,IF(AND($B294=J$5,Input!M$65&gt;0),Input!M$65,I288))</f>
        <v>7.0000000000000007E-2</v>
      </c>
      <c r="K288" s="180">
        <f>IF($D287="V",Input!N$70,IF(AND($B294=K$5,Input!N$65&gt;0),Input!N$65,J288))</f>
        <v>7.0000000000000007E-2</v>
      </c>
      <c r="L288" s="180">
        <f>IF($D287="V",Input!O$70,IF(AND($B294=L$5,Input!O$65&gt;0),Input!O$65,K288))</f>
        <v>7.0000000000000007E-2</v>
      </c>
      <c r="M288" s="180">
        <f>IF($D287="V",Input!P$70,IF(AND($B294=M$5,Input!P$65&gt;0),Input!P$65,L288))</f>
        <v>7.0000000000000007E-2</v>
      </c>
    </row>
    <row r="289" spans="1:13" s="13" customFormat="1" ht="12.75" customHeight="1">
      <c r="A289" s="5" t="s">
        <v>361</v>
      </c>
      <c r="B289" s="181">
        <v>0</v>
      </c>
      <c r="C289" s="27" t="s">
        <v>173</v>
      </c>
      <c r="D289" s="188">
        <v>0</v>
      </c>
      <c r="E289" s="183">
        <f t="shared" ref="E289:M289" si="175">D294</f>
        <v>0</v>
      </c>
      <c r="F289" s="183">
        <f t="shared" si="175"/>
        <v>0</v>
      </c>
      <c r="G289" s="183">
        <f t="shared" si="175"/>
        <v>0</v>
      </c>
      <c r="H289" s="183">
        <f t="shared" si="175"/>
        <v>0</v>
      </c>
      <c r="I289" s="183">
        <f t="shared" si="175"/>
        <v>0</v>
      </c>
      <c r="J289" s="183">
        <f t="shared" si="175"/>
        <v>0</v>
      </c>
      <c r="K289" s="183">
        <f t="shared" si="175"/>
        <v>0</v>
      </c>
      <c r="L289" s="183">
        <f t="shared" si="175"/>
        <v>0</v>
      </c>
      <c r="M289" s="183">
        <f t="shared" si="175"/>
        <v>0</v>
      </c>
    </row>
    <row r="290" spans="1:13" s="13" customFormat="1" ht="12.75" customHeight="1">
      <c r="A290" s="26" t="s">
        <v>170</v>
      </c>
      <c r="B290" s="131">
        <v>35</v>
      </c>
      <c r="C290" s="184" t="s">
        <v>169</v>
      </c>
      <c r="D290" s="183">
        <f t="shared" ref="D290:M290" si="176">D292-D291</f>
        <v>0</v>
      </c>
      <c r="E290" s="183">
        <f t="shared" si="176"/>
        <v>0</v>
      </c>
      <c r="F290" s="183">
        <f t="shared" si="176"/>
        <v>0</v>
      </c>
      <c r="G290" s="183">
        <f t="shared" si="176"/>
        <v>0</v>
      </c>
      <c r="H290" s="183">
        <f t="shared" si="176"/>
        <v>0</v>
      </c>
      <c r="I290" s="183">
        <f t="shared" si="176"/>
        <v>0</v>
      </c>
      <c r="J290" s="183">
        <f t="shared" si="176"/>
        <v>0</v>
      </c>
      <c r="K290" s="183">
        <f t="shared" si="176"/>
        <v>0</v>
      </c>
      <c r="L290" s="183">
        <f t="shared" si="176"/>
        <v>0</v>
      </c>
      <c r="M290" s="183">
        <f t="shared" si="176"/>
        <v>0</v>
      </c>
    </row>
    <row r="291" spans="1:13" s="13" customFormat="1" ht="12.75" customHeight="1">
      <c r="A291" s="5" t="s">
        <v>172</v>
      </c>
      <c r="B291" s="185">
        <f>B280</f>
        <v>7.0000000000000007E-2</v>
      </c>
      <c r="C291" s="5" t="s">
        <v>174</v>
      </c>
      <c r="D291" s="183">
        <f t="shared" ref="D291:M291" si="177">IF(AND($B293="Y",YEAR($B288)+$B290&gt;D$5),D296,IF((YEAR($B288)+$B290)&gt;D$5,FV(D288/$B292,$B292,D295),D289))</f>
        <v>0</v>
      </c>
      <c r="E291" s="183">
        <f t="shared" si="177"/>
        <v>0</v>
      </c>
      <c r="F291" s="183">
        <f t="shared" si="177"/>
        <v>0</v>
      </c>
      <c r="G291" s="183">
        <f t="shared" si="177"/>
        <v>0</v>
      </c>
      <c r="H291" s="183">
        <f t="shared" si="177"/>
        <v>0</v>
      </c>
      <c r="I291" s="183">
        <f t="shared" si="177"/>
        <v>0</v>
      </c>
      <c r="J291" s="183">
        <f t="shared" si="177"/>
        <v>0</v>
      </c>
      <c r="K291" s="183">
        <f t="shared" si="177"/>
        <v>0</v>
      </c>
      <c r="L291" s="183">
        <f t="shared" si="177"/>
        <v>0</v>
      </c>
      <c r="M291" s="183">
        <f t="shared" si="177"/>
        <v>0</v>
      </c>
    </row>
    <row r="292" spans="1:13" s="13" customFormat="1" ht="12.75" customHeight="1">
      <c r="A292" s="5" t="s">
        <v>171</v>
      </c>
      <c r="B292" s="131">
        <v>4</v>
      </c>
      <c r="C292" s="186" t="s">
        <v>640</v>
      </c>
      <c r="D292" s="183">
        <f t="shared" ref="D292:M292" si="178">IF(AND($B293="Y",YEAR($B288)+$B290&gt;D$5),D296+D288*(D289-D296*0.5),IF((YEAR($B288)+$B290)&gt;D$5,(D289*D288/$B292-D295)*$B292,(D289*(1+D288*MONTH($B288)/12))))</f>
        <v>0</v>
      </c>
      <c r="E292" s="183">
        <f t="shared" si="178"/>
        <v>0</v>
      </c>
      <c r="F292" s="183">
        <f t="shared" si="178"/>
        <v>0</v>
      </c>
      <c r="G292" s="183">
        <f t="shared" si="178"/>
        <v>0</v>
      </c>
      <c r="H292" s="183">
        <f t="shared" si="178"/>
        <v>0</v>
      </c>
      <c r="I292" s="183">
        <f t="shared" si="178"/>
        <v>0</v>
      </c>
      <c r="J292" s="183">
        <f t="shared" si="178"/>
        <v>0</v>
      </c>
      <c r="K292" s="183">
        <f t="shared" si="178"/>
        <v>0</v>
      </c>
      <c r="L292" s="183">
        <f t="shared" si="178"/>
        <v>0</v>
      </c>
      <c r="M292" s="183">
        <f t="shared" si="178"/>
        <v>0</v>
      </c>
    </row>
    <row r="293" spans="1:13" s="13" customFormat="1" ht="12.75" customHeight="1">
      <c r="A293" s="5" t="s">
        <v>767</v>
      </c>
      <c r="B293" s="131" t="s">
        <v>719</v>
      </c>
      <c r="C293" s="187" t="s">
        <v>768</v>
      </c>
      <c r="D293" s="188">
        <v>0</v>
      </c>
      <c r="E293" s="188">
        <v>0</v>
      </c>
      <c r="F293" s="188">
        <v>0</v>
      </c>
      <c r="G293" s="188">
        <v>0</v>
      </c>
      <c r="H293" s="188">
        <v>0</v>
      </c>
      <c r="I293" s="188">
        <v>0</v>
      </c>
      <c r="J293" s="188">
        <v>0</v>
      </c>
      <c r="K293" s="188">
        <v>0</v>
      </c>
      <c r="L293" s="188">
        <v>0</v>
      </c>
      <c r="M293" s="188">
        <v>0</v>
      </c>
    </row>
    <row r="294" spans="1:13" s="13" customFormat="1" ht="12.75" customHeight="1">
      <c r="A294" s="5" t="s">
        <v>182</v>
      </c>
      <c r="B294" s="131"/>
      <c r="C294" s="30" t="s">
        <v>175</v>
      </c>
      <c r="D294" s="183">
        <f t="shared" ref="D294:M294" si="179">D289+D290-D292-D293</f>
        <v>0</v>
      </c>
      <c r="E294" s="183">
        <f t="shared" si="179"/>
        <v>0</v>
      </c>
      <c r="F294" s="183">
        <f t="shared" si="179"/>
        <v>0</v>
      </c>
      <c r="G294" s="183">
        <f t="shared" si="179"/>
        <v>0</v>
      </c>
      <c r="H294" s="183">
        <f t="shared" si="179"/>
        <v>0</v>
      </c>
      <c r="I294" s="183">
        <f t="shared" si="179"/>
        <v>0</v>
      </c>
      <c r="J294" s="183">
        <f t="shared" si="179"/>
        <v>0</v>
      </c>
      <c r="K294" s="183">
        <f t="shared" si="179"/>
        <v>0</v>
      </c>
      <c r="L294" s="183">
        <f t="shared" si="179"/>
        <v>0</v>
      </c>
      <c r="M294" s="183">
        <f t="shared" si="179"/>
        <v>0</v>
      </c>
    </row>
    <row r="295" spans="1:13" s="13" customFormat="1" ht="12.75" hidden="1" customHeight="1">
      <c r="A295" s="5"/>
      <c r="B295" s="138"/>
      <c r="C295" s="5" t="s">
        <v>769</v>
      </c>
      <c r="D295" s="183" t="e">
        <f t="shared" ref="D295:M295" si="180">PPMT(D288/$B292,1,ROUND(($B290-(D$5-YEAR($B288))+MONTH($B288)/12)*$B292,0),D289)</f>
        <v>#NUM!</v>
      </c>
      <c r="E295" s="183" t="e">
        <f t="shared" si="180"/>
        <v>#NUM!</v>
      </c>
      <c r="F295" s="183" t="e">
        <f t="shared" si="180"/>
        <v>#NUM!</v>
      </c>
      <c r="G295" s="183" t="e">
        <f t="shared" si="180"/>
        <v>#NUM!</v>
      </c>
      <c r="H295" s="183" t="e">
        <f t="shared" si="180"/>
        <v>#NUM!</v>
      </c>
      <c r="I295" s="183" t="e">
        <f t="shared" si="180"/>
        <v>#NUM!</v>
      </c>
      <c r="J295" s="183" t="e">
        <f t="shared" si="180"/>
        <v>#NUM!</v>
      </c>
      <c r="K295" s="183" t="e">
        <f t="shared" si="180"/>
        <v>#NUM!</v>
      </c>
      <c r="L295" s="183" t="e">
        <f t="shared" si="180"/>
        <v>#NUM!</v>
      </c>
      <c r="M295" s="183" t="e">
        <f t="shared" si="180"/>
        <v>#NUM!</v>
      </c>
    </row>
    <row r="296" spans="1:13" s="13" customFormat="1" ht="12.75" hidden="1" customHeight="1">
      <c r="A296" s="5"/>
      <c r="B296" s="5"/>
      <c r="C296" s="5" t="s">
        <v>770</v>
      </c>
      <c r="D296" s="183">
        <f t="shared" ref="D296:M296" si="181">IF(YEAR($B288)+$B290&gt;D$5,D289/(YEAR($B288)+$B290-D$5+MONTH($B288)/12),D289)</f>
        <v>0</v>
      </c>
      <c r="E296" s="183">
        <f t="shared" si="181"/>
        <v>0</v>
      </c>
      <c r="F296" s="183">
        <f t="shared" si="181"/>
        <v>0</v>
      </c>
      <c r="G296" s="183">
        <f t="shared" si="181"/>
        <v>0</v>
      </c>
      <c r="H296" s="183">
        <f t="shared" si="181"/>
        <v>0</v>
      </c>
      <c r="I296" s="183">
        <f t="shared" si="181"/>
        <v>0</v>
      </c>
      <c r="J296" s="183">
        <f t="shared" si="181"/>
        <v>0</v>
      </c>
      <c r="K296" s="183">
        <f t="shared" si="181"/>
        <v>0</v>
      </c>
      <c r="L296" s="183">
        <f t="shared" si="181"/>
        <v>0</v>
      </c>
      <c r="M296" s="183">
        <f t="shared" si="181"/>
        <v>0</v>
      </c>
    </row>
    <row r="297" spans="1:13" s="13" customFormat="1" ht="12.75" customHeight="1">
      <c r="A297" s="5"/>
      <c r="B297" s="5"/>
      <c r="C297" s="5"/>
    </row>
    <row r="298" spans="1:13" s="13" customFormat="1" ht="12.75" customHeight="1">
      <c r="A298" s="5"/>
      <c r="B298" s="5"/>
      <c r="C298" s="5"/>
    </row>
    <row r="299" spans="1:13" s="13" customFormat="1" ht="12.75" customHeight="1">
      <c r="A299" s="5"/>
      <c r="B299" s="5"/>
      <c r="C299" s="5"/>
    </row>
    <row r="300" spans="1:13" s="13" customFormat="1" ht="12.75" customHeight="1">
      <c r="A300" s="5" t="s">
        <v>176</v>
      </c>
      <c r="B300" s="30" t="s">
        <v>181</v>
      </c>
      <c r="C300" s="5"/>
      <c r="D300" s="191">
        <f>'i1(a) - Debt Other'!D300+D289+D278+D267+D256+D245+D230+D219+D208+D197+D186+D175+D164+D150+D139+D128+D117+D106+D95+D84+D69+D57+D45+D33+D21+D9</f>
        <v>0</v>
      </c>
      <c r="E300" s="191">
        <f>'i1(a) - Debt Other'!E300+E289+E278+E267+E256+E245+E230+E219+E208+E197+E186+E175+E164+E150+E139+E128+E117+E106+E95+E84+E69+E57+E45+E33+E21+E9</f>
        <v>0</v>
      </c>
      <c r="F300" s="191">
        <f>'i1(a) - Debt Other'!F300+F289+F278+F267+F256+F245+F230+F219+F208+F197+F186+F175+F164+F150+F139+F128+F117+F106+F95+F84+F69+F57+F45+F33+F21+F9</f>
        <v>0</v>
      </c>
      <c r="G300" s="191">
        <f>'i1(a) - Debt Other'!G300+G289+G278+G267+G256+G245+G230+G219+G208+G197+G186+G175+G164+G150+G139+G128+G117+G106+G95+G84+G69+G57+G45+G33+G21+G9</f>
        <v>0</v>
      </c>
      <c r="H300" s="191">
        <f>'i1(a) - Debt Other'!H300+H289+H278+H267+H256+H245+H230+H219+H208+H197+H186+H175+H164+H150+H139+H128+H117+H106+H95+H84+H69+H57+H45+H33+H21+H9</f>
        <v>0</v>
      </c>
      <c r="I300" s="191">
        <f>'i1(a) - Debt Other'!I300+I289+I278+I267+I256+I245+I230+I219+I208+I197+I186+I175+I164+I150+I139+I128+I117+I106+I95+I84+I69+I57+I45+I33+I21+I9</f>
        <v>0</v>
      </c>
      <c r="J300" s="191">
        <f>'i1(a) - Debt Other'!J300+J289+J278+J267+J256+J245+J230+J219+J208+J197+J186+J175+J164+J150+J139+J128+J117+J106+J95+J84+J69+J57+J45+J33+J21+J9</f>
        <v>0</v>
      </c>
      <c r="K300" s="191">
        <f>'i1(a) - Debt Other'!K300+K289+K278+K267+K256+K245+K230+K219+K208+K197+K186+K175+K164+K150+K139+K128+K117+K106+K95+K84+K69+K57+K45+K33+K21+K9</f>
        <v>0</v>
      </c>
      <c r="L300" s="191">
        <f>'i1(a) - Debt Other'!L300+L289+L278+L267+L256+L245+L230+L219+L208+L197+L186+L175+L164+L150+L139+L128+L117+L106+L95+L84+L69+L57+L45+L33+L21+L9</f>
        <v>0</v>
      </c>
      <c r="M300" s="191">
        <f>'i1(a) - Debt Other'!M300+M289+M278+M267+M256+M245+M230+M219+M208+M197+M186+M175+M164+M150+M139+M128+M117+M106+M95+M84+M69+M57+M45+M33+M21+M9</f>
        <v>0</v>
      </c>
    </row>
    <row r="301" spans="1:13" s="13" customFormat="1" ht="12.75" customHeight="1">
      <c r="A301"/>
      <c r="B301" t="s">
        <v>177</v>
      </c>
      <c r="C301"/>
      <c r="D301" s="191">
        <f>'i1(a) - Debt Other'!D301+D290+D279+D268+D257+D246+D231+D220+D209+D198+D187+D176+D165+D151+D140+D129+D118+D107+D96+D85+D70+D58+D46+D34+D22+D10</f>
        <v>0</v>
      </c>
      <c r="E301" s="191">
        <f>'i1(a) - Debt Other'!E301+E290+E279+E268+E257+E246+E231+E220+E209+E198+E187+E176+E165+E151+E140+E129+E118+E107+E96+E85+E70+E58+E46+E34+E22+E10</f>
        <v>0</v>
      </c>
      <c r="F301" s="191">
        <f>'i1(a) - Debt Other'!F301+F290+F279+F268+F257+F246+F231+F220+F209+F198+F187+F176+F165+F151+F140+F129+F118+F107+F96+F85+F70+F58+F46+F34+F22+F10</f>
        <v>0</v>
      </c>
      <c r="G301" s="191">
        <f>'i1(a) - Debt Other'!G301+G290+G279+G268+G257+G246+G231+G220+G209+G198+G187+G176+G165+G151+G140+G129+G118+G107+G96+G85+G70+G58+G46+G34+G22+G10</f>
        <v>0</v>
      </c>
      <c r="H301" s="191">
        <f>'i1(a) - Debt Other'!H301+H290+H279+H268+H257+H246+H231+H220+H209+H198+H187+H176+H165+H151+H140+H129+H118+H107+H96+H85+H70+H58+H46+H34+H22+H10</f>
        <v>0</v>
      </c>
      <c r="I301" s="191">
        <f>'i1(a) - Debt Other'!I301+I290+I279+I268+I257+I246+I231+I220+I209+I198+I187+I176+I165+I151+I140+I129+I118+I107+I96+I85+I70+I58+I46+I34+I22+I10</f>
        <v>0</v>
      </c>
      <c r="J301" s="191">
        <f>'i1(a) - Debt Other'!J301+J290+J279+J268+J257+J246+J231+J220+J209+J198+J187+J176+J165+J151+J140+J129+J118+J107+J96+J85+J70+J58+J46+J34+J22+J10</f>
        <v>0</v>
      </c>
      <c r="K301" s="191">
        <f>'i1(a) - Debt Other'!K301+K290+K279+K268+K257+K246+K231+K220+K209+K198+K187+K176+K165+K151+K140+K129+K118+K107+K96+K85+K70+K58+K46+K34+K22+K10</f>
        <v>0</v>
      </c>
      <c r="L301" s="191">
        <f>'i1(a) - Debt Other'!L301+L290+L279+L268+L257+L246+L231+L220+L209+L198+L187+L176+L165+L151+L140+L129+L118+L107+L96+L85+L70+L58+L46+L34+L22+L10</f>
        <v>0</v>
      </c>
      <c r="M301" s="191">
        <f>'i1(a) - Debt Other'!M301+M290+M279+M268+M257+M246+M231+M220+M209+M198+M187+M176+M165+M151+M140+M129+M118+M107+M96+M85+M70+M58+M46+M34+M22+M10</f>
        <v>0</v>
      </c>
    </row>
    <row r="302" spans="1:13" s="13" customFormat="1" ht="12.75" customHeight="1">
      <c r="A302" s="5"/>
      <c r="B302" s="5" t="s">
        <v>178</v>
      </c>
      <c r="C302" s="5"/>
      <c r="D302" s="191">
        <f>'i1(a) - Debt Other'!D302+D291+D280+D269+D258+D247+D232+D221+D210+D199+D188+D177+D166+D152+D141+D130+D119+D108+D97+D86+D71+D59+D47+D35+D23+D11</f>
        <v>0</v>
      </c>
      <c r="E302" s="191">
        <f>'i1(a) - Debt Other'!E302+E291+E280+E269+E258+E247+E232+E221+E210+E199+E188+E177+E166+E152+E141+E130+E119+E108+E97+E86+E71+E59+E47+E35+E23+E11</f>
        <v>0</v>
      </c>
      <c r="F302" s="191">
        <f>'i1(a) - Debt Other'!F302+F291+F280+F269+F258+F247+F232+F221+F210+F199+F188+F177+F166+F152+F141+F130+F119+F108+F97+F86+F71+F59+F47+F35+F23+F11</f>
        <v>0</v>
      </c>
      <c r="G302" s="191">
        <f>'i1(a) - Debt Other'!G302+G291+G280+G269+G258+G247+G232+G221+G210+G199+G188+G177+G166+G152+G141+G130+G119+G108+G97+G86+G71+G59+G47+G35+G23+G11</f>
        <v>0</v>
      </c>
      <c r="H302" s="191">
        <f>'i1(a) - Debt Other'!H302+H291+H280+H269+H258+H247+H232+H221+H210+H199+H188+H177+H166+H152+H141+H130+H119+H108+H97+H86+H71+H59+H47+H35+H23+H11</f>
        <v>0</v>
      </c>
      <c r="I302" s="191">
        <f>'i1(a) - Debt Other'!I302+I291+I280+I269+I258+I247+I232+I221+I210+I199+I188+I177+I166+I152+I141+I130+I119+I108+I97+I86+I71+I59+I47+I35+I23+I11</f>
        <v>0</v>
      </c>
      <c r="J302" s="191">
        <f>'i1(a) - Debt Other'!J302+J291+J280+J269+J258+J247+J232+J221+J210+J199+J188+J177+J166+J152+J141+J130+J119+J108+J97+J86+J71+J59+J47+J35+J23+J11</f>
        <v>0</v>
      </c>
      <c r="K302" s="191">
        <f>'i1(a) - Debt Other'!K302+K291+K280+K269+K258+K247+K232+K221+K210+K199+K188+K177+K166+K152+K141+K130+K119+K108+K97+K86+K71+K59+K47+K35+K23+K11</f>
        <v>0</v>
      </c>
      <c r="L302" s="191">
        <f>'i1(a) - Debt Other'!L302+L291+L280+L269+L258+L247+L232+L221+L210+L199+L188+L177+L166+L152+L141+L130+L119+L108+L97+L86+L71+L59+L47+L35+L23+L11</f>
        <v>0</v>
      </c>
      <c r="M302" s="191">
        <f>'i1(a) - Debt Other'!M302+M291+M280+M269+M258+M247+M232+M221+M210+M199+M188+M177+M166+M152+M141+M130+M119+M108+M97+M86+M71+M59+M47+M35+M23+M11</f>
        <v>0</v>
      </c>
    </row>
    <row r="303" spans="1:13" s="13" customFormat="1" ht="12.75" customHeight="1">
      <c r="A303" s="26"/>
      <c r="B303" s="32" t="s">
        <v>179</v>
      </c>
      <c r="C303" s="27"/>
      <c r="D303" s="191">
        <f>'i1(a) - Debt Other'!D303+D292+D281+D270+D259+D248+D233+D222+D211+D200+D189+D178+D167+D153+D142+D131+D120+D109+D98+D87+D72+D60+D48+D36+D24+D12</f>
        <v>0</v>
      </c>
      <c r="E303" s="191">
        <f>'i1(a) - Debt Other'!E303+E292+E281+E270+E259+E248+E233+E222+E211+E200+E189+E178+E167+E153+E142+E131+E120+E109+E98+E87+E72+E60+E48+E36+E24+E12</f>
        <v>0</v>
      </c>
      <c r="F303" s="191">
        <f>'i1(a) - Debt Other'!F303+F292+F281+F270+F259+F248+F233+F222+F211+F200+F189+F178+F167+F153+F142+F131+F120+F109+F98+F87+F72+F60+F48+F36+F24+F12</f>
        <v>0</v>
      </c>
      <c r="G303" s="191">
        <f>'i1(a) - Debt Other'!G303+G292+G281+G270+G259+G248+G233+G222+G211+G200+G189+G178+G167+G153+G142+G131+G120+G109+G98+G87+G72+G60+G48+G36+G24+G12</f>
        <v>0</v>
      </c>
      <c r="H303" s="191">
        <f>'i1(a) - Debt Other'!H303+H292+H281+H270+H259+H248+H233+H222+H211+H200+H189+H178+H167+H153+H142+H131+H120+H109+H98+H87+H72+H60+H48+H36+H24+H12</f>
        <v>0</v>
      </c>
      <c r="I303" s="191">
        <f>'i1(a) - Debt Other'!I303+I292+I281+I270+I259+I248+I233+I222+I211+I200+I189+I178+I167+I153+I142+I131+I120+I109+I98+I87+I72+I60+I48+I36+I24+I12</f>
        <v>0</v>
      </c>
      <c r="J303" s="191">
        <f>'i1(a) - Debt Other'!J303+J292+J281+J270+J259+J248+J233+J222+J211+J200+J189+J178+J167+J153+J142+J131+J120+J109+J98+J87+J72+J60+J48+J36+J24+J12</f>
        <v>0</v>
      </c>
      <c r="K303" s="191">
        <f>'i1(a) - Debt Other'!K303+K292+K281+K270+K259+K248+K233+K222+K211+K200+K189+K178+K167+K153+K142+K131+K120+K109+K98+K87+K72+K60+K48+K36+K24+K12</f>
        <v>0</v>
      </c>
      <c r="L303" s="191">
        <f>'i1(a) - Debt Other'!L303+L292+L281+L270+L259+L248+L233+L222+L211+L200+L189+L178+L167+L153+L142+L131+L120+L109+L98+L87+L72+L60+L48+L36+L24+L12</f>
        <v>0</v>
      </c>
      <c r="M303" s="191">
        <f>'i1(a) - Debt Other'!M303+M292+M281+M270+M259+M248+M233+M222+M211+M200+M189+M178+M167+M153+M142+M131+M120+M109+M98+M87+M72+M60+M48+M36+M24+M12</f>
        <v>0</v>
      </c>
    </row>
    <row r="304" spans="1:13" s="13" customFormat="1" ht="12.75" customHeight="1">
      <c r="A304" s="26"/>
      <c r="B304" s="137" t="s">
        <v>771</v>
      </c>
      <c r="C304" s="27"/>
      <c r="D304" s="191">
        <f>'i1(a) - Debt Other'!D304+D293+D282+D271+D260+D249+D234+D223+D212+D201+D190+D179+D168+D154+D143+D132+D121+D110+D99+D88+D73+D61+D49+D37+D25+D13</f>
        <v>0</v>
      </c>
      <c r="E304" s="191">
        <f>'i1(a) - Debt Other'!E304+E293+E282+E271+E260+E249+E234+E223+E212+E201+E190+E179+E168+E154+E143+E132+E121+E110+E99+E88+E73+E61+E49+E37+E25+E13</f>
        <v>0</v>
      </c>
      <c r="F304" s="191">
        <f>'i1(a) - Debt Other'!F304+F293+F282+F271+F260+F249+F234+F223+F212+F201+F190+F179+F168+F154+F143+F132+F121+F110+F99+F88+F73+F61+F49+F37+F25+F13</f>
        <v>0</v>
      </c>
      <c r="G304" s="191">
        <f>'i1(a) - Debt Other'!G304+G293+G282+G271+G260+G249+G234+G223+G212+G201+G190+G179+G168+G154+G143+G132+G121+G110+G99+G88+G73+G61+G49+G37+G25+G13</f>
        <v>0</v>
      </c>
      <c r="H304" s="191">
        <f>'i1(a) - Debt Other'!H304+H293+H282+H271+H260+H249+H234+H223+H212+H201+H190+H179+H168+H154+H143+H132+H121+H110+H99+H88+H73+H61+H49+H37+H25+H13</f>
        <v>0</v>
      </c>
      <c r="I304" s="191">
        <f>'i1(a) - Debt Other'!I304+I293+I282+I271+I260+I249+I234+I223+I212+I201+I190+I179+I168+I154+I143+I132+I121+I110+I99+I88+I73+I61+I49+I37+I25+I13</f>
        <v>0</v>
      </c>
      <c r="J304" s="191">
        <f>'i1(a) - Debt Other'!J304+J293+J282+J271+J260+J249+J234+J223+J212+J201+J190+J179+J168+J154+J143+J132+J121+J110+J99+J88+J73+J61+J49+J37+J25+J13</f>
        <v>0</v>
      </c>
      <c r="K304" s="191">
        <f>'i1(a) - Debt Other'!K304+K293+K282+K271+K260+K249+K234+K223+K212+K201+K190+K179+K168+K154+K143+K132+K121+K110+K99+K88+K73+K61+K49+K37+K25+K13</f>
        <v>0</v>
      </c>
      <c r="L304" s="191">
        <f>'i1(a) - Debt Other'!L304+L293+L282+L271+L260+L249+L234+L223+L212+L201+L190+L179+L168+L154+L143+L132+L121+L110+L99+L88+L73+L61+L49+L37+L25+L13</f>
        <v>0</v>
      </c>
      <c r="M304" s="191">
        <f>'i1(a) - Debt Other'!M304+M293+M282+M271+M260+M249+M234+M223+M212+M201+M190+M179+M168+M154+M143+M132+M121+M110+M99+M88+M73+M61+M49+M37+M25+M13</f>
        <v>0</v>
      </c>
    </row>
    <row r="305" spans="1:13" s="13" customFormat="1" ht="12.75" customHeight="1">
      <c r="A305" s="5"/>
      <c r="B305" s="137" t="s">
        <v>180</v>
      </c>
      <c r="C305" s="184"/>
      <c r="D305" s="191">
        <f>'i1(a) - Debt Other'!D305+D294+D283+D272+D261+D250+D235+D224+D213+D202+D191+D180+D169+D155+D144+D133+D122+D111+D100+D89+D74+D62+D50+D38+D26+D14</f>
        <v>0</v>
      </c>
      <c r="E305" s="191">
        <f>'i1(a) - Debt Other'!E305+E294+E283+E272+E261+E250+E235+E224+E213+E202+E191+E180+E169+E155+E144+E133+E122+E111+E100+E89+E74+E62+E50+E38+E26+E14</f>
        <v>0</v>
      </c>
      <c r="F305" s="191">
        <f>'i1(a) - Debt Other'!F305+F294+F283+F272+F261+F250+F235+F224+F213+F202+F191+F180+F169+F155+F144+F133+F122+F111+F100+F89+F74+F62+F50+F38+F26+F14</f>
        <v>0</v>
      </c>
      <c r="G305" s="191">
        <f>'i1(a) - Debt Other'!G305+G294+G283+G272+G261+G250+G235+G224+G213+G202+G191+G180+G169+G155+G144+G133+G122+G111+G100+G89+G74+G62+G50+G38+G26+G14</f>
        <v>0</v>
      </c>
      <c r="H305" s="191">
        <f>'i1(a) - Debt Other'!H305+H294+H283+H272+H261+H250+H235+H224+H213+H202+H191+H180+H169+H155+H144+H133+H122+H111+H100+H89+H74+H62+H50+H38+H26+H14</f>
        <v>0</v>
      </c>
      <c r="I305" s="191">
        <f>'i1(a) - Debt Other'!I305+I294+I283+I272+I261+I250+I235+I224+I213+I202+I191+I180+I169+I155+I144+I133+I122+I111+I100+I89+I74+I62+I50+I38+I26+I14</f>
        <v>0</v>
      </c>
      <c r="J305" s="191">
        <f>'i1(a) - Debt Other'!J305+J294+J283+J272+J261+J250+J235+J224+J213+J202+J191+J180+J169+J155+J144+J133+J122+J111+J100+J89+J74+J62+J50+J38+J26+J14</f>
        <v>0</v>
      </c>
      <c r="K305" s="191">
        <f>'i1(a) - Debt Other'!K305+K294+K283+K272+K261+K250+K235+K224+K213+K202+K191+K180+K169+K155+K144+K133+K122+K111+K100+K89+K74+K62+K50+K38+K26+K14</f>
        <v>0</v>
      </c>
      <c r="L305" s="191">
        <f>'i1(a) - Debt Other'!L305+L294+L283+L272+L261+L250+L235+L224+L213+L202+L191+L180+L169+L155+L144+L133+L122+L111+L100+L89+L74+L62+L50+L38+L26+L14</f>
        <v>0</v>
      </c>
      <c r="M305" s="191">
        <f>'i1(a) - Debt Other'!M305+M294+M283+M272+M261+M250+M235+M224+M213+M202+M191+M180+M169+M155+M144+M133+M122+M111+M100+M89+M74+M62+M50+M38+M26+M14</f>
        <v>0</v>
      </c>
    </row>
    <row r="306" spans="1:13" s="13" customFormat="1" ht="12.75" customHeight="1">
      <c r="A306" s="26"/>
      <c r="B306" s="5"/>
      <c r="C306" s="5"/>
      <c r="D306" s="39"/>
      <c r="E306" s="39"/>
      <c r="F306" s="39"/>
      <c r="G306" s="39"/>
      <c r="H306" s="39"/>
      <c r="I306" s="39"/>
      <c r="J306" s="39"/>
      <c r="K306" s="39"/>
      <c r="L306" s="39"/>
      <c r="M306" s="39"/>
    </row>
    <row r="307" spans="1:13" s="13" customFormat="1" ht="12.75" customHeight="1">
      <c r="A307"/>
      <c r="B307"/>
      <c r="C307"/>
      <c r="D307" s="39"/>
      <c r="E307" s="39"/>
      <c r="F307" s="39"/>
      <c r="G307" s="39"/>
      <c r="H307" s="39"/>
      <c r="I307" s="39"/>
      <c r="J307" s="39"/>
      <c r="K307" s="39"/>
      <c r="L307" s="39"/>
      <c r="M307" s="39"/>
    </row>
    <row r="308" spans="1:13" s="13" customFormat="1" ht="12.75" customHeight="1">
      <c r="A308"/>
      <c r="B308"/>
      <c r="C308"/>
      <c r="D308" s="39"/>
      <c r="E308" s="39"/>
      <c r="F308" s="39"/>
      <c r="G308" s="39"/>
      <c r="H308" s="39"/>
      <c r="I308" s="39"/>
      <c r="J308" s="39"/>
      <c r="K308" s="39"/>
      <c r="L308" s="39"/>
      <c r="M308" s="39"/>
    </row>
    <row r="309" spans="1:13" s="13" customFormat="1" ht="12.75" customHeight="1">
      <c r="A309"/>
      <c r="B309"/>
      <c r="C309"/>
    </row>
    <row r="310" spans="1:13" ht="12.75" customHeight="1"/>
    <row r="311" spans="1:13" ht="12.75" customHeight="1">
      <c r="A311" s="5"/>
      <c r="B311" s="29"/>
      <c r="C311" s="29"/>
      <c r="D311" s="172">
        <f>+D305-'i1(a) - Debt Other'!D305</f>
        <v>0</v>
      </c>
      <c r="E311" s="46"/>
      <c r="F311" s="46"/>
      <c r="G311" s="46"/>
      <c r="H311" s="46"/>
      <c r="I311" s="46"/>
      <c r="J311" s="46"/>
      <c r="K311" s="46"/>
      <c r="L311" s="46"/>
      <c r="M311" s="46"/>
    </row>
    <row r="312" spans="1:13" ht="12.75" hidden="1" customHeight="1">
      <c r="A312" s="5"/>
      <c r="B312" s="29"/>
      <c r="C312" s="29"/>
      <c r="D312" s="46"/>
      <c r="E312" s="46"/>
      <c r="F312" s="46"/>
      <c r="G312" s="46"/>
      <c r="H312" s="46"/>
      <c r="I312" s="46"/>
      <c r="J312" s="46"/>
      <c r="K312" s="46"/>
      <c r="L312" s="46"/>
      <c r="M312" s="46"/>
    </row>
    <row r="313" spans="1:13" ht="12.75" hidden="1" customHeight="1">
      <c r="A313" s="5"/>
      <c r="B313" s="29"/>
      <c r="C313" s="29"/>
      <c r="D313" s="46"/>
      <c r="E313" s="46"/>
      <c r="F313" s="46"/>
      <c r="G313" s="46"/>
      <c r="H313" s="46"/>
      <c r="I313" s="46"/>
      <c r="J313" s="46"/>
      <c r="K313" s="46"/>
      <c r="L313" s="46"/>
      <c r="M313" s="46"/>
    </row>
    <row r="314" spans="1:13" ht="12.75" hidden="1" customHeight="1">
      <c r="A314" s="5"/>
      <c r="B314" s="29"/>
      <c r="C314" s="29"/>
      <c r="D314" s="46"/>
      <c r="E314" s="46"/>
      <c r="F314" s="46"/>
      <c r="G314" s="46"/>
      <c r="H314" s="46"/>
      <c r="I314" s="46"/>
      <c r="J314" s="46"/>
      <c r="K314" s="46"/>
      <c r="L314" s="46"/>
      <c r="M314" s="46"/>
    </row>
    <row r="315" spans="1:13" ht="16.5" hidden="1" customHeight="1">
      <c r="A315" s="5"/>
      <c r="B315" s="29"/>
      <c r="C315" s="29"/>
      <c r="D315" s="46"/>
      <c r="E315" s="46"/>
      <c r="F315" s="46"/>
      <c r="G315" s="46"/>
      <c r="H315" s="46"/>
      <c r="I315" s="46"/>
      <c r="J315" s="46"/>
      <c r="K315" s="46"/>
      <c r="L315" s="46"/>
      <c r="M315" s="46"/>
    </row>
    <row r="316" spans="1:13" ht="16.5" hidden="1" customHeight="1">
      <c r="A316" s="5"/>
      <c r="B316" s="29"/>
      <c r="C316" s="29"/>
    </row>
  </sheetData>
  <sheetProtection sheet="1" objects="1" scenarios="1"/>
  <phoneticPr fontId="0" type="noConversion"/>
  <pageMargins left="0.25" right="0.25" top="0.48" bottom="0.51" header="0" footer="0"/>
  <pageSetup scale="65" fitToHeight="0" orientation="landscape" horizontalDpi="300" verticalDpi="300" r:id="rId1"/>
  <headerFooter alignWithMargins="0"/>
  <rowBreaks count="3" manualBreakCount="3">
    <brk id="78" max="12" man="1"/>
    <brk id="158" max="12" man="1"/>
    <brk id="238" max="12"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pageSetUpPr fitToPage="1"/>
  </sheetPr>
  <dimension ref="A1:M169"/>
  <sheetViews>
    <sheetView showGridLines="0" zoomScale="68" zoomScaleNormal="68" workbookViewId="0">
      <pane xSplit="3" ySplit="6" topLeftCell="D7" activePane="bottomRight" state="frozen"/>
      <selection pane="topRight" activeCell="D1" sqref="D1"/>
      <selection pane="bottomLeft" activeCell="A5" sqref="A5"/>
      <selection pane="bottomRight" activeCell="B10" sqref="B10"/>
    </sheetView>
  </sheetViews>
  <sheetFormatPr defaultColWidth="0" defaultRowHeight="12.5" zeroHeight="1"/>
  <cols>
    <col min="1" max="1" width="21" customWidth="1"/>
    <col min="2" max="2" width="16.7265625" style="2" customWidth="1"/>
    <col min="3" max="3" width="24.54296875" customWidth="1"/>
    <col min="4" max="14" width="17.26953125" customWidth="1"/>
  </cols>
  <sheetData>
    <row r="1" spans="1:13" ht="16.5" customHeight="1"/>
    <row r="2" spans="1:13" ht="16.5" customHeight="1"/>
    <row r="3" spans="1:13" ht="16.5" customHeight="1">
      <c r="A3" s="34"/>
      <c r="B3" s="15"/>
      <c r="C3" s="18"/>
      <c r="D3" s="13"/>
      <c r="E3" s="13"/>
      <c r="F3" s="14" t="s">
        <v>42</v>
      </c>
      <c r="G3" s="13"/>
      <c r="H3" s="34" t="s">
        <v>686</v>
      </c>
      <c r="I3" s="13"/>
      <c r="J3" s="13"/>
      <c r="K3" s="13"/>
      <c r="L3" s="13"/>
      <c r="M3" s="14"/>
    </row>
    <row r="4" spans="1:13" ht="16.5" customHeight="1">
      <c r="A4" s="34"/>
      <c r="B4" s="15"/>
      <c r="C4" s="13"/>
      <c r="D4" s="18"/>
      <c r="E4" s="14"/>
      <c r="F4" s="13"/>
      <c r="G4" s="13"/>
      <c r="H4" s="13"/>
      <c r="I4" s="13"/>
      <c r="J4" s="13"/>
      <c r="K4" s="13"/>
      <c r="L4" s="13"/>
      <c r="M4" s="13"/>
    </row>
    <row r="5" spans="1:13" ht="16.5" customHeight="1">
      <c r="A5" s="14"/>
      <c r="B5" s="15"/>
      <c r="C5" s="13"/>
      <c r="D5" s="15">
        <f>Input!G8</f>
        <v>2024</v>
      </c>
      <c r="E5" s="15">
        <f t="shared" ref="E5:M5" si="0">D5+1</f>
        <v>2025</v>
      </c>
      <c r="F5" s="15">
        <f t="shared" si="0"/>
        <v>2026</v>
      </c>
      <c r="G5" s="15">
        <f t="shared" si="0"/>
        <v>2027</v>
      </c>
      <c r="H5" s="15">
        <f t="shared" si="0"/>
        <v>2028</v>
      </c>
      <c r="I5" s="15">
        <f t="shared" si="0"/>
        <v>2029</v>
      </c>
      <c r="J5" s="15">
        <f t="shared" si="0"/>
        <v>2030</v>
      </c>
      <c r="K5" s="15">
        <f t="shared" si="0"/>
        <v>2031</v>
      </c>
      <c r="L5" s="15">
        <f t="shared" si="0"/>
        <v>2032</v>
      </c>
      <c r="M5" s="15">
        <f t="shared" si="0"/>
        <v>2033</v>
      </c>
    </row>
    <row r="6" spans="1:13" ht="16.5" customHeight="1">
      <c r="A6" s="34"/>
      <c r="B6" s="43"/>
      <c r="C6" s="14"/>
      <c r="D6" s="15" t="s">
        <v>46</v>
      </c>
      <c r="E6" s="15" t="s">
        <v>46</v>
      </c>
      <c r="F6" s="15" t="s">
        <v>46</v>
      </c>
      <c r="G6" s="15" t="s">
        <v>46</v>
      </c>
      <c r="H6" s="15" t="s">
        <v>46</v>
      </c>
      <c r="I6" s="15" t="s">
        <v>46</v>
      </c>
      <c r="J6" s="15" t="s">
        <v>46</v>
      </c>
      <c r="K6" s="15" t="s">
        <v>46</v>
      </c>
      <c r="L6" s="15" t="s">
        <v>46</v>
      </c>
      <c r="M6" s="15" t="s">
        <v>46</v>
      </c>
    </row>
    <row r="7" spans="1:13" ht="16.5" customHeight="1">
      <c r="A7" s="13" t="s">
        <v>772</v>
      </c>
      <c r="B7" s="14"/>
      <c r="C7" s="13"/>
      <c r="D7" s="18"/>
      <c r="E7" s="14"/>
      <c r="F7" s="13"/>
      <c r="G7" s="13"/>
      <c r="H7" s="13"/>
      <c r="I7" s="13"/>
      <c r="J7" s="13"/>
      <c r="K7" s="13"/>
      <c r="L7" s="13"/>
      <c r="M7" s="13"/>
    </row>
    <row r="8" spans="1:13" ht="16.5" customHeight="1">
      <c r="A8" s="14" t="s">
        <v>677</v>
      </c>
      <c r="B8" s="97">
        <f>DATE(D$5,7,1)</f>
        <v>45474</v>
      </c>
      <c r="C8" s="13" t="s">
        <v>639</v>
      </c>
      <c r="D8" s="73">
        <f>$B11</f>
        <v>0.06</v>
      </c>
      <c r="E8" s="73">
        <f>IF(Input!$H$61="V",Input!H$68,IF(AND(($B17=E$5),Input!H$63&gt;0),Input!H$63,D8))</f>
        <v>0.06</v>
      </c>
      <c r="F8" s="73">
        <f>IF(Input!$H$61="V",Input!I$68,IF(AND(($B17=F$5),Input!I$63&gt;0),Input!I$63,E8))</f>
        <v>0.06</v>
      </c>
      <c r="G8" s="73">
        <f>IF(Input!$H$61="V",Input!J$68,IF(AND(($B17=G$5),Input!J$63&gt;0),Input!J$63,F8))</f>
        <v>0.06</v>
      </c>
      <c r="H8" s="73">
        <f>IF(Input!$H$61="V",Input!K$68,IF(AND(($B17=H$5),Input!K$63&gt;0),Input!K$63,G8))</f>
        <v>0.06</v>
      </c>
      <c r="I8" s="73">
        <f>IF(Input!$H$61="V",Input!L$68,IF(AND(($B17=I$5),Input!L$63&gt;0),Input!L$63,H8))</f>
        <v>0.06</v>
      </c>
      <c r="J8" s="73">
        <f>IF(Input!$H$61="V",Input!M$68,IF(AND(($B17=J$5),Input!M$63&gt;0),Input!M$63,I8))</f>
        <v>0.06</v>
      </c>
      <c r="K8" s="73">
        <f>IF(Input!$H$61="V",Input!N$68,IF(AND(($B17=K$5),Input!N$63&gt;0),Input!N$63,J8))</f>
        <v>0.06</v>
      </c>
      <c r="L8" s="73">
        <f>IF(Input!$H$61="V",Input!O$68,IF(AND(($B17=L$5),Input!O$63&gt;0),Input!O$63,K8))</f>
        <v>0.06</v>
      </c>
      <c r="M8" s="73">
        <f>IF(Input!$H$61="V",Input!P$68,IF(AND(($B17=M$5),Input!P$63&gt;0),Input!P$63,L8))</f>
        <v>0.06</v>
      </c>
    </row>
    <row r="9" spans="1:13" ht="16.5" customHeight="1">
      <c r="A9" s="13" t="s">
        <v>361</v>
      </c>
      <c r="B9" s="98">
        <f>'g - Plant'!H62</f>
        <v>0</v>
      </c>
      <c r="C9" s="37" t="s">
        <v>173</v>
      </c>
      <c r="D9" s="45">
        <v>0</v>
      </c>
      <c r="E9" s="45">
        <f t="shared" ref="E9:M9" si="1">D14</f>
        <v>0</v>
      </c>
      <c r="F9" s="45">
        <f t="shared" si="1"/>
        <v>0</v>
      </c>
      <c r="G9" s="45">
        <f t="shared" si="1"/>
        <v>0</v>
      </c>
      <c r="H9" s="45">
        <f t="shared" si="1"/>
        <v>0</v>
      </c>
      <c r="I9" s="45">
        <f t="shared" si="1"/>
        <v>0</v>
      </c>
      <c r="J9" s="45">
        <f t="shared" si="1"/>
        <v>0</v>
      </c>
      <c r="K9" s="45">
        <f t="shared" si="1"/>
        <v>0</v>
      </c>
      <c r="L9" s="45">
        <f t="shared" si="1"/>
        <v>0</v>
      </c>
      <c r="M9" s="45">
        <f t="shared" si="1"/>
        <v>0</v>
      </c>
    </row>
    <row r="10" spans="1:13" ht="16.5" customHeight="1">
      <c r="A10" s="14" t="s">
        <v>170</v>
      </c>
      <c r="B10" s="145">
        <v>35</v>
      </c>
      <c r="C10" s="40" t="s">
        <v>169</v>
      </c>
      <c r="D10" s="39">
        <f t="shared" ref="D10:M10" si="2">D12-D11</f>
        <v>0</v>
      </c>
      <c r="E10" s="39">
        <f t="shared" si="2"/>
        <v>0</v>
      </c>
      <c r="F10" s="39">
        <f t="shared" si="2"/>
        <v>0</v>
      </c>
      <c r="G10" s="39">
        <f t="shared" si="2"/>
        <v>0</v>
      </c>
      <c r="H10" s="39">
        <f t="shared" si="2"/>
        <v>0</v>
      </c>
      <c r="I10" s="39">
        <f t="shared" si="2"/>
        <v>0</v>
      </c>
      <c r="J10" s="39">
        <f t="shared" si="2"/>
        <v>0</v>
      </c>
      <c r="K10" s="39">
        <f t="shared" si="2"/>
        <v>0</v>
      </c>
      <c r="L10" s="39">
        <f t="shared" si="2"/>
        <v>0</v>
      </c>
      <c r="M10" s="39">
        <f t="shared" si="2"/>
        <v>0</v>
      </c>
    </row>
    <row r="11" spans="1:13" ht="16.5" customHeight="1">
      <c r="A11" s="13" t="s">
        <v>172</v>
      </c>
      <c r="B11" s="146">
        <f>IF(Input!$H$61="V",Input!G$68,IF(Input!G$63&gt;0,Input!G$63,0.05))</f>
        <v>0.06</v>
      </c>
      <c r="C11" s="13" t="s">
        <v>174</v>
      </c>
      <c r="D11" s="39">
        <f>IF($B13="Y",0,(IF($B14="Y",D16/2,FV(D8/$B12,$B12/2,D15))))</f>
        <v>0</v>
      </c>
      <c r="E11" s="39">
        <f>IF($B13="Y",0,(IF($B14="Y",E16,FV(E8/$B12,$B12,E15))))</f>
        <v>0</v>
      </c>
      <c r="F11" s="39">
        <f>IF((AND($B13="Y",$B14="Y")),F16/2,(IF($B14="Y",F16,IF($B13="Y",FV(F8/$B12,$B12/2,F15),FV(F8/$B12,$B12,F15)))))</f>
        <v>0</v>
      </c>
      <c r="G11" s="39">
        <f>IF(YEAR($B8)+$B10&lt;=G$5,G9,(IF($B14="Y",G16,FV(G8/$B12,$B12,G15))))</f>
        <v>0</v>
      </c>
      <c r="H11" s="39">
        <f t="shared" ref="H11:M11" si="3">IF(YEAR($B8)+$B10&lt;=H$5,H9,(IF($B14="Y",H16,FV(H8/$B12,$B12,H15))))</f>
        <v>0</v>
      </c>
      <c r="I11" s="39">
        <f t="shared" si="3"/>
        <v>0</v>
      </c>
      <c r="J11" s="39">
        <f t="shared" si="3"/>
        <v>0</v>
      </c>
      <c r="K11" s="39">
        <f t="shared" si="3"/>
        <v>0</v>
      </c>
      <c r="L11" s="39">
        <f t="shared" si="3"/>
        <v>0</v>
      </c>
      <c r="M11" s="39">
        <f t="shared" si="3"/>
        <v>0</v>
      </c>
    </row>
    <row r="12" spans="1:13" ht="16.5" customHeight="1">
      <c r="A12" s="13" t="s">
        <v>171</v>
      </c>
      <c r="B12" s="41">
        <v>12</v>
      </c>
      <c r="C12" s="74" t="s">
        <v>640</v>
      </c>
      <c r="D12" s="39">
        <f>IF($B13="Y",$B9*D8/2,IF($B14="y",D16/2+D8/2*$B9,($B9*D8/$B12-D15)*$B12/2))</f>
        <v>0</v>
      </c>
      <c r="E12" s="39">
        <f>IF($B13="Y",E8*E9,IF($B14="Y",E16+(E9-E16/2)*E8,(E9*E8/$B12-E15)*$B12))</f>
        <v>0</v>
      </c>
      <c r="F12" s="39">
        <f>IF(AND($B13="Y",$B14="Y"),F16/2+(F9-F16/4)*F8,IF($B14="Y",F16+(F9-F16/2)*F8,IF($B13="Y",(F9*F8/$B12-F15)*$B12/2+0.5*F8*F9,(F9*F8/$B12-F15)*$B12)))</f>
        <v>0</v>
      </c>
      <c r="G12" s="39">
        <f t="shared" ref="G12:M12" si="4">IF(YEAR($B8)+$B10&lt;=G$5,G9+G9*G8/2,(IF($B14="Y",G16+(G9-G16/2)*G8,(G9*G8/$B12-G15)*$B12)))</f>
        <v>0</v>
      </c>
      <c r="H12" s="39">
        <f t="shared" si="4"/>
        <v>0</v>
      </c>
      <c r="I12" s="39">
        <f t="shared" si="4"/>
        <v>0</v>
      </c>
      <c r="J12" s="39">
        <f t="shared" si="4"/>
        <v>0</v>
      </c>
      <c r="K12" s="39">
        <f t="shared" si="4"/>
        <v>0</v>
      </c>
      <c r="L12" s="39">
        <f t="shared" si="4"/>
        <v>0</v>
      </c>
      <c r="M12" s="39">
        <f t="shared" si="4"/>
        <v>0</v>
      </c>
    </row>
    <row r="13" spans="1:13" ht="16.5" customHeight="1">
      <c r="A13" s="13" t="s">
        <v>360</v>
      </c>
      <c r="B13" s="41" t="s">
        <v>716</v>
      </c>
      <c r="C13" s="141" t="s">
        <v>768</v>
      </c>
      <c r="D13" s="142">
        <v>0</v>
      </c>
      <c r="E13" s="142">
        <v>0</v>
      </c>
      <c r="F13" s="142">
        <v>0</v>
      </c>
      <c r="G13" s="142">
        <v>0</v>
      </c>
      <c r="H13" s="142">
        <v>0</v>
      </c>
      <c r="I13" s="142">
        <v>0</v>
      </c>
      <c r="J13" s="142">
        <v>0</v>
      </c>
      <c r="K13" s="142">
        <v>0</v>
      </c>
      <c r="L13" s="142">
        <v>0</v>
      </c>
      <c r="M13" s="142">
        <v>0</v>
      </c>
    </row>
    <row r="14" spans="1:13" ht="16.5" customHeight="1">
      <c r="A14" s="13" t="s">
        <v>767</v>
      </c>
      <c r="B14" s="41" t="s">
        <v>719</v>
      </c>
      <c r="C14" s="34" t="s">
        <v>175</v>
      </c>
      <c r="D14" s="39">
        <f>$B9+D10-D12-D13</f>
        <v>0</v>
      </c>
      <c r="E14" s="39">
        <f>E9+E10-E12-E13</f>
        <v>0</v>
      </c>
      <c r="F14" s="39">
        <f t="shared" ref="F14:M14" si="5">F9+F10-F12-F13</f>
        <v>0</v>
      </c>
      <c r="G14" s="39">
        <f t="shared" si="5"/>
        <v>0</v>
      </c>
      <c r="H14" s="39">
        <f t="shared" si="5"/>
        <v>0</v>
      </c>
      <c r="I14" s="39">
        <f t="shared" si="5"/>
        <v>0</v>
      </c>
      <c r="J14" s="39">
        <f t="shared" si="5"/>
        <v>0</v>
      </c>
      <c r="K14" s="39">
        <f t="shared" si="5"/>
        <v>0</v>
      </c>
      <c r="L14" s="39">
        <f t="shared" si="5"/>
        <v>0</v>
      </c>
      <c r="M14" s="39">
        <f t="shared" si="5"/>
        <v>0</v>
      </c>
    </row>
    <row r="15" spans="1:13" ht="16.5" hidden="1" customHeight="1">
      <c r="A15" s="5"/>
      <c r="B15" s="131"/>
      <c r="C15" s="5" t="s">
        <v>769</v>
      </c>
      <c r="D15" s="39">
        <f>PPMT(D8/$B12,1,($B10*$B12),$B9)</f>
        <v>0</v>
      </c>
      <c r="E15" s="39">
        <f>PPMT(E8/$B12,1,(YEAR($B8)+$B10+0.5-E$5)*$B12,E9)</f>
        <v>0</v>
      </c>
      <c r="F15" s="39">
        <f t="shared" ref="F15:M15" si="6">PPMT(F8/$B12,1,(YEAR($B8)+$B10+0.5-F$5)*$B12,F9)</f>
        <v>0</v>
      </c>
      <c r="G15" s="39">
        <f t="shared" si="6"/>
        <v>0</v>
      </c>
      <c r="H15" s="39">
        <f t="shared" si="6"/>
        <v>0</v>
      </c>
      <c r="I15" s="39">
        <f t="shared" si="6"/>
        <v>0</v>
      </c>
      <c r="J15" s="39">
        <f t="shared" si="6"/>
        <v>0</v>
      </c>
      <c r="K15" s="39">
        <f t="shared" si="6"/>
        <v>0</v>
      </c>
      <c r="L15" s="39">
        <f t="shared" si="6"/>
        <v>0</v>
      </c>
      <c r="M15" s="39">
        <f t="shared" si="6"/>
        <v>0</v>
      </c>
    </row>
    <row r="16" spans="1:13" ht="16.5" hidden="1" customHeight="1">
      <c r="A16" s="5"/>
      <c r="B16" s="147"/>
      <c r="C16" s="5" t="s">
        <v>770</v>
      </c>
      <c r="D16" s="39">
        <f>$B9/$B10</f>
        <v>0</v>
      </c>
      <c r="E16" s="39">
        <f>E9/($B10+0.5-E$5+YEAR($B8))</f>
        <v>0</v>
      </c>
      <c r="F16" s="39">
        <f t="shared" ref="F16:K16" si="7">F9/($B10+0.5-F$5+YEAR($B8))</f>
        <v>0</v>
      </c>
      <c r="G16" s="39">
        <f t="shared" si="7"/>
        <v>0</v>
      </c>
      <c r="H16" s="39">
        <f t="shared" si="7"/>
        <v>0</v>
      </c>
      <c r="I16" s="39">
        <f t="shared" si="7"/>
        <v>0</v>
      </c>
      <c r="J16" s="39">
        <f t="shared" si="7"/>
        <v>0</v>
      </c>
      <c r="K16" s="39">
        <f t="shared" si="7"/>
        <v>0</v>
      </c>
      <c r="L16" s="39">
        <f>L9/(YEAR($B8)+$B10-L5+0.5)</f>
        <v>0</v>
      </c>
      <c r="M16" s="39">
        <f>M9/(YEAR($B8)+$B10-M5+0.5)</f>
        <v>0</v>
      </c>
    </row>
    <row r="17" spans="1:13" ht="16.5" customHeight="1">
      <c r="A17" s="13" t="s">
        <v>182</v>
      </c>
      <c r="B17" s="41"/>
      <c r="C17" s="13"/>
      <c r="D17" s="39"/>
      <c r="E17" s="143"/>
      <c r="F17" s="143"/>
      <c r="G17" s="143"/>
      <c r="H17" s="143"/>
      <c r="I17" s="143"/>
      <c r="J17" s="143"/>
      <c r="K17" s="143"/>
      <c r="L17" s="39"/>
      <c r="M17" s="39"/>
    </row>
    <row r="18" spans="1:13" ht="16.5" customHeight="1">
      <c r="A18" s="13"/>
      <c r="B18" s="148"/>
      <c r="C18" s="13"/>
      <c r="F18" s="28"/>
      <c r="G18" s="28"/>
      <c r="H18" s="28"/>
      <c r="I18" s="28"/>
      <c r="J18" s="28"/>
      <c r="K18" s="28"/>
      <c r="L18" s="28"/>
      <c r="M18" s="28"/>
    </row>
    <row r="19" spans="1:13" ht="16.5" customHeight="1">
      <c r="A19" s="13" t="s">
        <v>825</v>
      </c>
      <c r="B19" s="14"/>
      <c r="C19" s="13"/>
      <c r="D19" s="39"/>
      <c r="E19" s="144"/>
      <c r="F19" s="144"/>
      <c r="G19" s="144"/>
      <c r="H19" s="144"/>
      <c r="I19" s="144"/>
      <c r="J19" s="144"/>
      <c r="K19" s="144"/>
      <c r="L19" s="13"/>
      <c r="M19" s="13"/>
    </row>
    <row r="20" spans="1:13" ht="16.5" customHeight="1">
      <c r="A20" s="14" t="s">
        <v>677</v>
      </c>
      <c r="B20" s="97">
        <f>DATE(E$5,7,1)</f>
        <v>45839</v>
      </c>
      <c r="C20" s="13" t="s">
        <v>639</v>
      </c>
      <c r="D20" s="44"/>
      <c r="E20" s="73">
        <f>$B23</f>
        <v>0.06</v>
      </c>
      <c r="F20" s="73">
        <f>IF(Input!$H$61="V",Input!I$68,IF(AND(($B29=F$5),Input!I$63&gt;0),Input!I$63,E20))</f>
        <v>0.06</v>
      </c>
      <c r="G20" s="73">
        <f>IF(Input!$H$61="V",Input!J$68,IF(AND(($B29=G$5),Input!J$63&gt;0),Input!J$63,F20))</f>
        <v>0.06</v>
      </c>
      <c r="H20" s="73">
        <f>IF(Input!$H$61="V",Input!K$68,IF(AND(($B29=H$5),Input!K$63&gt;0),Input!K$63,G20))</f>
        <v>0.06</v>
      </c>
      <c r="I20" s="73">
        <f>IF(Input!$H$61="V",Input!L$68,IF(AND(($B29=I$5),Input!L$63&gt;0),Input!L$63,H20))</f>
        <v>0.06</v>
      </c>
      <c r="J20" s="73">
        <f>IF(Input!$H$61="V",Input!M$68,IF(AND(($B29=J$5),Input!M$63&gt;0),Input!M$63,I20))</f>
        <v>0.06</v>
      </c>
      <c r="K20" s="73">
        <f>IF(Input!$H$61="V",Input!N$68,IF(AND(($B29=K$5),Input!N$63&gt;0),Input!N$63,J20))</f>
        <v>0.06</v>
      </c>
      <c r="L20" s="73">
        <f>IF(Input!$H$61="V",Input!O$68,IF(AND(($B29=L$5),Input!O$63&gt;0),Input!O$63,K20))</f>
        <v>0.06</v>
      </c>
      <c r="M20" s="73">
        <f>IF(Input!$H$61="V",Input!P$68,IF(AND(($B29=M$5),Input!P$63&gt;0),Input!P$63,L20))</f>
        <v>0.06</v>
      </c>
    </row>
    <row r="21" spans="1:13" ht="16.5" customHeight="1">
      <c r="A21" s="13" t="s">
        <v>361</v>
      </c>
      <c r="B21" s="98">
        <f>'g - Plant'!I62</f>
        <v>0</v>
      </c>
      <c r="C21" s="37" t="s">
        <v>173</v>
      </c>
      <c r="D21" s="45"/>
      <c r="E21" s="45">
        <v>0</v>
      </c>
      <c r="F21" s="45">
        <f t="shared" ref="F21:M21" si="8">E26</f>
        <v>0</v>
      </c>
      <c r="G21" s="45">
        <f t="shared" si="8"/>
        <v>0</v>
      </c>
      <c r="H21" s="45">
        <f t="shared" si="8"/>
        <v>0</v>
      </c>
      <c r="I21" s="45">
        <f t="shared" si="8"/>
        <v>0</v>
      </c>
      <c r="J21" s="45">
        <f t="shared" si="8"/>
        <v>0</v>
      </c>
      <c r="K21" s="45">
        <f t="shared" si="8"/>
        <v>0</v>
      </c>
      <c r="L21" s="45">
        <f t="shared" si="8"/>
        <v>0</v>
      </c>
      <c r="M21" s="45">
        <f t="shared" si="8"/>
        <v>0</v>
      </c>
    </row>
    <row r="22" spans="1:13" ht="16.5" customHeight="1">
      <c r="A22" s="14" t="s">
        <v>170</v>
      </c>
      <c r="B22" s="145">
        <v>35</v>
      </c>
      <c r="C22" s="40" t="s">
        <v>169</v>
      </c>
      <c r="D22" s="39"/>
      <c r="E22" s="39">
        <f t="shared" ref="E22:M22" si="9">E24-E23</f>
        <v>0</v>
      </c>
      <c r="F22" s="39">
        <f t="shared" si="9"/>
        <v>0</v>
      </c>
      <c r="G22" s="39">
        <f t="shared" si="9"/>
        <v>0</v>
      </c>
      <c r="H22" s="39">
        <f t="shared" si="9"/>
        <v>0</v>
      </c>
      <c r="I22" s="39">
        <f t="shared" si="9"/>
        <v>0</v>
      </c>
      <c r="J22" s="39">
        <f t="shared" si="9"/>
        <v>0</v>
      </c>
      <c r="K22" s="39">
        <f t="shared" si="9"/>
        <v>0</v>
      </c>
      <c r="L22" s="39">
        <f t="shared" si="9"/>
        <v>0</v>
      </c>
      <c r="M22" s="39">
        <f t="shared" si="9"/>
        <v>0</v>
      </c>
    </row>
    <row r="23" spans="1:13" ht="16.5" customHeight="1">
      <c r="A23" s="13" t="s">
        <v>172</v>
      </c>
      <c r="B23" s="146">
        <f>IF(Input!$H$61="V",Input!H$68,IF(Input!H$63&gt;0,Input!H$63,0.05))</f>
        <v>0.06</v>
      </c>
      <c r="C23" s="13" t="s">
        <v>174</v>
      </c>
      <c r="D23" s="39"/>
      <c r="E23" s="39">
        <f>IF($B25="Y",0,(IF($B26="Y",E28/2,FV(E20/$B24,$B24/2,E27))))</f>
        <v>0</v>
      </c>
      <c r="F23" s="39">
        <f>IF($B25="Y",0,(IF($B26="Y",F28,FV(F20/$B24,$B24,F27))))</f>
        <v>0</v>
      </c>
      <c r="G23" s="39">
        <f>IF((AND($B25="Y",$B26="Y")),G28/2,(IF($B26="Y",G28,IF($B25="Y",FV(G20/$B24,$B24/2,G27),FV(G20/$B24,$B24,G27)))))</f>
        <v>0</v>
      </c>
      <c r="H23" s="39">
        <f t="shared" ref="H23:M23" si="10">IF(YEAR($B20)+$B22&lt;=H$5,H21,(IF($B26="Y",H28,FV(H20/$B24,$B24,H27))))</f>
        <v>0</v>
      </c>
      <c r="I23" s="39">
        <f t="shared" si="10"/>
        <v>0</v>
      </c>
      <c r="J23" s="39">
        <f t="shared" si="10"/>
        <v>0</v>
      </c>
      <c r="K23" s="39">
        <f t="shared" si="10"/>
        <v>0</v>
      </c>
      <c r="L23" s="39">
        <f t="shared" si="10"/>
        <v>0</v>
      </c>
      <c r="M23" s="39">
        <f t="shared" si="10"/>
        <v>0</v>
      </c>
    </row>
    <row r="24" spans="1:13" ht="16.5" customHeight="1">
      <c r="A24" s="13" t="s">
        <v>171</v>
      </c>
      <c r="B24" s="41">
        <v>12</v>
      </c>
      <c r="C24" s="74" t="s">
        <v>640</v>
      </c>
      <c r="D24" s="39"/>
      <c r="E24" s="39">
        <f>IF($B25="Y",$B21*E20/2,IF($B26="y",E28/2+E20/2*$B21,($B21*E20/$B24-E27)*$B24/2))</f>
        <v>0</v>
      </c>
      <c r="F24" s="39">
        <f>IF($B25="Y",F20*F21,IF($B26="Y",F28+(F21-F28/2)*F20,(F21*F20/$B24-F27)*$B24))</f>
        <v>0</v>
      </c>
      <c r="G24" s="39">
        <f>IF(AND($B25="Y",$B26="Y"),G28/2+(G21-G28/4)*G20,IF($B26="Y",G28+(G21-G28/2)*G20,IF($B25="Y",(G21*G20/$B24-G27)*$B24/2+0.5*G20*G21,(G21*G20/$B24-G27)*$B24)))</f>
        <v>0</v>
      </c>
      <c r="H24" s="39">
        <f t="shared" ref="H24:M24" si="11">IF(YEAR($B20)+$B22&lt;=H$5,H21+H21*H20/2,(IF($B26="Y",H28+(H21-H28/2)*H20,(H21*H20/$B24-H27)*$B24)))</f>
        <v>0</v>
      </c>
      <c r="I24" s="39">
        <f t="shared" si="11"/>
        <v>0</v>
      </c>
      <c r="J24" s="39">
        <f t="shared" si="11"/>
        <v>0</v>
      </c>
      <c r="K24" s="39">
        <f t="shared" si="11"/>
        <v>0</v>
      </c>
      <c r="L24" s="39">
        <f t="shared" si="11"/>
        <v>0</v>
      </c>
      <c r="M24" s="39">
        <f t="shared" si="11"/>
        <v>0</v>
      </c>
    </row>
    <row r="25" spans="1:13" ht="16.5" customHeight="1">
      <c r="A25" s="13" t="s">
        <v>360</v>
      </c>
      <c r="B25" s="41" t="str">
        <f>B13</f>
        <v>Y</v>
      </c>
      <c r="C25" s="141" t="s">
        <v>768</v>
      </c>
      <c r="D25" s="39"/>
      <c r="E25" s="142">
        <v>0</v>
      </c>
      <c r="F25" s="142">
        <v>0</v>
      </c>
      <c r="G25" s="142">
        <v>0</v>
      </c>
      <c r="H25" s="142">
        <v>0</v>
      </c>
      <c r="I25" s="142">
        <v>0</v>
      </c>
      <c r="J25" s="142">
        <v>0</v>
      </c>
      <c r="K25" s="142">
        <v>0</v>
      </c>
      <c r="L25" s="142">
        <v>0</v>
      </c>
      <c r="M25" s="142">
        <v>0</v>
      </c>
    </row>
    <row r="26" spans="1:13" s="13" customFormat="1" ht="16.5" customHeight="1">
      <c r="A26" s="13" t="s">
        <v>767</v>
      </c>
      <c r="B26" s="41" t="str">
        <f>B14</f>
        <v>N</v>
      </c>
      <c r="C26" s="34" t="s">
        <v>175</v>
      </c>
      <c r="D26" s="39"/>
      <c r="E26" s="39">
        <f>$B21+E22-E24-E25</f>
        <v>0</v>
      </c>
      <c r="F26" s="39">
        <f t="shared" ref="F26:M26" si="12">F21+F22-F24-F25</f>
        <v>0</v>
      </c>
      <c r="G26" s="39">
        <f t="shared" si="12"/>
        <v>0</v>
      </c>
      <c r="H26" s="39">
        <f t="shared" si="12"/>
        <v>0</v>
      </c>
      <c r="I26" s="39">
        <f t="shared" si="12"/>
        <v>0</v>
      </c>
      <c r="J26" s="39">
        <f t="shared" si="12"/>
        <v>0</v>
      </c>
      <c r="K26" s="39">
        <f t="shared" si="12"/>
        <v>0</v>
      </c>
      <c r="L26" s="39">
        <f t="shared" si="12"/>
        <v>0</v>
      </c>
      <c r="M26" s="39">
        <f t="shared" si="12"/>
        <v>0</v>
      </c>
    </row>
    <row r="27" spans="1:13" ht="16.5" hidden="1" customHeight="1">
      <c r="A27" s="5"/>
      <c r="B27" s="131"/>
      <c r="C27" s="5" t="s">
        <v>769</v>
      </c>
      <c r="D27" s="13"/>
      <c r="E27" s="39">
        <f>PPMT(E20/$B24,1,($B22*$B24),$B21)</f>
        <v>0</v>
      </c>
      <c r="F27" s="39">
        <f>PPMT(F20/$B24,1,(YEAR($B20)+$B22+0.5-F$5)*$B24,F21)</f>
        <v>0</v>
      </c>
      <c r="G27" s="39">
        <f t="shared" ref="G27:M27" si="13">PPMT(G20/$B24,1,(YEAR($B20)+$B22+0.5-G$5)*$B24,G21)</f>
        <v>0</v>
      </c>
      <c r="H27" s="39">
        <f t="shared" si="13"/>
        <v>0</v>
      </c>
      <c r="I27" s="39">
        <f t="shared" si="13"/>
        <v>0</v>
      </c>
      <c r="J27" s="39">
        <f t="shared" si="13"/>
        <v>0</v>
      </c>
      <c r="K27" s="39">
        <f t="shared" si="13"/>
        <v>0</v>
      </c>
      <c r="L27" s="39">
        <f t="shared" si="13"/>
        <v>0</v>
      </c>
      <c r="M27" s="39">
        <f t="shared" si="13"/>
        <v>0</v>
      </c>
    </row>
    <row r="28" spans="1:13" ht="16.5" hidden="1" customHeight="1">
      <c r="A28" s="5"/>
      <c r="B28" s="147"/>
      <c r="C28" s="5" t="s">
        <v>770</v>
      </c>
      <c r="D28" s="13"/>
      <c r="E28" s="39">
        <f>$B21/$B22</f>
        <v>0</v>
      </c>
      <c r="F28" s="39">
        <f>F21/($B22+0.5-F$5+YEAR($B20))</f>
        <v>0</v>
      </c>
      <c r="G28" s="39">
        <f t="shared" ref="G28:M28" si="14">G21/($B22+0.5-G$5+YEAR($B20))</f>
        <v>0</v>
      </c>
      <c r="H28" s="39">
        <f t="shared" si="14"/>
        <v>0</v>
      </c>
      <c r="I28" s="39">
        <f t="shared" si="14"/>
        <v>0</v>
      </c>
      <c r="J28" s="39">
        <f t="shared" si="14"/>
        <v>0</v>
      </c>
      <c r="K28" s="39">
        <f t="shared" si="14"/>
        <v>0</v>
      </c>
      <c r="L28" s="39">
        <f t="shared" si="14"/>
        <v>0</v>
      </c>
      <c r="M28" s="39">
        <f t="shared" si="14"/>
        <v>0</v>
      </c>
    </row>
    <row r="29" spans="1:13" ht="16.5" customHeight="1">
      <c r="A29" s="13" t="s">
        <v>182</v>
      </c>
      <c r="B29" s="41"/>
      <c r="C29" s="13"/>
      <c r="D29" s="13"/>
      <c r="E29" s="39"/>
      <c r="F29" s="39"/>
      <c r="G29" s="39"/>
      <c r="H29" s="39"/>
      <c r="I29" s="39"/>
      <c r="J29" s="39"/>
      <c r="K29" s="39"/>
      <c r="L29" s="39"/>
      <c r="M29" s="39"/>
    </row>
    <row r="30" spans="1:13" ht="16.5" customHeight="1">
      <c r="A30" s="13"/>
      <c r="B30" s="138"/>
      <c r="C30" s="5"/>
      <c r="D30" s="13"/>
      <c r="E30" s="39"/>
      <c r="F30" s="39"/>
      <c r="G30" s="39"/>
      <c r="H30" s="39"/>
      <c r="I30" s="39"/>
      <c r="J30" s="39"/>
      <c r="K30" s="39"/>
      <c r="L30" s="39"/>
      <c r="M30" s="39"/>
    </row>
    <row r="31" spans="1:13" ht="16.5" customHeight="1">
      <c r="A31" s="13" t="s">
        <v>826</v>
      </c>
      <c r="B31" s="14"/>
      <c r="C31" s="13"/>
      <c r="D31" s="18"/>
      <c r="E31" s="14"/>
      <c r="F31" s="13"/>
      <c r="G31" s="13"/>
      <c r="H31" s="13"/>
      <c r="I31" s="13"/>
      <c r="J31" s="13"/>
      <c r="K31" s="13"/>
      <c r="L31" s="13"/>
      <c r="M31" s="13"/>
    </row>
    <row r="32" spans="1:13" ht="16.5" customHeight="1">
      <c r="A32" s="14" t="s">
        <v>677</v>
      </c>
      <c r="B32" s="97">
        <f>DATE(F$5,7,1)</f>
        <v>46204</v>
      </c>
      <c r="C32" s="13" t="s">
        <v>639</v>
      </c>
      <c r="D32" s="44"/>
      <c r="E32" s="44"/>
      <c r="F32" s="73">
        <f>$B35</f>
        <v>0.06</v>
      </c>
      <c r="G32" s="73">
        <f>IF(Input!$H$61="V",Input!J$68,IF(AND(($B41=G$5),Input!J$63&gt;0),Input!J$63,F32))</f>
        <v>0.06</v>
      </c>
      <c r="H32" s="73">
        <f>IF(Input!$H$61="V",Input!K$68,IF(AND(($B41=H$5),Input!K$63&gt;0),Input!K$63,G32))</f>
        <v>0.06</v>
      </c>
      <c r="I32" s="73">
        <f>IF(Input!$H$61="V",Input!L$68,IF(AND(($B41=I$5),Input!L$63&gt;0),Input!L$63,H32))</f>
        <v>0.06</v>
      </c>
      <c r="J32" s="73">
        <f>IF(Input!$H$61="V",Input!M$68,IF(AND(($B41=J$5),Input!M$63&gt;0),Input!M$63,I32))</f>
        <v>0.06</v>
      </c>
      <c r="K32" s="73">
        <f>IF(Input!$H$61="V",Input!N$68,IF(AND(($B41=K$5),Input!N$63&gt;0),Input!N$63,J32))</f>
        <v>0.06</v>
      </c>
      <c r="L32" s="73">
        <f>IF(Input!$H$61="V",Input!O$68,IF(AND(($B41=L$5),Input!O$63&gt;0),Input!O$63,K32))</f>
        <v>0.06</v>
      </c>
      <c r="M32" s="73">
        <f>IF(Input!$H$61="V",Input!P$68,IF(AND(($B41=M$5),Input!P$63&gt;0),Input!P$63,L32))</f>
        <v>0.06</v>
      </c>
    </row>
    <row r="33" spans="1:13" ht="16.5" customHeight="1">
      <c r="A33" s="13" t="s">
        <v>361</v>
      </c>
      <c r="B33" s="98">
        <f>'g - Plant'!J62</f>
        <v>0</v>
      </c>
      <c r="C33" s="37" t="s">
        <v>173</v>
      </c>
      <c r="D33" s="45"/>
      <c r="E33" s="45"/>
      <c r="F33" s="45">
        <v>0</v>
      </c>
      <c r="G33" s="45">
        <f t="shared" ref="G33:M33" si="15">F38</f>
        <v>0</v>
      </c>
      <c r="H33" s="45">
        <f t="shared" si="15"/>
        <v>0</v>
      </c>
      <c r="I33" s="45">
        <f t="shared" si="15"/>
        <v>0</v>
      </c>
      <c r="J33" s="45">
        <f t="shared" si="15"/>
        <v>0</v>
      </c>
      <c r="K33" s="45">
        <f t="shared" si="15"/>
        <v>0</v>
      </c>
      <c r="L33" s="45">
        <f t="shared" si="15"/>
        <v>0</v>
      </c>
      <c r="M33" s="45">
        <f t="shared" si="15"/>
        <v>0</v>
      </c>
    </row>
    <row r="34" spans="1:13" ht="16.5" customHeight="1">
      <c r="A34" s="14" t="s">
        <v>170</v>
      </c>
      <c r="B34" s="145">
        <v>35</v>
      </c>
      <c r="C34" s="40" t="s">
        <v>169</v>
      </c>
      <c r="D34" s="39"/>
      <c r="E34" s="39"/>
      <c r="F34" s="39">
        <f t="shared" ref="F34:M34" si="16">F36-F35</f>
        <v>0</v>
      </c>
      <c r="G34" s="39">
        <f t="shared" si="16"/>
        <v>0</v>
      </c>
      <c r="H34" s="39">
        <f t="shared" si="16"/>
        <v>0</v>
      </c>
      <c r="I34" s="39">
        <f t="shared" si="16"/>
        <v>0</v>
      </c>
      <c r="J34" s="39">
        <f t="shared" si="16"/>
        <v>0</v>
      </c>
      <c r="K34" s="39">
        <f t="shared" si="16"/>
        <v>0</v>
      </c>
      <c r="L34" s="39">
        <f t="shared" si="16"/>
        <v>0</v>
      </c>
      <c r="M34" s="39">
        <f t="shared" si="16"/>
        <v>0</v>
      </c>
    </row>
    <row r="35" spans="1:13" ht="16.5" customHeight="1">
      <c r="A35" s="13" t="s">
        <v>172</v>
      </c>
      <c r="B35" s="146">
        <f>IF(Input!$H$61="V",Input!I$68,IF(Input!I$63&gt;0,Input!I$63,0.05))</f>
        <v>0.06</v>
      </c>
      <c r="C35" s="13" t="s">
        <v>174</v>
      </c>
      <c r="D35" s="39"/>
      <c r="E35" s="39"/>
      <c r="F35" s="39">
        <f>IF($B37="Y",0,(IF($B38="Y",F40/2,FV(F32/$B36,$B36/2,F39))))</f>
        <v>0</v>
      </c>
      <c r="G35" s="39">
        <f>IF($B37="Y",0,(IF($B38="Y",G40,FV(G32/$B36,$B36,G39))))</f>
        <v>0</v>
      </c>
      <c r="H35" s="39">
        <f>IF((AND($B37="Y",$B38="Y")),H40/2,(IF($B38="Y",H40,IF($B37="Y",FV(H32/$B36,$B36/2,H39),FV(H32/$B36,$B36,H39)))))</f>
        <v>0</v>
      </c>
      <c r="I35" s="39">
        <f>IF(YEAR($B32)+$B34&lt;=I$5,I33,(IF($B38="Y",I40,FV(I32/$B36,$B36,I39))))</f>
        <v>0</v>
      </c>
      <c r="J35" s="39">
        <f>IF(YEAR($B32)+$B34&lt;=J$5,J33,(IF($B38="Y",J40,FV(J32/$B36,$B36,J39))))</f>
        <v>0</v>
      </c>
      <c r="K35" s="39">
        <f>IF(YEAR($B32)+$B34&lt;=K$5,K33,(IF($B38="Y",K40,FV(K32/$B36,$B36,K39))))</f>
        <v>0</v>
      </c>
      <c r="L35" s="39">
        <f>IF(YEAR($B32)+$B34&lt;=L$5,L33,(IF($B38="Y",L40,FV(L32/$B36,$B36,L39))))</f>
        <v>0</v>
      </c>
      <c r="M35" s="39">
        <f>IF(YEAR($B32)+$B34&lt;=M$5,M33,(IF($B38="Y",M40,FV(M32/$B36,$B36,M39))))</f>
        <v>0</v>
      </c>
    </row>
    <row r="36" spans="1:13" ht="16.5" customHeight="1">
      <c r="A36" s="13" t="s">
        <v>171</v>
      </c>
      <c r="B36" s="41">
        <v>12</v>
      </c>
      <c r="C36" s="74" t="s">
        <v>640</v>
      </c>
      <c r="D36" s="39"/>
      <c r="E36" s="39"/>
      <c r="F36" s="39">
        <f>IF($B37="Y",$B33*F32/2,IF($B38="y",F40/2+F32/2*$B33,($B33*F32/$B36-F39)*$B36/2))</f>
        <v>0</v>
      </c>
      <c r="G36" s="39">
        <f>IF($B37="Y",G32*G33,IF($B38="Y",G40+(G33-G40/2)*G32,(G33*G32/$B36-G39)*$B36))</f>
        <v>0</v>
      </c>
      <c r="H36" s="39">
        <f>IF(AND($B37="Y",$B38="Y"),H40/2+(H33-H40/4)*H32,IF($B38="Y",H40+(H33-H40/2)*H32,IF($B37="Y",(H33*H32/$B36-H39)*$B36/2+0.5*H32*H33,(H33*H32/$B36-H39)*$B36)))</f>
        <v>0</v>
      </c>
      <c r="I36" s="39">
        <f>IF(YEAR($B32)+$B34&lt;=I$5,I33+I33*I32/2,(IF($B38="Y",I40+(I33-I40/2)*I32,(I33*I32/$B36-I39)*$B36)))</f>
        <v>0</v>
      </c>
      <c r="J36" s="39">
        <f>IF(YEAR($B32)+$B34&lt;=J$5,J33+J33*J32/2,(IF($B38="Y",J40+(J33-J40/2)*J32,(J33*J32/$B36-J39)*$B36)))</f>
        <v>0</v>
      </c>
      <c r="K36" s="39">
        <f>IF(YEAR($B32)+$B34&lt;=K$5,K33+K33*K32/2,(IF($B38="Y",K40+(K33-K40/2)*K32,(K33*K32/$B36-K39)*$B36)))</f>
        <v>0</v>
      </c>
      <c r="L36" s="39">
        <f>IF(YEAR($B32)+$B34&lt;=L$5,L33+L33*L32/2,(IF($B38="Y",L40+(L33-L40/2)*L32,(L33*L32/$B36-L39)*$B36)))</f>
        <v>0</v>
      </c>
      <c r="M36" s="39">
        <f>IF(YEAR($B32)+$B34&lt;=M$5,M33+M33*M32/2,(IF($B38="Y",M40+(M33-M40/2)*M32,(M33*M32/$B36-M39)*$B36)))</f>
        <v>0</v>
      </c>
    </row>
    <row r="37" spans="1:13" ht="16.5" customHeight="1">
      <c r="A37" s="13" t="s">
        <v>360</v>
      </c>
      <c r="B37" s="41" t="str">
        <f>B25</f>
        <v>Y</v>
      </c>
      <c r="C37" s="141" t="s">
        <v>768</v>
      </c>
      <c r="D37" s="39"/>
      <c r="E37" s="39"/>
      <c r="F37" s="142">
        <v>0</v>
      </c>
      <c r="G37" s="142">
        <v>0</v>
      </c>
      <c r="H37" s="142">
        <v>0</v>
      </c>
      <c r="I37" s="142">
        <v>0</v>
      </c>
      <c r="J37" s="142">
        <v>0</v>
      </c>
      <c r="K37" s="142">
        <v>0</v>
      </c>
      <c r="L37" s="142">
        <v>0</v>
      </c>
      <c r="M37" s="142">
        <v>0</v>
      </c>
    </row>
    <row r="38" spans="1:13" s="13" customFormat="1" ht="16.5" customHeight="1">
      <c r="A38" s="13" t="s">
        <v>767</v>
      </c>
      <c r="B38" s="41" t="str">
        <f>B26</f>
        <v>N</v>
      </c>
      <c r="C38" s="34" t="s">
        <v>175</v>
      </c>
      <c r="D38" s="39"/>
      <c r="E38" s="39"/>
      <c r="F38" s="39">
        <f>$B33+F34-F36-F37</f>
        <v>0</v>
      </c>
      <c r="G38" s="39">
        <f t="shared" ref="G38:M38" si="17">G33+G34-G36-G37</f>
        <v>0</v>
      </c>
      <c r="H38" s="39">
        <f t="shared" si="17"/>
        <v>0</v>
      </c>
      <c r="I38" s="39">
        <f t="shared" si="17"/>
        <v>0</v>
      </c>
      <c r="J38" s="39">
        <f t="shared" si="17"/>
        <v>0</v>
      </c>
      <c r="K38" s="39">
        <f t="shared" si="17"/>
        <v>0</v>
      </c>
      <c r="L38" s="39">
        <f t="shared" si="17"/>
        <v>0</v>
      </c>
      <c r="M38" s="39">
        <f t="shared" si="17"/>
        <v>0</v>
      </c>
    </row>
    <row r="39" spans="1:13" ht="16.5" hidden="1" customHeight="1">
      <c r="A39" s="5"/>
      <c r="B39" s="131"/>
      <c r="C39" s="5" t="s">
        <v>769</v>
      </c>
      <c r="D39" s="13"/>
      <c r="E39" s="13"/>
      <c r="F39" s="39">
        <f>PPMT(F32/$B36,1,($B34*$B36),$B33)</f>
        <v>0</v>
      </c>
      <c r="G39" s="39">
        <f>PPMT(G32/$B36,1,(YEAR($B32)+$B34+0.5-G$5)*$B36,G33)</f>
        <v>0</v>
      </c>
      <c r="H39" s="39">
        <f t="shared" ref="H39:M39" si="18">PPMT(H32/$B36,1,(YEAR($B32)+$B34+0.5-H$5)*$B36,H33)</f>
        <v>0</v>
      </c>
      <c r="I39" s="39">
        <f t="shared" si="18"/>
        <v>0</v>
      </c>
      <c r="J39" s="39">
        <f t="shared" si="18"/>
        <v>0</v>
      </c>
      <c r="K39" s="39">
        <f t="shared" si="18"/>
        <v>0</v>
      </c>
      <c r="L39" s="39">
        <f t="shared" si="18"/>
        <v>0</v>
      </c>
      <c r="M39" s="39">
        <f t="shared" si="18"/>
        <v>0</v>
      </c>
    </row>
    <row r="40" spans="1:13" ht="16.5" hidden="1" customHeight="1">
      <c r="A40" s="5"/>
      <c r="B40" s="147"/>
      <c r="C40" s="5" t="s">
        <v>770</v>
      </c>
      <c r="D40" s="13"/>
      <c r="E40" s="13"/>
      <c r="F40" s="39">
        <f>$B33/$B34</f>
        <v>0</v>
      </c>
      <c r="G40" s="39">
        <f>G33/($B34+0.5-G$5+YEAR($B32))</f>
        <v>0</v>
      </c>
      <c r="H40" s="39">
        <f t="shared" ref="H40:M40" si="19">H33/($B34+0.5-H$5+YEAR($B32))</f>
        <v>0</v>
      </c>
      <c r="I40" s="39">
        <f t="shared" si="19"/>
        <v>0</v>
      </c>
      <c r="J40" s="39">
        <f t="shared" si="19"/>
        <v>0</v>
      </c>
      <c r="K40" s="39">
        <f t="shared" si="19"/>
        <v>0</v>
      </c>
      <c r="L40" s="39">
        <f t="shared" si="19"/>
        <v>0</v>
      </c>
      <c r="M40" s="39">
        <f t="shared" si="19"/>
        <v>0</v>
      </c>
    </row>
    <row r="41" spans="1:13" ht="16.5" customHeight="1">
      <c r="A41" s="13" t="s">
        <v>182</v>
      </c>
      <c r="B41" s="41"/>
      <c r="C41" s="13"/>
      <c r="D41" s="13"/>
      <c r="E41" s="13"/>
      <c r="F41" s="39"/>
      <c r="G41" s="39"/>
      <c r="H41" s="39"/>
      <c r="I41" s="39"/>
      <c r="J41" s="39"/>
      <c r="K41" s="39"/>
      <c r="L41" s="39"/>
      <c r="M41" s="39"/>
    </row>
    <row r="42" spans="1:13" ht="16.5" customHeight="1">
      <c r="A42" s="13"/>
      <c r="B42" s="148"/>
      <c r="C42" s="13"/>
      <c r="D42" s="13"/>
      <c r="E42" s="13"/>
      <c r="F42" s="39"/>
      <c r="G42" s="39"/>
      <c r="H42" s="39"/>
      <c r="I42" s="39"/>
      <c r="J42" s="39"/>
      <c r="K42" s="39"/>
      <c r="L42" s="39"/>
      <c r="M42" s="39"/>
    </row>
    <row r="43" spans="1:13" ht="16.5" customHeight="1">
      <c r="A43" s="13" t="s">
        <v>827</v>
      </c>
      <c r="B43" s="14"/>
      <c r="C43" s="13"/>
      <c r="D43" s="18"/>
      <c r="E43" s="14"/>
      <c r="F43" s="13"/>
      <c r="G43" s="13"/>
      <c r="H43" s="13"/>
      <c r="I43" s="13"/>
      <c r="J43" s="13"/>
      <c r="K43" s="13"/>
      <c r="L43" s="13"/>
      <c r="M43" s="13"/>
    </row>
    <row r="44" spans="1:13" ht="16.5" customHeight="1">
      <c r="A44" s="14" t="s">
        <v>677</v>
      </c>
      <c r="B44" s="97">
        <f>DATE(G$5,7,1)</f>
        <v>46569</v>
      </c>
      <c r="C44" s="13" t="s">
        <v>639</v>
      </c>
      <c r="D44" s="44"/>
      <c r="E44" s="44"/>
      <c r="F44" s="44"/>
      <c r="G44" s="73">
        <f>$B47</f>
        <v>0.06</v>
      </c>
      <c r="H44" s="73">
        <f>IF(Input!$H$61="V",Input!K$68,IF(AND(($B53=H$5),Input!K$63&gt;0),Input!K$63,G44))</f>
        <v>0.06</v>
      </c>
      <c r="I44" s="73">
        <f>IF(Input!$H$61="V",Input!L$68,IF(AND(($B53=I$5),Input!L$63&gt;0),Input!L$63,H44))</f>
        <v>0.06</v>
      </c>
      <c r="J44" s="73">
        <f>IF(Input!$H$61="V",Input!M$68,IF(AND(($B53=J$5),Input!M$63&gt;0),Input!M$63,I44))</f>
        <v>0.06</v>
      </c>
      <c r="K44" s="73">
        <f>IF(Input!$H$61="V",Input!N$68,IF(AND(($B53=K$5),Input!N$63&gt;0),Input!N$63,J44))</f>
        <v>0.06</v>
      </c>
      <c r="L44" s="73">
        <f>IF(Input!$H$61="V",Input!O$68,IF(AND(($B53=L$5),Input!O$63&gt;0),Input!O$63,K44))</f>
        <v>0.06</v>
      </c>
      <c r="M44" s="73">
        <f>IF(Input!$H$61="V",Input!P$68,IF(AND(($B53=M$5),Input!P$63&gt;0),Input!P$63,L44))</f>
        <v>0.06</v>
      </c>
    </row>
    <row r="45" spans="1:13" ht="16.5" customHeight="1">
      <c r="A45" s="13" t="s">
        <v>361</v>
      </c>
      <c r="B45" s="98">
        <f>'g - Plant'!K62</f>
        <v>0</v>
      </c>
      <c r="C45" s="37" t="s">
        <v>173</v>
      </c>
      <c r="D45" s="45"/>
      <c r="E45" s="45"/>
      <c r="F45" s="45"/>
      <c r="G45" s="45">
        <v>0</v>
      </c>
      <c r="H45" s="45">
        <f t="shared" ref="H45:M45" si="20">G50</f>
        <v>0</v>
      </c>
      <c r="I45" s="45">
        <f t="shared" si="20"/>
        <v>0</v>
      </c>
      <c r="J45" s="45">
        <f t="shared" si="20"/>
        <v>0</v>
      </c>
      <c r="K45" s="45">
        <f t="shared" si="20"/>
        <v>0</v>
      </c>
      <c r="L45" s="45">
        <f t="shared" si="20"/>
        <v>0</v>
      </c>
      <c r="M45" s="45">
        <f t="shared" si="20"/>
        <v>0</v>
      </c>
    </row>
    <row r="46" spans="1:13" ht="16.5" customHeight="1">
      <c r="A46" s="14" t="s">
        <v>170</v>
      </c>
      <c r="B46" s="145">
        <v>35</v>
      </c>
      <c r="C46" s="40" t="s">
        <v>169</v>
      </c>
      <c r="D46" s="39"/>
      <c r="E46" s="39"/>
      <c r="F46" s="39"/>
      <c r="G46" s="39">
        <f t="shared" ref="G46:M46" si="21">G48-G47</f>
        <v>0</v>
      </c>
      <c r="H46" s="39">
        <f t="shared" si="21"/>
        <v>0</v>
      </c>
      <c r="I46" s="39">
        <f t="shared" si="21"/>
        <v>0</v>
      </c>
      <c r="J46" s="39">
        <f t="shared" si="21"/>
        <v>0</v>
      </c>
      <c r="K46" s="39">
        <f t="shared" si="21"/>
        <v>0</v>
      </c>
      <c r="L46" s="39">
        <f t="shared" si="21"/>
        <v>0</v>
      </c>
      <c r="M46" s="39">
        <f t="shared" si="21"/>
        <v>0</v>
      </c>
    </row>
    <row r="47" spans="1:13" ht="16.5" customHeight="1">
      <c r="A47" s="13" t="s">
        <v>172</v>
      </c>
      <c r="B47" s="146">
        <f>IF(Input!$H$61="V",Input!J$68,IF(Input!J$63&gt;0,Input!J$63,0.05))</f>
        <v>0.06</v>
      </c>
      <c r="C47" s="13" t="s">
        <v>174</v>
      </c>
      <c r="D47" s="39"/>
      <c r="E47" s="39"/>
      <c r="F47" s="39"/>
      <c r="G47" s="39">
        <f>IF($B49="Y",0,(IF($B50="Y",G52/2,FV(G44/$B48,$B48/2,G51))))</f>
        <v>0</v>
      </c>
      <c r="H47" s="39">
        <f>IF($B49="Y",0,(IF($B50="Y",H52,FV(H44/$B48,$B48,H51))))</f>
        <v>0</v>
      </c>
      <c r="I47" s="39">
        <f>IF((AND($B49="Y",$B50="Y")),I52/2,(IF($B50="Y",I52,IF($B49="Y",FV(I44/$B48,$B48/2,I51),FV(I44/$B48,$B48,I51)))))</f>
        <v>0</v>
      </c>
      <c r="J47" s="39">
        <f>IF(YEAR($B44)+$B46&lt;=J$5,J45,(IF($B50="Y",J52,FV(J44/$B48,$B48,J51))))</f>
        <v>0</v>
      </c>
      <c r="K47" s="39">
        <f>IF(YEAR($B44)+$B46&lt;=K$5,K45,(IF($B50="Y",K52,FV(K44/$B48,$B48,K51))))</f>
        <v>0</v>
      </c>
      <c r="L47" s="39">
        <f>IF(YEAR($B44)+$B46&lt;=L$5,L45,(IF($B50="Y",L52,FV(L44/$B48,$B48,L51))))</f>
        <v>0</v>
      </c>
      <c r="M47" s="39">
        <f>IF(YEAR($B44)+$B46&lt;=M$5,M45,(IF($B50="Y",M52,FV(M44/$B48,$B48,M51))))</f>
        <v>0</v>
      </c>
    </row>
    <row r="48" spans="1:13" ht="16.5" customHeight="1">
      <c r="A48" s="13" t="s">
        <v>171</v>
      </c>
      <c r="B48" s="41">
        <v>12</v>
      </c>
      <c r="C48" s="74" t="s">
        <v>640</v>
      </c>
      <c r="D48" s="39"/>
      <c r="E48" s="39"/>
      <c r="F48" s="39"/>
      <c r="G48" s="39">
        <f>IF($B49="Y",$B45*G44/2,IF($B50="y",G52/2+G44/2*$B45,($B45*G44/$B48-G51)*$B48/2))</f>
        <v>0</v>
      </c>
      <c r="H48" s="39">
        <f>IF($B49="Y",H44*H45,IF($B50="Y",H52+(H45-H52/2)*H44,(H45*H44/$B48-H51)*$B48))</f>
        <v>0</v>
      </c>
      <c r="I48" s="39">
        <f>IF(AND($B49="Y",$B50="Y"),I52/2+(I45-I52/4)*I44,IF($B50="Y",I52+(I45-I52/2)*I44,IF($B49="Y",(I45*I44/$B48-I51)*$B48/2+0.5*I44*I45,(I45*I44/$B48-I51)*$B48)))</f>
        <v>0</v>
      </c>
      <c r="J48" s="39">
        <f>IF(YEAR($B44)+$B46&lt;=J$5,J45+J45*J44/2,(IF($B50="Y",J52+(J45-J52/2)*J44,(J45*J44/$B48-J51)*$B48)))</f>
        <v>0</v>
      </c>
      <c r="K48" s="39">
        <f>IF(YEAR($B44)+$B46&lt;=K$5,K45+K45*K44/2,(IF($B50="Y",K52+(K45-K52/2)*K44,(K45*K44/$B48-K51)*$B48)))</f>
        <v>0</v>
      </c>
      <c r="L48" s="39">
        <f>IF(YEAR($B44)+$B46&lt;=L$5,L45+L45*L44/2,(IF($B50="Y",L52+(L45-L52/2)*L44,(L45*L44/$B48-L51)*$B48)))</f>
        <v>0</v>
      </c>
      <c r="M48" s="39">
        <f>IF(YEAR($B44)+$B46&lt;=M$5,M45+M45*M44/2,(IF($B50="Y",M52+(M45-M52/2)*M44,(M45*M44/$B48-M51)*$B48)))</f>
        <v>0</v>
      </c>
    </row>
    <row r="49" spans="1:13" ht="16.5" customHeight="1">
      <c r="A49" s="13" t="s">
        <v>360</v>
      </c>
      <c r="B49" s="41" t="str">
        <f>B37</f>
        <v>Y</v>
      </c>
      <c r="C49" s="141" t="s">
        <v>768</v>
      </c>
      <c r="D49" s="39"/>
      <c r="E49" s="39"/>
      <c r="F49" s="39"/>
      <c r="G49" s="142">
        <v>0</v>
      </c>
      <c r="H49" s="142">
        <v>0</v>
      </c>
      <c r="I49" s="142">
        <v>0</v>
      </c>
      <c r="J49" s="142">
        <v>0</v>
      </c>
      <c r="K49" s="142">
        <v>0</v>
      </c>
      <c r="L49" s="142">
        <v>0</v>
      </c>
      <c r="M49" s="142">
        <v>0</v>
      </c>
    </row>
    <row r="50" spans="1:13" s="13" customFormat="1" ht="16.5" customHeight="1">
      <c r="A50" s="13" t="s">
        <v>767</v>
      </c>
      <c r="B50" s="41" t="str">
        <f>B38</f>
        <v>N</v>
      </c>
      <c r="C50" s="34" t="s">
        <v>175</v>
      </c>
      <c r="D50" s="39"/>
      <c r="E50" s="39"/>
      <c r="F50" s="39"/>
      <c r="G50" s="39">
        <f>$B45+G46-G48-G49</f>
        <v>0</v>
      </c>
      <c r="H50" s="39">
        <f t="shared" ref="H50:M50" si="22">H45+H46-H48-H49</f>
        <v>0</v>
      </c>
      <c r="I50" s="39">
        <f t="shared" si="22"/>
        <v>0</v>
      </c>
      <c r="J50" s="39">
        <f t="shared" si="22"/>
        <v>0</v>
      </c>
      <c r="K50" s="39">
        <f t="shared" si="22"/>
        <v>0</v>
      </c>
      <c r="L50" s="39">
        <f t="shared" si="22"/>
        <v>0</v>
      </c>
      <c r="M50" s="39">
        <f t="shared" si="22"/>
        <v>0</v>
      </c>
    </row>
    <row r="51" spans="1:13" ht="16.5" hidden="1" customHeight="1">
      <c r="A51" s="5"/>
      <c r="B51" s="131"/>
      <c r="C51" s="5" t="s">
        <v>769</v>
      </c>
      <c r="D51" s="13"/>
      <c r="E51" s="13"/>
      <c r="F51" s="13"/>
      <c r="G51" s="39">
        <f>PPMT(G44/$B48,1,($B46*$B48),$B45)</f>
        <v>0</v>
      </c>
      <c r="H51" s="39">
        <f t="shared" ref="H51:M51" si="23">PPMT(H44/$B48,1,(YEAR($B44)+$B46+0.5-H$5)*$B48,H45)</f>
        <v>0</v>
      </c>
      <c r="I51" s="39">
        <f t="shared" si="23"/>
        <v>0</v>
      </c>
      <c r="J51" s="39">
        <f t="shared" si="23"/>
        <v>0</v>
      </c>
      <c r="K51" s="39">
        <f t="shared" si="23"/>
        <v>0</v>
      </c>
      <c r="L51" s="39">
        <f t="shared" si="23"/>
        <v>0</v>
      </c>
      <c r="M51" s="39">
        <f t="shared" si="23"/>
        <v>0</v>
      </c>
    </row>
    <row r="52" spans="1:13" ht="16.5" hidden="1" customHeight="1">
      <c r="A52" s="5"/>
      <c r="B52" s="147"/>
      <c r="C52" s="5" t="s">
        <v>770</v>
      </c>
      <c r="D52" s="13"/>
      <c r="E52" s="13"/>
      <c r="F52" s="13"/>
      <c r="G52" s="39">
        <f>$B45/$B46</f>
        <v>0</v>
      </c>
      <c r="H52" s="39">
        <f t="shared" ref="H52:M52" si="24">H45/($B46+0.5-H$5+YEAR($B44))</f>
        <v>0</v>
      </c>
      <c r="I52" s="39">
        <f t="shared" si="24"/>
        <v>0</v>
      </c>
      <c r="J52" s="39">
        <f t="shared" si="24"/>
        <v>0</v>
      </c>
      <c r="K52" s="39">
        <f t="shared" si="24"/>
        <v>0</v>
      </c>
      <c r="L52" s="39">
        <f t="shared" si="24"/>
        <v>0</v>
      </c>
      <c r="M52" s="39">
        <f t="shared" si="24"/>
        <v>0</v>
      </c>
    </row>
    <row r="53" spans="1:13" ht="16.5" customHeight="1">
      <c r="A53" s="13" t="s">
        <v>182</v>
      </c>
      <c r="B53" s="41"/>
      <c r="C53" s="13"/>
      <c r="D53" s="13"/>
      <c r="E53" s="13"/>
      <c r="F53" s="13"/>
      <c r="G53" s="39"/>
      <c r="H53" s="39"/>
      <c r="I53" s="39"/>
      <c r="J53" s="39"/>
      <c r="K53" s="39"/>
      <c r="L53" s="39"/>
      <c r="M53" s="39"/>
    </row>
    <row r="54" spans="1:13" ht="16.5" customHeight="1">
      <c r="A54" s="13"/>
      <c r="B54" s="148"/>
      <c r="C54" s="13"/>
      <c r="D54" s="13"/>
      <c r="E54" s="13"/>
      <c r="F54" s="13"/>
      <c r="G54" s="39"/>
      <c r="H54" s="39"/>
      <c r="I54" s="39"/>
      <c r="J54" s="39"/>
      <c r="K54" s="39"/>
      <c r="L54" s="39"/>
      <c r="M54" s="39"/>
    </row>
    <row r="55" spans="1:13" ht="16.5" customHeight="1">
      <c r="A55" s="13" t="s">
        <v>828</v>
      </c>
      <c r="B55" s="14"/>
      <c r="C55" s="13"/>
      <c r="D55" s="18"/>
      <c r="E55" s="14"/>
      <c r="F55" s="13"/>
      <c r="G55" s="13"/>
      <c r="H55" s="13"/>
      <c r="I55" s="13"/>
      <c r="J55" s="13"/>
      <c r="K55" s="13"/>
      <c r="L55" s="13"/>
      <c r="M55" s="13"/>
    </row>
    <row r="56" spans="1:13" ht="16.5" customHeight="1">
      <c r="A56" s="14" t="s">
        <v>677</v>
      </c>
      <c r="B56" s="97">
        <f>DATE(H$5,7,1)</f>
        <v>46935</v>
      </c>
      <c r="C56" s="13" t="s">
        <v>639</v>
      </c>
      <c r="D56" s="44"/>
      <c r="E56" s="44"/>
      <c r="F56" s="44"/>
      <c r="G56" s="44"/>
      <c r="H56" s="73">
        <f>$B59</f>
        <v>0.06</v>
      </c>
      <c r="I56" s="73">
        <f>IF(Input!$H$61="V",Input!L$68,IF(AND(($B65=I$5),Input!L$63&gt;0),Input!L$63,H56))</f>
        <v>0.06</v>
      </c>
      <c r="J56" s="73">
        <f>IF(Input!$H$61="V",Input!M$68,IF(AND(($B65=J$5),Input!M$63&gt;0),Input!M$63,I56))</f>
        <v>0.06</v>
      </c>
      <c r="K56" s="73">
        <f>IF(Input!$H$61="V",Input!N$68,IF(AND(($B65=K$5),Input!N$63&gt;0),Input!N$63,J56))</f>
        <v>0.06</v>
      </c>
      <c r="L56" s="73">
        <f>IF(Input!$H$61="V",Input!O$68,IF(AND(($B65=L$5),Input!O$63&gt;0),Input!O$63,K56))</f>
        <v>0.06</v>
      </c>
      <c r="M56" s="73">
        <f>IF(Input!$H$61="V",Input!P$68,IF(AND(($B65=M$5),Input!P$63&gt;0),Input!P$63,L56))</f>
        <v>0.06</v>
      </c>
    </row>
    <row r="57" spans="1:13" ht="16.5" customHeight="1">
      <c r="A57" s="13" t="s">
        <v>361</v>
      </c>
      <c r="B57" s="98">
        <f>'g - Plant'!L62</f>
        <v>0</v>
      </c>
      <c r="C57" s="37" t="s">
        <v>173</v>
      </c>
      <c r="D57" s="45"/>
      <c r="E57" s="45"/>
      <c r="F57" s="45"/>
      <c r="G57" s="45"/>
      <c r="H57" s="45">
        <v>0</v>
      </c>
      <c r="I57" s="45">
        <f>H62</f>
        <v>0</v>
      </c>
      <c r="J57" s="45">
        <f>I62</f>
        <v>0</v>
      </c>
      <c r="K57" s="45">
        <f>J62</f>
        <v>0</v>
      </c>
      <c r="L57" s="45">
        <f>K62</f>
        <v>0</v>
      </c>
      <c r="M57" s="45">
        <f>L62</f>
        <v>0</v>
      </c>
    </row>
    <row r="58" spans="1:13" ht="16.5" customHeight="1">
      <c r="A58" s="14" t="s">
        <v>170</v>
      </c>
      <c r="B58" s="145">
        <v>35</v>
      </c>
      <c r="C58" s="40" t="s">
        <v>169</v>
      </c>
      <c r="D58" s="39"/>
      <c r="E58" s="39"/>
      <c r="F58" s="39"/>
      <c r="G58" s="39"/>
      <c r="H58" s="39">
        <f t="shared" ref="H58:M58" si="25">H60-H59</f>
        <v>0</v>
      </c>
      <c r="I58" s="39">
        <f t="shared" si="25"/>
        <v>0</v>
      </c>
      <c r="J58" s="39">
        <f t="shared" si="25"/>
        <v>0</v>
      </c>
      <c r="K58" s="39">
        <f t="shared" si="25"/>
        <v>0</v>
      </c>
      <c r="L58" s="39">
        <f t="shared" si="25"/>
        <v>0</v>
      </c>
      <c r="M58" s="39">
        <f t="shared" si="25"/>
        <v>0</v>
      </c>
    </row>
    <row r="59" spans="1:13" ht="16.5" customHeight="1">
      <c r="A59" s="13" t="s">
        <v>172</v>
      </c>
      <c r="B59" s="146">
        <f>IF(Input!$H$61="V",Input!K$68,IF(Input!K$63&gt;0,Input!K$63,0.05))</f>
        <v>0.06</v>
      </c>
      <c r="C59" s="13" t="s">
        <v>174</v>
      </c>
      <c r="D59" s="39"/>
      <c r="E59" s="39"/>
      <c r="F59" s="39"/>
      <c r="G59" s="39"/>
      <c r="H59" s="39">
        <f>IF($B61="Y",0,(IF($B62="Y",H64/2,FV(H56/$B60,$B60/2,H63))))</f>
        <v>0</v>
      </c>
      <c r="I59" s="39">
        <f>IF($B61="Y",0,(IF($B62="Y",I64,FV(I56/$B60,$B60,I63))))</f>
        <v>0</v>
      </c>
      <c r="J59" s="39">
        <f>IF((AND($B61="Y",$B62="Y")),J64/2,(IF($B62="Y",J64,IF($B61="Y",FV(J56/$B60,$B60/2,J63),FV(J56/$B60,$B60,J63)))))</f>
        <v>0</v>
      </c>
      <c r="K59" s="39">
        <f>IF(YEAR($B56)+$B58&lt;=K$5,K57,(IF($B62="Y",K64,FV(K56/$B60,$B60,K63))))</f>
        <v>0</v>
      </c>
      <c r="L59" s="39">
        <f>IF(YEAR($B56)+$B58&lt;=L$5,L57,(IF($B62="Y",L64,FV(L56/$B60,$B60,L63))))</f>
        <v>0</v>
      </c>
      <c r="M59" s="39">
        <f>IF(YEAR($B56)+$B58&lt;=M$5,M57,(IF($B62="Y",M64,FV(M56/$B60,$B60,M63))))</f>
        <v>0</v>
      </c>
    </row>
    <row r="60" spans="1:13" ht="16.5" customHeight="1">
      <c r="A60" s="13" t="s">
        <v>171</v>
      </c>
      <c r="B60" s="41">
        <v>12</v>
      </c>
      <c r="C60" s="74" t="s">
        <v>640</v>
      </c>
      <c r="D60" s="39"/>
      <c r="E60" s="39"/>
      <c r="F60" s="39"/>
      <c r="G60" s="39"/>
      <c r="H60" s="39">
        <f>IF($B61="Y",$B57*H56/2,IF($B62="y",H64/2+H56/2*$B57,($B57*H56/$B60-H63)*$B60/2))</f>
        <v>0</v>
      </c>
      <c r="I60" s="39">
        <f>IF($B61="Y",I56*I57,IF($B62="Y",I64+(I57-I64/2)*I56,(I57*I56/$B60-I63)*$B60))</f>
        <v>0</v>
      </c>
      <c r="J60" s="39">
        <f>IF(AND($B61="Y",$B62="Y"),J64/2+(J57-J64/4)*J56,IF($B62="Y",J64+(J57-J64/2)*J56,IF($B61="Y",(J57*J56/$B60-J63)*$B60/2+0.5*J56*J57,(J57*J56/$B60-J63)*$B60)))</f>
        <v>0</v>
      </c>
      <c r="K60" s="39">
        <f>IF(YEAR($B56)+$B58&lt;=K$5,K57+K57*K56/2,(IF($B62="Y",K64+(K57-K64/2)*K56,(K57*K56/$B60-K63)*$B60)))</f>
        <v>0</v>
      </c>
      <c r="L60" s="39">
        <f>IF(YEAR($B56)+$B58&lt;=L$5,L57+L57*L56/2,(IF($B62="Y",L64+(L57-L64/2)*L56,(L57*L56/$B60-L63)*$B60)))</f>
        <v>0</v>
      </c>
      <c r="M60" s="39">
        <f>IF(YEAR($B56)+$B58&lt;=M$5,M57+M57*M56/2,(IF($B62="Y",M64+(M57-M64/2)*M56,(M57*M56/$B60-M63)*$B60)))</f>
        <v>0</v>
      </c>
    </row>
    <row r="61" spans="1:13" ht="16.5" customHeight="1">
      <c r="A61" s="13" t="s">
        <v>360</v>
      </c>
      <c r="B61" s="41" t="str">
        <f>B49</f>
        <v>Y</v>
      </c>
      <c r="C61" s="141" t="s">
        <v>768</v>
      </c>
      <c r="D61" s="39"/>
      <c r="E61" s="39"/>
      <c r="F61" s="39"/>
      <c r="G61" s="39"/>
      <c r="H61" s="142">
        <v>0</v>
      </c>
      <c r="I61" s="142">
        <v>0</v>
      </c>
      <c r="J61" s="142">
        <v>0</v>
      </c>
      <c r="K61" s="142">
        <v>0</v>
      </c>
      <c r="L61" s="142">
        <v>0</v>
      </c>
      <c r="M61" s="142">
        <v>0</v>
      </c>
    </row>
    <row r="62" spans="1:13" s="13" customFormat="1" ht="16.5" customHeight="1">
      <c r="A62" s="13" t="s">
        <v>767</v>
      </c>
      <c r="B62" s="41" t="str">
        <f>B50</f>
        <v>N</v>
      </c>
      <c r="C62" s="34" t="s">
        <v>175</v>
      </c>
      <c r="D62" s="39"/>
      <c r="E62" s="39"/>
      <c r="F62" s="39"/>
      <c r="G62" s="39"/>
      <c r="H62" s="39">
        <f>$B57+H58-H60-H61</f>
        <v>0</v>
      </c>
      <c r="I62" s="39">
        <f>I57+I58-I60-I61</f>
        <v>0</v>
      </c>
      <c r="J62" s="39">
        <f>J57+J58-J60-J61</f>
        <v>0</v>
      </c>
      <c r="K62" s="39">
        <f>K57+K58-K60-K61</f>
        <v>0</v>
      </c>
      <c r="L62" s="39">
        <f>L57+L58-L60-L61</f>
        <v>0</v>
      </c>
      <c r="M62" s="39">
        <f>M57+M58-M60-M61</f>
        <v>0</v>
      </c>
    </row>
    <row r="63" spans="1:13" ht="16.5" hidden="1" customHeight="1">
      <c r="A63" s="5"/>
      <c r="B63" s="131"/>
      <c r="C63" s="5" t="s">
        <v>769</v>
      </c>
      <c r="D63" s="39"/>
      <c r="E63" s="39"/>
      <c r="F63" s="39"/>
      <c r="G63" s="39"/>
      <c r="H63" s="39">
        <f>PPMT(H56/$B60,1,($B58*$B60),$B57)</f>
        <v>0</v>
      </c>
      <c r="I63" s="39">
        <f>PPMT(I56/$B60,1,(YEAR($B56)+$B58+0.5-I$5)*$B60,I57)</f>
        <v>0</v>
      </c>
      <c r="J63" s="39">
        <f>PPMT(J56/$B60,1,(YEAR($B56)+$B58+0.5-J$5)*$B60,J57)</f>
        <v>0</v>
      </c>
      <c r="K63" s="39">
        <f>PPMT(K56/$B60,1,(YEAR($B56)+$B58+0.5-K$5)*$B60,K57)</f>
        <v>0</v>
      </c>
      <c r="L63" s="39">
        <f>PPMT(L56/$B60,1,(YEAR($B56)+$B58+0.5-L$5)*$B60,L57)</f>
        <v>0</v>
      </c>
      <c r="M63" s="39">
        <f>PPMT(M56/$B60,1,(YEAR($B56)+$B58+0.5-M$5)*$B60,M57)</f>
        <v>0</v>
      </c>
    </row>
    <row r="64" spans="1:13" ht="16.5" hidden="1" customHeight="1">
      <c r="A64" s="5"/>
      <c r="B64" s="147"/>
      <c r="C64" s="5" t="s">
        <v>770</v>
      </c>
      <c r="D64" s="13"/>
      <c r="E64" s="13"/>
      <c r="F64" s="13"/>
      <c r="G64" s="13"/>
      <c r="H64" s="39">
        <f>$B57/$B58</f>
        <v>0</v>
      </c>
      <c r="I64" s="39">
        <f>I57/($B58+0.5-I$5+YEAR($B56))</f>
        <v>0</v>
      </c>
      <c r="J64" s="39">
        <f>J57/($B58+0.5-J$5+YEAR($B56))</f>
        <v>0</v>
      </c>
      <c r="K64" s="39">
        <f>K57/($B58+0.5-K$5+YEAR($B56))</f>
        <v>0</v>
      </c>
      <c r="L64" s="39">
        <f>L57/($B58+0.5-L$5+YEAR($B56))</f>
        <v>0</v>
      </c>
      <c r="M64" s="39">
        <f>M57/($B58+0.5-M$5+YEAR($B56))</f>
        <v>0</v>
      </c>
    </row>
    <row r="65" spans="1:13" ht="16.5" customHeight="1">
      <c r="A65" s="13" t="s">
        <v>182</v>
      </c>
      <c r="B65" s="41"/>
      <c r="C65" s="13"/>
      <c r="D65" s="13"/>
      <c r="E65" s="13"/>
      <c r="F65" s="13"/>
      <c r="G65" s="13"/>
      <c r="H65" s="13"/>
      <c r="I65" s="13"/>
      <c r="J65" s="13"/>
      <c r="K65" s="13"/>
      <c r="L65" s="13"/>
      <c r="M65" s="13"/>
    </row>
    <row r="66" spans="1:13" ht="16.5" customHeight="1">
      <c r="A66" s="13"/>
      <c r="B66" s="41"/>
      <c r="C66" s="13"/>
      <c r="D66" s="13"/>
      <c r="E66" s="13"/>
      <c r="F66" s="13"/>
      <c r="G66" s="13"/>
      <c r="H66" s="13"/>
      <c r="I66" s="13"/>
      <c r="J66" s="13"/>
      <c r="K66" s="13"/>
      <c r="L66" s="13"/>
      <c r="M66" s="13"/>
    </row>
    <row r="67" spans="1:13" ht="16.5" customHeight="1">
      <c r="A67" s="13" t="s">
        <v>792</v>
      </c>
      <c r="B67" s="41"/>
      <c r="C67" s="13"/>
      <c r="D67" s="15">
        <f>Input!G8</f>
        <v>2024</v>
      </c>
      <c r="E67" s="15">
        <f t="shared" ref="E67:M67" si="26">D67+1</f>
        <v>2025</v>
      </c>
      <c r="F67" s="15">
        <f t="shared" si="26"/>
        <v>2026</v>
      </c>
      <c r="G67" s="15">
        <f t="shared" si="26"/>
        <v>2027</v>
      </c>
      <c r="H67" s="15">
        <f t="shared" si="26"/>
        <v>2028</v>
      </c>
      <c r="I67" s="15">
        <f t="shared" si="26"/>
        <v>2029</v>
      </c>
      <c r="J67" s="15">
        <f t="shared" si="26"/>
        <v>2030</v>
      </c>
      <c r="K67" s="15">
        <f t="shared" si="26"/>
        <v>2031</v>
      </c>
      <c r="L67" s="15">
        <f t="shared" si="26"/>
        <v>2032</v>
      </c>
      <c r="M67" s="15">
        <f t="shared" si="26"/>
        <v>2033</v>
      </c>
    </row>
    <row r="68" spans="1:13" ht="16.5" customHeight="1">
      <c r="A68" s="13"/>
      <c r="B68" s="17"/>
      <c r="C68" s="13"/>
      <c r="D68" s="15" t="s">
        <v>46</v>
      </c>
      <c r="E68" s="15" t="s">
        <v>46</v>
      </c>
      <c r="F68" s="15" t="s">
        <v>46</v>
      </c>
      <c r="G68" s="15" t="s">
        <v>46</v>
      </c>
      <c r="H68" s="15" t="s">
        <v>46</v>
      </c>
      <c r="I68" s="15" t="s">
        <v>46</v>
      </c>
      <c r="J68" s="15" t="s">
        <v>46</v>
      </c>
      <c r="K68" s="15" t="s">
        <v>46</v>
      </c>
      <c r="L68" s="15" t="s">
        <v>46</v>
      </c>
      <c r="M68" s="15" t="s">
        <v>46</v>
      </c>
    </row>
    <row r="69" spans="1:13" ht="16.5" customHeight="1">
      <c r="A69" s="13" t="s">
        <v>829</v>
      </c>
      <c r="B69" s="14"/>
      <c r="C69" s="13"/>
      <c r="D69" s="18"/>
      <c r="E69" s="14"/>
      <c r="F69" s="13"/>
      <c r="G69" s="13"/>
      <c r="H69" s="13"/>
      <c r="I69" s="13"/>
      <c r="J69" s="13"/>
      <c r="K69" s="13"/>
      <c r="L69" s="13"/>
      <c r="M69" s="13"/>
    </row>
    <row r="70" spans="1:13" ht="16.5" customHeight="1">
      <c r="A70" s="14" t="s">
        <v>677</v>
      </c>
      <c r="B70" s="97">
        <f>DATE(I$5,7,1)</f>
        <v>47300</v>
      </c>
      <c r="C70" s="13" t="s">
        <v>639</v>
      </c>
      <c r="D70" s="44"/>
      <c r="E70" s="44"/>
      <c r="F70" s="44"/>
      <c r="G70" s="44"/>
      <c r="H70" s="44"/>
      <c r="I70" s="73">
        <f>$B73</f>
        <v>0.06</v>
      </c>
      <c r="J70" s="73">
        <f>IF(Input!$H$61="V",Input!M$68,IF(AND(($B79=J$5),Input!M$63&gt;0),Input!M$63,I70))</f>
        <v>0.06</v>
      </c>
      <c r="K70" s="73">
        <f>IF(Input!$H$61="V",Input!N$68,IF(AND(($B79=K$5),Input!N$63&gt;0),Input!N$63,J70))</f>
        <v>0.06</v>
      </c>
      <c r="L70" s="73">
        <f>IF(Input!$H$61="V",Input!O$68,IF(AND(($B79=L$5),Input!O$63&gt;0),Input!O$63,K70))</f>
        <v>0.06</v>
      </c>
      <c r="M70" s="73">
        <f>IF(Input!$H$61="V",Input!P$68,IF(AND(($B79=M$5),Input!P$63&gt;0),Input!P$63,L70))</f>
        <v>0.06</v>
      </c>
    </row>
    <row r="71" spans="1:13" ht="16.5" customHeight="1">
      <c r="A71" s="13" t="s">
        <v>361</v>
      </c>
      <c r="B71" s="98">
        <f>'g - Plant'!M62</f>
        <v>0</v>
      </c>
      <c r="C71" s="37" t="s">
        <v>173</v>
      </c>
      <c r="D71" s="45"/>
      <c r="E71" s="45"/>
      <c r="F71" s="45"/>
      <c r="G71" s="45"/>
      <c r="H71" s="45"/>
      <c r="I71" s="45">
        <v>0</v>
      </c>
      <c r="J71" s="45">
        <f>I76</f>
        <v>0</v>
      </c>
      <c r="K71" s="45">
        <f>J76</f>
        <v>0</v>
      </c>
      <c r="L71" s="45">
        <f>K76</f>
        <v>0</v>
      </c>
      <c r="M71" s="45">
        <f>L76</f>
        <v>0</v>
      </c>
    </row>
    <row r="72" spans="1:13" ht="16.5" customHeight="1">
      <c r="A72" s="14" t="s">
        <v>170</v>
      </c>
      <c r="B72" s="145">
        <v>35</v>
      </c>
      <c r="C72" s="40" t="s">
        <v>169</v>
      </c>
      <c r="D72" s="39"/>
      <c r="E72" s="39"/>
      <c r="F72" s="39"/>
      <c r="G72" s="39"/>
      <c r="H72" s="39"/>
      <c r="I72" s="39">
        <f>I74-I73</f>
        <v>0</v>
      </c>
      <c r="J72" s="39">
        <f>J74-J73</f>
        <v>0</v>
      </c>
      <c r="K72" s="39">
        <f>K74-K73</f>
        <v>0</v>
      </c>
      <c r="L72" s="39">
        <f>L74-L73</f>
        <v>0</v>
      </c>
      <c r="M72" s="39">
        <f>M74-M73</f>
        <v>0</v>
      </c>
    </row>
    <row r="73" spans="1:13" ht="16.5" customHeight="1">
      <c r="A73" s="13" t="s">
        <v>172</v>
      </c>
      <c r="B73" s="146">
        <f>IF(Input!$H$61="V",Input!L$68,IF(Input!L$63&gt;0,Input!L$63,0.05))</f>
        <v>0.06</v>
      </c>
      <c r="C73" s="13" t="s">
        <v>174</v>
      </c>
      <c r="D73" s="39"/>
      <c r="E73" s="39"/>
      <c r="F73" s="39"/>
      <c r="G73" s="39"/>
      <c r="H73" s="39"/>
      <c r="I73" s="39">
        <f>IF($B75="Y",0,(IF($B76="Y",I78/2,FV(I70/$B74,$B74/2,I77))))</f>
        <v>0</v>
      </c>
      <c r="J73" s="39">
        <f>IF($B75="Y",0,(IF($B76="Y",J78,FV(J70/$B74,$B74,J77))))</f>
        <v>0</v>
      </c>
      <c r="K73" s="39">
        <f>IF((AND($B75="Y",$B76="Y")),K78/2,(IF($B76="Y",K78,IF($B75="Y",FV(K70/$B74,$B74/2,K77),FV(K70/$B74,$B74,K77)))))</f>
        <v>0</v>
      </c>
      <c r="L73" s="39">
        <f>IF(YEAR($B70)+$B72&lt;=L$5,L71,(IF($B76="Y",L78,FV(L70/$B74,$B74,L77))))</f>
        <v>0</v>
      </c>
      <c r="M73" s="39">
        <f>IF(YEAR($B70)+$B72&lt;=M$5,M71,(IF($B76="Y",M78,FV(M70/$B74,$B74,M77))))</f>
        <v>0</v>
      </c>
    </row>
    <row r="74" spans="1:13" ht="16.5" customHeight="1">
      <c r="A74" s="13" t="s">
        <v>171</v>
      </c>
      <c r="B74" s="41">
        <v>12</v>
      </c>
      <c r="C74" s="74" t="s">
        <v>640</v>
      </c>
      <c r="D74" s="39"/>
      <c r="E74" s="39"/>
      <c r="F74" s="39"/>
      <c r="G74" s="39"/>
      <c r="H74" s="39"/>
      <c r="I74" s="39">
        <f>IF($B75="Y",$B71*I70/2,IF($B76="y",I78/2+I70/2*$B71,($B71*I70/$B74-I77)*$B74/2))</f>
        <v>0</v>
      </c>
      <c r="J74" s="39">
        <f>IF($B75="Y",J70*J71,IF($B76="Y",J78+(J71-J78/2)*J70,(J71*J70/$B74-J77)*$B74))</f>
        <v>0</v>
      </c>
      <c r="K74" s="39">
        <f>IF(AND($B75="Y",$B76="Y"),K78/2+(K71-K78/4)*K70,IF($B76="Y",K78+(K71-K78/2)*K70,IF($B75="Y",(K71*K70/$B74-K77)*$B74/2+0.5*K70*K71,(K71*K70/$B74-K77)*$B74)))</f>
        <v>0</v>
      </c>
      <c r="L74" s="39">
        <f>IF(YEAR($B70)+$B72&lt;=L$5,L71+L71*L70/2,(IF($B76="Y",L78+(L71-L78/2)*L70,(L71*L70/$B74-L77)*$B74)))</f>
        <v>0</v>
      </c>
      <c r="M74" s="39">
        <f>IF(YEAR($B70)+$B72&lt;=M$5,M71+M71*M70/2,(IF($B76="Y",M78+(M71-M78/2)*M70,(M71*M70/$B74-M77)*$B74)))</f>
        <v>0</v>
      </c>
    </row>
    <row r="75" spans="1:13" ht="16.5" customHeight="1">
      <c r="A75" s="13" t="s">
        <v>360</v>
      </c>
      <c r="B75" s="41" t="str">
        <f>B61</f>
        <v>Y</v>
      </c>
      <c r="C75" s="141" t="s">
        <v>768</v>
      </c>
      <c r="D75" s="39"/>
      <c r="E75" s="39"/>
      <c r="F75" s="39"/>
      <c r="G75" s="39"/>
      <c r="H75" s="39"/>
      <c r="I75" s="142">
        <v>0</v>
      </c>
      <c r="J75" s="142">
        <v>0</v>
      </c>
      <c r="K75" s="142">
        <v>0</v>
      </c>
      <c r="L75" s="142">
        <v>0</v>
      </c>
      <c r="M75" s="142">
        <v>0</v>
      </c>
    </row>
    <row r="76" spans="1:13" s="13" customFormat="1" ht="16.5" customHeight="1">
      <c r="A76" s="13" t="s">
        <v>767</v>
      </c>
      <c r="B76" s="41" t="str">
        <f>B62</f>
        <v>N</v>
      </c>
      <c r="C76" s="34" t="s">
        <v>175</v>
      </c>
      <c r="D76" s="39"/>
      <c r="E76" s="39"/>
      <c r="F76" s="39"/>
      <c r="G76" s="39"/>
      <c r="H76" s="39"/>
      <c r="I76" s="39">
        <f>$B71+I72-I74-I75</f>
        <v>0</v>
      </c>
      <c r="J76" s="39">
        <f>J71+J72-J74-J75</f>
        <v>0</v>
      </c>
      <c r="K76" s="39">
        <f>K71+K72-K74-K75</f>
        <v>0</v>
      </c>
      <c r="L76" s="39">
        <f>L71+L72-L74-L75</f>
        <v>0</v>
      </c>
      <c r="M76" s="39">
        <f>M71+M72-M74-M75</f>
        <v>0</v>
      </c>
    </row>
    <row r="77" spans="1:13" ht="16.5" hidden="1" customHeight="1">
      <c r="A77" s="5"/>
      <c r="B77" s="131"/>
      <c r="C77" s="5" t="s">
        <v>769</v>
      </c>
      <c r="D77" s="13"/>
      <c r="E77" s="13"/>
      <c r="F77" s="13"/>
      <c r="G77" s="13"/>
      <c r="H77" s="13"/>
      <c r="I77" s="39">
        <f>PPMT(I70/$B74,1,($B72*$B74),$B71)</f>
        <v>0</v>
      </c>
      <c r="J77" s="39">
        <f>PPMT(J70/$B74,1,(YEAR($B70)+$B72+0.5-J$5)*$B74,J71)</f>
        <v>0</v>
      </c>
      <c r="K77" s="39">
        <f>PPMT(K70/$B74,1,(YEAR($B70)+$B72+0.5-K$5)*$B74,K71)</f>
        <v>0</v>
      </c>
      <c r="L77" s="39">
        <f>PPMT(L70/$B74,1,(YEAR($B70)+$B72+0.5-L$5)*$B74,L71)</f>
        <v>0</v>
      </c>
      <c r="M77" s="39">
        <f>PPMT(M70/$B74,1,(YEAR($B70)+$B72+0.5-M$5)*$B74,M71)</f>
        <v>0</v>
      </c>
    </row>
    <row r="78" spans="1:13" ht="16.5" hidden="1" customHeight="1">
      <c r="A78" s="5"/>
      <c r="B78" s="147"/>
      <c r="C78" s="5" t="s">
        <v>770</v>
      </c>
      <c r="D78" s="13"/>
      <c r="E78" s="13"/>
      <c r="F78" s="13"/>
      <c r="G78" s="13"/>
      <c r="H78" s="13"/>
      <c r="I78" s="39">
        <f>$B71/$B72</f>
        <v>0</v>
      </c>
      <c r="J78" s="39">
        <f>J71/($B72+0.5-J$5+YEAR($B70))</f>
        <v>0</v>
      </c>
      <c r="K78" s="39">
        <f>K71/($B72+0.5-K$5+YEAR($B70))</f>
        <v>0</v>
      </c>
      <c r="L78" s="39">
        <f>L71/($B72+0.5-L$5+YEAR($B70))</f>
        <v>0</v>
      </c>
      <c r="M78" s="39">
        <f>M71/($B72+0.5-M$5+YEAR($B70))</f>
        <v>0</v>
      </c>
    </row>
    <row r="79" spans="1:13" ht="16.5" customHeight="1">
      <c r="A79" s="13" t="s">
        <v>182</v>
      </c>
      <c r="B79" s="41"/>
      <c r="C79" s="13"/>
      <c r="D79" s="13"/>
      <c r="E79" s="13"/>
      <c r="F79" s="13"/>
      <c r="G79" s="13"/>
      <c r="H79" s="13"/>
      <c r="I79" s="39"/>
      <c r="J79" s="39"/>
      <c r="K79" s="39"/>
      <c r="L79" s="39"/>
      <c r="M79" s="39"/>
    </row>
    <row r="80" spans="1:13" ht="16.5" customHeight="1">
      <c r="A80" s="13"/>
      <c r="B80" s="119"/>
      <c r="C80" s="5"/>
      <c r="D80" s="13"/>
      <c r="E80" s="13"/>
      <c r="F80" s="13"/>
      <c r="G80" s="13"/>
      <c r="H80" s="13"/>
      <c r="I80" s="39"/>
      <c r="J80" s="39"/>
      <c r="K80" s="39"/>
      <c r="L80" s="39"/>
      <c r="M80" s="39"/>
    </row>
    <row r="81" spans="1:13" ht="16.5" customHeight="1">
      <c r="A81" s="13" t="s">
        <v>830</v>
      </c>
      <c r="B81" s="14"/>
      <c r="C81" s="13"/>
      <c r="D81" s="18"/>
      <c r="E81" s="14"/>
      <c r="F81" s="13"/>
      <c r="G81" s="13"/>
      <c r="H81" s="13"/>
      <c r="I81" s="13"/>
      <c r="J81" s="13"/>
      <c r="K81" s="13"/>
      <c r="L81" s="13"/>
      <c r="M81" s="13"/>
    </row>
    <row r="82" spans="1:13" ht="16.5" customHeight="1">
      <c r="A82" s="14" t="s">
        <v>677</v>
      </c>
      <c r="B82" s="97">
        <f>DATE(J$5,7,1)</f>
        <v>47665</v>
      </c>
      <c r="C82" s="13" t="s">
        <v>639</v>
      </c>
      <c r="D82" s="44"/>
      <c r="E82" s="44"/>
      <c r="F82" s="44"/>
      <c r="G82" s="44"/>
      <c r="H82" s="44"/>
      <c r="I82" s="44"/>
      <c r="J82" s="73">
        <f>$B85</f>
        <v>0.06</v>
      </c>
      <c r="K82" s="73">
        <f>IF(Input!$H$61="V",Input!N$68,IF(AND(($B91=K$5),Input!N$63&gt;0),Input!N$63,J82))</f>
        <v>0.06</v>
      </c>
      <c r="L82" s="73">
        <f>IF(Input!$H$61="V",Input!O$68,IF(AND(($B91=L$5),Input!O$63&gt;0),Input!O$63,K82))</f>
        <v>0.06</v>
      </c>
      <c r="M82" s="73">
        <f>IF(Input!$H$61="V",Input!P$68,IF(AND(($B91=M$5),Input!P$63&gt;0),Input!P$63,L82))</f>
        <v>0.06</v>
      </c>
    </row>
    <row r="83" spans="1:13" ht="16.5" customHeight="1">
      <c r="A83" s="13" t="s">
        <v>361</v>
      </c>
      <c r="B83" s="98">
        <f>'g - Plant'!N62</f>
        <v>0</v>
      </c>
      <c r="C83" s="37" t="s">
        <v>173</v>
      </c>
      <c r="D83" s="45"/>
      <c r="E83" s="45"/>
      <c r="F83" s="45"/>
      <c r="G83" s="45"/>
      <c r="H83" s="45"/>
      <c r="I83" s="45"/>
      <c r="J83" s="45">
        <v>0</v>
      </c>
      <c r="K83" s="45">
        <f>J88</f>
        <v>0</v>
      </c>
      <c r="L83" s="45">
        <f>K88</f>
        <v>0</v>
      </c>
      <c r="M83" s="45">
        <f>L88</f>
        <v>0</v>
      </c>
    </row>
    <row r="84" spans="1:13" ht="16.5" customHeight="1">
      <c r="A84" s="14" t="s">
        <v>170</v>
      </c>
      <c r="B84" s="145">
        <v>35</v>
      </c>
      <c r="C84" s="40" t="s">
        <v>169</v>
      </c>
      <c r="D84" s="39"/>
      <c r="E84" s="39"/>
      <c r="F84" s="39"/>
      <c r="G84" s="39"/>
      <c r="H84" s="39"/>
      <c r="I84" s="39"/>
      <c r="J84" s="39">
        <f>J86-J85</f>
        <v>0</v>
      </c>
      <c r="K84" s="39">
        <f>K86-K85</f>
        <v>0</v>
      </c>
      <c r="L84" s="39">
        <f>L86-L85</f>
        <v>0</v>
      </c>
      <c r="M84" s="39">
        <f>M86-M85</f>
        <v>0</v>
      </c>
    </row>
    <row r="85" spans="1:13" ht="16.5" customHeight="1">
      <c r="A85" s="13" t="s">
        <v>172</v>
      </c>
      <c r="B85" s="146">
        <f>IF(Input!$H$61="V",Input!M$68,IF(Input!M$63&gt;0,Input!M$63,0.05))</f>
        <v>0.06</v>
      </c>
      <c r="C85" s="13" t="s">
        <v>174</v>
      </c>
      <c r="D85" s="39"/>
      <c r="E85" s="39"/>
      <c r="F85" s="39"/>
      <c r="G85" s="39"/>
      <c r="H85" s="39"/>
      <c r="I85" s="39"/>
      <c r="J85" s="39">
        <f>IF($B87="Y",0,(IF($B88="Y",J90/2,FV(J82/$B86,$B86/2,J89))))</f>
        <v>0</v>
      </c>
      <c r="K85" s="39">
        <f>IF($B87="Y",0,(IF($B88="Y",K90,FV(K82/$B86,$B86,K89))))</f>
        <v>0</v>
      </c>
      <c r="L85" s="39">
        <f>IF((AND($B87="Y",$B88="Y")),L90/2,(IF($B88="Y",L90,IF($B87="Y",FV(L82/$B86,$B86/2,L89),FV(L82/$B86,$B86,L89)))))</f>
        <v>0</v>
      </c>
      <c r="M85" s="39">
        <f>IF(YEAR($B82)+$B84&lt;=M$5,M83,(IF($B88="Y",M90,FV(M82/$B86,$B86,M89))))</f>
        <v>0</v>
      </c>
    </row>
    <row r="86" spans="1:13" ht="16.5" customHeight="1">
      <c r="A86" s="13" t="s">
        <v>171</v>
      </c>
      <c r="B86" s="41">
        <v>12</v>
      </c>
      <c r="C86" s="74" t="s">
        <v>640</v>
      </c>
      <c r="D86" s="39"/>
      <c r="E86" s="39"/>
      <c r="F86" s="39"/>
      <c r="G86" s="39"/>
      <c r="H86" s="39"/>
      <c r="I86" s="39"/>
      <c r="J86" s="39">
        <f>IF($B87="Y",$B83*J82/2,IF($B88="y",J90/2+J82/2*$B83,($B83*J82/$B86-J89)*$B86/2))</f>
        <v>0</v>
      </c>
      <c r="K86" s="39">
        <f>IF($B87="Y",K82*K83,IF($B88="Y",K90+(K83-K90/2)*K82,(K83*K82/$B86-K89)*$B86))</f>
        <v>0</v>
      </c>
      <c r="L86" s="39">
        <f>IF(AND($B87="Y",$B88="Y"),L90/2+(L83-L90/4)*L82,IF($B88="Y",L90+(L83-L90/2)*L82,IF($B87="Y",(L83*L82/$B86-L89)*$B86/2+0.5*L82*L83,(L83*L82/$B86-L89)*$B86)))</f>
        <v>0</v>
      </c>
      <c r="M86" s="39">
        <f>IF(YEAR($B82)+$B84&lt;=M$5,M83+M83*M82/2,(IF($B88="Y",M90+(M83-M90/2)*M82,(M83*M82/$B86-M89)*$B86)))</f>
        <v>0</v>
      </c>
    </row>
    <row r="87" spans="1:13" ht="16.5" customHeight="1">
      <c r="A87" s="13" t="s">
        <v>360</v>
      </c>
      <c r="B87" s="41" t="str">
        <f>B75</f>
        <v>Y</v>
      </c>
      <c r="C87" s="141" t="s">
        <v>768</v>
      </c>
      <c r="D87" s="39"/>
      <c r="E87" s="39"/>
      <c r="F87" s="39"/>
      <c r="G87" s="39"/>
      <c r="H87" s="39"/>
      <c r="I87" s="39"/>
      <c r="J87" s="142">
        <v>0</v>
      </c>
      <c r="K87" s="142">
        <v>0</v>
      </c>
      <c r="L87" s="142">
        <v>0</v>
      </c>
      <c r="M87" s="142">
        <v>0</v>
      </c>
    </row>
    <row r="88" spans="1:13" s="13" customFormat="1" ht="16.5" customHeight="1">
      <c r="A88" s="13" t="s">
        <v>767</v>
      </c>
      <c r="B88" s="41" t="str">
        <f>B76</f>
        <v>N</v>
      </c>
      <c r="C88" s="34" t="s">
        <v>175</v>
      </c>
      <c r="D88" s="39"/>
      <c r="E88" s="39"/>
      <c r="F88" s="39"/>
      <c r="G88" s="39"/>
      <c r="H88" s="39"/>
      <c r="I88" s="39"/>
      <c r="J88" s="39">
        <f>$B83+J84-J86-J87</f>
        <v>0</v>
      </c>
      <c r="K88" s="39">
        <f>K83+K84-K86-K87</f>
        <v>0</v>
      </c>
      <c r="L88" s="39">
        <f>L83+L84-L86-L87</f>
        <v>0</v>
      </c>
      <c r="M88" s="39">
        <f>M83+M84-M86-M87</f>
        <v>0</v>
      </c>
    </row>
    <row r="89" spans="1:13" ht="16.5" hidden="1" customHeight="1">
      <c r="A89" s="5"/>
      <c r="B89" s="131"/>
      <c r="C89" s="5" t="s">
        <v>769</v>
      </c>
      <c r="D89" s="13"/>
      <c r="E89" s="13"/>
      <c r="F89" s="13"/>
      <c r="G89" s="13"/>
      <c r="H89" s="13"/>
      <c r="I89" s="13"/>
      <c r="J89" s="39">
        <f>PPMT(J82/$B86,1,($B84*$B86),$B83)</f>
        <v>0</v>
      </c>
      <c r="K89" s="39">
        <f>PPMT(K82/$B86,1,(YEAR($B82)+$B84+0.5-K$5)*$B86,K83)</f>
        <v>0</v>
      </c>
      <c r="L89" s="39">
        <f>PPMT(L82/$B86,1,(YEAR($B82)+$B84+0.5-L$5)*$B86,L83)</f>
        <v>0</v>
      </c>
      <c r="M89" s="39">
        <f>PPMT(M82/$B86,1,(YEAR($B82)+$B84+0.5-M$5)*$B86,M83)</f>
        <v>0</v>
      </c>
    </row>
    <row r="90" spans="1:13" ht="16.5" hidden="1" customHeight="1">
      <c r="A90" s="5"/>
      <c r="B90" s="147"/>
      <c r="C90" s="5" t="s">
        <v>770</v>
      </c>
      <c r="D90" s="13"/>
      <c r="E90" s="13"/>
      <c r="F90" s="13"/>
      <c r="G90" s="13"/>
      <c r="H90" s="13"/>
      <c r="I90" s="13"/>
      <c r="J90" s="39">
        <f>$B83/$B84</f>
        <v>0</v>
      </c>
      <c r="K90" s="39">
        <f>K83/($B84+0.5-K$5+YEAR($B82))</f>
        <v>0</v>
      </c>
      <c r="L90" s="39">
        <f>L83/($B84+0.5-L$5+YEAR($B82))</f>
        <v>0</v>
      </c>
      <c r="M90" s="39">
        <f>M83/($B84+0.5-M$5+YEAR($B82))</f>
        <v>0</v>
      </c>
    </row>
    <row r="91" spans="1:13" ht="16.5" customHeight="1">
      <c r="A91" s="13" t="s">
        <v>182</v>
      </c>
      <c r="B91" s="41"/>
      <c r="C91" s="13"/>
      <c r="D91" s="13"/>
      <c r="E91" s="13"/>
      <c r="F91" s="13"/>
      <c r="G91" s="13"/>
      <c r="H91" s="13"/>
      <c r="I91" s="13"/>
      <c r="J91" s="39"/>
      <c r="K91" s="39"/>
      <c r="L91" s="39"/>
      <c r="M91" s="39"/>
    </row>
    <row r="92" spans="1:13" ht="16.5" customHeight="1">
      <c r="A92" s="13"/>
      <c r="B92" s="138"/>
      <c r="C92" s="5"/>
      <c r="D92" s="13"/>
      <c r="E92" s="13"/>
      <c r="F92" s="13"/>
      <c r="G92" s="13"/>
      <c r="H92" s="13"/>
      <c r="I92" s="13"/>
      <c r="J92" s="39"/>
      <c r="K92" s="39"/>
      <c r="L92" s="39"/>
      <c r="M92" s="39"/>
    </row>
    <row r="93" spans="1:13" ht="16.5" customHeight="1">
      <c r="A93" s="13" t="s">
        <v>831</v>
      </c>
      <c r="B93" s="14"/>
      <c r="C93" s="13"/>
      <c r="D93" s="18"/>
      <c r="E93" s="14"/>
      <c r="F93" s="13"/>
      <c r="G93" s="13"/>
      <c r="H93" s="13"/>
      <c r="I93" s="13"/>
      <c r="J93" s="13"/>
      <c r="K93" s="13"/>
      <c r="L93" s="13"/>
      <c r="M93" s="13"/>
    </row>
    <row r="94" spans="1:13" ht="16.5" customHeight="1">
      <c r="A94" s="14" t="s">
        <v>677</v>
      </c>
      <c r="B94" s="97">
        <f>DATE(K$5,7,1)</f>
        <v>48030</v>
      </c>
      <c r="C94" s="13" t="s">
        <v>639</v>
      </c>
      <c r="D94" s="44"/>
      <c r="E94" s="44"/>
      <c r="F94" s="44"/>
      <c r="G94" s="44"/>
      <c r="H94" s="44"/>
      <c r="I94" s="44"/>
      <c r="J94" s="44"/>
      <c r="K94" s="73">
        <f>$B97</f>
        <v>0.06</v>
      </c>
      <c r="L94" s="73">
        <f>IF(Input!$H$61="V",Input!O$68,IF(AND(($B103=L$5),Input!O$63&gt;0),Input!O$63,K94))</f>
        <v>0.06</v>
      </c>
      <c r="M94" s="73">
        <f>IF(Input!$H$61="V",Input!P$68,IF(AND(($B103=M$5),Input!P$63&gt;0),Input!P$63,L94))</f>
        <v>0.06</v>
      </c>
    </row>
    <row r="95" spans="1:13" ht="16.5" customHeight="1">
      <c r="A95" s="13" t="s">
        <v>361</v>
      </c>
      <c r="B95" s="98">
        <f>'g - Plant'!O62</f>
        <v>0</v>
      </c>
      <c r="C95" s="37" t="s">
        <v>173</v>
      </c>
      <c r="D95" s="45"/>
      <c r="E95" s="45"/>
      <c r="F95" s="45"/>
      <c r="G95" s="45"/>
      <c r="H95" s="45"/>
      <c r="I95" s="45"/>
      <c r="J95" s="45"/>
      <c r="K95" s="45">
        <v>0</v>
      </c>
      <c r="L95" s="45">
        <f>K100</f>
        <v>0</v>
      </c>
      <c r="M95" s="45">
        <f>L100</f>
        <v>0</v>
      </c>
    </row>
    <row r="96" spans="1:13" ht="16.5" customHeight="1">
      <c r="A96" s="14" t="s">
        <v>170</v>
      </c>
      <c r="B96" s="145">
        <v>35</v>
      </c>
      <c r="C96" s="40" t="s">
        <v>169</v>
      </c>
      <c r="D96" s="39"/>
      <c r="E96" s="39"/>
      <c r="F96" s="39"/>
      <c r="G96" s="39"/>
      <c r="H96" s="39"/>
      <c r="I96" s="39"/>
      <c r="J96" s="39"/>
      <c r="K96" s="39">
        <f>K98-K97</f>
        <v>0</v>
      </c>
      <c r="L96" s="39">
        <f>L98-L97</f>
        <v>0</v>
      </c>
      <c r="M96" s="39">
        <f>M98-M97</f>
        <v>0</v>
      </c>
    </row>
    <row r="97" spans="1:13" ht="16.5" customHeight="1">
      <c r="A97" s="13" t="s">
        <v>172</v>
      </c>
      <c r="B97" s="146">
        <f>IF(Input!$H$61="V",Input!N$68,IF(Input!N$63&gt;0,Input!N$63,0.05))</f>
        <v>0.06</v>
      </c>
      <c r="C97" s="13" t="s">
        <v>174</v>
      </c>
      <c r="D97" s="39"/>
      <c r="E97" s="39"/>
      <c r="F97" s="39"/>
      <c r="G97" s="39"/>
      <c r="H97" s="39"/>
      <c r="I97" s="39"/>
      <c r="J97" s="39"/>
      <c r="K97" s="39">
        <f>IF($B99="Y",0,(IF($B100="Y",K102/2,FV(K94/$B98,$B98/2,K101))))</f>
        <v>0</v>
      </c>
      <c r="L97" s="39">
        <f>IF($B99="Y",0,(IF($B100="Y",L102,FV(L94/$B98,$B98,L101))))</f>
        <v>0</v>
      </c>
      <c r="M97" s="39">
        <f>IF((AND($B99="Y",$B100="Y")),M102/2,(IF($B100="Y",M102,IF($B99="Y",FV(M94/$B98,$B98/2,M101),FV(M94/$B98,$B98,M101)))))</f>
        <v>0</v>
      </c>
    </row>
    <row r="98" spans="1:13" ht="16.5" customHeight="1">
      <c r="A98" s="13" t="s">
        <v>171</v>
      </c>
      <c r="B98" s="41">
        <v>12</v>
      </c>
      <c r="C98" s="74" t="s">
        <v>640</v>
      </c>
      <c r="D98" s="39"/>
      <c r="E98" s="39"/>
      <c r="F98" s="39"/>
      <c r="G98" s="39"/>
      <c r="H98" s="39"/>
      <c r="I98" s="39"/>
      <c r="J98" s="39"/>
      <c r="K98" s="39">
        <f>IF($B99="Y",$B95*K94/2,IF($B100="y",K102/2+K94/2*$B95,($B95*K94/$B98-K101)*$B98/2))</f>
        <v>0</v>
      </c>
      <c r="L98" s="39">
        <f>IF($B99="Y",L94*L95,IF($B100="Y",L102+(L95-L102/2)*L94,(L95*L94/$B98-L101)*$B98))</f>
        <v>0</v>
      </c>
      <c r="M98" s="39">
        <f>IF(AND($B99="Y",$B100="Y"),M102/2+(M95-M102/4)*M94,IF($B100="Y",M102+(M95-M102/2)*M94,IF($B99="Y",(M95*M94/$B98-M101)*$B98/2+0.5*M94*M95,(M95*M94/$B98-M101)*$B98)))</f>
        <v>0</v>
      </c>
    </row>
    <row r="99" spans="1:13" ht="16.5" customHeight="1">
      <c r="A99" s="13" t="s">
        <v>360</v>
      </c>
      <c r="B99" s="41" t="str">
        <f>B87</f>
        <v>Y</v>
      </c>
      <c r="C99" s="141" t="s">
        <v>768</v>
      </c>
      <c r="D99" s="39"/>
      <c r="E99" s="39"/>
      <c r="F99" s="39"/>
      <c r="G99" s="39"/>
      <c r="H99" s="39"/>
      <c r="I99" s="39"/>
      <c r="J99" s="39"/>
      <c r="K99" s="142">
        <v>0</v>
      </c>
      <c r="L99" s="142">
        <v>0</v>
      </c>
      <c r="M99" s="142">
        <v>0</v>
      </c>
    </row>
    <row r="100" spans="1:13" s="13" customFormat="1" ht="16.5" customHeight="1">
      <c r="A100" s="13" t="s">
        <v>767</v>
      </c>
      <c r="B100" s="41" t="str">
        <f>B88</f>
        <v>N</v>
      </c>
      <c r="C100" s="34" t="s">
        <v>175</v>
      </c>
      <c r="D100" s="39"/>
      <c r="E100" s="39"/>
      <c r="F100" s="39"/>
      <c r="G100" s="39"/>
      <c r="H100" s="39"/>
      <c r="I100" s="39"/>
      <c r="J100" s="39"/>
      <c r="K100" s="39">
        <f>$B95+K96-K98-K99</f>
        <v>0</v>
      </c>
      <c r="L100" s="39">
        <f>L95+L96-L98-L99</f>
        <v>0</v>
      </c>
      <c r="M100" s="39">
        <f>M95+M96-M98-M99</f>
        <v>0</v>
      </c>
    </row>
    <row r="101" spans="1:13" ht="16.5" hidden="1" customHeight="1">
      <c r="A101" s="5"/>
      <c r="B101" s="131"/>
      <c r="C101" s="5" t="s">
        <v>769</v>
      </c>
      <c r="D101" s="13"/>
      <c r="E101" s="13"/>
      <c r="F101" s="13"/>
      <c r="G101" s="13"/>
      <c r="H101" s="13"/>
      <c r="I101" s="13"/>
      <c r="J101" s="13"/>
      <c r="K101" s="39">
        <f>PPMT(K94/$B98,1,($B96*$B98),$B95)</f>
        <v>0</v>
      </c>
      <c r="L101" s="39">
        <f>PPMT(L94/$B98,1,(YEAR($B94)+$B96+0.5-L$5)*$B98,L95)</f>
        <v>0</v>
      </c>
      <c r="M101" s="39">
        <f>PPMT(M94/$B98,1,(YEAR($B94)+$B96+0.5-M$5)*$B98,M95)</f>
        <v>0</v>
      </c>
    </row>
    <row r="102" spans="1:13" ht="16.5" hidden="1" customHeight="1">
      <c r="A102" s="5"/>
      <c r="B102" s="147"/>
      <c r="C102" s="5" t="s">
        <v>770</v>
      </c>
      <c r="D102" s="13"/>
      <c r="E102" s="13"/>
      <c r="F102" s="13"/>
      <c r="G102" s="13"/>
      <c r="H102" s="13"/>
      <c r="I102" s="13"/>
      <c r="J102" s="13"/>
      <c r="K102" s="39">
        <f>$B95/$B96</f>
        <v>0</v>
      </c>
      <c r="L102" s="39">
        <f>L95/($B96+0.5-L$5+YEAR($B94))</f>
        <v>0</v>
      </c>
      <c r="M102" s="39">
        <f>M95/($B96+0.5-M$5+YEAR($B94))</f>
        <v>0</v>
      </c>
    </row>
    <row r="103" spans="1:13" ht="16.5" customHeight="1">
      <c r="A103" s="13" t="s">
        <v>182</v>
      </c>
      <c r="B103" s="41"/>
      <c r="C103" s="13"/>
      <c r="D103" s="13"/>
      <c r="E103" s="13"/>
      <c r="F103" s="13"/>
      <c r="G103" s="13"/>
      <c r="H103" s="13"/>
      <c r="I103" s="13"/>
      <c r="J103" s="13"/>
      <c r="K103" s="39"/>
      <c r="L103" s="39"/>
      <c r="M103" s="39"/>
    </row>
    <row r="104" spans="1:13" ht="16.5" customHeight="1">
      <c r="A104" s="13"/>
      <c r="B104" s="138"/>
      <c r="C104" s="5"/>
      <c r="D104" s="13"/>
      <c r="E104" s="13"/>
      <c r="F104" s="13"/>
      <c r="G104" s="13"/>
      <c r="H104" s="13"/>
      <c r="I104" s="13"/>
      <c r="J104" s="13"/>
      <c r="K104" s="39"/>
      <c r="L104" s="39"/>
      <c r="M104" s="39"/>
    </row>
    <row r="105" spans="1:13" ht="16.5" customHeight="1">
      <c r="A105" s="13" t="s">
        <v>832</v>
      </c>
      <c r="B105" s="14"/>
      <c r="C105" s="13"/>
      <c r="D105" s="18"/>
      <c r="E105" s="14"/>
      <c r="F105" s="13"/>
      <c r="G105" s="13"/>
      <c r="H105" s="13"/>
      <c r="I105" s="13"/>
      <c r="J105" s="13"/>
      <c r="K105" s="13"/>
      <c r="L105" s="13"/>
      <c r="M105" s="13"/>
    </row>
    <row r="106" spans="1:13" ht="16.5" customHeight="1">
      <c r="A106" s="14" t="s">
        <v>677</v>
      </c>
      <c r="B106" s="97">
        <f>DATE(L$5,7,1)</f>
        <v>48396</v>
      </c>
      <c r="C106" s="13" t="s">
        <v>639</v>
      </c>
      <c r="D106" s="44"/>
      <c r="E106" s="44"/>
      <c r="F106" s="44"/>
      <c r="G106" s="44"/>
      <c r="H106" s="44"/>
      <c r="I106" s="44"/>
      <c r="J106" s="44"/>
      <c r="K106" s="44"/>
      <c r="L106" s="73">
        <f>$B109</f>
        <v>0.06</v>
      </c>
      <c r="M106" s="73">
        <f>IF(Input!$H$61="V",Input!P$68,IF(AND(($B115=M$5),Input!P$63&gt;0),Input!P$63,L106))</f>
        <v>0.06</v>
      </c>
    </row>
    <row r="107" spans="1:13" ht="16.5" customHeight="1">
      <c r="A107" s="13" t="s">
        <v>361</v>
      </c>
      <c r="B107" s="98">
        <f>'g - Plant'!P62</f>
        <v>0</v>
      </c>
      <c r="C107" s="37" t="s">
        <v>173</v>
      </c>
      <c r="D107" s="45"/>
      <c r="E107" s="45"/>
      <c r="F107" s="45"/>
      <c r="G107" s="45"/>
      <c r="H107" s="45"/>
      <c r="I107" s="45"/>
      <c r="J107" s="45"/>
      <c r="K107" s="45"/>
      <c r="L107" s="45">
        <v>0</v>
      </c>
      <c r="M107" s="45">
        <f>L112</f>
        <v>0</v>
      </c>
    </row>
    <row r="108" spans="1:13" ht="16.5" customHeight="1">
      <c r="A108" s="14" t="s">
        <v>170</v>
      </c>
      <c r="B108" s="145">
        <v>35</v>
      </c>
      <c r="C108" s="40" t="s">
        <v>169</v>
      </c>
      <c r="D108" s="39"/>
      <c r="E108" s="39"/>
      <c r="F108" s="39"/>
      <c r="G108" s="39"/>
      <c r="H108" s="39"/>
      <c r="I108" s="39"/>
      <c r="J108" s="39"/>
      <c r="K108" s="39"/>
      <c r="L108" s="39">
        <f>L110-L109</f>
        <v>0</v>
      </c>
      <c r="M108" s="39">
        <f>M110-M109</f>
        <v>0</v>
      </c>
    </row>
    <row r="109" spans="1:13" ht="16.5" customHeight="1">
      <c r="A109" s="13" t="s">
        <v>172</v>
      </c>
      <c r="B109" s="146">
        <f>IF(Input!$H$61="V",Input!O$68,IF(Input!O$63&gt;0,Input!O$63,0.05))</f>
        <v>0.06</v>
      </c>
      <c r="C109" s="13" t="s">
        <v>174</v>
      </c>
      <c r="D109" s="39"/>
      <c r="E109" s="39"/>
      <c r="F109" s="39"/>
      <c r="G109" s="39"/>
      <c r="H109" s="39"/>
      <c r="I109" s="39"/>
      <c r="J109" s="39"/>
      <c r="K109" s="39"/>
      <c r="L109" s="39">
        <f>IF($B111="Y",0,(IF($B112="Y",L114/2,FV(L106/$B110,$B110/2,L113))))</f>
        <v>0</v>
      </c>
      <c r="M109" s="39">
        <f>IF($B111="Y",0,(IF($B112="Y",M114,FV(M106/$B110,$B110,M113))))</f>
        <v>0</v>
      </c>
    </row>
    <row r="110" spans="1:13" ht="16.5" customHeight="1">
      <c r="A110" s="13" t="s">
        <v>171</v>
      </c>
      <c r="B110" s="41">
        <v>12</v>
      </c>
      <c r="C110" s="74" t="s">
        <v>640</v>
      </c>
      <c r="D110" s="39"/>
      <c r="E110" s="39"/>
      <c r="F110" s="39"/>
      <c r="G110" s="39"/>
      <c r="H110" s="39"/>
      <c r="I110" s="39"/>
      <c r="J110" s="39"/>
      <c r="K110" s="39"/>
      <c r="L110" s="39">
        <f>IF($B111="Y",$B107*L106/2,IF($B112="y",L114/2+L106/2*$B107,($B107*L106/$B110-L113)*$B110/2))</f>
        <v>0</v>
      </c>
      <c r="M110" s="39">
        <f>IF($B111="Y",M106*M107,IF($B112="Y",M114+(M107-M114/2)*M106,(M107*M106/$B110-M113)*$B110))</f>
        <v>0</v>
      </c>
    </row>
    <row r="111" spans="1:13" ht="16.5" customHeight="1">
      <c r="A111" s="13" t="s">
        <v>360</v>
      </c>
      <c r="B111" s="41" t="str">
        <f>B99</f>
        <v>Y</v>
      </c>
      <c r="C111" s="141" t="s">
        <v>768</v>
      </c>
      <c r="D111" s="39"/>
      <c r="E111" s="39"/>
      <c r="F111" s="39"/>
      <c r="G111" s="39"/>
      <c r="H111" s="39"/>
      <c r="I111" s="39"/>
      <c r="J111" s="39"/>
      <c r="K111" s="39"/>
      <c r="L111" s="142">
        <v>0</v>
      </c>
      <c r="M111" s="142">
        <v>0</v>
      </c>
    </row>
    <row r="112" spans="1:13" s="13" customFormat="1" ht="16.5" customHeight="1">
      <c r="A112" s="13" t="s">
        <v>767</v>
      </c>
      <c r="B112" s="41" t="str">
        <f>B100</f>
        <v>N</v>
      </c>
      <c r="C112" s="34" t="s">
        <v>175</v>
      </c>
      <c r="D112" s="39"/>
      <c r="E112" s="39"/>
      <c r="F112" s="39"/>
      <c r="G112" s="39"/>
      <c r="H112" s="39"/>
      <c r="I112" s="39"/>
      <c r="J112" s="39"/>
      <c r="K112" s="39"/>
      <c r="L112" s="39">
        <f>$B107+L108-L110-L111</f>
        <v>0</v>
      </c>
      <c r="M112" s="39">
        <f>M107+M108-M110-M111</f>
        <v>0</v>
      </c>
    </row>
    <row r="113" spans="1:13" ht="16.5" hidden="1" customHeight="1">
      <c r="A113" s="5"/>
      <c r="B113" s="131"/>
      <c r="C113" s="5" t="s">
        <v>769</v>
      </c>
      <c r="D113" s="13"/>
      <c r="E113" s="13"/>
      <c r="F113" s="13"/>
      <c r="G113" s="13"/>
      <c r="H113" s="13"/>
      <c r="I113" s="13"/>
      <c r="J113" s="13"/>
      <c r="K113" s="13"/>
      <c r="L113" s="39">
        <f>PPMT(L106/$B110,1,($B108*$B110),$B107)</f>
        <v>0</v>
      </c>
      <c r="M113" s="39">
        <f>PPMT(M106/$B110,1,(YEAR($B106)+$B108+0.5-M$5)*$B110,M107)</f>
        <v>0</v>
      </c>
    </row>
    <row r="114" spans="1:13" ht="16.5" hidden="1" customHeight="1">
      <c r="A114" s="5"/>
      <c r="B114" s="147"/>
      <c r="C114" s="5" t="s">
        <v>770</v>
      </c>
      <c r="D114" s="13"/>
      <c r="E114" s="13"/>
      <c r="F114" s="13"/>
      <c r="G114" s="13"/>
      <c r="H114" s="13"/>
      <c r="I114" s="13"/>
      <c r="J114" s="13"/>
      <c r="K114" s="13"/>
      <c r="L114" s="39">
        <f>$B107/$B108</f>
        <v>0</v>
      </c>
      <c r="M114" s="39">
        <f>M107/($B108+0.5-M$5+YEAR($B106))</f>
        <v>0</v>
      </c>
    </row>
    <row r="115" spans="1:13" ht="16.5" customHeight="1">
      <c r="A115" s="13" t="s">
        <v>182</v>
      </c>
      <c r="B115" s="41"/>
      <c r="C115" s="13"/>
      <c r="D115" s="13"/>
      <c r="E115" s="13"/>
      <c r="F115" s="13"/>
      <c r="G115" s="13"/>
      <c r="H115" s="13"/>
      <c r="I115" s="13"/>
      <c r="J115" s="13"/>
      <c r="K115" s="13"/>
      <c r="L115" s="39"/>
      <c r="M115" s="39"/>
    </row>
    <row r="116" spans="1:13" ht="16.5" customHeight="1">
      <c r="A116" s="13"/>
      <c r="B116" s="148"/>
      <c r="C116" s="13"/>
      <c r="D116" s="13"/>
      <c r="E116" s="13"/>
      <c r="F116" s="13"/>
      <c r="G116" s="13"/>
      <c r="H116" s="13"/>
      <c r="I116" s="13"/>
      <c r="J116" s="13"/>
      <c r="K116" s="13"/>
      <c r="L116" s="39"/>
      <c r="M116" s="39"/>
    </row>
    <row r="117" spans="1:13" ht="16.5" customHeight="1">
      <c r="A117" s="13" t="s">
        <v>833</v>
      </c>
      <c r="B117" s="14"/>
      <c r="C117" s="13"/>
      <c r="D117" s="18"/>
      <c r="E117" s="14"/>
      <c r="F117" s="13"/>
      <c r="G117" s="13"/>
      <c r="H117" s="13"/>
      <c r="I117" s="13"/>
      <c r="J117" s="13"/>
      <c r="K117" s="13"/>
      <c r="L117" s="13"/>
      <c r="M117" s="13"/>
    </row>
    <row r="118" spans="1:13" ht="16.5" customHeight="1">
      <c r="A118" s="14" t="s">
        <v>677</v>
      </c>
      <c r="B118" s="97">
        <f>DATE(M$5,7,1)</f>
        <v>48761</v>
      </c>
      <c r="C118" s="13" t="s">
        <v>639</v>
      </c>
      <c r="D118" s="44"/>
      <c r="E118" s="44"/>
      <c r="F118" s="44"/>
      <c r="G118" s="44"/>
      <c r="H118" s="44"/>
      <c r="I118" s="44"/>
      <c r="J118" s="44"/>
      <c r="K118" s="44"/>
      <c r="L118" s="44"/>
      <c r="M118" s="73">
        <f>$B121</f>
        <v>0.06</v>
      </c>
    </row>
    <row r="119" spans="1:13" ht="16.5" customHeight="1">
      <c r="A119" s="13" t="s">
        <v>361</v>
      </c>
      <c r="B119" s="98">
        <f>'g - Plant'!Q62</f>
        <v>0</v>
      </c>
      <c r="C119" s="37" t="s">
        <v>173</v>
      </c>
      <c r="D119" s="45"/>
      <c r="E119" s="45"/>
      <c r="F119" s="45"/>
      <c r="G119" s="45"/>
      <c r="H119" s="45"/>
      <c r="I119" s="45"/>
      <c r="J119" s="45"/>
      <c r="K119" s="45"/>
      <c r="L119" s="45"/>
      <c r="M119" s="45">
        <v>0</v>
      </c>
    </row>
    <row r="120" spans="1:13" ht="16.5" customHeight="1">
      <c r="A120" s="14" t="s">
        <v>170</v>
      </c>
      <c r="B120" s="145">
        <v>35</v>
      </c>
      <c r="C120" s="40" t="s">
        <v>169</v>
      </c>
      <c r="D120" s="39"/>
      <c r="E120" s="39"/>
      <c r="F120" s="39"/>
      <c r="G120" s="39"/>
      <c r="H120" s="39"/>
      <c r="I120" s="39"/>
      <c r="J120" s="39"/>
      <c r="K120" s="39"/>
      <c r="L120" s="39"/>
      <c r="M120" s="39">
        <f>M122-M121</f>
        <v>0</v>
      </c>
    </row>
    <row r="121" spans="1:13" ht="16.5" customHeight="1">
      <c r="A121" s="13" t="s">
        <v>172</v>
      </c>
      <c r="B121" s="146">
        <f>IF(Input!$H$61="V",Input!P$68,IF(Input!P$63&gt;0,Input!P$63,0.05))</f>
        <v>0.06</v>
      </c>
      <c r="C121" s="13" t="s">
        <v>174</v>
      </c>
      <c r="D121" s="39"/>
      <c r="E121" s="39"/>
      <c r="F121" s="39"/>
      <c r="G121" s="39"/>
      <c r="H121" s="39"/>
      <c r="I121" s="39"/>
      <c r="J121" s="39"/>
      <c r="K121" s="39"/>
      <c r="L121" s="39"/>
      <c r="M121" s="39">
        <f>IF($B123="Y",0,(IF($B124="Y",M126/2,FV(M118/$B122,$B122/2,M125))))</f>
        <v>0</v>
      </c>
    </row>
    <row r="122" spans="1:13" ht="16.5" customHeight="1">
      <c r="A122" s="13" t="s">
        <v>171</v>
      </c>
      <c r="B122" s="41">
        <v>12</v>
      </c>
      <c r="C122" s="74" t="s">
        <v>640</v>
      </c>
      <c r="D122" s="39"/>
      <c r="E122" s="39"/>
      <c r="F122" s="39"/>
      <c r="G122" s="39"/>
      <c r="H122" s="39"/>
      <c r="I122" s="39"/>
      <c r="J122" s="39"/>
      <c r="K122" s="39"/>
      <c r="L122" s="39"/>
      <c r="M122" s="39">
        <f>IF($B123="Y",$B119*M118/2,IF($B124="y",M126/2+M118/2*$B119,($B119*M118/$B122-M125)*$B122/2))</f>
        <v>0</v>
      </c>
    </row>
    <row r="123" spans="1:13" ht="16.5" customHeight="1">
      <c r="A123" s="13" t="s">
        <v>360</v>
      </c>
      <c r="B123" s="41" t="str">
        <f>B111</f>
        <v>Y</v>
      </c>
      <c r="C123" s="141" t="s">
        <v>768</v>
      </c>
      <c r="D123" s="39"/>
      <c r="E123" s="39"/>
      <c r="F123" s="39"/>
      <c r="G123" s="39"/>
      <c r="H123" s="39"/>
      <c r="I123" s="39"/>
      <c r="J123" s="39"/>
      <c r="K123" s="39"/>
      <c r="L123" s="39"/>
      <c r="M123" s="142">
        <v>0</v>
      </c>
    </row>
    <row r="124" spans="1:13" s="13" customFormat="1" ht="16.5" customHeight="1">
      <c r="A124" s="13" t="s">
        <v>767</v>
      </c>
      <c r="B124" s="41" t="str">
        <f>B112</f>
        <v>N</v>
      </c>
      <c r="C124" s="34" t="s">
        <v>175</v>
      </c>
      <c r="D124" s="39"/>
      <c r="E124" s="39"/>
      <c r="F124" s="39"/>
      <c r="G124" s="39"/>
      <c r="H124" s="39"/>
      <c r="I124" s="39"/>
      <c r="J124" s="39"/>
      <c r="K124" s="39"/>
      <c r="L124" s="39"/>
      <c r="M124" s="39">
        <f>$B119+M120-M122-M123</f>
        <v>0</v>
      </c>
    </row>
    <row r="125" spans="1:13" ht="16.5" hidden="1" customHeight="1">
      <c r="A125" s="5"/>
      <c r="B125" s="131"/>
      <c r="C125" s="5" t="s">
        <v>769</v>
      </c>
      <c r="D125" s="13"/>
      <c r="E125" s="13"/>
      <c r="F125" s="13"/>
      <c r="G125" s="13"/>
      <c r="H125" s="13"/>
      <c r="I125" s="13"/>
      <c r="J125" s="13"/>
      <c r="K125" s="13"/>
      <c r="L125" s="13"/>
      <c r="M125" s="39">
        <f>PPMT(M118/$B122,1,($B120*$B122),$B119)</f>
        <v>0</v>
      </c>
    </row>
    <row r="126" spans="1:13" ht="16.5" hidden="1" customHeight="1">
      <c r="A126" s="5"/>
      <c r="B126" s="147"/>
      <c r="C126" s="5" t="s">
        <v>770</v>
      </c>
      <c r="D126" s="13"/>
      <c r="E126" s="13"/>
      <c r="F126" s="13"/>
      <c r="G126" s="13"/>
      <c r="H126" s="13"/>
      <c r="I126" s="13"/>
      <c r="J126" s="13"/>
      <c r="K126" s="13"/>
      <c r="L126" s="13"/>
      <c r="M126" s="39">
        <f>$B119/$B120</f>
        <v>0</v>
      </c>
    </row>
    <row r="127" spans="1:13" ht="16.5" customHeight="1">
      <c r="A127" s="13" t="s">
        <v>182</v>
      </c>
      <c r="B127" s="41"/>
      <c r="C127" s="13"/>
      <c r="D127" s="13"/>
      <c r="E127" s="13"/>
      <c r="F127" s="13"/>
      <c r="G127" s="13"/>
      <c r="H127" s="13"/>
      <c r="I127" s="13"/>
      <c r="J127" s="13"/>
      <c r="K127" s="13"/>
      <c r="L127" s="13"/>
      <c r="M127" s="39"/>
    </row>
    <row r="128" spans="1:13" ht="16.5" customHeight="1">
      <c r="A128" s="13"/>
      <c r="B128" s="150"/>
      <c r="C128" s="13"/>
      <c r="D128" s="13"/>
      <c r="E128" s="13"/>
      <c r="F128" s="13"/>
      <c r="G128" s="13"/>
      <c r="H128" s="13"/>
      <c r="I128" s="13"/>
      <c r="J128" s="13"/>
      <c r="K128" s="13"/>
      <c r="L128" s="13"/>
      <c r="M128" s="39"/>
    </row>
    <row r="129" spans="1:13" ht="16.5" customHeight="1">
      <c r="A129" s="13"/>
      <c r="B129" s="150"/>
      <c r="C129" s="13"/>
      <c r="D129" s="13"/>
      <c r="E129" s="13"/>
      <c r="F129" s="13"/>
      <c r="G129" s="13"/>
      <c r="H129" s="13"/>
      <c r="I129" s="13"/>
      <c r="J129" s="13"/>
      <c r="K129" s="13"/>
      <c r="L129" s="13"/>
      <c r="M129" s="39"/>
    </row>
    <row r="130" spans="1:13" ht="16.5" customHeight="1">
      <c r="A130" s="14" t="s">
        <v>780</v>
      </c>
      <c r="B130" s="15"/>
      <c r="C130" s="13"/>
    </row>
    <row r="131" spans="1:13" ht="16.5" customHeight="1">
      <c r="A131" s="14" t="s">
        <v>188</v>
      </c>
      <c r="B131" s="15"/>
      <c r="C131" s="13"/>
      <c r="D131" s="149">
        <f t="shared" ref="D131:M131" si="27">D119+D107+D95+D83+D71+D57+D45+D33+D21+D9</f>
        <v>0</v>
      </c>
      <c r="E131" s="149">
        <f t="shared" si="27"/>
        <v>0</v>
      </c>
      <c r="F131" s="149">
        <f t="shared" si="27"/>
        <v>0</v>
      </c>
      <c r="G131" s="149">
        <f t="shared" si="27"/>
        <v>0</v>
      </c>
      <c r="H131" s="149">
        <f t="shared" si="27"/>
        <v>0</v>
      </c>
      <c r="I131" s="149">
        <f t="shared" si="27"/>
        <v>0</v>
      </c>
      <c r="J131" s="149">
        <f t="shared" si="27"/>
        <v>0</v>
      </c>
      <c r="K131" s="149">
        <f t="shared" si="27"/>
        <v>0</v>
      </c>
      <c r="L131" s="149">
        <f t="shared" si="27"/>
        <v>0</v>
      </c>
      <c r="M131" s="149">
        <f t="shared" si="27"/>
        <v>0</v>
      </c>
    </row>
    <row r="132" spans="1:13" ht="16.5" customHeight="1">
      <c r="A132" s="14" t="s">
        <v>189</v>
      </c>
      <c r="B132" s="15"/>
      <c r="C132" s="13"/>
      <c r="D132" s="149">
        <f>B9</f>
        <v>0</v>
      </c>
      <c r="E132" s="149">
        <f>B21</f>
        <v>0</v>
      </c>
      <c r="F132" s="149">
        <f>B33</f>
        <v>0</v>
      </c>
      <c r="G132" s="149">
        <f>B45</f>
        <v>0</v>
      </c>
      <c r="H132" s="149">
        <f>B57</f>
        <v>0</v>
      </c>
      <c r="I132" s="149">
        <f>B71</f>
        <v>0</v>
      </c>
      <c r="J132" s="149">
        <f>B83</f>
        <v>0</v>
      </c>
      <c r="K132" s="149">
        <f>B95</f>
        <v>0</v>
      </c>
      <c r="L132" s="149">
        <f>B107</f>
        <v>0</v>
      </c>
      <c r="M132" s="149">
        <f>B119</f>
        <v>0</v>
      </c>
    </row>
    <row r="133" spans="1:13" ht="16.5" customHeight="1">
      <c r="A133" s="14" t="s">
        <v>190</v>
      </c>
      <c r="B133" s="15"/>
      <c r="C133" s="13"/>
      <c r="D133" s="149">
        <f t="shared" ref="D133:M133" si="28">D120+D108+D96+D84+D72+D58+D46+D34+D22+D10</f>
        <v>0</v>
      </c>
      <c r="E133" s="149">
        <f t="shared" si="28"/>
        <v>0</v>
      </c>
      <c r="F133" s="149">
        <f t="shared" si="28"/>
        <v>0</v>
      </c>
      <c r="G133" s="149">
        <f t="shared" si="28"/>
        <v>0</v>
      </c>
      <c r="H133" s="149">
        <f t="shared" si="28"/>
        <v>0</v>
      </c>
      <c r="I133" s="149">
        <f t="shared" si="28"/>
        <v>0</v>
      </c>
      <c r="J133" s="149">
        <f t="shared" si="28"/>
        <v>0</v>
      </c>
      <c r="K133" s="149">
        <f t="shared" si="28"/>
        <v>0</v>
      </c>
      <c r="L133" s="149">
        <f t="shared" si="28"/>
        <v>0</v>
      </c>
      <c r="M133" s="149">
        <f t="shared" si="28"/>
        <v>0</v>
      </c>
    </row>
    <row r="134" spans="1:13" ht="16.5" customHeight="1">
      <c r="A134" s="14" t="s">
        <v>192</v>
      </c>
      <c r="B134" s="15"/>
      <c r="C134" s="13"/>
      <c r="D134" s="149">
        <f t="shared" ref="D134:M134" si="29">D121+D109+D97+D85+D73+D59+D47+D35+D23+D11</f>
        <v>0</v>
      </c>
      <c r="E134" s="149">
        <f t="shared" si="29"/>
        <v>0</v>
      </c>
      <c r="F134" s="149">
        <f t="shared" si="29"/>
        <v>0</v>
      </c>
      <c r="G134" s="149">
        <f t="shared" si="29"/>
        <v>0</v>
      </c>
      <c r="H134" s="149">
        <f t="shared" si="29"/>
        <v>0</v>
      </c>
      <c r="I134" s="149">
        <f t="shared" si="29"/>
        <v>0</v>
      </c>
      <c r="J134" s="149">
        <f t="shared" si="29"/>
        <v>0</v>
      </c>
      <c r="K134" s="149">
        <f t="shared" si="29"/>
        <v>0</v>
      </c>
      <c r="L134" s="149">
        <f t="shared" si="29"/>
        <v>0</v>
      </c>
      <c r="M134" s="149">
        <f t="shared" si="29"/>
        <v>0</v>
      </c>
    </row>
    <row r="135" spans="1:13" ht="16.5" customHeight="1">
      <c r="A135" s="34" t="s">
        <v>193</v>
      </c>
      <c r="B135" s="15"/>
      <c r="C135" s="13"/>
      <c r="D135" s="149">
        <f t="shared" ref="D135:M135" si="30">D122+D110+D98+D86+D74+D60+D48+D36+D24+D12</f>
        <v>0</v>
      </c>
      <c r="E135" s="149">
        <f t="shared" si="30"/>
        <v>0</v>
      </c>
      <c r="F135" s="149">
        <f t="shared" si="30"/>
        <v>0</v>
      </c>
      <c r="G135" s="149">
        <f t="shared" si="30"/>
        <v>0</v>
      </c>
      <c r="H135" s="149">
        <f t="shared" si="30"/>
        <v>0</v>
      </c>
      <c r="I135" s="149">
        <f t="shared" si="30"/>
        <v>0</v>
      </c>
      <c r="J135" s="149">
        <f t="shared" si="30"/>
        <v>0</v>
      </c>
      <c r="K135" s="149">
        <f t="shared" si="30"/>
        <v>0</v>
      </c>
      <c r="L135" s="149">
        <f t="shared" si="30"/>
        <v>0</v>
      </c>
      <c r="M135" s="149">
        <f t="shared" si="30"/>
        <v>0</v>
      </c>
    </row>
    <row r="136" spans="1:13" ht="16.5" customHeight="1">
      <c r="A136" s="14" t="s">
        <v>776</v>
      </c>
      <c r="B136" s="15"/>
      <c r="C136" s="13"/>
      <c r="D136" s="149">
        <f t="shared" ref="D136:M136" si="31">D123+D111+D99+D87+D75+D61+D49+D37+D25+D13</f>
        <v>0</v>
      </c>
      <c r="E136" s="149">
        <f t="shared" si="31"/>
        <v>0</v>
      </c>
      <c r="F136" s="149">
        <f t="shared" si="31"/>
        <v>0</v>
      </c>
      <c r="G136" s="149">
        <f t="shared" si="31"/>
        <v>0</v>
      </c>
      <c r="H136" s="149">
        <f t="shared" si="31"/>
        <v>0</v>
      </c>
      <c r="I136" s="149">
        <f t="shared" si="31"/>
        <v>0</v>
      </c>
      <c r="J136" s="149">
        <f t="shared" si="31"/>
        <v>0</v>
      </c>
      <c r="K136" s="149">
        <f t="shared" si="31"/>
        <v>0</v>
      </c>
      <c r="L136" s="149">
        <f t="shared" si="31"/>
        <v>0</v>
      </c>
      <c r="M136" s="149">
        <f t="shared" si="31"/>
        <v>0</v>
      </c>
    </row>
    <row r="137" spans="1:13" ht="16.5" customHeight="1">
      <c r="A137" s="34" t="s">
        <v>775</v>
      </c>
      <c r="B137" s="15"/>
      <c r="C137" s="13"/>
      <c r="D137" s="149">
        <f t="shared" ref="D137:M137" si="32">D124+D112+D100+D88+D76+D62+D50+D38+D26+D14</f>
        <v>0</v>
      </c>
      <c r="E137" s="149">
        <f t="shared" si="32"/>
        <v>0</v>
      </c>
      <c r="F137" s="149">
        <f t="shared" si="32"/>
        <v>0</v>
      </c>
      <c r="G137" s="149">
        <f t="shared" si="32"/>
        <v>0</v>
      </c>
      <c r="H137" s="149">
        <f t="shared" si="32"/>
        <v>0</v>
      </c>
      <c r="I137" s="149">
        <f t="shared" si="32"/>
        <v>0</v>
      </c>
      <c r="J137" s="149">
        <f t="shared" si="32"/>
        <v>0</v>
      </c>
      <c r="K137" s="149">
        <f t="shared" si="32"/>
        <v>0</v>
      </c>
      <c r="L137" s="149">
        <f t="shared" si="32"/>
        <v>0</v>
      </c>
      <c r="M137" s="149">
        <f t="shared" si="32"/>
        <v>0</v>
      </c>
    </row>
    <row r="138" spans="1:13" ht="16.5" customHeight="1"/>
    <row r="139" spans="1:13"/>
    <row r="140" spans="1:13"/>
    <row r="141" spans="1:13"/>
    <row r="142" spans="1:13"/>
    <row r="143" spans="1:13"/>
    <row r="144" spans="1:13"/>
    <row r="145"/>
    <row r="146"/>
    <row r="147"/>
    <row r="148"/>
    <row r="149"/>
    <row r="150"/>
    <row r="151"/>
    <row r="152"/>
    <row r="153"/>
    <row r="154"/>
    <row r="155"/>
    <row r="156"/>
    <row r="157"/>
    <row r="158"/>
    <row r="159"/>
    <row r="160"/>
    <row r="161"/>
    <row r="162"/>
    <row r="163"/>
    <row r="164"/>
    <row r="165"/>
    <row r="166"/>
    <row r="167"/>
    <row r="168"/>
    <row r="169"/>
  </sheetData>
  <sheetProtection password="9A24" sheet="1" objects="1" scenarios="1"/>
  <phoneticPr fontId="0" type="noConversion"/>
  <pageMargins left="0.75" right="0.52" top="0.48" bottom="0.41" header="0" footer="0"/>
  <pageSetup scale="54" fitToHeight="0" orientation="landscape" horizontalDpi="300" verticalDpi="300" r:id="rId1"/>
  <headerFooter alignWithMargins="0"/>
  <rowBreaks count="1" manualBreakCount="1">
    <brk id="66" max="16383"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N137"/>
  <sheetViews>
    <sheetView showGridLines="0" zoomScale="68" zoomScaleNormal="68" workbookViewId="0">
      <pane xSplit="3" ySplit="6" topLeftCell="D7" activePane="bottomRight" state="frozen"/>
      <selection pane="topRight" activeCell="D1" sqref="D1"/>
      <selection pane="bottomLeft" activeCell="A5" sqref="A5"/>
      <selection pane="bottomRight" activeCell="B10" sqref="B10"/>
    </sheetView>
  </sheetViews>
  <sheetFormatPr defaultColWidth="0" defaultRowHeight="12.5"/>
  <cols>
    <col min="1" max="1" width="21" customWidth="1"/>
    <col min="2" max="2" width="16.7265625" style="2" customWidth="1"/>
    <col min="3" max="3" width="24.54296875" customWidth="1"/>
    <col min="4" max="14" width="17.26953125" customWidth="1"/>
  </cols>
  <sheetData>
    <row r="1" spans="1:13" ht="16.5" customHeight="1"/>
    <row r="2" spans="1:13" ht="16.5" customHeight="1"/>
    <row r="3" spans="1:13" ht="16.5" customHeight="1">
      <c r="A3" s="34"/>
      <c r="B3" s="15"/>
      <c r="C3" s="18"/>
      <c r="D3" s="13"/>
      <c r="E3" s="13"/>
      <c r="F3" s="14" t="s">
        <v>42</v>
      </c>
      <c r="G3" s="13"/>
      <c r="H3" s="228" t="s">
        <v>961</v>
      </c>
      <c r="I3" s="13"/>
      <c r="J3" s="13"/>
      <c r="K3" s="13"/>
      <c r="L3" s="13"/>
      <c r="M3" s="14"/>
    </row>
    <row r="4" spans="1:13" ht="16.5" customHeight="1">
      <c r="A4" s="34"/>
      <c r="B4" s="15"/>
      <c r="C4" s="13"/>
      <c r="D4" s="18"/>
      <c r="E4" s="14"/>
      <c r="F4" s="13"/>
      <c r="G4" s="13"/>
      <c r="H4" s="13"/>
      <c r="I4" s="13"/>
      <c r="J4" s="13"/>
      <c r="K4" s="13"/>
      <c r="L4" s="13"/>
      <c r="M4" s="13"/>
    </row>
    <row r="5" spans="1:13" ht="16.5" customHeight="1">
      <c r="A5" s="14"/>
      <c r="B5" s="15"/>
      <c r="C5" s="13"/>
      <c r="D5" s="15">
        <f>Input!G8</f>
        <v>2024</v>
      </c>
      <c r="E5" s="15">
        <f t="shared" ref="E5:M5" si="0">D5+1</f>
        <v>2025</v>
      </c>
      <c r="F5" s="15">
        <f t="shared" si="0"/>
        <v>2026</v>
      </c>
      <c r="G5" s="15">
        <f t="shared" si="0"/>
        <v>2027</v>
      </c>
      <c r="H5" s="15">
        <f t="shared" si="0"/>
        <v>2028</v>
      </c>
      <c r="I5" s="15">
        <f t="shared" si="0"/>
        <v>2029</v>
      </c>
      <c r="J5" s="15">
        <f t="shared" si="0"/>
        <v>2030</v>
      </c>
      <c r="K5" s="15">
        <f t="shared" si="0"/>
        <v>2031</v>
      </c>
      <c r="L5" s="15">
        <f t="shared" si="0"/>
        <v>2032</v>
      </c>
      <c r="M5" s="15">
        <f t="shared" si="0"/>
        <v>2033</v>
      </c>
    </row>
    <row r="6" spans="1:13" ht="16.5" customHeight="1">
      <c r="A6" s="34"/>
      <c r="B6" s="43"/>
      <c r="C6" s="14"/>
      <c r="D6" s="15" t="s">
        <v>46</v>
      </c>
      <c r="E6" s="15" t="s">
        <v>46</v>
      </c>
      <c r="F6" s="15" t="s">
        <v>46</v>
      </c>
      <c r="G6" s="15" t="s">
        <v>46</v>
      </c>
      <c r="H6" s="15" t="s">
        <v>46</v>
      </c>
      <c r="I6" s="15" t="s">
        <v>46</v>
      </c>
      <c r="J6" s="15" t="s">
        <v>46</v>
      </c>
      <c r="K6" s="15" t="s">
        <v>46</v>
      </c>
      <c r="L6" s="15" t="s">
        <v>46</v>
      </c>
      <c r="M6" s="15" t="s">
        <v>46</v>
      </c>
    </row>
    <row r="7" spans="1:13" ht="16.5" customHeight="1">
      <c r="A7" s="13" t="s">
        <v>804</v>
      </c>
      <c r="B7" s="14"/>
      <c r="C7" s="13"/>
      <c r="D7" s="18"/>
      <c r="E7" s="14"/>
      <c r="F7" s="13"/>
      <c r="G7" s="13"/>
      <c r="H7" s="13"/>
      <c r="I7" s="13"/>
      <c r="J7" s="13"/>
      <c r="K7" s="13"/>
      <c r="L7" s="13"/>
      <c r="M7" s="13"/>
    </row>
    <row r="8" spans="1:13" ht="16.5" customHeight="1">
      <c r="A8" s="14" t="s">
        <v>677</v>
      </c>
      <c r="B8" s="97">
        <f>DATE(D$5,7,1)</f>
        <v>45474</v>
      </c>
      <c r="C8" s="13" t="s">
        <v>639</v>
      </c>
      <c r="D8" s="73">
        <f>$B11</f>
        <v>0.06</v>
      </c>
      <c r="E8" s="73">
        <f>IF(Input!$H$61="V",Input!H$69,IF(AND(($B17=E$5),Input!H$64&gt;0),Input!H$64,D8))</f>
        <v>0.06</v>
      </c>
      <c r="F8" s="73">
        <f>IF(Input!$H$61="V",Input!I$69,IF(AND(($B17=F$5),Input!I$64&gt;0),Input!I$64,E8))</f>
        <v>0.06</v>
      </c>
      <c r="G8" s="73">
        <f>IF(Input!$H$61="V",Input!J$69,IF(AND(($B17=G$5),Input!J$64&gt;0),Input!J$64,F8))</f>
        <v>0.06</v>
      </c>
      <c r="H8" s="73">
        <f>IF(Input!$H$61="V",Input!K$69,IF(AND(($B17=H$5),Input!K$64&gt;0),Input!K$64,G8))</f>
        <v>0.06</v>
      </c>
      <c r="I8" s="73">
        <f>IF(Input!$H$61="V",Input!L$69,IF(AND(($B17=I$5),Input!L$64&gt;0),Input!L$64,H8))</f>
        <v>0.06</v>
      </c>
      <c r="J8" s="73">
        <f>IF(Input!$H$61="V",Input!M$69,IF(AND(($B17=J$5),Input!M$64&gt;0),Input!M$64,I8))</f>
        <v>0.06</v>
      </c>
      <c r="K8" s="73">
        <f>IF(Input!$H$61="V",Input!N$69,IF(AND(($B17=K$5),Input!N$64&gt;0),Input!N$64,J8))</f>
        <v>0.06</v>
      </c>
      <c r="L8" s="73">
        <f>IF(Input!$H$61="V",Input!O$69,IF(AND(($B17=L$5),Input!O$64&gt;0),Input!O$64,K8))</f>
        <v>0.06</v>
      </c>
      <c r="M8" s="73">
        <f>IF(Input!$H$61="V",Input!P$69,IF(AND(($B17=M$5),Input!P$64&gt;0),Input!P$64,L8))</f>
        <v>0.06</v>
      </c>
    </row>
    <row r="9" spans="1:13" ht="16.5" customHeight="1">
      <c r="A9" s="13" t="s">
        <v>361</v>
      </c>
      <c r="B9" s="98">
        <f>'g - Plant'!H63</f>
        <v>0</v>
      </c>
      <c r="C9" s="37" t="s">
        <v>173</v>
      </c>
      <c r="D9" s="45">
        <v>0</v>
      </c>
      <c r="E9" s="45">
        <f t="shared" ref="E9:M9" si="1">D14</f>
        <v>0</v>
      </c>
      <c r="F9" s="45">
        <f t="shared" si="1"/>
        <v>0</v>
      </c>
      <c r="G9" s="45">
        <f t="shared" si="1"/>
        <v>0</v>
      </c>
      <c r="H9" s="45">
        <f t="shared" si="1"/>
        <v>0</v>
      </c>
      <c r="I9" s="45">
        <f t="shared" si="1"/>
        <v>0</v>
      </c>
      <c r="J9" s="45">
        <f t="shared" si="1"/>
        <v>0</v>
      </c>
      <c r="K9" s="45">
        <f t="shared" si="1"/>
        <v>0</v>
      </c>
      <c r="L9" s="45">
        <f t="shared" si="1"/>
        <v>0</v>
      </c>
      <c r="M9" s="45">
        <f t="shared" si="1"/>
        <v>0</v>
      </c>
    </row>
    <row r="10" spans="1:13" ht="16.5" customHeight="1">
      <c r="A10" s="14" t="s">
        <v>170</v>
      </c>
      <c r="B10" s="145">
        <f>'g - Plant'!H48</f>
        <v>35</v>
      </c>
      <c r="C10" s="40" t="s">
        <v>169</v>
      </c>
      <c r="D10" s="39">
        <f t="shared" ref="D10:M10" si="2">D12-D11</f>
        <v>0</v>
      </c>
      <c r="E10" s="39">
        <f t="shared" si="2"/>
        <v>0</v>
      </c>
      <c r="F10" s="39">
        <f t="shared" si="2"/>
        <v>0</v>
      </c>
      <c r="G10" s="39">
        <f t="shared" si="2"/>
        <v>0</v>
      </c>
      <c r="H10" s="39">
        <f t="shared" si="2"/>
        <v>0</v>
      </c>
      <c r="I10" s="39">
        <f t="shared" si="2"/>
        <v>0</v>
      </c>
      <c r="J10" s="39">
        <f t="shared" si="2"/>
        <v>0</v>
      </c>
      <c r="K10" s="39">
        <f t="shared" si="2"/>
        <v>0</v>
      </c>
      <c r="L10" s="39">
        <f t="shared" si="2"/>
        <v>0</v>
      </c>
      <c r="M10" s="39">
        <f t="shared" si="2"/>
        <v>0</v>
      </c>
    </row>
    <row r="11" spans="1:13" ht="16.5" customHeight="1">
      <c r="A11" s="13" t="s">
        <v>172</v>
      </c>
      <c r="B11" s="146">
        <f>IF(Input!$H$61="V",Input!G$69,IF(Input!G$64&gt;0,Input!G$64,0.05))</f>
        <v>0.06</v>
      </c>
      <c r="C11" s="13" t="s">
        <v>174</v>
      </c>
      <c r="D11" s="39">
        <f>IF($B13="Y",0,(IF($B14="Y",D16/2,FV(D8/$B12,$B12/2,D15))))</f>
        <v>0</v>
      </c>
      <c r="E11" s="39">
        <f>IF($B13="Y",0,(IF($B14="Y",E16,FV(E8/$B12,$B12,E15))))</f>
        <v>0</v>
      </c>
      <c r="F11" s="39">
        <f>IF((AND($B13="Y",$B14="Y")),F16/2,(IF($B14="Y",F16,IF($B13="Y",FV(F8/$B12,$B12/2,F15),FV(F8/$B12,$B12,F15)))))</f>
        <v>0</v>
      </c>
      <c r="G11" s="39">
        <f>IF(YEAR($B8)+$B10&lt;=G$5,G9,(IF($B14="Y",G16,FV(G8/$B12,$B12,G15))))</f>
        <v>0</v>
      </c>
      <c r="H11" s="39">
        <f t="shared" ref="H11:M11" si="3">IF(YEAR($B8)+$B10&lt;=H$5,H9,(IF($B14="Y",H16,FV(H8/$B12,$B12,H15))))</f>
        <v>0</v>
      </c>
      <c r="I11" s="39">
        <f t="shared" si="3"/>
        <v>0</v>
      </c>
      <c r="J11" s="39">
        <f t="shared" si="3"/>
        <v>0</v>
      </c>
      <c r="K11" s="39">
        <f t="shared" si="3"/>
        <v>0</v>
      </c>
      <c r="L11" s="39">
        <f t="shared" si="3"/>
        <v>0</v>
      </c>
      <c r="M11" s="39">
        <f t="shared" si="3"/>
        <v>0</v>
      </c>
    </row>
    <row r="12" spans="1:13" ht="16.5" customHeight="1">
      <c r="A12" s="13" t="s">
        <v>171</v>
      </c>
      <c r="B12" s="41">
        <v>12</v>
      </c>
      <c r="C12" s="74" t="s">
        <v>640</v>
      </c>
      <c r="D12" s="39">
        <f>IF($B13="Y",$B9*D8/2,IF($B14="y",D16/2+D8/2*$B9,($B9*D8/$B12-D15)*$B12/2))</f>
        <v>0</v>
      </c>
      <c r="E12" s="39">
        <f>IF($B13="Y",E8*E9,IF($B14="Y",E16+(E9-E16/2)*E8,(E9*E8/$B12-E15)*$B12))</f>
        <v>0</v>
      </c>
      <c r="F12" s="39">
        <f>IF(AND($B13="Y",$B14="Y"),F16/2+(F9-F16/4)*F8,IF($B14="Y",F16+(F9-F16/2)*F8,IF($B13="Y",(F9*F8/$B12-F15)*$B12/2+0.5*F8*F9,(F9*F8/$B12-F15)*$B12)))</f>
        <v>0</v>
      </c>
      <c r="G12" s="39">
        <f t="shared" ref="G12:M12" si="4">IF(YEAR($B8)+$B10&lt;=G$5,G9+G9*G8/2,(IF($B14="Y",G16+(G9-G16/2)*G8,(G9*G8/$B12-G15)*$B12)))</f>
        <v>0</v>
      </c>
      <c r="H12" s="39">
        <f t="shared" si="4"/>
        <v>0</v>
      </c>
      <c r="I12" s="39">
        <f t="shared" si="4"/>
        <v>0</v>
      </c>
      <c r="J12" s="39">
        <f t="shared" si="4"/>
        <v>0</v>
      </c>
      <c r="K12" s="39">
        <f t="shared" si="4"/>
        <v>0</v>
      </c>
      <c r="L12" s="39">
        <f t="shared" si="4"/>
        <v>0</v>
      </c>
      <c r="M12" s="39">
        <f t="shared" si="4"/>
        <v>0</v>
      </c>
    </row>
    <row r="13" spans="1:13" ht="16.5" customHeight="1">
      <c r="A13" s="13" t="s">
        <v>360</v>
      </c>
      <c r="B13" s="41" t="s">
        <v>716</v>
      </c>
      <c r="C13" s="141" t="s">
        <v>768</v>
      </c>
      <c r="D13" s="142">
        <v>0</v>
      </c>
      <c r="E13" s="142">
        <v>0</v>
      </c>
      <c r="F13" s="142">
        <v>0</v>
      </c>
      <c r="G13" s="142">
        <v>0</v>
      </c>
      <c r="H13" s="142">
        <v>0</v>
      </c>
      <c r="I13" s="142">
        <v>0</v>
      </c>
      <c r="J13" s="142">
        <v>0</v>
      </c>
      <c r="K13" s="142">
        <v>0</v>
      </c>
      <c r="L13" s="142">
        <v>0</v>
      </c>
      <c r="M13" s="142">
        <v>0</v>
      </c>
    </row>
    <row r="14" spans="1:13" ht="16.5" customHeight="1">
      <c r="A14" s="13" t="s">
        <v>767</v>
      </c>
      <c r="B14" s="41" t="s">
        <v>719</v>
      </c>
      <c r="C14" s="34" t="s">
        <v>175</v>
      </c>
      <c r="D14" s="39">
        <f>$B9+D10-D12-D13</f>
        <v>0</v>
      </c>
      <c r="E14" s="39">
        <f>E9+E10-E12-E13</f>
        <v>0</v>
      </c>
      <c r="F14" s="39">
        <f t="shared" ref="F14:M14" si="5">F9+F10-F12-F13</f>
        <v>0</v>
      </c>
      <c r="G14" s="39">
        <f t="shared" si="5"/>
        <v>0</v>
      </c>
      <c r="H14" s="39">
        <f t="shared" si="5"/>
        <v>0</v>
      </c>
      <c r="I14" s="39">
        <f t="shared" si="5"/>
        <v>0</v>
      </c>
      <c r="J14" s="39">
        <f t="shared" si="5"/>
        <v>0</v>
      </c>
      <c r="K14" s="39">
        <f t="shared" si="5"/>
        <v>0</v>
      </c>
      <c r="L14" s="39">
        <f t="shared" si="5"/>
        <v>0</v>
      </c>
      <c r="M14" s="39">
        <f t="shared" si="5"/>
        <v>0</v>
      </c>
    </row>
    <row r="15" spans="1:13" ht="16.5" hidden="1" customHeight="1">
      <c r="A15" s="5"/>
      <c r="B15" s="131"/>
      <c r="C15" s="5" t="s">
        <v>769</v>
      </c>
      <c r="D15" s="39">
        <f>PPMT(D8/$B12,1,($B10*$B12),$B9)</f>
        <v>0</v>
      </c>
      <c r="E15" s="39">
        <f>PPMT(E8/$B12,1,(YEAR($B8)+$B10+0.5-E$5)*$B12,E9)</f>
        <v>0</v>
      </c>
      <c r="F15" s="39">
        <f t="shared" ref="F15:M15" si="6">PPMT(F8/$B12,1,(YEAR($B8)+$B10+0.5-F$5)*$B12,F9)</f>
        <v>0</v>
      </c>
      <c r="G15" s="39">
        <f t="shared" si="6"/>
        <v>0</v>
      </c>
      <c r="H15" s="39">
        <f t="shared" si="6"/>
        <v>0</v>
      </c>
      <c r="I15" s="39">
        <f t="shared" si="6"/>
        <v>0</v>
      </c>
      <c r="J15" s="39">
        <f t="shared" si="6"/>
        <v>0</v>
      </c>
      <c r="K15" s="39">
        <f t="shared" si="6"/>
        <v>0</v>
      </c>
      <c r="L15" s="39">
        <f t="shared" si="6"/>
        <v>0</v>
      </c>
      <c r="M15" s="39">
        <f t="shared" si="6"/>
        <v>0</v>
      </c>
    </row>
    <row r="16" spans="1:13" ht="16.5" hidden="1" customHeight="1">
      <c r="A16" s="5"/>
      <c r="B16" s="147"/>
      <c r="C16" s="5" t="s">
        <v>770</v>
      </c>
      <c r="D16" s="39">
        <f>$B9/$B10</f>
        <v>0</v>
      </c>
      <c r="E16" s="39">
        <f>E9/($B10+0.5-E$5+YEAR($B8))</f>
        <v>0</v>
      </c>
      <c r="F16" s="39">
        <f t="shared" ref="F16:K16" si="7">F9/($B10+0.5-F$5+YEAR($B8))</f>
        <v>0</v>
      </c>
      <c r="G16" s="39">
        <f t="shared" si="7"/>
        <v>0</v>
      </c>
      <c r="H16" s="39">
        <f t="shared" si="7"/>
        <v>0</v>
      </c>
      <c r="I16" s="39">
        <f t="shared" si="7"/>
        <v>0</v>
      </c>
      <c r="J16" s="39">
        <f t="shared" si="7"/>
        <v>0</v>
      </c>
      <c r="K16" s="39">
        <f t="shared" si="7"/>
        <v>0</v>
      </c>
      <c r="L16" s="39">
        <f>L9/(YEAR($B8)+$B10-L5+0.5)</f>
        <v>0</v>
      </c>
      <c r="M16" s="39">
        <f>M9/(YEAR($B8)+$B10-M5+0.5)</f>
        <v>0</v>
      </c>
    </row>
    <row r="17" spans="1:14" ht="16.5" customHeight="1">
      <c r="A17" s="13" t="s">
        <v>182</v>
      </c>
      <c r="B17" s="41"/>
      <c r="C17" s="13"/>
      <c r="D17" s="39"/>
      <c r="E17" s="143"/>
      <c r="F17" s="143"/>
      <c r="G17" s="143"/>
      <c r="H17" s="143"/>
      <c r="I17" s="143"/>
      <c r="J17" s="143"/>
      <c r="K17" s="143"/>
      <c r="L17" s="39"/>
      <c r="M17" s="39"/>
    </row>
    <row r="18" spans="1:14" ht="16.5" customHeight="1">
      <c r="A18" s="13"/>
      <c r="B18" s="148"/>
      <c r="C18" s="13"/>
      <c r="F18" s="28"/>
      <c r="G18" s="28"/>
      <c r="H18" s="28"/>
      <c r="I18" s="28"/>
      <c r="J18" s="28"/>
      <c r="K18" s="28"/>
      <c r="L18" s="28"/>
      <c r="M18" s="28"/>
    </row>
    <row r="19" spans="1:14" ht="16.5" customHeight="1">
      <c r="A19" s="13" t="s">
        <v>805</v>
      </c>
      <c r="B19" s="14"/>
      <c r="C19" s="13"/>
      <c r="D19" s="39"/>
      <c r="E19" s="144"/>
      <c r="F19" s="144"/>
      <c r="G19" s="144"/>
      <c r="H19" s="144"/>
      <c r="I19" s="144"/>
      <c r="J19" s="144"/>
      <c r="K19" s="144"/>
      <c r="L19" s="13"/>
      <c r="M19" s="13"/>
    </row>
    <row r="20" spans="1:14" ht="16.5" customHeight="1">
      <c r="A20" s="14" t="s">
        <v>677</v>
      </c>
      <c r="B20" s="97">
        <f>DATE(E$5,7,1)</f>
        <v>45839</v>
      </c>
      <c r="C20" s="13" t="s">
        <v>639</v>
      </c>
      <c r="D20" s="44"/>
      <c r="E20" s="73">
        <f>$B23</f>
        <v>0.06</v>
      </c>
      <c r="F20" s="73">
        <f>IF(Input!$H$61="V",Input!I$69,IF(AND(($B29=F$5),Input!I$64&gt;0),Input!I$64,E20))</f>
        <v>0.06</v>
      </c>
      <c r="G20" s="73">
        <f>IF(Input!$H$61="V",Input!J$69,IF(AND(($B29=G$5),Input!J$64&gt;0),Input!J$64,F20))</f>
        <v>0.06</v>
      </c>
      <c r="H20" s="73">
        <f>IF(Input!$H$61="V",Input!K$69,IF(AND(($B29=H$5),Input!K$64&gt;0),Input!K$64,G20))</f>
        <v>0.06</v>
      </c>
      <c r="I20" s="73">
        <f>IF(Input!$H$61="V",Input!L$69,IF(AND(($B29=I$5),Input!L$64&gt;0),Input!L$64,H20))</f>
        <v>0.06</v>
      </c>
      <c r="J20" s="73">
        <f>IF(Input!$H$61="V",Input!M$69,IF(AND(($B29=J$5),Input!M$64&gt;0),Input!M$64,I20))</f>
        <v>0.06</v>
      </c>
      <c r="K20" s="73">
        <f>IF(Input!$H$61="V",Input!N$69,IF(AND(($B29=K$5),Input!N$64&gt;0),Input!N$64,J20))</f>
        <v>0.06</v>
      </c>
      <c r="L20" s="73">
        <f>IF(Input!$H$61="V",Input!O$69,IF(AND(($B29=L$5),Input!O$64&gt;0),Input!O$64,K20))</f>
        <v>0.06</v>
      </c>
      <c r="M20" s="73">
        <f>IF(Input!$H$61="V",Input!P$69,IF(AND(($B29=M$5),Input!P$64&gt;0),Input!P$64,L20))</f>
        <v>0.06</v>
      </c>
    </row>
    <row r="21" spans="1:14" ht="16.5" customHeight="1">
      <c r="A21" s="13" t="s">
        <v>361</v>
      </c>
      <c r="B21" s="98">
        <f>'g - Plant'!I63</f>
        <v>0</v>
      </c>
      <c r="C21" s="37" t="s">
        <v>173</v>
      </c>
      <c r="D21" s="45"/>
      <c r="E21" s="45">
        <v>0</v>
      </c>
      <c r="F21" s="45">
        <f t="shared" ref="F21:M21" si="8">E26</f>
        <v>0</v>
      </c>
      <c r="G21" s="45">
        <f t="shared" si="8"/>
        <v>0</v>
      </c>
      <c r="H21" s="45">
        <f t="shared" si="8"/>
        <v>0</v>
      </c>
      <c r="I21" s="45">
        <f t="shared" si="8"/>
        <v>0</v>
      </c>
      <c r="J21" s="45">
        <f t="shared" si="8"/>
        <v>0</v>
      </c>
      <c r="K21" s="45">
        <f t="shared" si="8"/>
        <v>0</v>
      </c>
      <c r="L21" s="45">
        <f t="shared" si="8"/>
        <v>0</v>
      </c>
      <c r="M21" s="45">
        <f t="shared" si="8"/>
        <v>0</v>
      </c>
    </row>
    <row r="22" spans="1:14" ht="16.5" customHeight="1">
      <c r="A22" s="14" t="s">
        <v>170</v>
      </c>
      <c r="B22" s="145">
        <f>'g - Plant'!I48</f>
        <v>35</v>
      </c>
      <c r="C22" s="40" t="s">
        <v>169</v>
      </c>
      <c r="D22" s="39"/>
      <c r="E22" s="39">
        <f t="shared" ref="E22:M22" si="9">E24-E23</f>
        <v>0</v>
      </c>
      <c r="F22" s="39">
        <f t="shared" si="9"/>
        <v>0</v>
      </c>
      <c r="G22" s="39">
        <f t="shared" si="9"/>
        <v>0</v>
      </c>
      <c r="H22" s="39">
        <f t="shared" si="9"/>
        <v>0</v>
      </c>
      <c r="I22" s="39">
        <f t="shared" si="9"/>
        <v>0</v>
      </c>
      <c r="J22" s="39">
        <f t="shared" si="9"/>
        <v>0</v>
      </c>
      <c r="K22" s="39">
        <f t="shared" si="9"/>
        <v>0</v>
      </c>
      <c r="L22" s="39">
        <f t="shared" si="9"/>
        <v>0</v>
      </c>
      <c r="M22" s="39">
        <f t="shared" si="9"/>
        <v>0</v>
      </c>
    </row>
    <row r="23" spans="1:14" ht="16.5" customHeight="1">
      <c r="A23" s="13" t="s">
        <v>172</v>
      </c>
      <c r="B23" s="146">
        <f>IF(Input!$H$61="V",Input!H$69,IF(Input!H$64&gt;0,Input!H$64,0.05))</f>
        <v>0.06</v>
      </c>
      <c r="C23" s="13" t="s">
        <v>174</v>
      </c>
      <c r="D23" s="39"/>
      <c r="E23" s="39">
        <f>IF($B25="Y",0,(IF($B26="Y",E28/2,FV(E20/$B24,$B24/2,E27))))</f>
        <v>0</v>
      </c>
      <c r="F23" s="39">
        <f>IF($B25="Y",0,(IF($B26="Y",F28,FV(F20/$B24,$B24,F27))))</f>
        <v>0</v>
      </c>
      <c r="G23" s="39">
        <f>IF((AND($B25="Y",$B26="Y")),G28/2,(IF($B26="Y",G28,IF($B25="Y",FV(G20/$B24,$B24/2,G27),FV(G20/$B24,$B24,G27)))))</f>
        <v>0</v>
      </c>
      <c r="H23" s="39">
        <f t="shared" ref="H23:M23" si="10">IF(YEAR($B20)+$B22&lt;=H$5,H21,(IF($B26="Y",H28,FV(H20/$B24,$B24,H27))))</f>
        <v>0</v>
      </c>
      <c r="I23" s="39">
        <f t="shared" si="10"/>
        <v>0</v>
      </c>
      <c r="J23" s="39">
        <f t="shared" si="10"/>
        <v>0</v>
      </c>
      <c r="K23" s="39">
        <f t="shared" si="10"/>
        <v>0</v>
      </c>
      <c r="L23" s="39">
        <f t="shared" si="10"/>
        <v>0</v>
      </c>
      <c r="M23" s="39">
        <f t="shared" si="10"/>
        <v>0</v>
      </c>
    </row>
    <row r="24" spans="1:14" ht="16.5" customHeight="1">
      <c r="A24" s="13" t="s">
        <v>171</v>
      </c>
      <c r="B24" s="41">
        <v>12</v>
      </c>
      <c r="C24" s="74" t="s">
        <v>640</v>
      </c>
      <c r="D24" s="39"/>
      <c r="E24" s="39">
        <f>IF($B25="Y",$B21*E20/2,IF($B26="y",E28/2+E20/2*$B21,($B21*E20/$B24-E27)*$B24/2))</f>
        <v>0</v>
      </c>
      <c r="F24" s="39">
        <f>IF($B25="Y",F20*F21,IF($B26="Y",F28+(F21-F28/2)*F20,(F21*F20/$B24-F27)*$B24))</f>
        <v>0</v>
      </c>
      <c r="G24" s="39">
        <f>IF(AND($B25="Y",$B26="Y"),G28/2+(G21-G28/4)*G20,IF($B26="Y",G28+(G21-G28/2)*G20,IF($B25="Y",(G21*G20/$B24-G27)*$B24/2+0.5*G20*G21,(G21*G20/$B24-G27)*$B24)))</f>
        <v>0</v>
      </c>
      <c r="H24" s="39">
        <f t="shared" ref="H24:M24" si="11">IF(YEAR($B20)+$B22&lt;=H$5,H21+H21*H20/2,(IF($B26="Y",H28+(H21-H28/2)*H20,(H21*H20/$B24-H27)*$B24)))</f>
        <v>0</v>
      </c>
      <c r="I24" s="39">
        <f t="shared" si="11"/>
        <v>0</v>
      </c>
      <c r="J24" s="39">
        <f t="shared" si="11"/>
        <v>0</v>
      </c>
      <c r="K24" s="39">
        <f t="shared" si="11"/>
        <v>0</v>
      </c>
      <c r="L24" s="39">
        <f t="shared" si="11"/>
        <v>0</v>
      </c>
      <c r="M24" s="39">
        <f t="shared" si="11"/>
        <v>0</v>
      </c>
    </row>
    <row r="25" spans="1:14" ht="16.5" customHeight="1">
      <c r="A25" s="13" t="s">
        <v>360</v>
      </c>
      <c r="B25" s="41" t="str">
        <f>B13</f>
        <v>Y</v>
      </c>
      <c r="C25" s="141" t="s">
        <v>768</v>
      </c>
      <c r="D25" s="39"/>
      <c r="E25" s="142">
        <v>0</v>
      </c>
      <c r="F25" s="142">
        <v>0</v>
      </c>
      <c r="G25" s="142">
        <v>0</v>
      </c>
      <c r="H25" s="142">
        <v>0</v>
      </c>
      <c r="I25" s="142">
        <v>0</v>
      </c>
      <c r="J25" s="142">
        <v>0</v>
      </c>
      <c r="K25" s="142">
        <v>0</v>
      </c>
      <c r="L25" s="142">
        <v>0</v>
      </c>
      <c r="M25" s="142">
        <v>0</v>
      </c>
    </row>
    <row r="26" spans="1:14" ht="16.5" customHeight="1">
      <c r="A26" s="13" t="s">
        <v>767</v>
      </c>
      <c r="B26" s="41" t="str">
        <f>B14</f>
        <v>N</v>
      </c>
      <c r="C26" s="34" t="s">
        <v>175</v>
      </c>
      <c r="D26" s="39"/>
      <c r="E26" s="39">
        <f>$B21+E22-E24-E25</f>
        <v>0</v>
      </c>
      <c r="F26" s="39">
        <f>F21+F22-F24-F25</f>
        <v>0</v>
      </c>
      <c r="G26" s="39">
        <f t="shared" ref="G26:M26" si="12">G21+G22-G24-G25</f>
        <v>0</v>
      </c>
      <c r="H26" s="39">
        <f t="shared" si="12"/>
        <v>0</v>
      </c>
      <c r="I26" s="39">
        <f t="shared" si="12"/>
        <v>0</v>
      </c>
      <c r="J26" s="39">
        <f t="shared" si="12"/>
        <v>0</v>
      </c>
      <c r="K26" s="39">
        <f t="shared" si="12"/>
        <v>0</v>
      </c>
      <c r="L26" s="39">
        <f t="shared" si="12"/>
        <v>0</v>
      </c>
      <c r="M26" s="39">
        <f t="shared" si="12"/>
        <v>0</v>
      </c>
      <c r="N26" s="13"/>
    </row>
    <row r="27" spans="1:14" ht="16.5" hidden="1" customHeight="1">
      <c r="A27" s="5"/>
      <c r="B27" s="131"/>
      <c r="C27" s="5" t="s">
        <v>769</v>
      </c>
      <c r="D27" s="13"/>
      <c r="E27" s="39">
        <f>PPMT(E20/$B24,1,($B22*$B24),$B21)</f>
        <v>0</v>
      </c>
      <c r="F27" s="39">
        <f>PPMT(F20/$B24,1,(YEAR($B20)+$B22+0.5-F$5)*$B24,F21)</f>
        <v>0</v>
      </c>
      <c r="G27" s="39">
        <f t="shared" ref="G27:M27" si="13">PPMT(G20/$B24,1,(YEAR($B20)+$B22+0.5-G$5)*$B24,G21)</f>
        <v>0</v>
      </c>
      <c r="H27" s="39">
        <f t="shared" si="13"/>
        <v>0</v>
      </c>
      <c r="I27" s="39">
        <f t="shared" si="13"/>
        <v>0</v>
      </c>
      <c r="J27" s="39">
        <f t="shared" si="13"/>
        <v>0</v>
      </c>
      <c r="K27" s="39">
        <f t="shared" si="13"/>
        <v>0</v>
      </c>
      <c r="L27" s="39">
        <f t="shared" si="13"/>
        <v>0</v>
      </c>
      <c r="M27" s="39">
        <f t="shared" si="13"/>
        <v>0</v>
      </c>
    </row>
    <row r="28" spans="1:14" ht="16.5" hidden="1" customHeight="1">
      <c r="A28" s="5"/>
      <c r="B28" s="147"/>
      <c r="C28" s="5" t="s">
        <v>770</v>
      </c>
      <c r="D28" s="13"/>
      <c r="E28" s="39">
        <f>$B21/$B22</f>
        <v>0</v>
      </c>
      <c r="F28" s="39">
        <f>F21/($B22+0.5-F$5+YEAR($B20))</f>
        <v>0</v>
      </c>
      <c r="G28" s="39">
        <f t="shared" ref="G28:M28" si="14">G21/($B22+0.5-G$5+YEAR($B20))</f>
        <v>0</v>
      </c>
      <c r="H28" s="39">
        <f t="shared" si="14"/>
        <v>0</v>
      </c>
      <c r="I28" s="39">
        <f t="shared" si="14"/>
        <v>0</v>
      </c>
      <c r="J28" s="39">
        <f t="shared" si="14"/>
        <v>0</v>
      </c>
      <c r="K28" s="39">
        <f t="shared" si="14"/>
        <v>0</v>
      </c>
      <c r="L28" s="39">
        <f t="shared" si="14"/>
        <v>0</v>
      </c>
      <c r="M28" s="39">
        <f t="shared" si="14"/>
        <v>0</v>
      </c>
    </row>
    <row r="29" spans="1:14" ht="16.5" customHeight="1">
      <c r="A29" s="13" t="s">
        <v>182</v>
      </c>
      <c r="B29" s="41"/>
      <c r="C29" s="13"/>
      <c r="D29" s="13"/>
      <c r="E29" s="39"/>
      <c r="F29" s="39"/>
      <c r="G29" s="39"/>
      <c r="H29" s="39"/>
      <c r="I29" s="39"/>
      <c r="J29" s="39"/>
      <c r="K29" s="39"/>
      <c r="L29" s="39"/>
      <c r="M29" s="39"/>
    </row>
    <row r="30" spans="1:14" ht="16.5" customHeight="1">
      <c r="A30" s="13"/>
      <c r="B30" s="138"/>
      <c r="C30" s="5"/>
      <c r="D30" s="13"/>
      <c r="E30" s="39"/>
      <c r="F30" s="39"/>
      <c r="G30" s="39"/>
      <c r="H30" s="39"/>
      <c r="I30" s="39"/>
      <c r="J30" s="39"/>
      <c r="K30" s="39"/>
      <c r="L30" s="39"/>
      <c r="M30" s="39"/>
    </row>
    <row r="31" spans="1:14" ht="16.5" customHeight="1">
      <c r="A31" s="13" t="s">
        <v>806</v>
      </c>
      <c r="B31" s="14"/>
      <c r="C31" s="13"/>
      <c r="D31" s="18"/>
      <c r="E31" s="14"/>
      <c r="F31" s="13"/>
      <c r="G31" s="13"/>
      <c r="H31" s="13"/>
      <c r="I31" s="13"/>
      <c r="J31" s="13"/>
      <c r="K31" s="13"/>
      <c r="L31" s="13"/>
      <c r="M31" s="13"/>
    </row>
    <row r="32" spans="1:14" ht="16.5" customHeight="1">
      <c r="A32" s="14" t="s">
        <v>677</v>
      </c>
      <c r="B32" s="97">
        <f>DATE(F$5,7,1)</f>
        <v>46204</v>
      </c>
      <c r="C32" s="13" t="s">
        <v>639</v>
      </c>
      <c r="D32" s="44"/>
      <c r="E32" s="44"/>
      <c r="F32" s="73">
        <f>$B35</f>
        <v>0.06</v>
      </c>
      <c r="G32" s="73">
        <f>IF(Input!$H$61="V",Input!J$69,IF(AND(($B41=G$5),Input!J$64&gt;0),Input!J$64,F32))</f>
        <v>0.06</v>
      </c>
      <c r="H32" s="73">
        <f>IF(Input!$H$61="V",Input!K$69,IF(AND(($B41=H$5),Input!K$64&gt;0),Input!K$64,G32))</f>
        <v>0.06</v>
      </c>
      <c r="I32" s="73">
        <f>IF(Input!$H$61="V",Input!L$69,IF(AND(($B41=I$5),Input!L$64&gt;0),Input!L$64,H32))</f>
        <v>0.06</v>
      </c>
      <c r="J32" s="73">
        <f>IF(Input!$H$61="V",Input!M$69,IF(AND(($B41=J$5),Input!M$64&gt;0),Input!M$64,I32))</f>
        <v>0.06</v>
      </c>
      <c r="K32" s="73">
        <f>IF(Input!$H$61="V",Input!N$69,IF(AND(($B41=K$5),Input!N$64&gt;0),Input!N$64,J32))</f>
        <v>0.06</v>
      </c>
      <c r="L32" s="73">
        <f>IF(Input!$H$61="V",Input!O$69,IF(AND(($B41=L$5),Input!O$64&gt;0),Input!O$64,K32))</f>
        <v>0.06</v>
      </c>
      <c r="M32" s="73">
        <f>IF(Input!$H$61="V",Input!P$69,IF(AND(($B41=M$5),Input!P$64&gt;0),Input!P$64,L32))</f>
        <v>0.06</v>
      </c>
    </row>
    <row r="33" spans="1:14" ht="16.5" customHeight="1">
      <c r="A33" s="13" t="s">
        <v>361</v>
      </c>
      <c r="B33" s="98">
        <f>'g - Plant'!J63</f>
        <v>0</v>
      </c>
      <c r="C33" s="37" t="s">
        <v>173</v>
      </c>
      <c r="D33" s="45"/>
      <c r="E33" s="45"/>
      <c r="F33" s="45">
        <v>0</v>
      </c>
      <c r="G33" s="45">
        <f t="shared" ref="G33:M33" si="15">F38</f>
        <v>0</v>
      </c>
      <c r="H33" s="45">
        <f t="shared" si="15"/>
        <v>0</v>
      </c>
      <c r="I33" s="45">
        <f t="shared" si="15"/>
        <v>0</v>
      </c>
      <c r="J33" s="45">
        <f t="shared" si="15"/>
        <v>0</v>
      </c>
      <c r="K33" s="45">
        <f t="shared" si="15"/>
        <v>0</v>
      </c>
      <c r="L33" s="45">
        <f t="shared" si="15"/>
        <v>0</v>
      </c>
      <c r="M33" s="45">
        <f t="shared" si="15"/>
        <v>0</v>
      </c>
    </row>
    <row r="34" spans="1:14" ht="16.5" customHeight="1">
      <c r="A34" s="14" t="s">
        <v>170</v>
      </c>
      <c r="B34" s="145">
        <f>'g - Plant'!J48</f>
        <v>35</v>
      </c>
      <c r="C34" s="40" t="s">
        <v>169</v>
      </c>
      <c r="D34" s="39"/>
      <c r="E34" s="39"/>
      <c r="F34" s="39">
        <f t="shared" ref="F34:M34" si="16">F36-F35</f>
        <v>0</v>
      </c>
      <c r="G34" s="39">
        <f t="shared" si="16"/>
        <v>0</v>
      </c>
      <c r="H34" s="39">
        <f t="shared" si="16"/>
        <v>0</v>
      </c>
      <c r="I34" s="39">
        <f t="shared" si="16"/>
        <v>0</v>
      </c>
      <c r="J34" s="39">
        <f t="shared" si="16"/>
        <v>0</v>
      </c>
      <c r="K34" s="39">
        <f t="shared" si="16"/>
        <v>0</v>
      </c>
      <c r="L34" s="39">
        <f t="shared" si="16"/>
        <v>0</v>
      </c>
      <c r="M34" s="39">
        <f t="shared" si="16"/>
        <v>0</v>
      </c>
    </row>
    <row r="35" spans="1:14" ht="16.5" customHeight="1">
      <c r="A35" s="13" t="s">
        <v>172</v>
      </c>
      <c r="B35" s="146">
        <f>IF(Input!$H$61="V",Input!I$69,IF(Input!I$64&gt;0,Input!I$64,0.05))</f>
        <v>0.06</v>
      </c>
      <c r="C35" s="13" t="s">
        <v>174</v>
      </c>
      <c r="D35" s="39"/>
      <c r="E35" s="39"/>
      <c r="F35" s="39">
        <f>IF($B37="Y",0,(IF($B38="Y",F40/2,FV(F32/$B36,$B36/2,F39))))</f>
        <v>0</v>
      </c>
      <c r="G35" s="39">
        <f>IF($B37="Y",0,(IF($B38="Y",G40,FV(G32/$B36,$B36,G39))))</f>
        <v>0</v>
      </c>
      <c r="H35" s="39">
        <f>IF((AND($B37="Y",$B38="Y")),H40/2,(IF($B38="Y",H40,IF($B37="Y",FV(H32/$B36,$B36/2,H39),FV(H32/$B36,$B36,H39)))))</f>
        <v>0</v>
      </c>
      <c r="I35" s="39">
        <f>IF(YEAR($B32)+$B34&lt;=I$5,I33,(IF($B38="Y",I40,FV(I32/$B36,$B36,I39))))</f>
        <v>0</v>
      </c>
      <c r="J35" s="39">
        <f>IF(YEAR($B32)+$B34&lt;=J$5,J33,(IF($B38="Y",J40,FV(J32/$B36,$B36,J39))))</f>
        <v>0</v>
      </c>
      <c r="K35" s="39">
        <f>IF(YEAR($B32)+$B34&lt;=K$5,K33,(IF($B38="Y",K40,FV(K32/$B36,$B36,K39))))</f>
        <v>0</v>
      </c>
      <c r="L35" s="39">
        <f>IF(YEAR($B32)+$B34&lt;=L$5,L33,(IF($B38="Y",L40,FV(L32/$B36,$B36,L39))))</f>
        <v>0</v>
      </c>
      <c r="M35" s="39">
        <f>IF(YEAR($B32)+$B34&lt;=M$5,M33,(IF($B38="Y",M40,FV(M32/$B36,$B36,M39))))</f>
        <v>0</v>
      </c>
    </row>
    <row r="36" spans="1:14" ht="16.5" customHeight="1">
      <c r="A36" s="13" t="s">
        <v>171</v>
      </c>
      <c r="B36" s="41">
        <v>12</v>
      </c>
      <c r="C36" s="74" t="s">
        <v>640</v>
      </c>
      <c r="D36" s="39"/>
      <c r="E36" s="39"/>
      <c r="F36" s="39">
        <f>IF($B37="Y",$B33*F32/2,IF($B38="y",F40/2+F32/2*$B33,($B33*F32/$B36-F39)*$B36/2))</f>
        <v>0</v>
      </c>
      <c r="G36" s="39">
        <f>IF($B37="Y",G32*G33,IF($B38="Y",G40+(G33-G40/2)*G32,(G33*G32/$B36-G39)*$B36))</f>
        <v>0</v>
      </c>
      <c r="H36" s="39">
        <f>IF(AND($B37="Y",$B38="Y"),H40/2+(H33-H40/4)*H32,IF($B38="Y",H40+(H33-H40/2)*H32,IF($B37="Y",(H33*H32/$B36-H39)*$B36/2+0.5*H32*H33,(H33*H32/$B36-H39)*$B36)))</f>
        <v>0</v>
      </c>
      <c r="I36" s="39">
        <f>IF(YEAR($B32)+$B34&lt;=I$5,I33+I33*I32/2,(IF($B38="Y",I40+(I33-I40/2)*I32,(I33*I32/$B36-I39)*$B36)))</f>
        <v>0</v>
      </c>
      <c r="J36" s="39">
        <f>IF(YEAR($B32)+$B34&lt;=J$5,J33+J33*J32/2,(IF($B38="Y",J40+(J33-J40/2)*J32,(J33*J32/$B36-J39)*$B36)))</f>
        <v>0</v>
      </c>
      <c r="K36" s="39">
        <f>IF(YEAR($B32)+$B34&lt;=K$5,K33+K33*K32/2,(IF($B38="Y",K40+(K33-K40/2)*K32,(K33*K32/$B36-K39)*$B36)))</f>
        <v>0</v>
      </c>
      <c r="L36" s="39">
        <f>IF(YEAR($B32)+$B34&lt;=L$5,L33+L33*L32/2,(IF($B38="Y",L40+(L33-L40/2)*L32,(L33*L32/$B36-L39)*$B36)))</f>
        <v>0</v>
      </c>
      <c r="M36" s="39">
        <f>IF(YEAR($B32)+$B34&lt;=M$5,M33+M33*M32/2,(IF($B38="Y",M40+(M33-M40/2)*M32,(M33*M32/$B36-M39)*$B36)))</f>
        <v>0</v>
      </c>
    </row>
    <row r="37" spans="1:14" ht="16.5" customHeight="1">
      <c r="A37" s="13" t="s">
        <v>360</v>
      </c>
      <c r="B37" s="41" t="str">
        <f>B25</f>
        <v>Y</v>
      </c>
      <c r="C37" s="141" t="s">
        <v>768</v>
      </c>
      <c r="D37" s="39"/>
      <c r="E37" s="39"/>
      <c r="F37" s="142">
        <v>0</v>
      </c>
      <c r="G37" s="142">
        <v>0</v>
      </c>
      <c r="H37" s="142">
        <v>0</v>
      </c>
      <c r="I37" s="142">
        <v>0</v>
      </c>
      <c r="J37" s="142">
        <v>0</v>
      </c>
      <c r="K37" s="142">
        <v>0</v>
      </c>
      <c r="L37" s="142">
        <v>0</v>
      </c>
      <c r="M37" s="142">
        <v>0</v>
      </c>
    </row>
    <row r="38" spans="1:14" ht="16.5" customHeight="1">
      <c r="A38" s="13" t="s">
        <v>767</v>
      </c>
      <c r="B38" s="41" t="str">
        <f>B26</f>
        <v>N</v>
      </c>
      <c r="C38" s="34" t="s">
        <v>175</v>
      </c>
      <c r="D38" s="39"/>
      <c r="E38" s="39"/>
      <c r="F38" s="39">
        <f>$B33+F34-F36-F37</f>
        <v>0</v>
      </c>
      <c r="G38" s="39">
        <f>G33+G34-G36-G37</f>
        <v>0</v>
      </c>
      <c r="H38" s="39">
        <f t="shared" ref="H38:M38" si="17">H33+H34-H36-H37</f>
        <v>0</v>
      </c>
      <c r="I38" s="39">
        <f t="shared" si="17"/>
        <v>0</v>
      </c>
      <c r="J38" s="39">
        <f t="shared" si="17"/>
        <v>0</v>
      </c>
      <c r="K38" s="39">
        <f t="shared" si="17"/>
        <v>0</v>
      </c>
      <c r="L38" s="39">
        <f t="shared" si="17"/>
        <v>0</v>
      </c>
      <c r="M38" s="39">
        <f t="shared" si="17"/>
        <v>0</v>
      </c>
      <c r="N38" s="13"/>
    </row>
    <row r="39" spans="1:14" ht="16.5" hidden="1" customHeight="1">
      <c r="A39" s="5"/>
      <c r="B39" s="131"/>
      <c r="C39" s="5" t="s">
        <v>769</v>
      </c>
      <c r="D39" s="13"/>
      <c r="E39" s="13"/>
      <c r="F39" s="39">
        <f>PPMT(F32/$B36,1,($B34*$B36),$B33)</f>
        <v>0</v>
      </c>
      <c r="G39" s="39">
        <f>PPMT(G32/$B36,1,(YEAR($B32)+$B34+0.5-G$5)*$B36,G33)</f>
        <v>0</v>
      </c>
      <c r="H39" s="39">
        <f t="shared" ref="H39:M39" si="18">PPMT(H32/$B36,1,(YEAR($B32)+$B34+0.5-H$5)*$B36,H33)</f>
        <v>0</v>
      </c>
      <c r="I39" s="39">
        <f t="shared" si="18"/>
        <v>0</v>
      </c>
      <c r="J39" s="39">
        <f t="shared" si="18"/>
        <v>0</v>
      </c>
      <c r="K39" s="39">
        <f t="shared" si="18"/>
        <v>0</v>
      </c>
      <c r="L39" s="39">
        <f t="shared" si="18"/>
        <v>0</v>
      </c>
      <c r="M39" s="39">
        <f t="shared" si="18"/>
        <v>0</v>
      </c>
    </row>
    <row r="40" spans="1:14" ht="16.5" hidden="1" customHeight="1">
      <c r="A40" s="5"/>
      <c r="B40" s="147"/>
      <c r="C40" s="5" t="s">
        <v>770</v>
      </c>
      <c r="D40" s="13"/>
      <c r="E40" s="13"/>
      <c r="F40" s="39">
        <f>$B33/$B34</f>
        <v>0</v>
      </c>
      <c r="G40" s="39">
        <f>G33/($B34+0.5-G$5+YEAR($B32))</f>
        <v>0</v>
      </c>
      <c r="H40" s="39">
        <f t="shared" ref="H40:M40" si="19">H33/($B34+0.5-H$5+YEAR($B32))</f>
        <v>0</v>
      </c>
      <c r="I40" s="39">
        <f t="shared" si="19"/>
        <v>0</v>
      </c>
      <c r="J40" s="39">
        <f t="shared" si="19"/>
        <v>0</v>
      </c>
      <c r="K40" s="39">
        <f t="shared" si="19"/>
        <v>0</v>
      </c>
      <c r="L40" s="39">
        <f t="shared" si="19"/>
        <v>0</v>
      </c>
      <c r="M40" s="39">
        <f t="shared" si="19"/>
        <v>0</v>
      </c>
    </row>
    <row r="41" spans="1:14" ht="16.5" customHeight="1">
      <c r="A41" s="13" t="s">
        <v>182</v>
      </c>
      <c r="B41" s="41"/>
      <c r="C41" s="13"/>
      <c r="D41" s="13"/>
      <c r="E41" s="13"/>
      <c r="F41" s="39"/>
      <c r="G41" s="39"/>
      <c r="H41" s="39"/>
      <c r="I41" s="39"/>
      <c r="J41" s="39"/>
      <c r="K41" s="39"/>
      <c r="L41" s="39"/>
      <c r="M41" s="39"/>
    </row>
    <row r="42" spans="1:14" ht="16.5" customHeight="1">
      <c r="A42" s="13"/>
      <c r="B42" s="148"/>
      <c r="C42" s="13"/>
      <c r="D42" s="13"/>
      <c r="E42" s="13"/>
      <c r="F42" s="39"/>
      <c r="G42" s="39"/>
      <c r="H42" s="39"/>
      <c r="I42" s="39"/>
      <c r="J42" s="39"/>
      <c r="K42" s="39"/>
      <c r="L42" s="39"/>
      <c r="M42" s="39"/>
    </row>
    <row r="43" spans="1:14" ht="16.5" customHeight="1">
      <c r="A43" s="13" t="s">
        <v>807</v>
      </c>
      <c r="B43" s="14"/>
      <c r="C43" s="13"/>
      <c r="D43" s="18"/>
      <c r="E43" s="14"/>
      <c r="F43" s="13"/>
      <c r="G43" s="13"/>
      <c r="H43" s="13"/>
      <c r="I43" s="13"/>
      <c r="J43" s="13"/>
      <c r="K43" s="13"/>
      <c r="L43" s="13"/>
      <c r="M43" s="13"/>
    </row>
    <row r="44" spans="1:14" ht="16.5" customHeight="1">
      <c r="A44" s="14" t="s">
        <v>677</v>
      </c>
      <c r="B44" s="97">
        <f>DATE(G$5,7,1)</f>
        <v>46569</v>
      </c>
      <c r="C44" s="13" t="s">
        <v>639</v>
      </c>
      <c r="D44" s="44"/>
      <c r="E44" s="44"/>
      <c r="F44" s="44"/>
      <c r="G44" s="73">
        <f>$B47</f>
        <v>0.06</v>
      </c>
      <c r="H44" s="73">
        <f>IF(Input!$H$61="V",Input!K$69,IF(AND(($B53=H$5),Input!K$64&gt;0),Input!K$64,G44))</f>
        <v>0.06</v>
      </c>
      <c r="I44" s="73">
        <f>IF(Input!$H$61="V",Input!L$69,IF(AND(($B53=I$5),Input!L$64&gt;0),Input!L$64,H44))</f>
        <v>0.06</v>
      </c>
      <c r="J44" s="73">
        <f>IF(Input!$H$61="V",Input!M$69,IF(AND(($B53=J$5),Input!M$64&gt;0),Input!M$64,I44))</f>
        <v>0.06</v>
      </c>
      <c r="K44" s="73">
        <f>IF(Input!$H$61="V",Input!N$69,IF(AND(($B53=K$5),Input!N$64&gt;0),Input!N$64,J44))</f>
        <v>0.06</v>
      </c>
      <c r="L44" s="73">
        <f>IF(Input!$H$61="V",Input!O$69,IF(AND(($B53=L$5),Input!O$64&gt;0),Input!O$64,K44))</f>
        <v>0.06</v>
      </c>
      <c r="M44" s="73">
        <f>IF(Input!$H$61="V",Input!P$69,IF(AND(($B53=M$5),Input!P$64&gt;0),Input!P$64,L44))</f>
        <v>0.06</v>
      </c>
    </row>
    <row r="45" spans="1:14" ht="16.5" customHeight="1">
      <c r="A45" s="13" t="s">
        <v>361</v>
      </c>
      <c r="B45" s="98">
        <f>'g - Plant'!K63</f>
        <v>0</v>
      </c>
      <c r="C45" s="37" t="s">
        <v>173</v>
      </c>
      <c r="D45" s="45"/>
      <c r="E45" s="45"/>
      <c r="F45" s="45"/>
      <c r="G45" s="45">
        <v>0</v>
      </c>
      <c r="H45" s="45">
        <f t="shared" ref="H45:M45" si="20">G50</f>
        <v>0</v>
      </c>
      <c r="I45" s="45">
        <f t="shared" si="20"/>
        <v>0</v>
      </c>
      <c r="J45" s="45">
        <f t="shared" si="20"/>
        <v>0</v>
      </c>
      <c r="K45" s="45">
        <f t="shared" si="20"/>
        <v>0</v>
      </c>
      <c r="L45" s="45">
        <f t="shared" si="20"/>
        <v>0</v>
      </c>
      <c r="M45" s="45">
        <f t="shared" si="20"/>
        <v>0</v>
      </c>
    </row>
    <row r="46" spans="1:14" ht="16.5" customHeight="1">
      <c r="A46" s="14" t="s">
        <v>170</v>
      </c>
      <c r="B46" s="145">
        <f>'g - Plant'!K48</f>
        <v>35</v>
      </c>
      <c r="C46" s="40" t="s">
        <v>169</v>
      </c>
      <c r="D46" s="39"/>
      <c r="E46" s="39"/>
      <c r="F46" s="39"/>
      <c r="G46" s="39">
        <f t="shared" ref="G46:M46" si="21">G48-G47</f>
        <v>0</v>
      </c>
      <c r="H46" s="39">
        <f t="shared" si="21"/>
        <v>0</v>
      </c>
      <c r="I46" s="39">
        <f t="shared" si="21"/>
        <v>0</v>
      </c>
      <c r="J46" s="39">
        <f t="shared" si="21"/>
        <v>0</v>
      </c>
      <c r="K46" s="39">
        <f t="shared" si="21"/>
        <v>0</v>
      </c>
      <c r="L46" s="39">
        <f t="shared" si="21"/>
        <v>0</v>
      </c>
      <c r="M46" s="39">
        <f t="shared" si="21"/>
        <v>0</v>
      </c>
    </row>
    <row r="47" spans="1:14" ht="16.5" customHeight="1">
      <c r="A47" s="13" t="s">
        <v>172</v>
      </c>
      <c r="B47" s="146">
        <f>IF(Input!$H$61="V",Input!J$69,IF(Input!J$64&gt;0,Input!J$64,0.05))</f>
        <v>0.06</v>
      </c>
      <c r="C47" s="13" t="s">
        <v>174</v>
      </c>
      <c r="D47" s="39"/>
      <c r="E47" s="39"/>
      <c r="F47" s="39"/>
      <c r="G47" s="39">
        <f>IF($B49="Y",0,(IF($B50="Y",G52/2,FV(G44/$B48,$B48/2,G51))))</f>
        <v>0</v>
      </c>
      <c r="H47" s="39">
        <f>IF($B49="Y",0,(IF($B50="Y",H52,FV(H44/$B48,$B48,H51))))</f>
        <v>0</v>
      </c>
      <c r="I47" s="39">
        <f>IF((AND($B49="Y",$B50="Y")),I52/2,(IF($B50="Y",I52,IF($B49="Y",FV(I44/$B48,$B48/2,I51),FV(I44/$B48,$B48,I51)))))</f>
        <v>0</v>
      </c>
      <c r="J47" s="39">
        <f>IF(YEAR($B44)+$B46&lt;=J$5,J45,(IF($B50="Y",J52,FV(J44/$B48,$B48,J51))))</f>
        <v>0</v>
      </c>
      <c r="K47" s="39">
        <f>IF(YEAR($B44)+$B46&lt;=K$5,K45,(IF($B50="Y",K52,FV(K44/$B48,$B48,K51))))</f>
        <v>0</v>
      </c>
      <c r="L47" s="39">
        <f>IF(YEAR($B44)+$B46&lt;=L$5,L45,(IF($B50="Y",L52,FV(L44/$B48,$B48,L51))))</f>
        <v>0</v>
      </c>
      <c r="M47" s="39">
        <f>IF(YEAR($B44)+$B46&lt;=M$5,M45,(IF($B50="Y",M52,FV(M44/$B48,$B48,M51))))</f>
        <v>0</v>
      </c>
    </row>
    <row r="48" spans="1:14" ht="16.5" customHeight="1">
      <c r="A48" s="13" t="s">
        <v>171</v>
      </c>
      <c r="B48" s="41">
        <v>12</v>
      </c>
      <c r="C48" s="74" t="s">
        <v>640</v>
      </c>
      <c r="D48" s="39"/>
      <c r="E48" s="39"/>
      <c r="F48" s="39"/>
      <c r="G48" s="39">
        <f>IF($B49="Y",$B45*G44/2,IF($B50="y",G52/2+G44/2*$B45,($B45*G44/$B48-G51)*$B48/2))</f>
        <v>0</v>
      </c>
      <c r="H48" s="39">
        <f>IF($B49="Y",H44*H45,IF($B50="Y",H52+(H45-H52/2)*H44,(H45*H44/$B48-H51)*$B48))</f>
        <v>0</v>
      </c>
      <c r="I48" s="39">
        <f>IF(AND($B49="Y",$B50="Y"),I52/2+(I45-I52/4)*I44,IF($B50="Y",I52+(I45-I52/2)*I44,IF($B49="Y",(I45*I44/$B48-I51)*$B48/2+0.5*I44*I45,(I45*I44/$B48-I51)*$B48)))</f>
        <v>0</v>
      </c>
      <c r="J48" s="39">
        <f>IF(YEAR($B44)+$B46&lt;=J$5,J45+J45*J44/2,(IF($B50="Y",J52+(J45-J52/2)*J44,(J45*J44/$B48-J51)*$B48)))</f>
        <v>0</v>
      </c>
      <c r="K48" s="39">
        <f>IF(YEAR($B44)+$B46&lt;=K$5,K45+K45*K44/2,(IF($B50="Y",K52+(K45-K52/2)*K44,(K45*K44/$B48-K51)*$B48)))</f>
        <v>0</v>
      </c>
      <c r="L48" s="39">
        <f>IF(YEAR($B44)+$B46&lt;=L$5,L45+L45*L44/2,(IF($B50="Y",L52+(L45-L52/2)*L44,(L45*L44/$B48-L51)*$B48)))</f>
        <v>0</v>
      </c>
      <c r="M48" s="39">
        <f>IF(YEAR($B44)+$B46&lt;=M$5,M45+M45*M44/2,(IF($B50="Y",M52+(M45-M52/2)*M44,(M45*M44/$B48-M51)*$B48)))</f>
        <v>0</v>
      </c>
    </row>
    <row r="49" spans="1:14" ht="16.5" customHeight="1">
      <c r="A49" s="13" t="s">
        <v>360</v>
      </c>
      <c r="B49" s="41" t="str">
        <f>B37</f>
        <v>Y</v>
      </c>
      <c r="C49" s="141" t="s">
        <v>768</v>
      </c>
      <c r="D49" s="39"/>
      <c r="E49" s="39"/>
      <c r="F49" s="39"/>
      <c r="G49" s="142">
        <v>0</v>
      </c>
      <c r="H49" s="142">
        <v>0</v>
      </c>
      <c r="I49" s="142">
        <v>0</v>
      </c>
      <c r="J49" s="142">
        <v>0</v>
      </c>
      <c r="K49" s="142">
        <v>0</v>
      </c>
      <c r="L49" s="142">
        <v>0</v>
      </c>
      <c r="M49" s="142">
        <v>0</v>
      </c>
    </row>
    <row r="50" spans="1:14" ht="16.5" customHeight="1">
      <c r="A50" s="13" t="s">
        <v>767</v>
      </c>
      <c r="B50" s="41" t="str">
        <f>B38</f>
        <v>N</v>
      </c>
      <c r="C50" s="34" t="s">
        <v>175</v>
      </c>
      <c r="D50" s="39"/>
      <c r="E50" s="39"/>
      <c r="F50" s="39"/>
      <c r="G50" s="39">
        <f>$B45+G46-G48-G49</f>
        <v>0</v>
      </c>
      <c r="H50" s="39">
        <f t="shared" ref="H50:M50" si="22">H45+H46-H48-H49</f>
        <v>0</v>
      </c>
      <c r="I50" s="39">
        <f t="shared" si="22"/>
        <v>0</v>
      </c>
      <c r="J50" s="39">
        <f t="shared" si="22"/>
        <v>0</v>
      </c>
      <c r="K50" s="39">
        <f t="shared" si="22"/>
        <v>0</v>
      </c>
      <c r="L50" s="39">
        <f t="shared" si="22"/>
        <v>0</v>
      </c>
      <c r="M50" s="39">
        <f t="shared" si="22"/>
        <v>0</v>
      </c>
      <c r="N50" s="13"/>
    </row>
    <row r="51" spans="1:14" ht="16.5" hidden="1" customHeight="1">
      <c r="A51" s="5"/>
      <c r="B51" s="131"/>
      <c r="C51" s="5" t="s">
        <v>769</v>
      </c>
      <c r="D51" s="13"/>
      <c r="E51" s="13"/>
      <c r="F51" s="13"/>
      <c r="G51" s="39">
        <f>PPMT(G44/$B48,1,($B46*$B48),$B45)</f>
        <v>0</v>
      </c>
      <c r="H51" s="39">
        <f t="shared" ref="H51:M51" si="23">PPMT(H44/$B48,1,(YEAR($B44)+$B46+0.5-H$5)*$B48,H45)</f>
        <v>0</v>
      </c>
      <c r="I51" s="39">
        <f t="shared" si="23"/>
        <v>0</v>
      </c>
      <c r="J51" s="39">
        <f t="shared" si="23"/>
        <v>0</v>
      </c>
      <c r="K51" s="39">
        <f t="shared" si="23"/>
        <v>0</v>
      </c>
      <c r="L51" s="39">
        <f t="shared" si="23"/>
        <v>0</v>
      </c>
      <c r="M51" s="39">
        <f t="shared" si="23"/>
        <v>0</v>
      </c>
    </row>
    <row r="52" spans="1:14" ht="16.5" hidden="1" customHeight="1">
      <c r="A52" s="5"/>
      <c r="B52" s="147"/>
      <c r="C52" s="5" t="s">
        <v>770</v>
      </c>
      <c r="D52" s="13"/>
      <c r="E52" s="13"/>
      <c r="F52" s="13"/>
      <c r="G52" s="39">
        <f>$B45/$B46</f>
        <v>0</v>
      </c>
      <c r="H52" s="39">
        <f t="shared" ref="H52:M52" si="24">H45/($B46+0.5-H$5+YEAR($B44))</f>
        <v>0</v>
      </c>
      <c r="I52" s="39">
        <f t="shared" si="24"/>
        <v>0</v>
      </c>
      <c r="J52" s="39">
        <f t="shared" si="24"/>
        <v>0</v>
      </c>
      <c r="K52" s="39">
        <f t="shared" si="24"/>
        <v>0</v>
      </c>
      <c r="L52" s="39">
        <f t="shared" si="24"/>
        <v>0</v>
      </c>
      <c r="M52" s="39">
        <f t="shared" si="24"/>
        <v>0</v>
      </c>
    </row>
    <row r="53" spans="1:14" ht="16.5" customHeight="1">
      <c r="A53" s="13" t="s">
        <v>182</v>
      </c>
      <c r="B53" s="41"/>
      <c r="C53" s="13"/>
      <c r="D53" s="13"/>
      <c r="E53" s="13"/>
      <c r="F53" s="13"/>
      <c r="G53" s="39"/>
      <c r="H53" s="39"/>
      <c r="I53" s="39"/>
      <c r="J53" s="39"/>
      <c r="K53" s="39"/>
      <c r="L53" s="39"/>
      <c r="M53" s="39"/>
    </row>
    <row r="54" spans="1:14" ht="16.5" customHeight="1">
      <c r="A54" s="13"/>
      <c r="B54" s="148"/>
      <c r="C54" s="13"/>
      <c r="D54" s="13"/>
      <c r="E54" s="13"/>
      <c r="F54" s="13"/>
      <c r="G54" s="39"/>
      <c r="H54" s="39"/>
      <c r="I54" s="39"/>
      <c r="J54" s="39"/>
      <c r="K54" s="39"/>
      <c r="L54" s="39"/>
      <c r="M54" s="39"/>
    </row>
    <row r="55" spans="1:14" ht="16.5" customHeight="1">
      <c r="A55" s="13" t="s">
        <v>808</v>
      </c>
      <c r="B55" s="14"/>
      <c r="C55" s="13"/>
      <c r="D55" s="18"/>
      <c r="E55" s="14"/>
      <c r="F55" s="13"/>
      <c r="G55" s="13"/>
      <c r="H55" s="13"/>
      <c r="I55" s="13"/>
      <c r="J55" s="13"/>
      <c r="K55" s="13"/>
      <c r="L55" s="13"/>
      <c r="M55" s="13"/>
    </row>
    <row r="56" spans="1:14" ht="16.5" customHeight="1">
      <c r="A56" s="14" t="s">
        <v>677</v>
      </c>
      <c r="B56" s="97">
        <f>DATE(H$5,7,1)</f>
        <v>46935</v>
      </c>
      <c r="C56" s="13" t="s">
        <v>639</v>
      </c>
      <c r="D56" s="44"/>
      <c r="E56" s="44"/>
      <c r="F56" s="44"/>
      <c r="G56" s="44"/>
      <c r="H56" s="73">
        <f>$B59</f>
        <v>0.06</v>
      </c>
      <c r="I56" s="73">
        <f>IF(Input!$H$61="V",Input!L$69,IF(AND(($B65=I$5),Input!L$64&gt;0),Input!L$64,H56))</f>
        <v>0.06</v>
      </c>
      <c r="J56" s="73">
        <f>IF(Input!$H$61="V",Input!M$69,IF(AND(($B65=J$5),Input!M$64&gt;0),Input!M$64,I56))</f>
        <v>0.06</v>
      </c>
      <c r="K56" s="73">
        <f>IF(Input!$H$61="V",Input!N$69,IF(AND(($B65=K$5),Input!N$64&gt;0),Input!N$64,J56))</f>
        <v>0.06</v>
      </c>
      <c r="L56" s="73">
        <f>IF(Input!$H$61="V",Input!O$69,IF(AND(($B65=L$5),Input!O$64&gt;0),Input!O$64,K56))</f>
        <v>0.06</v>
      </c>
      <c r="M56" s="73">
        <f>IF(Input!$H$61="V",Input!P$69,IF(AND(($B65=M$5),Input!P$64&gt;0),Input!P$64,L56))</f>
        <v>0.06</v>
      </c>
    </row>
    <row r="57" spans="1:14" ht="16.5" customHeight="1">
      <c r="A57" s="13" t="s">
        <v>361</v>
      </c>
      <c r="B57" s="98">
        <f>'g - Plant'!L63</f>
        <v>0</v>
      </c>
      <c r="C57" s="37" t="s">
        <v>173</v>
      </c>
      <c r="D57" s="45"/>
      <c r="E57" s="45"/>
      <c r="F57" s="45"/>
      <c r="G57" s="45"/>
      <c r="H57" s="45">
        <v>0</v>
      </c>
      <c r="I57" s="45">
        <f>H62</f>
        <v>0</v>
      </c>
      <c r="J57" s="45">
        <f>I62</f>
        <v>0</v>
      </c>
      <c r="K57" s="45">
        <f>J62</f>
        <v>0</v>
      </c>
      <c r="L57" s="45">
        <f>K62</f>
        <v>0</v>
      </c>
      <c r="M57" s="45">
        <f>L62</f>
        <v>0</v>
      </c>
    </row>
    <row r="58" spans="1:14" ht="16.5" customHeight="1">
      <c r="A58" s="14" t="s">
        <v>170</v>
      </c>
      <c r="B58" s="145">
        <f>'g - Plant'!L48</f>
        <v>35</v>
      </c>
      <c r="C58" s="40" t="s">
        <v>169</v>
      </c>
      <c r="D58" s="39"/>
      <c r="E58" s="39"/>
      <c r="F58" s="39"/>
      <c r="G58" s="39"/>
      <c r="H58" s="39">
        <f t="shared" ref="H58:M58" si="25">H60-H59</f>
        <v>0</v>
      </c>
      <c r="I58" s="39">
        <f t="shared" si="25"/>
        <v>0</v>
      </c>
      <c r="J58" s="39">
        <f t="shared" si="25"/>
        <v>0</v>
      </c>
      <c r="K58" s="39">
        <f t="shared" si="25"/>
        <v>0</v>
      </c>
      <c r="L58" s="39">
        <f t="shared" si="25"/>
        <v>0</v>
      </c>
      <c r="M58" s="39">
        <f t="shared" si="25"/>
        <v>0</v>
      </c>
    </row>
    <row r="59" spans="1:14" ht="16.5" customHeight="1">
      <c r="A59" s="13" t="s">
        <v>172</v>
      </c>
      <c r="B59" s="146">
        <f>IF(Input!$H$61="V",Input!K$69,IF(Input!K$64&gt;0,Input!K$64,0.05))</f>
        <v>0.06</v>
      </c>
      <c r="C59" s="13" t="s">
        <v>174</v>
      </c>
      <c r="D59" s="39"/>
      <c r="E59" s="39"/>
      <c r="F59" s="39"/>
      <c r="G59" s="39"/>
      <c r="H59" s="39">
        <f>IF($B61="Y",0,(IF($B62="Y",H64/2,FV(H56/$B60,$B60/2,H63))))</f>
        <v>0</v>
      </c>
      <c r="I59" s="39">
        <f>IF($B61="Y",0,(IF($B62="Y",I64,FV(I56/$B60,$B60,I63))))</f>
        <v>0</v>
      </c>
      <c r="J59" s="39">
        <f>IF((AND($B61="Y",$B62="Y")),J64/2,(IF($B62="Y",J64,IF($B61="Y",FV(J56/$B60,$B60/2,J63),FV(J56/$B60,$B60,J63)))))</f>
        <v>0</v>
      </c>
      <c r="K59" s="39">
        <f>IF(YEAR($B56)+$B58&lt;=K$5,K57,(IF($B62="Y",K64,FV(K56/$B60,$B60,K63))))</f>
        <v>0</v>
      </c>
      <c r="L59" s="39">
        <f>IF(YEAR($B56)+$B58&lt;=L$5,L57,(IF($B62="Y",L64,FV(L56/$B60,$B60,L63))))</f>
        <v>0</v>
      </c>
      <c r="M59" s="39">
        <f>IF(YEAR($B56)+$B58&lt;=M$5,M57,(IF($B62="Y",M64,FV(M56/$B60,$B60,M63))))</f>
        <v>0</v>
      </c>
    </row>
    <row r="60" spans="1:14" ht="16.5" customHeight="1">
      <c r="A60" s="13" t="s">
        <v>171</v>
      </c>
      <c r="B60" s="41">
        <v>12</v>
      </c>
      <c r="C60" s="74" t="s">
        <v>640</v>
      </c>
      <c r="D60" s="39"/>
      <c r="E60" s="39"/>
      <c r="F60" s="39"/>
      <c r="G60" s="39"/>
      <c r="H60" s="39">
        <f>IF($B61="Y",$B57*H56/2,IF($B62="y",H64/2+H56/2*$B57,($B57*H56/$B60-H63)*$B60/2))</f>
        <v>0</v>
      </c>
      <c r="I60" s="39">
        <f>IF($B61="Y",I56*I57,IF($B62="Y",I64+(I57-I64/2)*I56,(I57*I56/$B60-I63)*$B60))</f>
        <v>0</v>
      </c>
      <c r="J60" s="39">
        <f>IF(AND($B61="Y",$B62="Y"),J64/2+(J57-J64/4)*J56,IF($B62="Y",J64+(J57-J64/2)*J56,IF($B61="Y",(J57*J56/$B60-J63)*$B60/2+0.5*J56*J57,(J57*J56/$B60-J63)*$B60)))</f>
        <v>0</v>
      </c>
      <c r="K60" s="39">
        <f>IF(YEAR($B56)+$B58&lt;=K$5,K57+K57*K56/2,(IF($B62="Y",K64+(K57-K64/2)*K56,(K57*K56/$B60-K63)*$B60)))</f>
        <v>0</v>
      </c>
      <c r="L60" s="39">
        <f>IF(YEAR($B56)+$B58&lt;=L$5,L57+L57*L56/2,(IF($B62="Y",L64+(L57-L64/2)*L56,(L57*L56/$B60-L63)*$B60)))</f>
        <v>0</v>
      </c>
      <c r="M60" s="39">
        <f>IF(YEAR($B56)+$B58&lt;=M$5,M57+M57*M56/2,(IF($B62="Y",M64+(M57-M64/2)*M56,(M57*M56/$B60-M63)*$B60)))</f>
        <v>0</v>
      </c>
    </row>
    <row r="61" spans="1:14" ht="16.5" customHeight="1">
      <c r="A61" s="13" t="s">
        <v>360</v>
      </c>
      <c r="B61" s="41" t="str">
        <f>B49</f>
        <v>Y</v>
      </c>
      <c r="C61" s="141" t="s">
        <v>768</v>
      </c>
      <c r="D61" s="39"/>
      <c r="E61" s="39"/>
      <c r="F61" s="39"/>
      <c r="G61" s="39"/>
      <c r="H61" s="142">
        <v>0</v>
      </c>
      <c r="I61" s="142">
        <v>0</v>
      </c>
      <c r="J61" s="142">
        <v>0</v>
      </c>
      <c r="K61" s="142">
        <v>0</v>
      </c>
      <c r="L61" s="142">
        <v>0</v>
      </c>
      <c r="M61" s="142">
        <v>0</v>
      </c>
    </row>
    <row r="62" spans="1:14" ht="16.5" customHeight="1">
      <c r="A62" s="13" t="s">
        <v>767</v>
      </c>
      <c r="B62" s="41" t="str">
        <f>B50</f>
        <v>N</v>
      </c>
      <c r="C62" s="34" t="s">
        <v>175</v>
      </c>
      <c r="D62" s="39"/>
      <c r="E62" s="39"/>
      <c r="F62" s="39"/>
      <c r="G62" s="39"/>
      <c r="H62" s="39">
        <f>$B57+H58-H60-H61</f>
        <v>0</v>
      </c>
      <c r="I62" s="39">
        <f>I57+I58-I60-I61</f>
        <v>0</v>
      </c>
      <c r="J62" s="39">
        <f>J57+J58-J60-J61</f>
        <v>0</v>
      </c>
      <c r="K62" s="39">
        <f>K57+K58-K60-K61</f>
        <v>0</v>
      </c>
      <c r="L62" s="39">
        <f>L57+L58-L60-L61</f>
        <v>0</v>
      </c>
      <c r="M62" s="39">
        <f>M57+M58-M60-M61</f>
        <v>0</v>
      </c>
      <c r="N62" s="13"/>
    </row>
    <row r="63" spans="1:14" ht="16.5" hidden="1" customHeight="1">
      <c r="A63" s="5"/>
      <c r="B63" s="131"/>
      <c r="C63" s="5" t="s">
        <v>769</v>
      </c>
      <c r="D63" s="39"/>
      <c r="E63" s="39"/>
      <c r="F63" s="39"/>
      <c r="G63" s="39"/>
      <c r="H63" s="39">
        <f>PPMT(H56/$B60,1,($B58*$B60),$B57)</f>
        <v>0</v>
      </c>
      <c r="I63" s="39">
        <f>PPMT(I56/$B60,1,(YEAR($B56)+$B58+0.5-I$5)*$B60,I57)</f>
        <v>0</v>
      </c>
      <c r="J63" s="39">
        <f>PPMT(J56/$B60,1,(YEAR($B56)+$B58+0.5-J$5)*$B60,J57)</f>
        <v>0</v>
      </c>
      <c r="K63" s="39">
        <f>PPMT(K56/$B60,1,(YEAR($B56)+$B58+0.5-K$5)*$B60,K57)</f>
        <v>0</v>
      </c>
      <c r="L63" s="39">
        <f>PPMT(L56/$B60,1,(YEAR($B56)+$B58+0.5-L$5)*$B60,L57)</f>
        <v>0</v>
      </c>
      <c r="M63" s="39">
        <f>PPMT(M56/$B60,1,(YEAR($B56)+$B58+0.5-M$5)*$B60,M57)</f>
        <v>0</v>
      </c>
    </row>
    <row r="64" spans="1:14" ht="16.5" hidden="1" customHeight="1">
      <c r="A64" s="5"/>
      <c r="B64" s="147"/>
      <c r="C64" s="5" t="s">
        <v>770</v>
      </c>
      <c r="D64" s="13"/>
      <c r="E64" s="13"/>
      <c r="F64" s="13"/>
      <c r="G64" s="13"/>
      <c r="H64" s="39">
        <f>$B57/$B58</f>
        <v>0</v>
      </c>
      <c r="I64" s="39">
        <f>I57/($B58+0.5-I$5+YEAR($B56))</f>
        <v>0</v>
      </c>
      <c r="J64" s="39">
        <f>J57/($B58+0.5-J$5+YEAR($B56))</f>
        <v>0</v>
      </c>
      <c r="K64" s="39">
        <f>K57/($B58+0.5-K$5+YEAR($B56))</f>
        <v>0</v>
      </c>
      <c r="L64" s="39">
        <f>L57/($B58+0.5-L$5+YEAR($B56))</f>
        <v>0</v>
      </c>
      <c r="M64" s="39">
        <f>M57/($B58+0.5-M$5+YEAR($B56))</f>
        <v>0</v>
      </c>
    </row>
    <row r="65" spans="1:14" ht="16.5" customHeight="1">
      <c r="A65" s="13" t="s">
        <v>182</v>
      </c>
      <c r="B65" s="41"/>
      <c r="C65" s="13"/>
      <c r="D65" s="13"/>
      <c r="E65" s="13"/>
      <c r="F65" s="13"/>
      <c r="G65" s="13"/>
      <c r="H65" s="13"/>
      <c r="I65" s="13"/>
      <c r="J65" s="13"/>
      <c r="K65" s="13"/>
      <c r="L65" s="13"/>
      <c r="M65" s="13"/>
    </row>
    <row r="66" spans="1:14" ht="16.5" customHeight="1">
      <c r="A66" s="13"/>
      <c r="B66" s="41"/>
      <c r="C66" s="13"/>
      <c r="D66" s="13"/>
      <c r="E66" s="13"/>
      <c r="F66" s="13"/>
      <c r="G66" s="13"/>
      <c r="H66" s="13"/>
      <c r="I66" s="13"/>
      <c r="J66" s="13"/>
      <c r="K66" s="13"/>
      <c r="L66" s="13"/>
      <c r="M66" s="13"/>
    </row>
    <row r="67" spans="1:14" ht="16.5" customHeight="1">
      <c r="A67" s="13" t="s">
        <v>794</v>
      </c>
      <c r="B67" s="17"/>
      <c r="C67" s="13"/>
      <c r="D67" s="15">
        <f>Input!G8</f>
        <v>2024</v>
      </c>
      <c r="E67" s="15">
        <f t="shared" ref="E67:M67" si="26">D67+1</f>
        <v>2025</v>
      </c>
      <c r="F67" s="15">
        <f t="shared" si="26"/>
        <v>2026</v>
      </c>
      <c r="G67" s="15">
        <f t="shared" si="26"/>
        <v>2027</v>
      </c>
      <c r="H67" s="15">
        <f t="shared" si="26"/>
        <v>2028</v>
      </c>
      <c r="I67" s="15">
        <f t="shared" si="26"/>
        <v>2029</v>
      </c>
      <c r="J67" s="15">
        <f t="shared" si="26"/>
        <v>2030</v>
      </c>
      <c r="K67" s="15">
        <f t="shared" si="26"/>
        <v>2031</v>
      </c>
      <c r="L67" s="15">
        <f t="shared" si="26"/>
        <v>2032</v>
      </c>
      <c r="M67" s="15">
        <f t="shared" si="26"/>
        <v>2033</v>
      </c>
    </row>
    <row r="68" spans="1:14" ht="16.5" customHeight="1">
      <c r="A68" s="13"/>
      <c r="B68" s="17"/>
      <c r="C68" s="13"/>
      <c r="D68" s="15" t="s">
        <v>46</v>
      </c>
      <c r="E68" s="15" t="s">
        <v>46</v>
      </c>
      <c r="F68" s="15" t="s">
        <v>46</v>
      </c>
      <c r="G68" s="15" t="s">
        <v>46</v>
      </c>
      <c r="H68" s="15" t="s">
        <v>46</v>
      </c>
      <c r="I68" s="15" t="s">
        <v>46</v>
      </c>
      <c r="J68" s="15" t="s">
        <v>46</v>
      </c>
      <c r="K68" s="15" t="s">
        <v>46</v>
      </c>
      <c r="L68" s="15" t="s">
        <v>46</v>
      </c>
      <c r="M68" s="15" t="s">
        <v>46</v>
      </c>
    </row>
    <row r="69" spans="1:14" ht="16.5" customHeight="1">
      <c r="A69" s="13" t="s">
        <v>809</v>
      </c>
      <c r="B69" s="14"/>
      <c r="C69" s="13"/>
      <c r="D69" s="18"/>
      <c r="E69" s="14"/>
      <c r="F69" s="13"/>
      <c r="G69" s="13"/>
      <c r="H69" s="13"/>
      <c r="I69" s="13"/>
      <c r="J69" s="13"/>
      <c r="K69" s="13"/>
      <c r="L69" s="13"/>
      <c r="M69" s="13"/>
    </row>
    <row r="70" spans="1:14" ht="16.5" customHeight="1">
      <c r="A70" s="14" t="s">
        <v>677</v>
      </c>
      <c r="B70" s="97">
        <f>DATE(I$5,7,1)</f>
        <v>47300</v>
      </c>
      <c r="C70" s="13" t="s">
        <v>639</v>
      </c>
      <c r="D70" s="44"/>
      <c r="E70" s="44"/>
      <c r="F70" s="44"/>
      <c r="G70" s="44"/>
      <c r="H70" s="44"/>
      <c r="I70" s="73">
        <f>$B73</f>
        <v>0.06</v>
      </c>
      <c r="J70" s="73">
        <f>IF(Input!$H$61="V",Input!M$69,IF(AND(($B79=J$5),Input!M$64&gt;0),Input!M$64,I70))</f>
        <v>0.06</v>
      </c>
      <c r="K70" s="73">
        <f>IF(Input!$H$61="V",Input!N$69,IF(AND(($B79=K$5),Input!N$64&gt;0),Input!N$64,J70))</f>
        <v>0.06</v>
      </c>
      <c r="L70" s="73">
        <f>IF(Input!$H$61="V",Input!O$69,IF(AND(($B79=L$5),Input!O$64&gt;0),Input!O$64,K70))</f>
        <v>0.06</v>
      </c>
      <c r="M70" s="73">
        <f>IF(Input!$H$61="V",Input!P$69,IF(AND(($B79=M$5),Input!P$64&gt;0),Input!P$64,L70))</f>
        <v>0.06</v>
      </c>
    </row>
    <row r="71" spans="1:14" ht="16.5" customHeight="1">
      <c r="A71" s="13" t="s">
        <v>361</v>
      </c>
      <c r="B71" s="98">
        <f>'g - Plant'!M63</f>
        <v>0</v>
      </c>
      <c r="C71" s="37" t="s">
        <v>173</v>
      </c>
      <c r="D71" s="45"/>
      <c r="E71" s="45"/>
      <c r="F71" s="45"/>
      <c r="G71" s="45"/>
      <c r="H71" s="45"/>
      <c r="I71" s="45">
        <v>0</v>
      </c>
      <c r="J71" s="45">
        <f>I76</f>
        <v>0</v>
      </c>
      <c r="K71" s="45">
        <f>J76</f>
        <v>0</v>
      </c>
      <c r="L71" s="45">
        <f>K76</f>
        <v>0</v>
      </c>
      <c r="M71" s="45">
        <f>L76</f>
        <v>0</v>
      </c>
    </row>
    <row r="72" spans="1:14" ht="16.5" customHeight="1">
      <c r="A72" s="14" t="s">
        <v>170</v>
      </c>
      <c r="B72" s="145">
        <f>'g - Plant'!M48</f>
        <v>35</v>
      </c>
      <c r="C72" s="40" t="s">
        <v>169</v>
      </c>
      <c r="D72" s="39"/>
      <c r="E72" s="39"/>
      <c r="F72" s="39"/>
      <c r="G72" s="39"/>
      <c r="H72" s="39"/>
      <c r="I72" s="39">
        <f>I74-I73</f>
        <v>0</v>
      </c>
      <c r="J72" s="39">
        <f>J74-J73</f>
        <v>0</v>
      </c>
      <c r="K72" s="39">
        <f>K74-K73</f>
        <v>0</v>
      </c>
      <c r="L72" s="39">
        <f>L74-L73</f>
        <v>0</v>
      </c>
      <c r="M72" s="39">
        <f>M74-M73</f>
        <v>0</v>
      </c>
    </row>
    <row r="73" spans="1:14" ht="16.5" customHeight="1">
      <c r="A73" s="13" t="s">
        <v>172</v>
      </c>
      <c r="B73" s="146">
        <f>IF(Input!$H$61="V",Input!L$69,IF(Input!L$64&gt;0,Input!L$64,0.05))</f>
        <v>0.06</v>
      </c>
      <c r="C73" s="13" t="s">
        <v>174</v>
      </c>
      <c r="D73" s="39"/>
      <c r="E73" s="39"/>
      <c r="F73" s="39"/>
      <c r="G73" s="39"/>
      <c r="H73" s="39"/>
      <c r="I73" s="39">
        <f>IF($B75="Y",0,(IF($B76="Y",I78/2,FV(I70/$B74,$B74/2,I77))))</f>
        <v>0</v>
      </c>
      <c r="J73" s="39">
        <f>IF($B75="Y",0,(IF($B76="Y",J78,FV(J70/$B74,$B74,J77))))</f>
        <v>0</v>
      </c>
      <c r="K73" s="39">
        <f>IF((AND($B75="Y",$B76="Y")),K78/2,(IF($B76="Y",K78,IF($B75="Y",FV(K70/$B74,$B74/2,K77),FV(K70/$B74,$B74,K77)))))</f>
        <v>0</v>
      </c>
      <c r="L73" s="39">
        <f>IF(YEAR($B70)+$B72&lt;=L$5,L71,(IF($B76="Y",L78,FV(L70/$B74,$B74,L77))))</f>
        <v>0</v>
      </c>
      <c r="M73" s="39">
        <f>IF(YEAR($B70)+$B72&lt;=M$5,M71,(IF($B76="Y",M78,FV(M70/$B74,$B74,M77))))</f>
        <v>0</v>
      </c>
    </row>
    <row r="74" spans="1:14" ht="16.5" customHeight="1">
      <c r="A74" s="13" t="s">
        <v>171</v>
      </c>
      <c r="B74" s="41">
        <v>12</v>
      </c>
      <c r="C74" s="74" t="s">
        <v>640</v>
      </c>
      <c r="D74" s="39"/>
      <c r="E74" s="39"/>
      <c r="F74" s="39"/>
      <c r="G74" s="39"/>
      <c r="H74" s="39"/>
      <c r="I74" s="39">
        <f>IF($B75="Y",$B71*I70/2,IF($B76="y",I78/2+I70/2*$B71,($B71*I70/$B74-I77)*$B74/2))</f>
        <v>0</v>
      </c>
      <c r="J74" s="39">
        <f>IF($B75="Y",J70*J71,IF($B76="Y",J78+(J71-J78/2)*J70,(J71*J70/$B74-J77)*$B74))</f>
        <v>0</v>
      </c>
      <c r="K74" s="39">
        <f>IF(AND($B75="Y",$B76="Y"),K78/2+(K71-K78/4)*K70,IF($B76="Y",K78+(K71-K78/2)*K70,IF($B75="Y",(K71*K70/$B74-K77)*$B74/2+0.5*K70*K71,(K71*K70/$B74-K77)*$B74)))</f>
        <v>0</v>
      </c>
      <c r="L74" s="39">
        <f>IF(YEAR($B70)+$B72&lt;=L$5,L71+L71*L70/2,(IF($B76="Y",L78+(L71-L78/2)*L70,(L71*L70/$B74-L77)*$B74)))</f>
        <v>0</v>
      </c>
      <c r="M74" s="39">
        <f>IF(YEAR($B70)+$B72&lt;=M$5,M71+M71*M70/2,(IF($B76="Y",M78+(M71-M78/2)*M70,(M71*M70/$B74-M77)*$B74)))</f>
        <v>0</v>
      </c>
    </row>
    <row r="75" spans="1:14" ht="16.5" customHeight="1">
      <c r="A75" s="13" t="s">
        <v>360</v>
      </c>
      <c r="B75" s="41" t="str">
        <f>B61</f>
        <v>Y</v>
      </c>
      <c r="C75" s="141" t="s">
        <v>768</v>
      </c>
      <c r="D75" s="39"/>
      <c r="E75" s="39"/>
      <c r="F75" s="39"/>
      <c r="G75" s="39"/>
      <c r="H75" s="39"/>
      <c r="I75" s="142">
        <v>0</v>
      </c>
      <c r="J75" s="142">
        <v>0</v>
      </c>
      <c r="K75" s="142">
        <v>0</v>
      </c>
      <c r="L75" s="142">
        <v>0</v>
      </c>
      <c r="M75" s="142">
        <v>0</v>
      </c>
    </row>
    <row r="76" spans="1:14" ht="16.5" customHeight="1">
      <c r="A76" s="13" t="s">
        <v>767</v>
      </c>
      <c r="B76" s="41" t="str">
        <f>B62</f>
        <v>N</v>
      </c>
      <c r="C76" s="34" t="s">
        <v>175</v>
      </c>
      <c r="D76" s="39"/>
      <c r="E76" s="39"/>
      <c r="F76" s="39"/>
      <c r="G76" s="39"/>
      <c r="H76" s="39"/>
      <c r="I76" s="39">
        <f>$B71+I72-I74-I75</f>
        <v>0</v>
      </c>
      <c r="J76" s="39">
        <f>J71+J72-J74-J75</f>
        <v>0</v>
      </c>
      <c r="K76" s="39">
        <f>K71+K72-K74-K75</f>
        <v>0</v>
      </c>
      <c r="L76" s="39">
        <f>L71+L72-L74-L75</f>
        <v>0</v>
      </c>
      <c r="M76" s="39">
        <f>M71+M72-M74-M75</f>
        <v>0</v>
      </c>
      <c r="N76" s="13"/>
    </row>
    <row r="77" spans="1:14" ht="16.5" hidden="1" customHeight="1">
      <c r="A77" s="5"/>
      <c r="B77" s="131"/>
      <c r="C77" s="5" t="s">
        <v>769</v>
      </c>
      <c r="D77" s="13"/>
      <c r="E77" s="13"/>
      <c r="F77" s="13"/>
      <c r="G77" s="13"/>
      <c r="H77" s="13"/>
      <c r="I77" s="39">
        <f>PPMT(I70/$B74,1,($B72*$B74),$B71)</f>
        <v>0</v>
      </c>
      <c r="J77" s="39">
        <f>PPMT(J70/$B74,1,(YEAR($B70)+$B72+0.5-J$5)*$B74,J71)</f>
        <v>0</v>
      </c>
      <c r="K77" s="39">
        <f>PPMT(K70/$B74,1,(YEAR($B70)+$B72+0.5-K$5)*$B74,K71)</f>
        <v>0</v>
      </c>
      <c r="L77" s="39">
        <f>PPMT(L70/$B74,1,(YEAR($B70)+$B72+0.5-L$5)*$B74,L71)</f>
        <v>0</v>
      </c>
      <c r="M77" s="39">
        <f>PPMT(M70/$B74,1,(YEAR($B70)+$B72+0.5-M$5)*$B74,M71)</f>
        <v>0</v>
      </c>
    </row>
    <row r="78" spans="1:14" ht="16.5" hidden="1" customHeight="1">
      <c r="A78" s="5"/>
      <c r="B78" s="147"/>
      <c r="C78" s="5" t="s">
        <v>770</v>
      </c>
      <c r="D78" s="13"/>
      <c r="E78" s="13"/>
      <c r="F78" s="13"/>
      <c r="G78" s="13"/>
      <c r="H78" s="13"/>
      <c r="I78" s="39">
        <f>$B71/$B72</f>
        <v>0</v>
      </c>
      <c r="J78" s="39">
        <f>J71/($B72+0.5-J$5+YEAR($B70))</f>
        <v>0</v>
      </c>
      <c r="K78" s="39">
        <f>K71/($B72+0.5-K$5+YEAR($B70))</f>
        <v>0</v>
      </c>
      <c r="L78" s="39">
        <f>L71/($B72+0.5-L$5+YEAR($B70))</f>
        <v>0</v>
      </c>
      <c r="M78" s="39">
        <f>M71/($B72+0.5-M$5+YEAR($B70))</f>
        <v>0</v>
      </c>
    </row>
    <row r="79" spans="1:14" ht="16.5" customHeight="1">
      <c r="A79" s="13" t="s">
        <v>182</v>
      </c>
      <c r="B79" s="41"/>
      <c r="C79" s="13"/>
      <c r="D79" s="13"/>
      <c r="E79" s="13"/>
      <c r="F79" s="13"/>
      <c r="G79" s="13"/>
      <c r="H79" s="13"/>
      <c r="I79" s="39"/>
      <c r="J79" s="39"/>
      <c r="K79" s="39"/>
      <c r="L79" s="39"/>
      <c r="M79" s="39"/>
    </row>
    <row r="80" spans="1:14" ht="16.5" customHeight="1">
      <c r="A80" s="13"/>
      <c r="B80" s="119"/>
      <c r="C80" s="5"/>
      <c r="D80" s="13"/>
      <c r="E80" s="13"/>
      <c r="F80" s="13"/>
      <c r="G80" s="13"/>
      <c r="H80" s="13"/>
      <c r="I80" s="39"/>
      <c r="J80" s="39"/>
      <c r="K80" s="39"/>
      <c r="L80" s="39"/>
      <c r="M80" s="39"/>
    </row>
    <row r="81" spans="1:14" ht="16.5" customHeight="1">
      <c r="A81" s="13" t="s">
        <v>810</v>
      </c>
      <c r="B81" s="14"/>
      <c r="C81" s="13"/>
      <c r="D81" s="18"/>
      <c r="E81" s="14"/>
      <c r="F81" s="13"/>
      <c r="G81" s="13"/>
      <c r="H81" s="13"/>
      <c r="I81" s="13"/>
      <c r="J81" s="13"/>
      <c r="K81" s="13"/>
      <c r="L81" s="13"/>
      <c r="M81" s="13"/>
    </row>
    <row r="82" spans="1:14" ht="16.5" customHeight="1">
      <c r="A82" s="14" t="s">
        <v>677</v>
      </c>
      <c r="B82" s="97">
        <f>DATE(J$5,7,1)</f>
        <v>47665</v>
      </c>
      <c r="C82" s="13" t="s">
        <v>639</v>
      </c>
      <c r="D82" s="44"/>
      <c r="E82" s="44"/>
      <c r="F82" s="44"/>
      <c r="G82" s="44"/>
      <c r="H82" s="44"/>
      <c r="I82" s="44"/>
      <c r="J82" s="73">
        <f>$B85</f>
        <v>0.06</v>
      </c>
      <c r="K82" s="73">
        <f>IF(Input!$H$61="V",Input!N$69,IF(AND(($B91=K$5),Input!N$64&gt;0),Input!N$64,J82))</f>
        <v>0.06</v>
      </c>
      <c r="L82" s="73">
        <f>IF(Input!$H$61="V",Input!O$69,IF(AND(($B91=L$5),Input!O$64&gt;0),Input!O$64,K82))</f>
        <v>0.06</v>
      </c>
      <c r="M82" s="73">
        <f>IF(Input!$H$61="V",Input!P$69,IF(AND(($B91=M$5),Input!P$64&gt;0),Input!P$64,L82))</f>
        <v>0.06</v>
      </c>
    </row>
    <row r="83" spans="1:14" ht="16.5" customHeight="1">
      <c r="A83" s="13" t="s">
        <v>361</v>
      </c>
      <c r="B83" s="98">
        <f>'g - Plant'!N63</f>
        <v>0</v>
      </c>
      <c r="C83" s="37" t="s">
        <v>173</v>
      </c>
      <c r="D83" s="45"/>
      <c r="E83" s="45"/>
      <c r="F83" s="45"/>
      <c r="G83" s="45"/>
      <c r="H83" s="45"/>
      <c r="I83" s="45"/>
      <c r="J83" s="45">
        <v>0</v>
      </c>
      <c r="K83" s="45">
        <f>J88</f>
        <v>0</v>
      </c>
      <c r="L83" s="45">
        <f>K88</f>
        <v>0</v>
      </c>
      <c r="M83" s="45">
        <f>L88</f>
        <v>0</v>
      </c>
    </row>
    <row r="84" spans="1:14" ht="16.5" customHeight="1">
      <c r="A84" s="14" t="s">
        <v>170</v>
      </c>
      <c r="B84" s="145">
        <f>'g - Plant'!N48</f>
        <v>35</v>
      </c>
      <c r="C84" s="40" t="s">
        <v>169</v>
      </c>
      <c r="D84" s="39"/>
      <c r="E84" s="39"/>
      <c r="F84" s="39"/>
      <c r="G84" s="39"/>
      <c r="H84" s="39"/>
      <c r="I84" s="39"/>
      <c r="J84" s="39">
        <f>J86-J85</f>
        <v>0</v>
      </c>
      <c r="K84" s="39">
        <f>K86-K85</f>
        <v>0</v>
      </c>
      <c r="L84" s="39">
        <f>L86-L85</f>
        <v>0</v>
      </c>
      <c r="M84" s="39">
        <f>M86-M85</f>
        <v>0</v>
      </c>
    </row>
    <row r="85" spans="1:14" ht="16.5" customHeight="1">
      <c r="A85" s="13" t="s">
        <v>172</v>
      </c>
      <c r="B85" s="146">
        <f>IF(Input!$H$61="V",Input!M$69,IF(Input!M$64&gt;0,Input!M$64,0.05))</f>
        <v>0.06</v>
      </c>
      <c r="C85" s="13" t="s">
        <v>174</v>
      </c>
      <c r="D85" s="39"/>
      <c r="E85" s="39"/>
      <c r="F85" s="39"/>
      <c r="G85" s="39"/>
      <c r="H85" s="39"/>
      <c r="I85" s="39"/>
      <c r="J85" s="39">
        <f>IF($B87="Y",0,(IF($B88="Y",J90/2,FV(J82/$B86,$B86/2,J89))))</f>
        <v>0</v>
      </c>
      <c r="K85" s="39">
        <f>IF($B87="Y",0,(IF($B88="Y",K90,FV(K82/$B86,$B86,K89))))</f>
        <v>0</v>
      </c>
      <c r="L85" s="39">
        <f>IF((AND($B87="Y",$B88="Y")),L90/2,(IF($B88="Y",L90,IF($B87="Y",FV(L82/$B86,$B86/2,L89),FV(L82/$B86,$B86,L89)))))</f>
        <v>0</v>
      </c>
      <c r="M85" s="39">
        <f>IF(YEAR($B82)+$B84&lt;=M$5,M83,(IF($B88="Y",M90,FV(M82/$B86,$B86,M89))))</f>
        <v>0</v>
      </c>
    </row>
    <row r="86" spans="1:14" ht="16.5" customHeight="1">
      <c r="A86" s="13" t="s">
        <v>171</v>
      </c>
      <c r="B86" s="41">
        <v>12</v>
      </c>
      <c r="C86" s="74" t="s">
        <v>640</v>
      </c>
      <c r="D86" s="39"/>
      <c r="E86" s="39"/>
      <c r="F86" s="39"/>
      <c r="G86" s="39"/>
      <c r="H86" s="39"/>
      <c r="I86" s="39"/>
      <c r="J86" s="39">
        <f>IF($B87="Y",$B83*J82/2,IF($B88="y",J90/2+J82/2*$B83,($B83*J82/$B86-J89)*$B86/2))</f>
        <v>0</v>
      </c>
      <c r="K86" s="39">
        <f>IF($B87="Y",K82*K83,IF($B88="Y",K90+(K83-K90/2)*K82,(K83*K82/$B86-K89)*$B86))</f>
        <v>0</v>
      </c>
      <c r="L86" s="39">
        <f>IF(AND($B87="Y",$B88="Y"),L90/2+(L83-L90/4)*L82,IF($B88="Y",L90+(L83-L90/2)*L82,IF($B87="Y",(L83*L82/$B86-L89)*$B86/2+0.5*L82*L83,(L83*L82/$B86-L89)*$B86)))</f>
        <v>0</v>
      </c>
      <c r="M86" s="39">
        <f>IF(YEAR($B82)+$B84&lt;=M$5,M83+M83*M82/2,(IF($B88="Y",M90+(M83-M90/2)*M82,(M83*M82/$B86-M89)*$B86)))</f>
        <v>0</v>
      </c>
    </row>
    <row r="87" spans="1:14" ht="16.5" customHeight="1">
      <c r="A87" s="13" t="s">
        <v>360</v>
      </c>
      <c r="B87" s="41" t="str">
        <f>B75</f>
        <v>Y</v>
      </c>
      <c r="C87" s="141" t="s">
        <v>768</v>
      </c>
      <c r="D87" s="39"/>
      <c r="E87" s="39"/>
      <c r="F87" s="39"/>
      <c r="G87" s="39"/>
      <c r="H87" s="39"/>
      <c r="I87" s="39"/>
      <c r="J87" s="142">
        <v>0</v>
      </c>
      <c r="K87" s="142">
        <v>0</v>
      </c>
      <c r="L87" s="142">
        <v>0</v>
      </c>
      <c r="M87" s="142">
        <v>0</v>
      </c>
    </row>
    <row r="88" spans="1:14" ht="16.5" customHeight="1">
      <c r="A88" s="13" t="s">
        <v>767</v>
      </c>
      <c r="B88" s="41" t="str">
        <f>B76</f>
        <v>N</v>
      </c>
      <c r="C88" s="34" t="s">
        <v>175</v>
      </c>
      <c r="D88" s="39"/>
      <c r="E88" s="39"/>
      <c r="F88" s="39"/>
      <c r="G88" s="39"/>
      <c r="H88" s="39"/>
      <c r="I88" s="39"/>
      <c r="J88" s="39">
        <f>$B83+J84-J86-J87</f>
        <v>0</v>
      </c>
      <c r="K88" s="39">
        <f>K83+K84-K86-K87</f>
        <v>0</v>
      </c>
      <c r="L88" s="39">
        <f>L83+L84-L86-L87</f>
        <v>0</v>
      </c>
      <c r="M88" s="39">
        <f>M83+M84-M86-M87</f>
        <v>0</v>
      </c>
      <c r="N88" s="13"/>
    </row>
    <row r="89" spans="1:14" ht="16.5" hidden="1" customHeight="1">
      <c r="A89" s="5"/>
      <c r="B89" s="131"/>
      <c r="C89" s="5" t="s">
        <v>769</v>
      </c>
      <c r="D89" s="13"/>
      <c r="E89" s="13"/>
      <c r="F89" s="13"/>
      <c r="G89" s="13"/>
      <c r="H89" s="13"/>
      <c r="I89" s="13"/>
      <c r="J89" s="39">
        <f>PPMT(J82/$B86,1,($B84*$B86),$B83)</f>
        <v>0</v>
      </c>
      <c r="K89" s="39">
        <f>PPMT(K82/$B86,1,(YEAR($B82)+$B84+0.5-K$5)*$B86,K83)</f>
        <v>0</v>
      </c>
      <c r="L89" s="39">
        <f>PPMT(L82/$B86,1,(YEAR($B82)+$B84+0.5-L$5)*$B86,L83)</f>
        <v>0</v>
      </c>
      <c r="M89" s="39">
        <f>PPMT(M82/$B86,1,(YEAR($B82)+$B84+0.5-M$5)*$B86,M83)</f>
        <v>0</v>
      </c>
    </row>
    <row r="90" spans="1:14" ht="16.5" hidden="1" customHeight="1">
      <c r="A90" s="5"/>
      <c r="B90" s="147"/>
      <c r="C90" s="5" t="s">
        <v>770</v>
      </c>
      <c r="D90" s="13"/>
      <c r="E90" s="13"/>
      <c r="F90" s="13"/>
      <c r="G90" s="13"/>
      <c r="H90" s="13"/>
      <c r="I90" s="13"/>
      <c r="J90" s="39">
        <f>$B83/$B84</f>
        <v>0</v>
      </c>
      <c r="K90" s="39">
        <f>K83/($B84+0.5-K$5+YEAR($B82))</f>
        <v>0</v>
      </c>
      <c r="L90" s="39">
        <f>L83/($B84+0.5-L$5+YEAR($B82))</f>
        <v>0</v>
      </c>
      <c r="M90" s="39">
        <f>M83/($B84+0.5-M$5+YEAR($B82))</f>
        <v>0</v>
      </c>
    </row>
    <row r="91" spans="1:14" ht="16.5" customHeight="1">
      <c r="A91" s="13" t="s">
        <v>182</v>
      </c>
      <c r="B91" s="41"/>
      <c r="C91" s="13"/>
      <c r="D91" s="13"/>
      <c r="E91" s="13"/>
      <c r="F91" s="13"/>
      <c r="G91" s="13"/>
      <c r="H91" s="13"/>
      <c r="I91" s="13"/>
      <c r="J91" s="39"/>
      <c r="K91" s="39"/>
      <c r="L91" s="39"/>
      <c r="M91" s="39"/>
    </row>
    <row r="92" spans="1:14" ht="16.5" customHeight="1">
      <c r="A92" s="13"/>
      <c r="B92" s="138"/>
      <c r="C92" s="5"/>
      <c r="D92" s="13"/>
      <c r="E92" s="13"/>
      <c r="F92" s="13"/>
      <c r="G92" s="13"/>
      <c r="H92" s="13"/>
      <c r="I92" s="13"/>
      <c r="J92" s="39"/>
      <c r="K92" s="39"/>
      <c r="L92" s="39"/>
      <c r="M92" s="39"/>
    </row>
    <row r="93" spans="1:14" ht="16.5" customHeight="1">
      <c r="A93" s="13" t="s">
        <v>811</v>
      </c>
      <c r="B93" s="14"/>
      <c r="C93" s="13"/>
      <c r="D93" s="18"/>
      <c r="E93" s="14"/>
      <c r="F93" s="13"/>
      <c r="G93" s="13"/>
      <c r="H93" s="13"/>
      <c r="I93" s="13"/>
      <c r="J93" s="13"/>
      <c r="K93" s="13"/>
      <c r="L93" s="13"/>
      <c r="M93" s="13"/>
    </row>
    <row r="94" spans="1:14" ht="16.5" customHeight="1">
      <c r="A94" s="14" t="s">
        <v>677</v>
      </c>
      <c r="B94" s="97">
        <f>DATE(K$5,7,1)</f>
        <v>48030</v>
      </c>
      <c r="C94" s="13" t="s">
        <v>639</v>
      </c>
      <c r="D94" s="44"/>
      <c r="E94" s="44"/>
      <c r="F94" s="44"/>
      <c r="G94" s="44"/>
      <c r="H94" s="44"/>
      <c r="I94" s="44"/>
      <c r="J94" s="44"/>
      <c r="K94" s="73">
        <f>$B97</f>
        <v>0.06</v>
      </c>
      <c r="L94" s="73">
        <f>IF(Input!$H$61="V",Input!O$69,IF(AND(($B103=L$5),Input!O$64&gt;0),Input!O$64,K94))</f>
        <v>0.06</v>
      </c>
      <c r="M94" s="73">
        <f>IF(Input!$H$61="V",Input!P$69,IF(AND(($B103=M$5),Input!P$64&gt;0),Input!P$64,L94))</f>
        <v>0.06</v>
      </c>
    </row>
    <row r="95" spans="1:14" ht="16.5" customHeight="1">
      <c r="A95" s="13" t="s">
        <v>361</v>
      </c>
      <c r="B95" s="98">
        <f>'g - Plant'!O63</f>
        <v>0</v>
      </c>
      <c r="C95" s="37" t="s">
        <v>173</v>
      </c>
      <c r="D95" s="45"/>
      <c r="E95" s="45"/>
      <c r="F95" s="45"/>
      <c r="G95" s="45"/>
      <c r="H95" s="45"/>
      <c r="I95" s="45"/>
      <c r="J95" s="45"/>
      <c r="K95" s="45">
        <v>0</v>
      </c>
      <c r="L95" s="45">
        <f>K100</f>
        <v>0</v>
      </c>
      <c r="M95" s="45">
        <f>L100</f>
        <v>0</v>
      </c>
    </row>
    <row r="96" spans="1:14" ht="16.5" customHeight="1">
      <c r="A96" s="14" t="s">
        <v>170</v>
      </c>
      <c r="B96" s="145">
        <f>'g - Plant'!O48</f>
        <v>35</v>
      </c>
      <c r="C96" s="40" t="s">
        <v>169</v>
      </c>
      <c r="D96" s="39"/>
      <c r="E96" s="39"/>
      <c r="F96" s="39"/>
      <c r="G96" s="39"/>
      <c r="H96" s="39"/>
      <c r="I96" s="39"/>
      <c r="J96" s="39"/>
      <c r="K96" s="39">
        <f>K98-K97</f>
        <v>0</v>
      </c>
      <c r="L96" s="39">
        <f>L98-L97</f>
        <v>0</v>
      </c>
      <c r="M96" s="39">
        <f>M98-M97</f>
        <v>0</v>
      </c>
    </row>
    <row r="97" spans="1:14" ht="16.5" customHeight="1">
      <c r="A97" s="13" t="s">
        <v>172</v>
      </c>
      <c r="B97" s="146">
        <f>IF(Input!$H$61="V",Input!N$69,IF(Input!N$64&gt;0,Input!N$64,0.05))</f>
        <v>0.06</v>
      </c>
      <c r="C97" s="13" t="s">
        <v>174</v>
      </c>
      <c r="D97" s="39"/>
      <c r="E97" s="39"/>
      <c r="F97" s="39"/>
      <c r="G97" s="39"/>
      <c r="H97" s="39"/>
      <c r="I97" s="39"/>
      <c r="J97" s="39"/>
      <c r="K97" s="39">
        <f>IF($B99="Y",0,(IF($B100="Y",K102/2,FV(K94/$B98,$B98/2,K101))))</f>
        <v>0</v>
      </c>
      <c r="L97" s="39">
        <f>IF($B99="Y",0,(IF($B100="Y",L102,FV(L94/$B98,$B98,L101))))</f>
        <v>0</v>
      </c>
      <c r="M97" s="39">
        <f>IF((AND($B99="Y",$B100="Y")),M102/2,(IF($B100="Y",M102,IF($B99="Y",FV(M94/$B98,$B98/2,M101),FV(M94/$B98,$B98,M101)))))</f>
        <v>0</v>
      </c>
    </row>
    <row r="98" spans="1:14" ht="16.5" customHeight="1">
      <c r="A98" s="13" t="s">
        <v>171</v>
      </c>
      <c r="B98" s="41">
        <v>12</v>
      </c>
      <c r="C98" s="74" t="s">
        <v>640</v>
      </c>
      <c r="D98" s="39"/>
      <c r="E98" s="39"/>
      <c r="F98" s="39"/>
      <c r="G98" s="39"/>
      <c r="H98" s="39"/>
      <c r="I98" s="39"/>
      <c r="J98" s="39"/>
      <c r="K98" s="39">
        <f>IF($B99="Y",$B95*K94/2,IF($B100="y",K102/2+K94/2*$B95,($B95*K94/$B98-K101)*$B98/2))</f>
        <v>0</v>
      </c>
      <c r="L98" s="39">
        <f>IF($B99="Y",L94*L95,IF($B100="Y",L102+(L95-L102/2)*L94,(L95*L94/$B98-L101)*$B98))</f>
        <v>0</v>
      </c>
      <c r="M98" s="39">
        <f>IF(AND($B99="Y",$B100="Y"),M102/2+(M95-M102/4)*M94,IF($B100="Y",M102+(M95-M102/2)*M94,IF($B99="Y",(M95*M94/$B98-M101)*$B98/2+0.5*M94*M95,(M95*M94/$B98-M101)*$B98)))</f>
        <v>0</v>
      </c>
    </row>
    <row r="99" spans="1:14" ht="16.5" customHeight="1">
      <c r="A99" s="13" t="s">
        <v>360</v>
      </c>
      <c r="B99" s="41" t="str">
        <f>B87</f>
        <v>Y</v>
      </c>
      <c r="C99" s="141" t="s">
        <v>768</v>
      </c>
      <c r="D99" s="39"/>
      <c r="E99" s="39"/>
      <c r="F99" s="39"/>
      <c r="G99" s="39"/>
      <c r="H99" s="39"/>
      <c r="I99" s="39"/>
      <c r="J99" s="39"/>
      <c r="K99" s="142">
        <v>0</v>
      </c>
      <c r="L99" s="142">
        <v>0</v>
      </c>
      <c r="M99" s="142">
        <v>0</v>
      </c>
    </row>
    <row r="100" spans="1:14" ht="16.5" customHeight="1">
      <c r="A100" s="13" t="s">
        <v>767</v>
      </c>
      <c r="B100" s="41" t="str">
        <f>B88</f>
        <v>N</v>
      </c>
      <c r="C100" s="34" t="s">
        <v>175</v>
      </c>
      <c r="D100" s="39"/>
      <c r="E100" s="39"/>
      <c r="F100" s="39"/>
      <c r="G100" s="39"/>
      <c r="H100" s="39"/>
      <c r="I100" s="39"/>
      <c r="J100" s="39"/>
      <c r="K100" s="39">
        <f>$B95+K96-K98-K99</f>
        <v>0</v>
      </c>
      <c r="L100" s="39">
        <f>L95+L96-L98-L99</f>
        <v>0</v>
      </c>
      <c r="M100" s="39">
        <f>M95+M96-M98-M99</f>
        <v>0</v>
      </c>
      <c r="N100" s="13"/>
    </row>
    <row r="101" spans="1:14" ht="16.5" hidden="1" customHeight="1">
      <c r="A101" s="5"/>
      <c r="B101" s="131"/>
      <c r="C101" s="5" t="s">
        <v>769</v>
      </c>
      <c r="D101" s="13"/>
      <c r="E101" s="13"/>
      <c r="F101" s="13"/>
      <c r="G101" s="13"/>
      <c r="H101" s="13"/>
      <c r="I101" s="13"/>
      <c r="J101" s="13"/>
      <c r="K101" s="39">
        <f>PPMT(K94/$B98,1,($B96*$B98),$B95)</f>
        <v>0</v>
      </c>
      <c r="L101" s="39">
        <f>PPMT(L94/$B98,1,(YEAR($B94)+$B96+0.5-L$5)*$B98,L95)</f>
        <v>0</v>
      </c>
      <c r="M101" s="39">
        <f>PPMT(M94/$B98,1,(YEAR($B94)+$B96+0.5-M$5)*$B98,M95)</f>
        <v>0</v>
      </c>
    </row>
    <row r="102" spans="1:14" ht="16.5" hidden="1" customHeight="1">
      <c r="A102" s="5"/>
      <c r="B102" s="147"/>
      <c r="C102" s="5" t="s">
        <v>770</v>
      </c>
      <c r="D102" s="13"/>
      <c r="E102" s="13"/>
      <c r="F102" s="13"/>
      <c r="G102" s="13"/>
      <c r="H102" s="13"/>
      <c r="I102" s="13"/>
      <c r="J102" s="13"/>
      <c r="K102" s="39">
        <f>$B95/$B96</f>
        <v>0</v>
      </c>
      <c r="L102" s="39">
        <f>L95/($B96+0.5-L$5+YEAR($B94))</f>
        <v>0</v>
      </c>
      <c r="M102" s="39">
        <f>M95/($B96+0.5-M$5+YEAR($B94))</f>
        <v>0</v>
      </c>
    </row>
    <row r="103" spans="1:14" ht="16.5" customHeight="1">
      <c r="A103" s="13" t="s">
        <v>182</v>
      </c>
      <c r="B103" s="41"/>
      <c r="C103" s="13"/>
      <c r="D103" s="13"/>
      <c r="E103" s="13"/>
      <c r="F103" s="13"/>
      <c r="G103" s="13"/>
      <c r="H103" s="13"/>
      <c r="I103" s="13"/>
      <c r="J103" s="13"/>
      <c r="K103" s="39"/>
      <c r="L103" s="39"/>
      <c r="M103" s="39"/>
    </row>
    <row r="104" spans="1:14" ht="16.5" customHeight="1">
      <c r="A104" s="13"/>
      <c r="B104" s="138"/>
      <c r="C104" s="5"/>
      <c r="D104" s="13"/>
      <c r="E104" s="13"/>
      <c r="F104" s="13"/>
      <c r="G104" s="13"/>
      <c r="H104" s="13"/>
      <c r="I104" s="13"/>
      <c r="J104" s="13"/>
      <c r="K104" s="39"/>
      <c r="L104" s="39"/>
      <c r="M104" s="39"/>
    </row>
    <row r="105" spans="1:14" ht="16.5" customHeight="1">
      <c r="A105" s="13" t="s">
        <v>812</v>
      </c>
      <c r="B105" s="14"/>
      <c r="C105" s="13"/>
      <c r="D105" s="18"/>
      <c r="E105" s="14"/>
      <c r="F105" s="13"/>
      <c r="G105" s="13"/>
      <c r="H105" s="13"/>
      <c r="I105" s="13"/>
      <c r="J105" s="13"/>
      <c r="K105" s="13"/>
      <c r="L105" s="13"/>
      <c r="M105" s="13"/>
    </row>
    <row r="106" spans="1:14" ht="16.5" customHeight="1">
      <c r="A106" s="14" t="s">
        <v>677</v>
      </c>
      <c r="B106" s="97">
        <f>DATE(L$5,7,1)</f>
        <v>48396</v>
      </c>
      <c r="C106" s="13" t="s">
        <v>639</v>
      </c>
      <c r="D106" s="44"/>
      <c r="E106" s="44"/>
      <c r="F106" s="44"/>
      <c r="G106" s="44"/>
      <c r="H106" s="44"/>
      <c r="I106" s="44"/>
      <c r="J106" s="44"/>
      <c r="K106" s="44"/>
      <c r="L106" s="73">
        <f>$B109</f>
        <v>0.06</v>
      </c>
      <c r="M106" s="73">
        <f>IF(Input!$H$61="V",Input!P$69,IF(AND(($B115=M$5),Input!P$64&gt;0),Input!P$64,L106))</f>
        <v>0.06</v>
      </c>
    </row>
    <row r="107" spans="1:14" ht="16.5" customHeight="1">
      <c r="A107" s="13" t="s">
        <v>361</v>
      </c>
      <c r="B107" s="98">
        <f>'g - Plant'!P63</f>
        <v>0</v>
      </c>
      <c r="C107" s="37" t="s">
        <v>173</v>
      </c>
      <c r="D107" s="45"/>
      <c r="E107" s="45"/>
      <c r="F107" s="45"/>
      <c r="G107" s="45"/>
      <c r="H107" s="45"/>
      <c r="I107" s="45"/>
      <c r="J107" s="45"/>
      <c r="K107" s="45"/>
      <c r="L107" s="45">
        <v>0</v>
      </c>
      <c r="M107" s="45">
        <f>L112</f>
        <v>0</v>
      </c>
    </row>
    <row r="108" spans="1:14" ht="16.5" customHeight="1">
      <c r="A108" s="14" t="s">
        <v>170</v>
      </c>
      <c r="B108" s="145">
        <f>'g - Plant'!P48</f>
        <v>35</v>
      </c>
      <c r="C108" s="40" t="s">
        <v>169</v>
      </c>
      <c r="D108" s="39"/>
      <c r="E108" s="39"/>
      <c r="F108" s="39"/>
      <c r="G108" s="39"/>
      <c r="H108" s="39"/>
      <c r="I108" s="39"/>
      <c r="J108" s="39"/>
      <c r="K108" s="39"/>
      <c r="L108" s="39">
        <f>L110-L109</f>
        <v>0</v>
      </c>
      <c r="M108" s="39">
        <f>M110-M109</f>
        <v>0</v>
      </c>
    </row>
    <row r="109" spans="1:14" ht="16.5" customHeight="1">
      <c r="A109" s="13" t="s">
        <v>172</v>
      </c>
      <c r="B109" s="146">
        <f>IF(Input!$H$61="V",Input!O$69,IF(Input!O$64&gt;0,Input!O$64,0.05))</f>
        <v>0.06</v>
      </c>
      <c r="C109" s="13" t="s">
        <v>174</v>
      </c>
      <c r="D109" s="39"/>
      <c r="E109" s="39"/>
      <c r="F109" s="39"/>
      <c r="G109" s="39"/>
      <c r="H109" s="39"/>
      <c r="I109" s="39"/>
      <c r="J109" s="39"/>
      <c r="K109" s="39"/>
      <c r="L109" s="39">
        <f>IF($B111="Y",0,(IF($B112="Y",L114/2,FV(L106/$B110,$B110/2,L113))))</f>
        <v>0</v>
      </c>
      <c r="M109" s="39">
        <f>IF($B111="Y",0,(IF($B112="Y",M114,FV(M106/$B110,$B110,M113))))</f>
        <v>0</v>
      </c>
    </row>
    <row r="110" spans="1:14" ht="15.5">
      <c r="A110" s="13" t="s">
        <v>171</v>
      </c>
      <c r="B110" s="41">
        <v>12</v>
      </c>
      <c r="C110" s="74" t="s">
        <v>640</v>
      </c>
      <c r="D110" s="39"/>
      <c r="E110" s="39"/>
      <c r="F110" s="39"/>
      <c r="G110" s="39"/>
      <c r="H110" s="39"/>
      <c r="I110" s="39"/>
      <c r="J110" s="39"/>
      <c r="K110" s="39"/>
      <c r="L110" s="39">
        <f>IF($B111="Y",$B107*L106/2,IF($B112="y",L114/2+L106/2*$B107,($B107*L106/$B110-L113)*$B110/2))</f>
        <v>0</v>
      </c>
      <c r="M110" s="39">
        <f>IF($B111="Y",M106*M107,IF($B112="Y",M114+(M107-M114/2)*M106,(M107*M106/$B110-M113)*$B110))</f>
        <v>0</v>
      </c>
    </row>
    <row r="111" spans="1:14" ht="15.5">
      <c r="A111" s="13" t="s">
        <v>360</v>
      </c>
      <c r="B111" s="41" t="str">
        <f>B99</f>
        <v>Y</v>
      </c>
      <c r="C111" s="141" t="s">
        <v>768</v>
      </c>
      <c r="D111" s="39"/>
      <c r="E111" s="39"/>
      <c r="F111" s="39"/>
      <c r="G111" s="39"/>
      <c r="H111" s="39"/>
      <c r="I111" s="39"/>
      <c r="J111" s="39"/>
      <c r="K111" s="39"/>
      <c r="L111" s="142">
        <v>0</v>
      </c>
      <c r="M111" s="142">
        <v>0</v>
      </c>
    </row>
    <row r="112" spans="1:14" ht="15.5">
      <c r="A112" s="13" t="s">
        <v>767</v>
      </c>
      <c r="B112" s="41" t="str">
        <f>B100</f>
        <v>N</v>
      </c>
      <c r="C112" s="34" t="s">
        <v>175</v>
      </c>
      <c r="D112" s="39"/>
      <c r="E112" s="39"/>
      <c r="F112" s="39"/>
      <c r="G112" s="39"/>
      <c r="H112" s="39"/>
      <c r="I112" s="39"/>
      <c r="J112" s="39"/>
      <c r="K112" s="39"/>
      <c r="L112" s="39">
        <f>$B107+L108-L110-L111</f>
        <v>0</v>
      </c>
      <c r="M112" s="39">
        <f>M107+M108-M110-M111</f>
        <v>0</v>
      </c>
      <c r="N112" s="13"/>
    </row>
    <row r="113" spans="1:14" ht="15.5" hidden="1">
      <c r="A113" s="5"/>
      <c r="B113" s="131"/>
      <c r="C113" s="5" t="s">
        <v>769</v>
      </c>
      <c r="D113" s="13"/>
      <c r="E113" s="13"/>
      <c r="F113" s="13"/>
      <c r="G113" s="13"/>
      <c r="H113" s="13"/>
      <c r="I113" s="13"/>
      <c r="J113" s="13"/>
      <c r="K113" s="13"/>
      <c r="L113" s="39">
        <f>PPMT(L106/$B110,1,($B108*$B110),$B107)</f>
        <v>0</v>
      </c>
      <c r="M113" s="39">
        <f>PPMT(M106/$B110,1,(YEAR($B106)+$B108+0.5-M$5)*$B110,M107)</f>
        <v>0</v>
      </c>
    </row>
    <row r="114" spans="1:14" ht="15.5" hidden="1">
      <c r="A114" s="5"/>
      <c r="B114" s="147"/>
      <c r="C114" s="5" t="s">
        <v>770</v>
      </c>
      <c r="D114" s="13"/>
      <c r="E114" s="13"/>
      <c r="F114" s="13"/>
      <c r="G114" s="13"/>
      <c r="H114" s="13"/>
      <c r="I114" s="13"/>
      <c r="J114" s="13"/>
      <c r="K114" s="13"/>
      <c r="L114" s="39">
        <f>$B107/$B108</f>
        <v>0</v>
      </c>
      <c r="M114" s="39">
        <f>M107/($B108+0.5-M$5+YEAR($B106))</f>
        <v>0</v>
      </c>
    </row>
    <row r="115" spans="1:14" ht="15.5">
      <c r="A115" s="13" t="s">
        <v>182</v>
      </c>
      <c r="B115" s="41"/>
      <c r="C115" s="13"/>
      <c r="D115" s="13"/>
      <c r="E115" s="13"/>
      <c r="F115" s="13"/>
      <c r="G115" s="13"/>
      <c r="H115" s="13"/>
      <c r="I115" s="13"/>
      <c r="J115" s="13"/>
      <c r="K115" s="13"/>
      <c r="L115" s="39"/>
      <c r="M115" s="39"/>
    </row>
    <row r="116" spans="1:14" ht="15.5">
      <c r="A116" s="13"/>
      <c r="B116" s="148"/>
      <c r="C116" s="13"/>
      <c r="D116" s="13"/>
      <c r="E116" s="13"/>
      <c r="F116" s="13"/>
      <c r="G116" s="13"/>
      <c r="H116" s="13"/>
      <c r="I116" s="13"/>
      <c r="J116" s="13"/>
      <c r="K116" s="13"/>
      <c r="L116" s="39"/>
      <c r="M116" s="39"/>
    </row>
    <row r="117" spans="1:14" ht="15.5">
      <c r="A117" s="13" t="s">
        <v>813</v>
      </c>
      <c r="B117" s="14"/>
      <c r="C117" s="13"/>
      <c r="D117" s="18"/>
      <c r="E117" s="14"/>
      <c r="F117" s="13"/>
      <c r="G117" s="13"/>
      <c r="H117" s="13"/>
      <c r="I117" s="13"/>
      <c r="J117" s="13"/>
      <c r="K117" s="13"/>
      <c r="L117" s="13"/>
      <c r="M117" s="13"/>
    </row>
    <row r="118" spans="1:14" ht="15.5">
      <c r="A118" s="14" t="s">
        <v>677</v>
      </c>
      <c r="B118" s="97">
        <f>DATE(M$5,7,1)</f>
        <v>48761</v>
      </c>
      <c r="C118" s="13" t="s">
        <v>639</v>
      </c>
      <c r="D118" s="44"/>
      <c r="E118" s="44"/>
      <c r="F118" s="44"/>
      <c r="G118" s="44"/>
      <c r="H118" s="44"/>
      <c r="I118" s="44"/>
      <c r="J118" s="44"/>
      <c r="K118" s="44"/>
      <c r="L118" s="44"/>
      <c r="M118" s="73">
        <f>$B121</f>
        <v>0.06</v>
      </c>
    </row>
    <row r="119" spans="1:14" ht="15.5">
      <c r="A119" s="13" t="s">
        <v>361</v>
      </c>
      <c r="B119" s="98">
        <f>'g - Plant'!Q63</f>
        <v>0</v>
      </c>
      <c r="C119" s="37" t="s">
        <v>173</v>
      </c>
      <c r="D119" s="45"/>
      <c r="E119" s="45"/>
      <c r="F119" s="45"/>
      <c r="G119" s="45"/>
      <c r="H119" s="45"/>
      <c r="I119" s="45"/>
      <c r="J119" s="45"/>
      <c r="K119" s="45"/>
      <c r="L119" s="45"/>
      <c r="M119" s="45">
        <v>0</v>
      </c>
    </row>
    <row r="120" spans="1:14" ht="15.5">
      <c r="A120" s="14" t="s">
        <v>170</v>
      </c>
      <c r="B120" s="145">
        <f>'g - Plant'!Q48</f>
        <v>35</v>
      </c>
      <c r="C120" s="40" t="s">
        <v>169</v>
      </c>
      <c r="D120" s="39"/>
      <c r="E120" s="39"/>
      <c r="F120" s="39"/>
      <c r="G120" s="39"/>
      <c r="H120" s="39"/>
      <c r="I120" s="39"/>
      <c r="J120" s="39"/>
      <c r="K120" s="39"/>
      <c r="L120" s="39"/>
      <c r="M120" s="39">
        <f>M122-M121</f>
        <v>0</v>
      </c>
    </row>
    <row r="121" spans="1:14" ht="15.5">
      <c r="A121" s="13" t="s">
        <v>172</v>
      </c>
      <c r="B121" s="146">
        <f>IF(Input!$H$61="V",Input!P$69,IF(Input!P$64&gt;0,Input!P$64,0.05))</f>
        <v>0.06</v>
      </c>
      <c r="C121" s="13" t="s">
        <v>174</v>
      </c>
      <c r="D121" s="39"/>
      <c r="E121" s="39"/>
      <c r="F121" s="39"/>
      <c r="G121" s="39"/>
      <c r="H121" s="39"/>
      <c r="I121" s="39"/>
      <c r="J121" s="39"/>
      <c r="K121" s="39"/>
      <c r="L121" s="39"/>
      <c r="M121" s="39">
        <f>IF($B123="Y",0,(IF($B124="Y",M126/2,FV(M118/$B122,$B122/2,M125))))</f>
        <v>0</v>
      </c>
    </row>
    <row r="122" spans="1:14" ht="15.5">
      <c r="A122" s="13" t="s">
        <v>171</v>
      </c>
      <c r="B122" s="41">
        <v>12</v>
      </c>
      <c r="C122" s="74" t="s">
        <v>640</v>
      </c>
      <c r="D122" s="39"/>
      <c r="E122" s="39"/>
      <c r="F122" s="39"/>
      <c r="G122" s="39"/>
      <c r="H122" s="39"/>
      <c r="I122" s="39"/>
      <c r="J122" s="39"/>
      <c r="K122" s="39"/>
      <c r="L122" s="39"/>
      <c r="M122" s="39">
        <f>IF($B123="Y",$B119*M118/2,IF($B124="y",M126/2+M118/2*$B119,($B119*M118/$B122-M125)*$B122/2))</f>
        <v>0</v>
      </c>
    </row>
    <row r="123" spans="1:14" ht="15.5">
      <c r="A123" s="13" t="s">
        <v>360</v>
      </c>
      <c r="B123" s="41" t="str">
        <f>B111</f>
        <v>Y</v>
      </c>
      <c r="C123" s="141" t="s">
        <v>768</v>
      </c>
      <c r="D123" s="39"/>
      <c r="E123" s="39"/>
      <c r="F123" s="39"/>
      <c r="G123" s="39"/>
      <c r="H123" s="39"/>
      <c r="I123" s="39"/>
      <c r="J123" s="39"/>
      <c r="K123" s="39"/>
      <c r="L123" s="39"/>
      <c r="M123" s="142">
        <v>0</v>
      </c>
    </row>
    <row r="124" spans="1:14" ht="15.5">
      <c r="A124" s="13" t="s">
        <v>767</v>
      </c>
      <c r="B124" s="41" t="str">
        <f>B112</f>
        <v>N</v>
      </c>
      <c r="C124" s="34" t="s">
        <v>175</v>
      </c>
      <c r="D124" s="39"/>
      <c r="E124" s="39"/>
      <c r="F124" s="39"/>
      <c r="G124" s="39"/>
      <c r="H124" s="39"/>
      <c r="I124" s="39"/>
      <c r="J124" s="39"/>
      <c r="K124" s="39"/>
      <c r="L124" s="39"/>
      <c r="M124" s="39">
        <f>$B119+M120-M122-M123</f>
        <v>0</v>
      </c>
      <c r="N124" s="13"/>
    </row>
    <row r="125" spans="1:14" ht="15.5" hidden="1">
      <c r="A125" s="5"/>
      <c r="B125" s="131"/>
      <c r="C125" s="5" t="s">
        <v>769</v>
      </c>
      <c r="D125" s="13"/>
      <c r="E125" s="13"/>
      <c r="F125" s="13"/>
      <c r="G125" s="13"/>
      <c r="H125" s="13"/>
      <c r="I125" s="13"/>
      <c r="J125" s="13"/>
      <c r="K125" s="13"/>
      <c r="L125" s="13"/>
      <c r="M125" s="39">
        <f>PPMT(M118/$B122,1,($B120*$B122),$B119)</f>
        <v>0</v>
      </c>
    </row>
    <row r="126" spans="1:14" ht="15.5" hidden="1">
      <c r="A126" s="5"/>
      <c r="B126" s="147"/>
      <c r="C126" s="5" t="s">
        <v>770</v>
      </c>
      <c r="D126" s="13"/>
      <c r="E126" s="13"/>
      <c r="F126" s="13"/>
      <c r="G126" s="13"/>
      <c r="H126" s="13"/>
      <c r="I126" s="13"/>
      <c r="J126" s="13"/>
      <c r="K126" s="13"/>
      <c r="L126" s="13"/>
      <c r="M126" s="39">
        <f>$B119/$B120</f>
        <v>0</v>
      </c>
    </row>
    <row r="127" spans="1:14" ht="15.5">
      <c r="A127" s="13" t="s">
        <v>182</v>
      </c>
      <c r="B127" s="41"/>
      <c r="C127" s="13"/>
      <c r="D127" s="13"/>
      <c r="E127" s="13"/>
      <c r="F127" s="13"/>
      <c r="G127" s="13"/>
      <c r="H127" s="13"/>
      <c r="I127" s="13"/>
      <c r="J127" s="13"/>
      <c r="K127" s="13"/>
      <c r="L127" s="13"/>
      <c r="M127" s="39"/>
    </row>
    <row r="128" spans="1:14" ht="15.5">
      <c r="A128" s="13"/>
      <c r="B128" s="150"/>
      <c r="C128" s="13"/>
      <c r="D128" s="13"/>
      <c r="E128" s="13"/>
      <c r="F128" s="13"/>
      <c r="G128" s="13"/>
      <c r="H128" s="13"/>
      <c r="I128" s="13"/>
      <c r="J128" s="13"/>
      <c r="K128" s="13"/>
      <c r="L128" s="13"/>
      <c r="M128" s="39"/>
    </row>
    <row r="129" spans="1:13" ht="15.5">
      <c r="A129" s="13"/>
      <c r="B129" s="150"/>
      <c r="C129" s="13"/>
      <c r="D129" s="13"/>
      <c r="E129" s="13"/>
      <c r="F129" s="13"/>
      <c r="G129" s="13"/>
      <c r="H129" s="13"/>
      <c r="I129" s="13"/>
      <c r="J129" s="13"/>
      <c r="K129" s="13"/>
      <c r="L129" s="13"/>
      <c r="M129" s="39"/>
    </row>
    <row r="130" spans="1:13" ht="15.5">
      <c r="A130" s="14" t="s">
        <v>814</v>
      </c>
      <c r="B130" s="15"/>
      <c r="C130" s="13"/>
    </row>
    <row r="131" spans="1:13" ht="15.5">
      <c r="A131" s="14" t="s">
        <v>188</v>
      </c>
      <c r="B131" s="15"/>
      <c r="C131" s="13"/>
      <c r="D131" s="149">
        <f t="shared" ref="D131:M131" si="27">D119+D107+D95+D83+D71+D57+D45+D33+D21+D9</f>
        <v>0</v>
      </c>
      <c r="E131" s="149">
        <f t="shared" si="27"/>
        <v>0</v>
      </c>
      <c r="F131" s="149">
        <f t="shared" si="27"/>
        <v>0</v>
      </c>
      <c r="G131" s="149">
        <f t="shared" si="27"/>
        <v>0</v>
      </c>
      <c r="H131" s="149">
        <f t="shared" si="27"/>
        <v>0</v>
      </c>
      <c r="I131" s="149">
        <f t="shared" si="27"/>
        <v>0</v>
      </c>
      <c r="J131" s="149">
        <f t="shared" si="27"/>
        <v>0</v>
      </c>
      <c r="K131" s="149">
        <f t="shared" si="27"/>
        <v>0</v>
      </c>
      <c r="L131" s="149">
        <f t="shared" si="27"/>
        <v>0</v>
      </c>
      <c r="M131" s="149">
        <f t="shared" si="27"/>
        <v>0</v>
      </c>
    </row>
    <row r="132" spans="1:13" ht="15.5">
      <c r="A132" s="14" t="s">
        <v>189</v>
      </c>
      <c r="B132" s="15"/>
      <c r="C132" s="13"/>
      <c r="D132" s="149">
        <f>B9</f>
        <v>0</v>
      </c>
      <c r="E132" s="149">
        <f>B21</f>
        <v>0</v>
      </c>
      <c r="F132" s="149">
        <f>B33</f>
        <v>0</v>
      </c>
      <c r="G132" s="149">
        <f>B45</f>
        <v>0</v>
      </c>
      <c r="H132" s="149">
        <f>B57</f>
        <v>0</v>
      </c>
      <c r="I132" s="149">
        <f>B71</f>
        <v>0</v>
      </c>
      <c r="J132" s="149">
        <f>B83</f>
        <v>0</v>
      </c>
      <c r="K132" s="149">
        <f>B95</f>
        <v>0</v>
      </c>
      <c r="L132" s="149">
        <f>B107</f>
        <v>0</v>
      </c>
      <c r="M132" s="149">
        <f>B119</f>
        <v>0</v>
      </c>
    </row>
    <row r="133" spans="1:13" ht="15.5">
      <c r="A133" s="14" t="s">
        <v>190</v>
      </c>
      <c r="B133" s="15"/>
      <c r="C133" s="13"/>
      <c r="D133" s="149">
        <f t="shared" ref="D133:M133" si="28">D120+D108+D96+D84+D72+D58+D46+D34+D22+D10</f>
        <v>0</v>
      </c>
      <c r="E133" s="149">
        <f t="shared" si="28"/>
        <v>0</v>
      </c>
      <c r="F133" s="149">
        <f t="shared" si="28"/>
        <v>0</v>
      </c>
      <c r="G133" s="149">
        <f t="shared" si="28"/>
        <v>0</v>
      </c>
      <c r="H133" s="149">
        <f t="shared" si="28"/>
        <v>0</v>
      </c>
      <c r="I133" s="149">
        <f t="shared" si="28"/>
        <v>0</v>
      </c>
      <c r="J133" s="149">
        <f t="shared" si="28"/>
        <v>0</v>
      </c>
      <c r="K133" s="149">
        <f t="shared" si="28"/>
        <v>0</v>
      </c>
      <c r="L133" s="149">
        <f t="shared" si="28"/>
        <v>0</v>
      </c>
      <c r="M133" s="149">
        <f t="shared" si="28"/>
        <v>0</v>
      </c>
    </row>
    <row r="134" spans="1:13" ht="15.5">
      <c r="A134" s="14" t="s">
        <v>192</v>
      </c>
      <c r="B134" s="15"/>
      <c r="C134" s="13"/>
      <c r="D134" s="149">
        <f t="shared" ref="D134:M134" si="29">D121+D109+D97+D85+D73+D59+D47+D35+D23+D11</f>
        <v>0</v>
      </c>
      <c r="E134" s="149">
        <f t="shared" si="29"/>
        <v>0</v>
      </c>
      <c r="F134" s="149">
        <f t="shared" si="29"/>
        <v>0</v>
      </c>
      <c r="G134" s="149">
        <f t="shared" si="29"/>
        <v>0</v>
      </c>
      <c r="H134" s="149">
        <f t="shared" si="29"/>
        <v>0</v>
      </c>
      <c r="I134" s="149">
        <f t="shared" si="29"/>
        <v>0</v>
      </c>
      <c r="J134" s="149">
        <f t="shared" si="29"/>
        <v>0</v>
      </c>
      <c r="K134" s="149">
        <f t="shared" si="29"/>
        <v>0</v>
      </c>
      <c r="L134" s="149">
        <f t="shared" si="29"/>
        <v>0</v>
      </c>
      <c r="M134" s="149">
        <f t="shared" si="29"/>
        <v>0</v>
      </c>
    </row>
    <row r="135" spans="1:13" ht="15.5">
      <c r="A135" s="34" t="s">
        <v>193</v>
      </c>
      <c r="B135" s="15"/>
      <c r="C135" s="13"/>
      <c r="D135" s="149">
        <f t="shared" ref="D135:M135" si="30">D122+D110+D98+D86+D74+D60+D48+D36+D24+D12</f>
        <v>0</v>
      </c>
      <c r="E135" s="149">
        <f t="shared" si="30"/>
        <v>0</v>
      </c>
      <c r="F135" s="149">
        <f t="shared" si="30"/>
        <v>0</v>
      </c>
      <c r="G135" s="149">
        <f t="shared" si="30"/>
        <v>0</v>
      </c>
      <c r="H135" s="149">
        <f t="shared" si="30"/>
        <v>0</v>
      </c>
      <c r="I135" s="149">
        <f t="shared" si="30"/>
        <v>0</v>
      </c>
      <c r="J135" s="149">
        <f t="shared" si="30"/>
        <v>0</v>
      </c>
      <c r="K135" s="149">
        <f t="shared" si="30"/>
        <v>0</v>
      </c>
      <c r="L135" s="149">
        <f t="shared" si="30"/>
        <v>0</v>
      </c>
      <c r="M135" s="149">
        <f t="shared" si="30"/>
        <v>0</v>
      </c>
    </row>
    <row r="136" spans="1:13" ht="15.5">
      <c r="A136" s="14" t="s">
        <v>774</v>
      </c>
      <c r="B136" s="15"/>
      <c r="C136" s="13"/>
      <c r="D136" s="149">
        <f t="shared" ref="D136:M136" si="31">D123+D111+D99+D87+D75+D61+D49+D37+D25+D13</f>
        <v>0</v>
      </c>
      <c r="E136" s="149">
        <f t="shared" si="31"/>
        <v>0</v>
      </c>
      <c r="F136" s="149">
        <f t="shared" si="31"/>
        <v>0</v>
      </c>
      <c r="G136" s="149">
        <f t="shared" si="31"/>
        <v>0</v>
      </c>
      <c r="H136" s="149">
        <f t="shared" si="31"/>
        <v>0</v>
      </c>
      <c r="I136" s="149">
        <f t="shared" si="31"/>
        <v>0</v>
      </c>
      <c r="J136" s="149">
        <f t="shared" si="31"/>
        <v>0</v>
      </c>
      <c r="K136" s="149">
        <f t="shared" si="31"/>
        <v>0</v>
      </c>
      <c r="L136" s="149">
        <f t="shared" si="31"/>
        <v>0</v>
      </c>
      <c r="M136" s="149">
        <f t="shared" si="31"/>
        <v>0</v>
      </c>
    </row>
    <row r="137" spans="1:13" ht="15.5">
      <c r="A137" s="34" t="s">
        <v>775</v>
      </c>
      <c r="B137" s="15"/>
      <c r="C137" s="13"/>
      <c r="D137" s="149">
        <f t="shared" ref="D137:M137" si="32">D124+D112+D100+D88+D76+D62+D50+D38+D26+D14</f>
        <v>0</v>
      </c>
      <c r="E137" s="149">
        <f t="shared" si="32"/>
        <v>0</v>
      </c>
      <c r="F137" s="149">
        <f t="shared" si="32"/>
        <v>0</v>
      </c>
      <c r="G137" s="149">
        <f t="shared" si="32"/>
        <v>0</v>
      </c>
      <c r="H137" s="149">
        <f t="shared" si="32"/>
        <v>0</v>
      </c>
      <c r="I137" s="149">
        <f t="shared" si="32"/>
        <v>0</v>
      </c>
      <c r="J137" s="149">
        <f t="shared" si="32"/>
        <v>0</v>
      </c>
      <c r="K137" s="149">
        <f t="shared" si="32"/>
        <v>0</v>
      </c>
      <c r="L137" s="149">
        <f t="shared" si="32"/>
        <v>0</v>
      </c>
      <c r="M137" s="149">
        <f t="shared" si="32"/>
        <v>0</v>
      </c>
    </row>
  </sheetData>
  <sheetProtection password="9A24" sheet="1" objects="1" scenarios="1"/>
  <phoneticPr fontId="0" type="noConversion"/>
  <pageMargins left="0.75" right="0.75" top="0.55000000000000004" bottom="1" header="0.5" footer="0.5"/>
  <pageSetup scale="52" fitToHeight="0" orientation="landscape" horizontalDpi="300" verticalDpi="300" r:id="rId1"/>
  <headerFooter alignWithMargins="0"/>
  <rowBreaks count="1" manualBreakCount="1">
    <brk id="66" max="16383"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pageSetUpPr fitToPage="1"/>
  </sheetPr>
  <dimension ref="A3:N139"/>
  <sheetViews>
    <sheetView showGridLines="0" zoomScale="68" zoomScaleNormal="68" workbookViewId="0">
      <pane xSplit="3" ySplit="6" topLeftCell="D7" activePane="bottomRight" state="frozen"/>
      <selection pane="topRight" activeCell="D1" sqref="D1"/>
      <selection pane="bottomLeft" activeCell="A5" sqref="A5"/>
      <selection pane="bottomRight" activeCell="B10" sqref="B10"/>
    </sheetView>
  </sheetViews>
  <sheetFormatPr defaultColWidth="0" defaultRowHeight="16.5" customHeight="1"/>
  <cols>
    <col min="1" max="1" width="21" customWidth="1"/>
    <col min="2" max="2" width="16.7265625" style="2" customWidth="1"/>
    <col min="3" max="3" width="24.54296875" customWidth="1"/>
    <col min="4" max="14" width="17.26953125" customWidth="1"/>
  </cols>
  <sheetData>
    <row r="3" spans="1:13" ht="16.5" customHeight="1">
      <c r="A3" s="34"/>
      <c r="B3" s="15"/>
      <c r="C3" s="18"/>
      <c r="D3" s="13"/>
      <c r="E3" s="13"/>
      <c r="F3" s="14" t="s">
        <v>42</v>
      </c>
      <c r="G3" s="13"/>
      <c r="H3" s="228" t="s">
        <v>960</v>
      </c>
      <c r="I3" s="13"/>
      <c r="J3" s="13"/>
      <c r="K3" s="13"/>
      <c r="L3" s="13"/>
      <c r="M3" s="14"/>
    </row>
    <row r="4" spans="1:13" ht="16.5" customHeight="1">
      <c r="A4" s="34"/>
      <c r="B4" s="15"/>
      <c r="C4" s="13"/>
      <c r="D4" s="18"/>
      <c r="E4" s="14"/>
      <c r="F4" s="13"/>
      <c r="G4" s="13"/>
      <c r="H4" s="13"/>
      <c r="I4" s="13"/>
      <c r="J4" s="13"/>
      <c r="K4" s="13"/>
      <c r="L4" s="13"/>
      <c r="M4" s="13"/>
    </row>
    <row r="5" spans="1:13" ht="16.5" customHeight="1">
      <c r="A5" s="14"/>
      <c r="B5" s="15"/>
      <c r="C5" s="13"/>
      <c r="D5" s="15">
        <f>Input!G8</f>
        <v>2024</v>
      </c>
      <c r="E5" s="15">
        <f t="shared" ref="E5:M5" si="0">D5+1</f>
        <v>2025</v>
      </c>
      <c r="F5" s="15">
        <f t="shared" si="0"/>
        <v>2026</v>
      </c>
      <c r="G5" s="15">
        <f t="shared" si="0"/>
        <v>2027</v>
      </c>
      <c r="H5" s="15">
        <f t="shared" si="0"/>
        <v>2028</v>
      </c>
      <c r="I5" s="15">
        <f t="shared" si="0"/>
        <v>2029</v>
      </c>
      <c r="J5" s="15">
        <f t="shared" si="0"/>
        <v>2030</v>
      </c>
      <c r="K5" s="15">
        <f t="shared" si="0"/>
        <v>2031</v>
      </c>
      <c r="L5" s="15">
        <f t="shared" si="0"/>
        <v>2032</v>
      </c>
      <c r="M5" s="15">
        <f t="shared" si="0"/>
        <v>2033</v>
      </c>
    </row>
    <row r="6" spans="1:13" ht="16.5" customHeight="1">
      <c r="A6" s="34"/>
      <c r="B6" s="43"/>
      <c r="C6" s="14"/>
      <c r="D6" s="15" t="s">
        <v>46</v>
      </c>
      <c r="E6" s="15" t="s">
        <v>46</v>
      </c>
      <c r="F6" s="15" t="s">
        <v>46</v>
      </c>
      <c r="G6" s="15" t="s">
        <v>46</v>
      </c>
      <c r="H6" s="15" t="s">
        <v>46</v>
      </c>
      <c r="I6" s="15" t="s">
        <v>46</v>
      </c>
      <c r="J6" s="15" t="s">
        <v>46</v>
      </c>
      <c r="K6" s="15" t="s">
        <v>46</v>
      </c>
      <c r="L6" s="15" t="s">
        <v>46</v>
      </c>
      <c r="M6" s="15" t="s">
        <v>46</v>
      </c>
    </row>
    <row r="7" spans="1:13" ht="16.5" customHeight="1">
      <c r="A7" s="13" t="s">
        <v>815</v>
      </c>
      <c r="B7" s="14"/>
      <c r="C7" s="13"/>
      <c r="D7" s="18"/>
      <c r="E7" s="14"/>
      <c r="F7" s="13"/>
      <c r="G7" s="13"/>
      <c r="H7" s="13"/>
      <c r="I7" s="13"/>
      <c r="J7" s="13"/>
      <c r="K7" s="13"/>
      <c r="L7" s="13"/>
      <c r="M7" s="13"/>
    </row>
    <row r="8" spans="1:13" ht="16.5" customHeight="1">
      <c r="A8" s="14" t="s">
        <v>677</v>
      </c>
      <c r="B8" s="97">
        <f>DATE(D$5,7,1)</f>
        <v>45474</v>
      </c>
      <c r="C8" s="13" t="s">
        <v>639</v>
      </c>
      <c r="D8" s="73">
        <f>$B11</f>
        <v>7.0000000000000007E-2</v>
      </c>
      <c r="E8" s="73">
        <f>IF(Input!$H$61="V",Input!H$70,IF(AND(($B17=E$5),Input!H$65&gt;0),Input!H$65,D8))</f>
        <v>7.0000000000000007E-2</v>
      </c>
      <c r="F8" s="73">
        <f>IF(Input!$H$61="V",Input!I$70,IF(AND(($B17=F$5),Input!I$65&gt;0),Input!I$65,E8))</f>
        <v>7.0000000000000007E-2</v>
      </c>
      <c r="G8" s="73">
        <f>IF(Input!$H$61="V",Input!J$70,IF(AND(($B17=G$5),Input!J$65&gt;0),Input!J$65,F8))</f>
        <v>7.0000000000000007E-2</v>
      </c>
      <c r="H8" s="73">
        <f>IF(Input!$H$61="V",Input!K$70,IF(AND(($B17=H$5),Input!K$65&gt;0),Input!K$65,G8))</f>
        <v>7.0000000000000007E-2</v>
      </c>
      <c r="I8" s="73">
        <f>IF(Input!$H$61="V",Input!L$70,IF(AND(($B17=I$5),Input!L$65&gt;0),Input!L$65,H8))</f>
        <v>7.0000000000000007E-2</v>
      </c>
      <c r="J8" s="73">
        <f>IF(Input!$H$61="V",Input!M$70,IF(AND(($B17=J$5),Input!M$65&gt;0),Input!M$65,I8))</f>
        <v>7.0000000000000007E-2</v>
      </c>
      <c r="K8" s="73">
        <f>IF(Input!$H$61="V",Input!N$70,IF(AND(($B17=K$5),Input!N$65&gt;0),Input!N$65,J8))</f>
        <v>7.0000000000000007E-2</v>
      </c>
      <c r="L8" s="73">
        <f>IF(Input!$H$61="V",Input!O$70,IF(AND(($B17=L$5),Input!O$65&gt;0),Input!O$65,K8))</f>
        <v>7.0000000000000007E-2</v>
      </c>
      <c r="M8" s="73">
        <f>IF(Input!$H$61="V",Input!P$70,IF(AND(($B17=M$5),Input!P$65&gt;0),Input!P$65,L8))</f>
        <v>7.0000000000000007E-2</v>
      </c>
    </row>
    <row r="9" spans="1:13" ht="16.5" customHeight="1">
      <c r="A9" s="13" t="s">
        <v>361</v>
      </c>
      <c r="B9" s="98">
        <f>'g - Plant'!H64</f>
        <v>0</v>
      </c>
      <c r="C9" s="37" t="s">
        <v>173</v>
      </c>
      <c r="D9" s="45">
        <v>0</v>
      </c>
      <c r="E9" s="45">
        <f t="shared" ref="E9:M9" si="1">D14</f>
        <v>0</v>
      </c>
      <c r="F9" s="45">
        <f t="shared" si="1"/>
        <v>0</v>
      </c>
      <c r="G9" s="45">
        <f t="shared" si="1"/>
        <v>0</v>
      </c>
      <c r="H9" s="45">
        <f t="shared" si="1"/>
        <v>0</v>
      </c>
      <c r="I9" s="45">
        <f t="shared" si="1"/>
        <v>0</v>
      </c>
      <c r="J9" s="45">
        <f t="shared" si="1"/>
        <v>0</v>
      </c>
      <c r="K9" s="45">
        <f t="shared" si="1"/>
        <v>0</v>
      </c>
      <c r="L9" s="45">
        <f t="shared" si="1"/>
        <v>0</v>
      </c>
      <c r="M9" s="45">
        <f t="shared" si="1"/>
        <v>0</v>
      </c>
    </row>
    <row r="10" spans="1:13" ht="16.5" customHeight="1">
      <c r="A10" s="14" t="s">
        <v>170</v>
      </c>
      <c r="B10" s="145">
        <f>'g - Plant'!H48</f>
        <v>35</v>
      </c>
      <c r="C10" s="40" t="s">
        <v>169</v>
      </c>
      <c r="D10" s="39">
        <f t="shared" ref="D10:M10" si="2">D12-D11</f>
        <v>0</v>
      </c>
      <c r="E10" s="39">
        <f t="shared" si="2"/>
        <v>0</v>
      </c>
      <c r="F10" s="39">
        <f t="shared" si="2"/>
        <v>0</v>
      </c>
      <c r="G10" s="39">
        <f t="shared" si="2"/>
        <v>0</v>
      </c>
      <c r="H10" s="39">
        <f t="shared" si="2"/>
        <v>0</v>
      </c>
      <c r="I10" s="39">
        <f t="shared" si="2"/>
        <v>0</v>
      </c>
      <c r="J10" s="39">
        <f t="shared" si="2"/>
        <v>0</v>
      </c>
      <c r="K10" s="39">
        <f t="shared" si="2"/>
        <v>0</v>
      </c>
      <c r="L10" s="39">
        <f t="shared" si="2"/>
        <v>0</v>
      </c>
      <c r="M10" s="39">
        <f t="shared" si="2"/>
        <v>0</v>
      </c>
    </row>
    <row r="11" spans="1:13" ht="16.5" customHeight="1">
      <c r="A11" s="13" t="s">
        <v>172</v>
      </c>
      <c r="B11" s="146">
        <f>IF(Input!$H$61="V",Input!G$70,IF(Input!G$65&gt;0,Input!G$65,0.07))</f>
        <v>7.0000000000000007E-2</v>
      </c>
      <c r="C11" s="13" t="s">
        <v>174</v>
      </c>
      <c r="D11" s="39">
        <f>IF($B13="Y",0,(IF($B14="Y",D16/2,FV(D8/$B12,$B12/2,D15))))</f>
        <v>0</v>
      </c>
      <c r="E11" s="39">
        <f>IF($B13="Y",0,(IF($B14="Y",E16,FV(E8/$B12,$B12,E15))))</f>
        <v>0</v>
      </c>
      <c r="F11" s="39">
        <f>IF((AND($B13="Y",$B14="Y")),F16/2,(IF($B14="Y",F16,IF($B13="Y",FV(F8/$B12,$B12/2,F15),FV(F8/$B12,$B12,F15)))))</f>
        <v>0</v>
      </c>
      <c r="G11" s="39">
        <f>IF(YEAR($B8)+$B10&lt;=G$5,G9,(IF($B14="Y",G16,FV(G8/$B12,$B12,G15))))</f>
        <v>0</v>
      </c>
      <c r="H11" s="39">
        <f t="shared" ref="H11:M11" si="3">IF(YEAR($B8)+$B10&lt;=H$5,H9,(IF($B14="Y",H16,FV(H8/$B12,$B12,H15))))</f>
        <v>0</v>
      </c>
      <c r="I11" s="39">
        <f t="shared" si="3"/>
        <v>0</v>
      </c>
      <c r="J11" s="39">
        <f t="shared" si="3"/>
        <v>0</v>
      </c>
      <c r="K11" s="39">
        <f t="shared" si="3"/>
        <v>0</v>
      </c>
      <c r="L11" s="39">
        <f t="shared" si="3"/>
        <v>0</v>
      </c>
      <c r="M11" s="39">
        <f t="shared" si="3"/>
        <v>0</v>
      </c>
    </row>
    <row r="12" spans="1:13" ht="16.5" customHeight="1">
      <c r="A12" s="13" t="s">
        <v>171</v>
      </c>
      <c r="B12" s="41">
        <v>12</v>
      </c>
      <c r="C12" s="74" t="s">
        <v>640</v>
      </c>
      <c r="D12" s="39">
        <f>IF($B13="Y",$B9*D8/2,IF($B14="y",D16/2+D8/2*$B9,($B9*D8/$B12-D15)*$B12/2))</f>
        <v>0</v>
      </c>
      <c r="E12" s="39">
        <f>IF($B13="Y",E8*E9,IF($B14="Y",E16+(E9-E16/2)*E8,(E9*E8/$B12-E15)*$B12))</f>
        <v>0</v>
      </c>
      <c r="F12" s="39">
        <f>IF(AND($B13="Y",$B14="Y"),F16/2+(F9-F16/4)*F8,IF($B14="Y",F16+(F9-F16/2)*F8,IF($B13="Y",(F9*F8/$B12-F15)*$B12/2+0.5*F8*F9,(F9*F8/$B12-F15)*$B12)))</f>
        <v>0</v>
      </c>
      <c r="G12" s="39">
        <f t="shared" ref="G12:M12" si="4">IF(YEAR($B8)+$B10&lt;=G$5,G9+G9*G8/2,(IF($B14="Y",G16+(G9-G16/2)*G8,(G9*G8/$B12-G15)*$B12)))</f>
        <v>0</v>
      </c>
      <c r="H12" s="39">
        <f t="shared" si="4"/>
        <v>0</v>
      </c>
      <c r="I12" s="39">
        <f t="shared" si="4"/>
        <v>0</v>
      </c>
      <c r="J12" s="39">
        <f t="shared" si="4"/>
        <v>0</v>
      </c>
      <c r="K12" s="39">
        <f t="shared" si="4"/>
        <v>0</v>
      </c>
      <c r="L12" s="39">
        <f t="shared" si="4"/>
        <v>0</v>
      </c>
      <c r="M12" s="39">
        <f t="shared" si="4"/>
        <v>0</v>
      </c>
    </row>
    <row r="13" spans="1:13" ht="16.5" customHeight="1">
      <c r="A13" s="13" t="s">
        <v>360</v>
      </c>
      <c r="B13" s="41" t="s">
        <v>716</v>
      </c>
      <c r="C13" s="141" t="s">
        <v>768</v>
      </c>
      <c r="D13" s="142">
        <v>0</v>
      </c>
      <c r="E13" s="142">
        <v>0</v>
      </c>
      <c r="F13" s="142">
        <v>0</v>
      </c>
      <c r="G13" s="142">
        <v>0</v>
      </c>
      <c r="H13" s="142">
        <v>0</v>
      </c>
      <c r="I13" s="142">
        <v>0</v>
      </c>
      <c r="J13" s="142">
        <v>0</v>
      </c>
      <c r="K13" s="142">
        <v>0</v>
      </c>
      <c r="L13" s="142">
        <v>0</v>
      </c>
      <c r="M13" s="142">
        <v>0</v>
      </c>
    </row>
    <row r="14" spans="1:13" ht="16.5" customHeight="1">
      <c r="A14" s="13" t="s">
        <v>767</v>
      </c>
      <c r="B14" s="41" t="s">
        <v>719</v>
      </c>
      <c r="C14" s="34" t="s">
        <v>175</v>
      </c>
      <c r="D14" s="39">
        <f>$B9+D10-D12-D13</f>
        <v>0</v>
      </c>
      <c r="E14" s="39">
        <f>E9+E10-E12-E13</f>
        <v>0</v>
      </c>
      <c r="F14" s="39">
        <f t="shared" ref="F14:M14" si="5">F9+F10-F12-F13</f>
        <v>0</v>
      </c>
      <c r="G14" s="39">
        <f t="shared" si="5"/>
        <v>0</v>
      </c>
      <c r="H14" s="39">
        <f t="shared" si="5"/>
        <v>0</v>
      </c>
      <c r="I14" s="39">
        <f t="shared" si="5"/>
        <v>0</v>
      </c>
      <c r="J14" s="39">
        <f t="shared" si="5"/>
        <v>0</v>
      </c>
      <c r="K14" s="39">
        <f t="shared" si="5"/>
        <v>0</v>
      </c>
      <c r="L14" s="39">
        <f t="shared" si="5"/>
        <v>0</v>
      </c>
      <c r="M14" s="39">
        <f t="shared" si="5"/>
        <v>0</v>
      </c>
    </row>
    <row r="15" spans="1:13" ht="16.5" hidden="1" customHeight="1">
      <c r="A15" s="5"/>
      <c r="B15" s="131"/>
      <c r="C15" s="5" t="s">
        <v>769</v>
      </c>
      <c r="D15" s="39">
        <f>PPMT(D8/$B12,1,($B10*$B12),$B9)</f>
        <v>0</v>
      </c>
      <c r="E15" s="39">
        <f>PPMT(E8/$B12,1,(YEAR($B8)+$B10+0.5-E$5)*$B12,E9)</f>
        <v>0</v>
      </c>
      <c r="F15" s="39">
        <f t="shared" ref="F15:M15" si="6">PPMT(F8/$B12,1,(YEAR($B8)+$B10+0.5-F$5)*$B12,F9)</f>
        <v>0</v>
      </c>
      <c r="G15" s="39">
        <f t="shared" si="6"/>
        <v>0</v>
      </c>
      <c r="H15" s="39">
        <f t="shared" si="6"/>
        <v>0</v>
      </c>
      <c r="I15" s="39">
        <f t="shared" si="6"/>
        <v>0</v>
      </c>
      <c r="J15" s="39">
        <f t="shared" si="6"/>
        <v>0</v>
      </c>
      <c r="K15" s="39">
        <f t="shared" si="6"/>
        <v>0</v>
      </c>
      <c r="L15" s="39">
        <f t="shared" si="6"/>
        <v>0</v>
      </c>
      <c r="M15" s="39">
        <f t="shared" si="6"/>
        <v>0</v>
      </c>
    </row>
    <row r="16" spans="1:13" ht="16.5" hidden="1" customHeight="1">
      <c r="A16" s="5"/>
      <c r="B16" s="147"/>
      <c r="C16" s="5" t="s">
        <v>770</v>
      </c>
      <c r="D16" s="39">
        <f>$B9/$B10</f>
        <v>0</v>
      </c>
      <c r="E16" s="39">
        <f>E9/($B10+0.5-E$5+YEAR($B8))</f>
        <v>0</v>
      </c>
      <c r="F16" s="39">
        <f t="shared" ref="F16:K16" si="7">F9/($B10+0.5-F$5+YEAR($B8))</f>
        <v>0</v>
      </c>
      <c r="G16" s="39">
        <f t="shared" si="7"/>
        <v>0</v>
      </c>
      <c r="H16" s="39">
        <f t="shared" si="7"/>
        <v>0</v>
      </c>
      <c r="I16" s="39">
        <f t="shared" si="7"/>
        <v>0</v>
      </c>
      <c r="J16" s="39">
        <f t="shared" si="7"/>
        <v>0</v>
      </c>
      <c r="K16" s="39">
        <f t="shared" si="7"/>
        <v>0</v>
      </c>
      <c r="L16" s="39">
        <f>L9/(YEAR($B8)+$B10-L5+0.5)</f>
        <v>0</v>
      </c>
      <c r="M16" s="39">
        <f>M9/(YEAR($B8)+$B10-M5+0.5)</f>
        <v>0</v>
      </c>
    </row>
    <row r="17" spans="1:14" ht="16.5" customHeight="1">
      <c r="A17" s="13" t="s">
        <v>182</v>
      </c>
      <c r="B17" s="165"/>
      <c r="C17" s="13"/>
      <c r="D17" s="39"/>
      <c r="E17" s="143"/>
      <c r="F17" s="143"/>
      <c r="G17" s="143"/>
      <c r="H17" s="143"/>
      <c r="I17" s="143"/>
      <c r="J17" s="143"/>
      <c r="K17" s="143"/>
      <c r="L17" s="39"/>
      <c r="M17" s="39"/>
    </row>
    <row r="18" spans="1:14" ht="16.5" customHeight="1">
      <c r="A18" s="13"/>
      <c r="B18" s="148"/>
      <c r="C18" s="13"/>
      <c r="F18" s="28"/>
      <c r="G18" s="28"/>
      <c r="H18" s="28"/>
      <c r="I18" s="28"/>
      <c r="J18" s="28"/>
      <c r="K18" s="28"/>
      <c r="L18" s="28"/>
      <c r="M18" s="28"/>
    </row>
    <row r="19" spans="1:14" ht="16.5" customHeight="1">
      <c r="A19" s="13" t="s">
        <v>816</v>
      </c>
      <c r="B19" s="14"/>
      <c r="C19" s="13"/>
      <c r="D19" s="39"/>
      <c r="E19" s="144"/>
      <c r="F19" s="144"/>
      <c r="G19" s="144"/>
      <c r="H19" s="144"/>
      <c r="I19" s="144"/>
      <c r="J19" s="144"/>
      <c r="K19" s="144"/>
      <c r="L19" s="13"/>
      <c r="M19" s="13"/>
    </row>
    <row r="20" spans="1:14" ht="16.5" customHeight="1">
      <c r="A20" s="14" t="s">
        <v>677</v>
      </c>
      <c r="B20" s="97">
        <f>DATE(E$5,7,1)</f>
        <v>45839</v>
      </c>
      <c r="C20" s="13" t="s">
        <v>639</v>
      </c>
      <c r="D20" s="44"/>
      <c r="E20" s="73">
        <f>$B23</f>
        <v>7.0000000000000007E-2</v>
      </c>
      <c r="F20" s="73">
        <f>IF(Input!$H$61="V",Input!I$70,IF(AND(($B29=F$5),Input!I$65&gt;0),Input!I$65,E20))</f>
        <v>7.0000000000000007E-2</v>
      </c>
      <c r="G20" s="73">
        <f>IF(Input!$H$61="V",Input!J$70,IF(AND(($B29=G$5),Input!J$65&gt;0),Input!J$65,F20))</f>
        <v>7.0000000000000007E-2</v>
      </c>
      <c r="H20" s="73">
        <f>IF(Input!$H$61="V",Input!K$70,IF(AND(($B29=H$5),Input!K$65&gt;0),Input!K$65,G20))</f>
        <v>7.0000000000000007E-2</v>
      </c>
      <c r="I20" s="73">
        <f>IF(Input!$H$61="V",Input!L$70,IF(AND(($B29=I$5),Input!L$65&gt;0),Input!L$65,H20))</f>
        <v>7.0000000000000007E-2</v>
      </c>
      <c r="J20" s="73">
        <f>IF(Input!$H$61="V",Input!M$70,IF(AND(($B29=J$5),Input!M$65&gt;0),Input!M$65,I20))</f>
        <v>7.0000000000000007E-2</v>
      </c>
      <c r="K20" s="73">
        <f>IF(Input!$H$61="V",Input!N$70,IF(AND(($B29=K$5),Input!N$65&gt;0),Input!N$65,J20))</f>
        <v>7.0000000000000007E-2</v>
      </c>
      <c r="L20" s="73">
        <f>IF(Input!$H$61="V",Input!O$70,IF(AND(($B29=L$5),Input!O$65&gt;0),Input!O$65,K20))</f>
        <v>7.0000000000000007E-2</v>
      </c>
      <c r="M20" s="73">
        <f>IF(Input!$H$61="V",Input!P$70,IF(AND(($B29=M$5),Input!P$65&gt;0),Input!P$65,L20))</f>
        <v>7.0000000000000007E-2</v>
      </c>
    </row>
    <row r="21" spans="1:14" ht="16.5" customHeight="1">
      <c r="A21" s="13" t="s">
        <v>361</v>
      </c>
      <c r="B21" s="98">
        <f>'g - Plant'!I64</f>
        <v>0</v>
      </c>
      <c r="C21" s="37" t="s">
        <v>173</v>
      </c>
      <c r="D21" s="45"/>
      <c r="E21" s="45">
        <v>0</v>
      </c>
      <c r="F21" s="45">
        <f t="shared" ref="F21:M21" si="8">E26</f>
        <v>0</v>
      </c>
      <c r="G21" s="45">
        <f t="shared" si="8"/>
        <v>0</v>
      </c>
      <c r="H21" s="45">
        <f t="shared" si="8"/>
        <v>0</v>
      </c>
      <c r="I21" s="45">
        <f t="shared" si="8"/>
        <v>0</v>
      </c>
      <c r="J21" s="45">
        <f t="shared" si="8"/>
        <v>0</v>
      </c>
      <c r="K21" s="45">
        <f t="shared" si="8"/>
        <v>0</v>
      </c>
      <c r="L21" s="45">
        <f t="shared" si="8"/>
        <v>0</v>
      </c>
      <c r="M21" s="45">
        <f t="shared" si="8"/>
        <v>0</v>
      </c>
    </row>
    <row r="22" spans="1:14" ht="16.5" customHeight="1">
      <c r="A22" s="14" t="s">
        <v>170</v>
      </c>
      <c r="B22" s="145">
        <f>'g - Plant'!I48</f>
        <v>35</v>
      </c>
      <c r="C22" s="40" t="s">
        <v>169</v>
      </c>
      <c r="D22" s="39"/>
      <c r="E22" s="39">
        <f t="shared" ref="E22:M22" si="9">E24-E23</f>
        <v>0</v>
      </c>
      <c r="F22" s="39">
        <f t="shared" si="9"/>
        <v>0</v>
      </c>
      <c r="G22" s="39">
        <f t="shared" si="9"/>
        <v>0</v>
      </c>
      <c r="H22" s="39">
        <f t="shared" si="9"/>
        <v>0</v>
      </c>
      <c r="I22" s="39">
        <f t="shared" si="9"/>
        <v>0</v>
      </c>
      <c r="J22" s="39">
        <f t="shared" si="9"/>
        <v>0</v>
      </c>
      <c r="K22" s="39">
        <f t="shared" si="9"/>
        <v>0</v>
      </c>
      <c r="L22" s="39">
        <f t="shared" si="9"/>
        <v>0</v>
      </c>
      <c r="M22" s="39">
        <f t="shared" si="9"/>
        <v>0</v>
      </c>
    </row>
    <row r="23" spans="1:14" ht="16.5" customHeight="1">
      <c r="A23" s="13" t="s">
        <v>172</v>
      </c>
      <c r="B23" s="146">
        <f>IF(Input!$H$61="V",Input!H$70,IF(Input!H$65&gt;0,Input!H$65,0.07))</f>
        <v>7.0000000000000007E-2</v>
      </c>
      <c r="C23" s="13" t="s">
        <v>174</v>
      </c>
      <c r="D23" s="39"/>
      <c r="E23" s="39">
        <f>IF($B25="Y",0,(IF($B26="Y",E28/2,FV(E20/$B24,$B24/2,E27))))</f>
        <v>0</v>
      </c>
      <c r="F23" s="39">
        <f>IF($B25="Y",0,(IF($B26="Y",F28,FV(F20/$B24,$B24,F27))))</f>
        <v>0</v>
      </c>
      <c r="G23" s="39">
        <f>IF((AND($B25="Y",$B26="Y")),G28/2,(IF($B26="Y",G28,IF($B25="Y",FV(G20/$B24,$B24/2,G27),FV(G20/$B24,$B24,G27)))))</f>
        <v>0</v>
      </c>
      <c r="H23" s="39">
        <f t="shared" ref="H23:M23" si="10">IF(YEAR($B20)+$B22&lt;=H$5,H21,(IF($B26="Y",H28,FV(H20/$B24,$B24,H27))))</f>
        <v>0</v>
      </c>
      <c r="I23" s="39">
        <f t="shared" si="10"/>
        <v>0</v>
      </c>
      <c r="J23" s="39">
        <f t="shared" si="10"/>
        <v>0</v>
      </c>
      <c r="K23" s="39">
        <f t="shared" si="10"/>
        <v>0</v>
      </c>
      <c r="L23" s="39">
        <f t="shared" si="10"/>
        <v>0</v>
      </c>
      <c r="M23" s="39">
        <f t="shared" si="10"/>
        <v>0</v>
      </c>
    </row>
    <row r="24" spans="1:14" ht="16.5" customHeight="1">
      <c r="A24" s="13" t="s">
        <v>171</v>
      </c>
      <c r="B24" s="41">
        <v>12</v>
      </c>
      <c r="C24" s="74" t="s">
        <v>640</v>
      </c>
      <c r="D24" s="39"/>
      <c r="E24" s="39">
        <f>IF($B25="Y",$B21*E20/2,IF($B26="y",E28/2+E20/2*$B21,($B21*E20/$B24-E27)*$B24/2))</f>
        <v>0</v>
      </c>
      <c r="F24" s="39">
        <f>IF($B25="Y",F20*F21,IF($B26="Y",F28+(F21-F28/2)*F20,(F21*F20/$B24-F27)*$B24))</f>
        <v>0</v>
      </c>
      <c r="G24" s="39">
        <f>IF(AND($B25="Y",$B26="Y"),G28/2+(G21-G28/4)*G20,IF($B26="Y",G28+(G21-G28/2)*G20,IF($B25="Y",(G21*G20/$B24-G27)*$B24/2+0.5*G20*G21,(G21*G20/$B24-G27)*$B24)))</f>
        <v>0</v>
      </c>
      <c r="H24" s="39">
        <f t="shared" ref="H24:M24" si="11">IF(YEAR($B20)+$B22&lt;=H$5,H21+H21*H20/2,(IF($B26="Y",H28+(H21-H28/2)*H20,(H21*H20/$B24-H27)*$B24)))</f>
        <v>0</v>
      </c>
      <c r="I24" s="39">
        <f t="shared" si="11"/>
        <v>0</v>
      </c>
      <c r="J24" s="39">
        <f t="shared" si="11"/>
        <v>0</v>
      </c>
      <c r="K24" s="39">
        <f t="shared" si="11"/>
        <v>0</v>
      </c>
      <c r="L24" s="39">
        <f t="shared" si="11"/>
        <v>0</v>
      </c>
      <c r="M24" s="39">
        <f t="shared" si="11"/>
        <v>0</v>
      </c>
    </row>
    <row r="25" spans="1:14" ht="16.5" customHeight="1">
      <c r="A25" s="13" t="s">
        <v>360</v>
      </c>
      <c r="B25" s="41" t="str">
        <f>B13</f>
        <v>Y</v>
      </c>
      <c r="C25" s="141" t="s">
        <v>768</v>
      </c>
      <c r="D25" s="39"/>
      <c r="E25" s="142">
        <v>0</v>
      </c>
      <c r="F25" s="142">
        <v>0</v>
      </c>
      <c r="G25" s="142">
        <v>0</v>
      </c>
      <c r="H25" s="142">
        <v>0</v>
      </c>
      <c r="I25" s="142">
        <v>0</v>
      </c>
      <c r="J25" s="142">
        <v>0</v>
      </c>
      <c r="K25" s="142">
        <v>0</v>
      </c>
      <c r="L25" s="142">
        <v>0</v>
      </c>
      <c r="M25" s="142">
        <v>0</v>
      </c>
    </row>
    <row r="26" spans="1:14" ht="16.5" customHeight="1">
      <c r="A26" s="13" t="s">
        <v>767</v>
      </c>
      <c r="B26" s="41" t="str">
        <f>B14</f>
        <v>N</v>
      </c>
      <c r="C26" s="34" t="s">
        <v>175</v>
      </c>
      <c r="D26" s="39"/>
      <c r="E26" s="39">
        <f>$B21+E22-E24-E25</f>
        <v>0</v>
      </c>
      <c r="F26" s="39">
        <f>F21+F22-F24-F25</f>
        <v>0</v>
      </c>
      <c r="G26" s="39">
        <f t="shared" ref="G26:M26" si="12">G21+G22-G24-G25</f>
        <v>0</v>
      </c>
      <c r="H26" s="39">
        <f t="shared" si="12"/>
        <v>0</v>
      </c>
      <c r="I26" s="39">
        <f t="shared" si="12"/>
        <v>0</v>
      </c>
      <c r="J26" s="39">
        <f t="shared" si="12"/>
        <v>0</v>
      </c>
      <c r="K26" s="39">
        <f t="shared" si="12"/>
        <v>0</v>
      </c>
      <c r="L26" s="39">
        <f t="shared" si="12"/>
        <v>0</v>
      </c>
      <c r="M26" s="39">
        <f t="shared" si="12"/>
        <v>0</v>
      </c>
      <c r="N26" s="13"/>
    </row>
    <row r="27" spans="1:14" ht="16.5" hidden="1" customHeight="1">
      <c r="A27" s="5"/>
      <c r="B27" s="131"/>
      <c r="C27" s="5" t="s">
        <v>769</v>
      </c>
      <c r="D27" s="13"/>
      <c r="E27" s="39">
        <f>PPMT(E20/$B24,1,($B22*$B24),$B21)</f>
        <v>0</v>
      </c>
      <c r="F27" s="39">
        <f>PPMT(F20/$B24,1,(YEAR($B20)+$B22+0.5-F$5)*$B24,F21)</f>
        <v>0</v>
      </c>
      <c r="G27" s="39">
        <f t="shared" ref="G27:M27" si="13">PPMT(G20/$B24,1,(YEAR($B20)+$B22+0.5-G$5)*$B24,G21)</f>
        <v>0</v>
      </c>
      <c r="H27" s="39">
        <f t="shared" si="13"/>
        <v>0</v>
      </c>
      <c r="I27" s="39">
        <f t="shared" si="13"/>
        <v>0</v>
      </c>
      <c r="J27" s="39">
        <f t="shared" si="13"/>
        <v>0</v>
      </c>
      <c r="K27" s="39">
        <f t="shared" si="13"/>
        <v>0</v>
      </c>
      <c r="L27" s="39">
        <f t="shared" si="13"/>
        <v>0</v>
      </c>
      <c r="M27" s="39">
        <f t="shared" si="13"/>
        <v>0</v>
      </c>
    </row>
    <row r="28" spans="1:14" ht="16.5" hidden="1" customHeight="1">
      <c r="A28" s="5"/>
      <c r="B28" s="147"/>
      <c r="C28" s="5" t="s">
        <v>770</v>
      </c>
      <c r="D28" s="13"/>
      <c r="E28" s="39">
        <f>$B21/$B22</f>
        <v>0</v>
      </c>
      <c r="F28" s="39">
        <f>F21/($B22+0.5-F$5+YEAR($B20))</f>
        <v>0</v>
      </c>
      <c r="G28" s="39">
        <f t="shared" ref="G28:M28" si="14">G21/($B22+0.5-G$5+YEAR($B20))</f>
        <v>0</v>
      </c>
      <c r="H28" s="39">
        <f t="shared" si="14"/>
        <v>0</v>
      </c>
      <c r="I28" s="39">
        <f t="shared" si="14"/>
        <v>0</v>
      </c>
      <c r="J28" s="39">
        <f t="shared" si="14"/>
        <v>0</v>
      </c>
      <c r="K28" s="39">
        <f t="shared" si="14"/>
        <v>0</v>
      </c>
      <c r="L28" s="39">
        <f t="shared" si="14"/>
        <v>0</v>
      </c>
      <c r="M28" s="39">
        <f t="shared" si="14"/>
        <v>0</v>
      </c>
    </row>
    <row r="29" spans="1:14" ht="16.5" customHeight="1">
      <c r="A29" s="13" t="s">
        <v>182</v>
      </c>
      <c r="B29" s="165"/>
      <c r="C29" s="13"/>
      <c r="D29" s="13"/>
      <c r="E29" s="39"/>
      <c r="F29" s="39"/>
      <c r="G29" s="39"/>
      <c r="H29" s="39"/>
      <c r="I29" s="39"/>
      <c r="J29" s="39"/>
      <c r="K29" s="39"/>
      <c r="L29" s="39"/>
      <c r="M29" s="39"/>
    </row>
    <row r="30" spans="1:14" ht="16.5" customHeight="1">
      <c r="A30" s="13"/>
      <c r="B30" s="138"/>
      <c r="C30" s="5"/>
      <c r="D30" s="13"/>
      <c r="E30" s="39"/>
      <c r="F30" s="39"/>
      <c r="G30" s="39"/>
      <c r="H30" s="39"/>
      <c r="I30" s="39"/>
      <c r="J30" s="39"/>
      <c r="K30" s="39"/>
      <c r="L30" s="39"/>
      <c r="M30" s="39"/>
    </row>
    <row r="31" spans="1:14" ht="16.5" customHeight="1">
      <c r="A31" s="13" t="s">
        <v>817</v>
      </c>
      <c r="B31" s="14"/>
      <c r="C31" s="13"/>
      <c r="D31" s="18"/>
      <c r="E31" s="14"/>
      <c r="F31" s="13"/>
      <c r="G31" s="13"/>
      <c r="H31" s="13"/>
      <c r="I31" s="13"/>
      <c r="J31" s="13"/>
      <c r="K31" s="13"/>
      <c r="L31" s="13"/>
      <c r="M31" s="13"/>
    </row>
    <row r="32" spans="1:14" ht="16.5" customHeight="1">
      <c r="A32" s="14" t="s">
        <v>677</v>
      </c>
      <c r="B32" s="97">
        <f>DATE(F$5,7,1)</f>
        <v>46204</v>
      </c>
      <c r="C32" s="13" t="s">
        <v>639</v>
      </c>
      <c r="D32" s="44"/>
      <c r="E32" s="44"/>
      <c r="F32" s="73">
        <f>$B35</f>
        <v>7.0000000000000007E-2</v>
      </c>
      <c r="G32" s="73">
        <f>IF(Input!$H$61="V",Input!J$70,IF(AND(($B41=G$5),Input!J$65&gt;0),Input!J$65,F32))</f>
        <v>7.0000000000000007E-2</v>
      </c>
      <c r="H32" s="73">
        <f>IF(Input!$H$61="V",Input!K$70,IF(AND(($B41=H$5),Input!K$65&gt;0),Input!K$65,G32))</f>
        <v>7.0000000000000007E-2</v>
      </c>
      <c r="I32" s="73">
        <f>IF(Input!$H$61="V",Input!L$70,IF(AND(($B41=I$5),Input!L$65&gt;0),Input!L$65,H32))</f>
        <v>7.0000000000000007E-2</v>
      </c>
      <c r="J32" s="73">
        <f>IF(Input!$H$61="V",Input!M$70,IF(AND(($B41=J$5),Input!M$65&gt;0),Input!M$65,I32))</f>
        <v>7.0000000000000007E-2</v>
      </c>
      <c r="K32" s="73">
        <f>IF(Input!$H$61="V",Input!N$70,IF(AND(($B41=K$5),Input!N$65&gt;0),Input!N$65,J32))</f>
        <v>7.0000000000000007E-2</v>
      </c>
      <c r="L32" s="73">
        <f>IF(Input!$H$61="V",Input!O$70,IF(AND(($B41=L$5),Input!O$65&gt;0),Input!O$65,K32))</f>
        <v>7.0000000000000007E-2</v>
      </c>
      <c r="M32" s="73">
        <f>IF(Input!$H$61="V",Input!P$70,IF(AND(($B41=M$5),Input!P$65&gt;0),Input!P$65,L32))</f>
        <v>7.0000000000000007E-2</v>
      </c>
    </row>
    <row r="33" spans="1:14" ht="16.5" customHeight="1">
      <c r="A33" s="13" t="s">
        <v>361</v>
      </c>
      <c r="B33" s="98">
        <f>'g - Plant'!J64</f>
        <v>0</v>
      </c>
      <c r="C33" s="37" t="s">
        <v>173</v>
      </c>
      <c r="D33" s="45"/>
      <c r="E33" s="45"/>
      <c r="F33" s="45">
        <v>0</v>
      </c>
      <c r="G33" s="45">
        <f t="shared" ref="G33:M33" si="15">F38</f>
        <v>0</v>
      </c>
      <c r="H33" s="45">
        <f t="shared" si="15"/>
        <v>0</v>
      </c>
      <c r="I33" s="45">
        <f t="shared" si="15"/>
        <v>0</v>
      </c>
      <c r="J33" s="45">
        <f t="shared" si="15"/>
        <v>0</v>
      </c>
      <c r="K33" s="45">
        <f t="shared" si="15"/>
        <v>0</v>
      </c>
      <c r="L33" s="45">
        <f t="shared" si="15"/>
        <v>0</v>
      </c>
      <c r="M33" s="45">
        <f t="shared" si="15"/>
        <v>0</v>
      </c>
    </row>
    <row r="34" spans="1:14" ht="16.5" customHeight="1">
      <c r="A34" s="14" t="s">
        <v>170</v>
      </c>
      <c r="B34" s="145">
        <f>'g - Plant'!J48</f>
        <v>35</v>
      </c>
      <c r="C34" s="40" t="s">
        <v>169</v>
      </c>
      <c r="D34" s="39"/>
      <c r="E34" s="39"/>
      <c r="F34" s="39">
        <f t="shared" ref="F34:M34" si="16">F36-F35</f>
        <v>0</v>
      </c>
      <c r="G34" s="39">
        <f t="shared" si="16"/>
        <v>0</v>
      </c>
      <c r="H34" s="39">
        <f t="shared" si="16"/>
        <v>0</v>
      </c>
      <c r="I34" s="39">
        <f t="shared" si="16"/>
        <v>0</v>
      </c>
      <c r="J34" s="39">
        <f t="shared" si="16"/>
        <v>0</v>
      </c>
      <c r="K34" s="39">
        <f t="shared" si="16"/>
        <v>0</v>
      </c>
      <c r="L34" s="39">
        <f t="shared" si="16"/>
        <v>0</v>
      </c>
      <c r="M34" s="39">
        <f t="shared" si="16"/>
        <v>0</v>
      </c>
    </row>
    <row r="35" spans="1:14" ht="16.5" customHeight="1">
      <c r="A35" s="13" t="s">
        <v>172</v>
      </c>
      <c r="B35" s="146">
        <f>IF(Input!$H$61="V",Input!I$70,IF(Input!I$65&gt;0,Input!I$65,0.07))</f>
        <v>7.0000000000000007E-2</v>
      </c>
      <c r="C35" s="13" t="s">
        <v>174</v>
      </c>
      <c r="D35" s="39"/>
      <c r="E35" s="39"/>
      <c r="F35" s="39">
        <f>IF($B37="Y",0,(IF($B38="Y",F40/2,FV(F32/$B36,$B36/2,F39))))</f>
        <v>0</v>
      </c>
      <c r="G35" s="39">
        <f>IF($B37="Y",0,(IF($B38="Y",G40,FV(G32/$B36,$B36,G39))))</f>
        <v>0</v>
      </c>
      <c r="H35" s="39">
        <f>IF((AND($B37="Y",$B38="Y")),H40/2,(IF($B38="Y",H40,IF($B37="Y",FV(H32/$B36,$B36/2,H39),FV(H32/$B36,$B36,H39)))))</f>
        <v>0</v>
      </c>
      <c r="I35" s="39">
        <f>IF(YEAR($B32)+$B34&lt;=I$5,I33,(IF($B38="Y",I40,FV(I32/$B36,$B36,I39))))</f>
        <v>0</v>
      </c>
      <c r="J35" s="39">
        <f>IF(YEAR($B32)+$B34&lt;=J$5,J33,(IF($B38="Y",J40,FV(J32/$B36,$B36,J39))))</f>
        <v>0</v>
      </c>
      <c r="K35" s="39">
        <f>IF(YEAR($B32)+$B34&lt;=K$5,K33,(IF($B38="Y",K40,FV(K32/$B36,$B36,K39))))</f>
        <v>0</v>
      </c>
      <c r="L35" s="39">
        <f>IF(YEAR($B32)+$B34&lt;=L$5,L33,(IF($B38="Y",L40,FV(L32/$B36,$B36,L39))))</f>
        <v>0</v>
      </c>
      <c r="M35" s="39">
        <f>IF(YEAR($B32)+$B34&lt;=M$5,M33,(IF($B38="Y",M40,FV(M32/$B36,$B36,M39))))</f>
        <v>0</v>
      </c>
    </row>
    <row r="36" spans="1:14" ht="16.5" customHeight="1">
      <c r="A36" s="13" t="s">
        <v>171</v>
      </c>
      <c r="B36" s="41">
        <v>12</v>
      </c>
      <c r="C36" s="74" t="s">
        <v>640</v>
      </c>
      <c r="D36" s="39"/>
      <c r="E36" s="39"/>
      <c r="F36" s="39">
        <f>IF($B37="Y",$B33*F32/2,IF($B38="y",F40/2+F32/2*$B33,($B33*F32/$B36-F39)*$B36/2))</f>
        <v>0</v>
      </c>
      <c r="G36" s="39">
        <f>IF($B37="Y",G32*G33,IF($B38="Y",G40+(G33-G40/2)*G32,(G33*G32/$B36-G39)*$B36))</f>
        <v>0</v>
      </c>
      <c r="H36" s="39">
        <f>IF(AND($B37="Y",$B38="Y"),H40/2+(H33-H40/4)*H32,IF($B38="Y",H40+(H33-H40/2)*H32,IF($B37="Y",(H33*H32/$B36-H39)*$B36/2+0.5*H32*H33,(H33*H32/$B36-H39)*$B36)))</f>
        <v>0</v>
      </c>
      <c r="I36" s="39">
        <f>IF(YEAR($B32)+$B34&lt;=I$5,I33+I33*I32/2,(IF($B38="Y",I40+(I33-I40/2)*I32,(I33*I32/$B36-I39)*$B36)))</f>
        <v>0</v>
      </c>
      <c r="J36" s="39">
        <f>IF(YEAR($B32)+$B34&lt;=J$5,J33+J33*J32/2,(IF($B38="Y",J40+(J33-J40/2)*J32,(J33*J32/$B36-J39)*$B36)))</f>
        <v>0</v>
      </c>
      <c r="K36" s="39">
        <f>IF(YEAR($B32)+$B34&lt;=K$5,K33+K33*K32/2,(IF($B38="Y",K40+(K33-K40/2)*K32,(K33*K32/$B36-K39)*$B36)))</f>
        <v>0</v>
      </c>
      <c r="L36" s="39">
        <f>IF(YEAR($B32)+$B34&lt;=L$5,L33+L33*L32/2,(IF($B38="Y",L40+(L33-L40/2)*L32,(L33*L32/$B36-L39)*$B36)))</f>
        <v>0</v>
      </c>
      <c r="M36" s="39">
        <f>IF(YEAR($B32)+$B34&lt;=M$5,M33+M33*M32/2,(IF($B38="Y",M40+(M33-M40/2)*M32,(M33*M32/$B36-M39)*$B36)))</f>
        <v>0</v>
      </c>
    </row>
    <row r="37" spans="1:14" ht="16.5" customHeight="1">
      <c r="A37" s="13" t="s">
        <v>360</v>
      </c>
      <c r="B37" s="41" t="str">
        <f>B25</f>
        <v>Y</v>
      </c>
      <c r="C37" s="141" t="s">
        <v>768</v>
      </c>
      <c r="D37" s="39"/>
      <c r="E37" s="39"/>
      <c r="F37" s="142">
        <v>0</v>
      </c>
      <c r="G37" s="142">
        <v>0</v>
      </c>
      <c r="H37" s="142">
        <v>0</v>
      </c>
      <c r="I37" s="142">
        <v>0</v>
      </c>
      <c r="J37" s="142">
        <v>0</v>
      </c>
      <c r="K37" s="142">
        <v>0</v>
      </c>
      <c r="L37" s="142">
        <v>0</v>
      </c>
      <c r="M37" s="142">
        <v>0</v>
      </c>
    </row>
    <row r="38" spans="1:14" ht="16.5" customHeight="1">
      <c r="A38" s="13" t="s">
        <v>767</v>
      </c>
      <c r="B38" s="41" t="str">
        <f>B26</f>
        <v>N</v>
      </c>
      <c r="C38" s="34" t="s">
        <v>175</v>
      </c>
      <c r="D38" s="39"/>
      <c r="E38" s="39"/>
      <c r="F38" s="39">
        <f>$B33+F34-F36-F37</f>
        <v>0</v>
      </c>
      <c r="G38" s="39">
        <f>G33+G34-G36-G37</f>
        <v>0</v>
      </c>
      <c r="H38" s="39">
        <f t="shared" ref="H38:M38" si="17">H33+H34-H36-H37</f>
        <v>0</v>
      </c>
      <c r="I38" s="39">
        <f t="shared" si="17"/>
        <v>0</v>
      </c>
      <c r="J38" s="39">
        <f t="shared" si="17"/>
        <v>0</v>
      </c>
      <c r="K38" s="39">
        <f t="shared" si="17"/>
        <v>0</v>
      </c>
      <c r="L38" s="39">
        <f t="shared" si="17"/>
        <v>0</v>
      </c>
      <c r="M38" s="39">
        <f t="shared" si="17"/>
        <v>0</v>
      </c>
      <c r="N38" s="13"/>
    </row>
    <row r="39" spans="1:14" ht="16.5" hidden="1" customHeight="1">
      <c r="A39" s="5"/>
      <c r="B39" s="131"/>
      <c r="C39" s="5" t="s">
        <v>769</v>
      </c>
      <c r="D39" s="13"/>
      <c r="E39" s="13"/>
      <c r="F39" s="39">
        <f>PPMT(F32/$B36,1,($B34*$B36),$B33)</f>
        <v>0</v>
      </c>
      <c r="G39" s="39">
        <f>PPMT(G32/$B36,1,(YEAR($B32)+$B34+0.5-G$5)*$B36,G33)</f>
        <v>0</v>
      </c>
      <c r="H39" s="39">
        <f t="shared" ref="H39:M39" si="18">PPMT(H32/$B36,1,(YEAR($B32)+$B34+0.5-H$5)*$B36,H33)</f>
        <v>0</v>
      </c>
      <c r="I39" s="39">
        <f t="shared" si="18"/>
        <v>0</v>
      </c>
      <c r="J39" s="39">
        <f t="shared" si="18"/>
        <v>0</v>
      </c>
      <c r="K39" s="39">
        <f t="shared" si="18"/>
        <v>0</v>
      </c>
      <c r="L39" s="39">
        <f t="shared" si="18"/>
        <v>0</v>
      </c>
      <c r="M39" s="39">
        <f t="shared" si="18"/>
        <v>0</v>
      </c>
      <c r="N39" s="13"/>
    </row>
    <row r="40" spans="1:14" ht="16.5" hidden="1" customHeight="1">
      <c r="A40" s="5"/>
      <c r="B40" s="147"/>
      <c r="C40" s="5" t="s">
        <v>770</v>
      </c>
      <c r="D40" s="13"/>
      <c r="E40" s="13"/>
      <c r="F40" s="39">
        <f>$B33/$B34</f>
        <v>0</v>
      </c>
      <c r="G40" s="39">
        <f>G33/($B34+0.5-G$5+YEAR($B32))</f>
        <v>0</v>
      </c>
      <c r="H40" s="39">
        <f t="shared" ref="H40:M40" si="19">H33/($B34+0.5-H$5+YEAR($B32))</f>
        <v>0</v>
      </c>
      <c r="I40" s="39">
        <f t="shared" si="19"/>
        <v>0</v>
      </c>
      <c r="J40" s="39">
        <f t="shared" si="19"/>
        <v>0</v>
      </c>
      <c r="K40" s="39">
        <f t="shared" si="19"/>
        <v>0</v>
      </c>
      <c r="L40" s="39">
        <f t="shared" si="19"/>
        <v>0</v>
      </c>
      <c r="M40" s="39">
        <f t="shared" si="19"/>
        <v>0</v>
      </c>
    </row>
    <row r="41" spans="1:14" ht="16.5" customHeight="1">
      <c r="A41" s="13" t="s">
        <v>182</v>
      </c>
      <c r="B41" s="165"/>
      <c r="C41" s="13"/>
      <c r="D41" s="13"/>
      <c r="E41" s="13"/>
      <c r="F41" s="39"/>
      <c r="G41" s="39"/>
      <c r="H41" s="39"/>
      <c r="I41" s="39"/>
      <c r="J41" s="39"/>
      <c r="K41" s="39"/>
      <c r="L41" s="39"/>
      <c r="M41" s="39"/>
    </row>
    <row r="42" spans="1:14" ht="16.5" customHeight="1">
      <c r="A42" s="13"/>
      <c r="B42" s="148"/>
      <c r="C42" s="13"/>
      <c r="D42" s="13"/>
      <c r="E42" s="13"/>
      <c r="F42" s="39"/>
      <c r="G42" s="39"/>
      <c r="H42" s="39"/>
      <c r="I42" s="39"/>
      <c r="J42" s="39"/>
      <c r="K42" s="39"/>
      <c r="L42" s="39"/>
      <c r="M42" s="39"/>
    </row>
    <row r="43" spans="1:14" ht="16.5" customHeight="1">
      <c r="A43" s="13" t="s">
        <v>818</v>
      </c>
      <c r="B43" s="14"/>
      <c r="C43" s="13"/>
      <c r="D43" s="18"/>
      <c r="E43" s="14"/>
      <c r="F43" s="13"/>
      <c r="G43" s="13"/>
      <c r="H43" s="13"/>
      <c r="I43" s="13"/>
      <c r="J43" s="13"/>
      <c r="K43" s="13"/>
      <c r="L43" s="13"/>
      <c r="M43" s="13"/>
    </row>
    <row r="44" spans="1:14" ht="16.5" customHeight="1">
      <c r="A44" s="14" t="s">
        <v>677</v>
      </c>
      <c r="B44" s="97">
        <f>DATE(G$5,7,1)</f>
        <v>46569</v>
      </c>
      <c r="C44" s="13" t="s">
        <v>639</v>
      </c>
      <c r="D44" s="44"/>
      <c r="E44" s="44"/>
      <c r="F44" s="44"/>
      <c r="G44" s="73">
        <f>$B47</f>
        <v>7.0000000000000007E-2</v>
      </c>
      <c r="H44" s="73">
        <f>IF(Input!$H$61="V",Input!K$70,IF(AND(($B53=H$5),Input!K$65&gt;0),Input!K$65,G44))</f>
        <v>7.0000000000000007E-2</v>
      </c>
      <c r="I44" s="73">
        <f>IF(Input!$H$61="V",Input!L$70,IF(AND(($B53=I$5),Input!L$65&gt;0),Input!L$65,H44))</f>
        <v>7.0000000000000007E-2</v>
      </c>
      <c r="J44" s="73">
        <f>IF(Input!$H$61="V",Input!M$70,IF(AND(($B53=J$5),Input!M$65&gt;0),Input!M$65,I44))</f>
        <v>7.0000000000000007E-2</v>
      </c>
      <c r="K44" s="73">
        <f>IF(Input!$H$61="V",Input!N$70,IF(AND(($B53=K$5),Input!N$65&gt;0),Input!N$65,J44))</f>
        <v>7.0000000000000007E-2</v>
      </c>
      <c r="L44" s="73">
        <f>IF(Input!$H$61="V",Input!O$70,IF(AND(($B53=L$5),Input!O$65&gt;0),Input!O$65,K44))</f>
        <v>7.0000000000000007E-2</v>
      </c>
      <c r="M44" s="73">
        <f>IF(Input!$H$61="V",Input!P$70,IF(AND(($B53=M$5),Input!P$65&gt;0),Input!P$65,L44))</f>
        <v>7.0000000000000007E-2</v>
      </c>
    </row>
    <row r="45" spans="1:14" ht="16.5" customHeight="1">
      <c r="A45" s="13" t="s">
        <v>361</v>
      </c>
      <c r="B45" s="98">
        <f>'g - Plant'!K64</f>
        <v>0</v>
      </c>
      <c r="C45" s="37" t="s">
        <v>173</v>
      </c>
      <c r="D45" s="45"/>
      <c r="E45" s="45"/>
      <c r="F45" s="45"/>
      <c r="G45" s="45">
        <v>0</v>
      </c>
      <c r="H45" s="45">
        <f t="shared" ref="H45:M45" si="20">G50</f>
        <v>0</v>
      </c>
      <c r="I45" s="45">
        <f t="shared" si="20"/>
        <v>0</v>
      </c>
      <c r="J45" s="45">
        <f t="shared" si="20"/>
        <v>0</v>
      </c>
      <c r="K45" s="45">
        <f t="shared" si="20"/>
        <v>0</v>
      </c>
      <c r="L45" s="45">
        <f t="shared" si="20"/>
        <v>0</v>
      </c>
      <c r="M45" s="45">
        <f t="shared" si="20"/>
        <v>0</v>
      </c>
    </row>
    <row r="46" spans="1:14" ht="16.5" customHeight="1">
      <c r="A46" s="14" t="s">
        <v>170</v>
      </c>
      <c r="B46" s="145">
        <f>'g - Plant'!K48</f>
        <v>35</v>
      </c>
      <c r="C46" s="40" t="s">
        <v>169</v>
      </c>
      <c r="D46" s="39"/>
      <c r="E46" s="39"/>
      <c r="F46" s="39"/>
      <c r="G46" s="39">
        <f t="shared" ref="G46:M46" si="21">G48-G47</f>
        <v>0</v>
      </c>
      <c r="H46" s="39">
        <f t="shared" si="21"/>
        <v>0</v>
      </c>
      <c r="I46" s="39">
        <f t="shared" si="21"/>
        <v>0</v>
      </c>
      <c r="J46" s="39">
        <f t="shared" si="21"/>
        <v>0</v>
      </c>
      <c r="K46" s="39">
        <f t="shared" si="21"/>
        <v>0</v>
      </c>
      <c r="L46" s="39">
        <f t="shared" si="21"/>
        <v>0</v>
      </c>
      <c r="M46" s="39">
        <f t="shared" si="21"/>
        <v>0</v>
      </c>
    </row>
    <row r="47" spans="1:14" ht="16.5" customHeight="1">
      <c r="A47" s="13" t="s">
        <v>172</v>
      </c>
      <c r="B47" s="146">
        <f>IF(Input!$H$61="V",Input!J$70,IF(Input!J$65&gt;0,Input!J$65,0.07))</f>
        <v>7.0000000000000007E-2</v>
      </c>
      <c r="C47" s="13" t="s">
        <v>174</v>
      </c>
      <c r="D47" s="39"/>
      <c r="E47" s="39"/>
      <c r="F47" s="39"/>
      <c r="G47" s="39">
        <f>IF($B49="Y",0,(IF($B50="Y",G52/2,FV(G44/$B48,$B48/2,G51))))</f>
        <v>0</v>
      </c>
      <c r="H47" s="39">
        <f>IF($B49="Y",0,(IF($B50="Y",H52,FV(H44/$B48,$B48,H51))))</f>
        <v>0</v>
      </c>
      <c r="I47" s="39">
        <f>IF((AND($B49="Y",$B50="Y")),I52/2,(IF($B50="Y",I52,IF($B49="Y",FV(I44/$B48,$B48/2,I51),FV(I44/$B48,$B48,I51)))))</f>
        <v>0</v>
      </c>
      <c r="J47" s="39">
        <f>IF(YEAR($B44)+$B46&lt;=J$5,J45,(IF($B50="Y",J52,FV(J44/$B48,$B48,J51))))</f>
        <v>0</v>
      </c>
      <c r="K47" s="39">
        <f>IF(YEAR($B44)+$B46&lt;=K$5,K45,(IF($B50="Y",K52,FV(K44/$B48,$B48,K51))))</f>
        <v>0</v>
      </c>
      <c r="L47" s="39">
        <f>IF(YEAR($B44)+$B46&lt;=L$5,L45,(IF($B50="Y",L52,FV(L44/$B48,$B48,L51))))</f>
        <v>0</v>
      </c>
      <c r="M47" s="39">
        <f>IF(YEAR($B44)+$B46&lt;=M$5,M45,(IF($B50="Y",M52,FV(M44/$B48,$B48,M51))))</f>
        <v>0</v>
      </c>
    </row>
    <row r="48" spans="1:14" ht="16.5" customHeight="1">
      <c r="A48" s="13" t="s">
        <v>171</v>
      </c>
      <c r="B48" s="41">
        <v>12</v>
      </c>
      <c r="C48" s="74" t="s">
        <v>640</v>
      </c>
      <c r="D48" s="39"/>
      <c r="E48" s="39"/>
      <c r="F48" s="39"/>
      <c r="G48" s="39">
        <f>IF($B49="Y",$B45*G44/2,IF($B50="y",G52/2+G44/2*$B45,($B45*G44/$B48-G51)*$B48/2))</f>
        <v>0</v>
      </c>
      <c r="H48" s="39">
        <f>IF($B49="Y",H44*H45,IF($B50="Y",H52+(H45-H52/2)*H44,(H45*H44/$B48-H51)*$B48))</f>
        <v>0</v>
      </c>
      <c r="I48" s="39">
        <f>IF(AND($B49="Y",$B50="Y"),I52/2+(I45-I52/4)*I44,IF($B50="Y",I52+(I45-I52/2)*I44,IF($B49="Y",(I45*I44/$B48-I51)*$B48/2+0.5*I44*I45,(I45*I44/$B48-I51)*$B48)))</f>
        <v>0</v>
      </c>
      <c r="J48" s="39">
        <f>IF(YEAR($B44)+$B46&lt;=J$5,J45+J45*J44/2,(IF($B50="Y",J52+(J45-J52/2)*J44,(J45*J44/$B48-J51)*$B48)))</f>
        <v>0</v>
      </c>
      <c r="K48" s="39">
        <f>IF(YEAR($B44)+$B46&lt;=K$5,K45+K45*K44/2,(IF($B50="Y",K52+(K45-K52/2)*K44,(K45*K44/$B48-K51)*$B48)))</f>
        <v>0</v>
      </c>
      <c r="L48" s="39">
        <f>IF(YEAR($B44)+$B46&lt;=L$5,L45+L45*L44/2,(IF($B50="Y",L52+(L45-L52/2)*L44,(L45*L44/$B48-L51)*$B48)))</f>
        <v>0</v>
      </c>
      <c r="M48" s="39">
        <f>IF(YEAR($B44)+$B46&lt;=M$5,M45+M45*M44/2,(IF($B50="Y",M52+(M45-M52/2)*M44,(M45*M44/$B48-M51)*$B48)))</f>
        <v>0</v>
      </c>
    </row>
    <row r="49" spans="1:14" ht="16.5" customHeight="1">
      <c r="A49" s="13" t="s">
        <v>360</v>
      </c>
      <c r="B49" s="41" t="str">
        <f>B37</f>
        <v>Y</v>
      </c>
      <c r="C49" s="141" t="s">
        <v>768</v>
      </c>
      <c r="D49" s="39"/>
      <c r="E49" s="39"/>
      <c r="F49" s="39"/>
      <c r="G49" s="142">
        <v>0</v>
      </c>
      <c r="H49" s="142">
        <v>0</v>
      </c>
      <c r="I49" s="142">
        <v>0</v>
      </c>
      <c r="J49" s="142">
        <v>0</v>
      </c>
      <c r="K49" s="142">
        <v>0</v>
      </c>
      <c r="L49" s="142">
        <v>0</v>
      </c>
      <c r="M49" s="142">
        <v>0</v>
      </c>
    </row>
    <row r="50" spans="1:14" ht="16.5" customHeight="1">
      <c r="A50" s="13" t="s">
        <v>767</v>
      </c>
      <c r="B50" s="41" t="str">
        <f>B38</f>
        <v>N</v>
      </c>
      <c r="C50" s="34" t="s">
        <v>175</v>
      </c>
      <c r="D50" s="39"/>
      <c r="E50" s="39"/>
      <c r="F50" s="39"/>
      <c r="G50" s="39">
        <f>$B45+G46-G48-G49</f>
        <v>0</v>
      </c>
      <c r="H50" s="39">
        <f t="shared" ref="H50:M50" si="22">H45+H46-H48-H49</f>
        <v>0</v>
      </c>
      <c r="I50" s="39">
        <f t="shared" si="22"/>
        <v>0</v>
      </c>
      <c r="J50" s="39">
        <f t="shared" si="22"/>
        <v>0</v>
      </c>
      <c r="K50" s="39">
        <f t="shared" si="22"/>
        <v>0</v>
      </c>
      <c r="L50" s="39">
        <f t="shared" si="22"/>
        <v>0</v>
      </c>
      <c r="M50" s="39">
        <f t="shared" si="22"/>
        <v>0</v>
      </c>
      <c r="N50" s="13"/>
    </row>
    <row r="51" spans="1:14" ht="16.5" hidden="1" customHeight="1">
      <c r="A51" s="5"/>
      <c r="B51" s="131"/>
      <c r="C51" s="5" t="s">
        <v>769</v>
      </c>
      <c r="D51" s="13"/>
      <c r="E51" s="13"/>
      <c r="F51" s="13"/>
      <c r="G51" s="39">
        <f>PPMT(G44/$B48,1,($B46*$B48),$B45)</f>
        <v>0</v>
      </c>
      <c r="H51" s="39">
        <f t="shared" ref="H51:M51" si="23">PPMT(H44/$B48,1,(YEAR($B44)+$B46+0.5-H$5)*$B48,H45)</f>
        <v>0</v>
      </c>
      <c r="I51" s="39">
        <f t="shared" si="23"/>
        <v>0</v>
      </c>
      <c r="J51" s="39">
        <f t="shared" si="23"/>
        <v>0</v>
      </c>
      <c r="K51" s="39">
        <f t="shared" si="23"/>
        <v>0</v>
      </c>
      <c r="L51" s="39">
        <f t="shared" si="23"/>
        <v>0</v>
      </c>
      <c r="M51" s="39">
        <f t="shared" si="23"/>
        <v>0</v>
      </c>
    </row>
    <row r="52" spans="1:14" ht="16.5" hidden="1" customHeight="1">
      <c r="A52" s="5"/>
      <c r="B52" s="147"/>
      <c r="C52" s="5" t="s">
        <v>770</v>
      </c>
      <c r="D52" s="13"/>
      <c r="E52" s="13"/>
      <c r="F52" s="13"/>
      <c r="G52" s="39">
        <f>$B45/$B46</f>
        <v>0</v>
      </c>
      <c r="H52" s="39">
        <f t="shared" ref="H52:M52" si="24">H45/($B46+0.5-H$5+YEAR($B44))</f>
        <v>0</v>
      </c>
      <c r="I52" s="39">
        <f t="shared" si="24"/>
        <v>0</v>
      </c>
      <c r="J52" s="39">
        <f t="shared" si="24"/>
        <v>0</v>
      </c>
      <c r="K52" s="39">
        <f t="shared" si="24"/>
        <v>0</v>
      </c>
      <c r="L52" s="39">
        <f t="shared" si="24"/>
        <v>0</v>
      </c>
      <c r="M52" s="39">
        <f t="shared" si="24"/>
        <v>0</v>
      </c>
    </row>
    <row r="53" spans="1:14" ht="16.5" customHeight="1">
      <c r="A53" s="13" t="s">
        <v>182</v>
      </c>
      <c r="B53" s="165"/>
      <c r="C53" s="13"/>
      <c r="D53" s="13"/>
      <c r="E53" s="13"/>
      <c r="F53" s="13"/>
      <c r="G53" s="39"/>
      <c r="H53" s="39"/>
      <c r="I53" s="39"/>
      <c r="J53" s="39"/>
      <c r="K53" s="39"/>
      <c r="L53" s="39"/>
      <c r="M53" s="39"/>
    </row>
    <row r="54" spans="1:14" ht="16.5" customHeight="1">
      <c r="A54" s="13"/>
      <c r="B54" s="148"/>
      <c r="C54" s="13"/>
      <c r="D54" s="13"/>
      <c r="E54" s="13"/>
      <c r="F54" s="13"/>
      <c r="G54" s="39"/>
      <c r="H54" s="39"/>
      <c r="I54" s="39"/>
      <c r="J54" s="39"/>
      <c r="K54" s="39"/>
      <c r="L54" s="39"/>
      <c r="M54" s="39"/>
    </row>
    <row r="55" spans="1:14" ht="16.5" customHeight="1">
      <c r="A55" s="13" t="s">
        <v>819</v>
      </c>
      <c r="B55" s="14"/>
      <c r="C55" s="13"/>
      <c r="D55" s="18"/>
      <c r="E55" s="14"/>
      <c r="F55" s="13"/>
      <c r="G55" s="13"/>
      <c r="H55" s="13"/>
      <c r="I55" s="13"/>
      <c r="J55" s="13"/>
      <c r="K55" s="13"/>
      <c r="L55" s="13"/>
      <c r="M55" s="13"/>
    </row>
    <row r="56" spans="1:14" ht="16.5" customHeight="1">
      <c r="A56" s="14" t="s">
        <v>677</v>
      </c>
      <c r="B56" s="97">
        <f>DATE(H$5,7,1)</f>
        <v>46935</v>
      </c>
      <c r="C56" s="13" t="s">
        <v>639</v>
      </c>
      <c r="D56" s="44"/>
      <c r="E56" s="44"/>
      <c r="F56" s="44"/>
      <c r="G56" s="44"/>
      <c r="H56" s="73">
        <f>$B59</f>
        <v>7.0000000000000007E-2</v>
      </c>
      <c r="I56" s="73">
        <f>IF(Input!$H$61="V",Input!L$70,IF(AND(($B65=I$5),Input!L$65&gt;0),Input!L$65,H56))</f>
        <v>7.0000000000000007E-2</v>
      </c>
      <c r="J56" s="73">
        <f>IF(Input!$H$61="V",Input!M$70,IF(AND(($B65=J$5),Input!M$65&gt;0),Input!M$65,I56))</f>
        <v>7.0000000000000007E-2</v>
      </c>
      <c r="K56" s="73">
        <f>IF(Input!$H$61="V",Input!N$70,IF(AND(($B65=K$5),Input!N$65&gt;0),Input!N$65,J56))</f>
        <v>7.0000000000000007E-2</v>
      </c>
      <c r="L56" s="73">
        <f>IF(Input!$H$61="V",Input!O$70,IF(AND(($B65=L$5),Input!O$65&gt;0),Input!O$65,K56))</f>
        <v>7.0000000000000007E-2</v>
      </c>
      <c r="M56" s="73">
        <f>IF(Input!$H$61="V",Input!P$70,IF(AND(($B65=M$5),Input!P$65&gt;0),Input!P$65,L56))</f>
        <v>7.0000000000000007E-2</v>
      </c>
    </row>
    <row r="57" spans="1:14" ht="16.5" customHeight="1">
      <c r="A57" s="13" t="s">
        <v>361</v>
      </c>
      <c r="B57" s="98">
        <f>'g - Plant'!L64</f>
        <v>0</v>
      </c>
      <c r="C57" s="37" t="s">
        <v>173</v>
      </c>
      <c r="D57" s="45"/>
      <c r="E57" s="45"/>
      <c r="F57" s="45"/>
      <c r="G57" s="45"/>
      <c r="H57" s="45">
        <v>0</v>
      </c>
      <c r="I57" s="45">
        <f>H62</f>
        <v>0</v>
      </c>
      <c r="J57" s="45">
        <f>I62</f>
        <v>0</v>
      </c>
      <c r="K57" s="45">
        <f>J62</f>
        <v>0</v>
      </c>
      <c r="L57" s="45">
        <f>K62</f>
        <v>0</v>
      </c>
      <c r="M57" s="45">
        <f>L62</f>
        <v>0</v>
      </c>
    </row>
    <row r="58" spans="1:14" ht="16.5" customHeight="1">
      <c r="A58" s="14" t="s">
        <v>170</v>
      </c>
      <c r="B58" s="145">
        <f>'g - Plant'!L48</f>
        <v>35</v>
      </c>
      <c r="C58" s="40" t="s">
        <v>169</v>
      </c>
      <c r="D58" s="39"/>
      <c r="E58" s="39"/>
      <c r="F58" s="39"/>
      <c r="G58" s="39"/>
      <c r="H58" s="39">
        <f t="shared" ref="H58:M58" si="25">H60-H59</f>
        <v>0</v>
      </c>
      <c r="I58" s="39">
        <f t="shared" si="25"/>
        <v>0</v>
      </c>
      <c r="J58" s="39">
        <f t="shared" si="25"/>
        <v>0</v>
      </c>
      <c r="K58" s="39">
        <f t="shared" si="25"/>
        <v>0</v>
      </c>
      <c r="L58" s="39">
        <f t="shared" si="25"/>
        <v>0</v>
      </c>
      <c r="M58" s="39">
        <f t="shared" si="25"/>
        <v>0</v>
      </c>
    </row>
    <row r="59" spans="1:14" ht="16.5" customHeight="1">
      <c r="A59" s="13" t="s">
        <v>172</v>
      </c>
      <c r="B59" s="146">
        <f>IF(Input!$H$61="V",Input!K$70,IF(Input!K$65&gt;0,Input!K$65,0.07))</f>
        <v>7.0000000000000007E-2</v>
      </c>
      <c r="C59" s="13" t="s">
        <v>174</v>
      </c>
      <c r="D59" s="39"/>
      <c r="E59" s="39"/>
      <c r="F59" s="39"/>
      <c r="G59" s="39"/>
      <c r="H59" s="39">
        <f>IF($B61="Y",0,(IF($B62="Y",H64/2,FV(H56/$B60,$B60/2,H63))))</f>
        <v>0</v>
      </c>
      <c r="I59" s="39">
        <f>IF($B61="Y",0,(IF($B62="Y",I64,FV(I56/$B60,$B60,I63))))</f>
        <v>0</v>
      </c>
      <c r="J59" s="39">
        <f>IF((AND($B61="Y",$B62="Y")),J64/2,(IF($B62="Y",J64,IF($B61="Y",FV(J56/$B60,$B60/2,J63),FV(J56/$B60,$B60,J63)))))</f>
        <v>0</v>
      </c>
      <c r="K59" s="39">
        <f>IF(YEAR($B56)+$B58&lt;=K$5,K57,(IF($B62="Y",K64,FV(K56/$B60,$B60,K63))))</f>
        <v>0</v>
      </c>
      <c r="L59" s="39">
        <f>IF(YEAR($B56)+$B58&lt;=L$5,L57,(IF($B62="Y",L64,FV(L56/$B60,$B60,L63))))</f>
        <v>0</v>
      </c>
      <c r="M59" s="39">
        <f>IF(YEAR($B56)+$B58&lt;=M$5,M57,(IF($B62="Y",M64,FV(M56/$B60,$B60,M63))))</f>
        <v>0</v>
      </c>
    </row>
    <row r="60" spans="1:14" ht="16.5" customHeight="1">
      <c r="A60" s="13" t="s">
        <v>171</v>
      </c>
      <c r="B60" s="41">
        <v>12</v>
      </c>
      <c r="C60" s="74" t="s">
        <v>640</v>
      </c>
      <c r="D60" s="39"/>
      <c r="E60" s="39"/>
      <c r="F60" s="39"/>
      <c r="G60" s="39"/>
      <c r="H60" s="39">
        <f>IF($B61="Y",$B57*H56/2,IF($B62="y",H64/2+H56/2*$B57,($B57*H56/$B60-H63)*$B60/2))</f>
        <v>0</v>
      </c>
      <c r="I60" s="39">
        <f>IF($B61="Y",I56*I57,IF($B62="Y",I64+(I57-I64/2)*I56,(I57*I56/$B60-I63)*$B60))</f>
        <v>0</v>
      </c>
      <c r="J60" s="39">
        <f>IF(AND($B61="Y",$B62="Y"),J64/2+(J57-J64/4)*J56,IF($B62="Y",J64+(J57-J64/2)*J56,IF($B61="Y",(J57*J56/$B60-J63)*$B60/2+0.5*J56*J57,(J57*J56/$B60-J63)*$B60)))</f>
        <v>0</v>
      </c>
      <c r="K60" s="39">
        <f>IF(YEAR($B56)+$B58&lt;=K$5,K57+K57*K56/2,(IF($B62="Y",K64+(K57-K64/2)*K56,(K57*K56/$B60-K63)*$B60)))</f>
        <v>0</v>
      </c>
      <c r="L60" s="39">
        <f>IF(YEAR($B56)+$B58&lt;=L$5,L57+L57*L56/2,(IF($B62="Y",L64+(L57-L64/2)*L56,(L57*L56/$B60-L63)*$B60)))</f>
        <v>0</v>
      </c>
      <c r="M60" s="39">
        <f>IF(YEAR($B56)+$B58&lt;=M$5,M57+M57*M56/2,(IF($B62="Y",M64+(M57-M64/2)*M56,(M57*M56/$B60-M63)*$B60)))</f>
        <v>0</v>
      </c>
    </row>
    <row r="61" spans="1:14" ht="16.5" customHeight="1">
      <c r="A61" s="13" t="s">
        <v>360</v>
      </c>
      <c r="B61" s="41" t="str">
        <f>B49</f>
        <v>Y</v>
      </c>
      <c r="C61" s="141" t="s">
        <v>768</v>
      </c>
      <c r="D61" s="39"/>
      <c r="E61" s="39"/>
      <c r="F61" s="39"/>
      <c r="G61" s="39"/>
      <c r="H61" s="142">
        <v>0</v>
      </c>
      <c r="I61" s="142">
        <v>0</v>
      </c>
      <c r="J61" s="142">
        <v>0</v>
      </c>
      <c r="K61" s="142">
        <v>0</v>
      </c>
      <c r="L61" s="142">
        <v>0</v>
      </c>
      <c r="M61" s="142">
        <v>0</v>
      </c>
    </row>
    <row r="62" spans="1:14" ht="16.5" customHeight="1">
      <c r="A62" s="13" t="s">
        <v>767</v>
      </c>
      <c r="B62" s="41" t="str">
        <f>B50</f>
        <v>N</v>
      </c>
      <c r="C62" s="34" t="s">
        <v>175</v>
      </c>
      <c r="D62" s="39"/>
      <c r="E62" s="39"/>
      <c r="F62" s="39"/>
      <c r="G62" s="39"/>
      <c r="H62" s="39">
        <f>$B57+H58-H60-H61</f>
        <v>0</v>
      </c>
      <c r="I62" s="39">
        <f>I57+I58-I60-I61</f>
        <v>0</v>
      </c>
      <c r="J62" s="39">
        <f>J57+J58-J60-J61</f>
        <v>0</v>
      </c>
      <c r="K62" s="39">
        <f>K57+K58-K60-K61</f>
        <v>0</v>
      </c>
      <c r="L62" s="39">
        <f>L57+L58-L60-L61</f>
        <v>0</v>
      </c>
      <c r="M62" s="39">
        <f>M57+M58-M60-M61</f>
        <v>0</v>
      </c>
      <c r="N62" s="13"/>
    </row>
    <row r="63" spans="1:14" ht="16.5" hidden="1" customHeight="1">
      <c r="A63" s="5"/>
      <c r="B63" s="131"/>
      <c r="C63" s="5" t="s">
        <v>769</v>
      </c>
      <c r="D63" s="39"/>
      <c r="E63" s="39"/>
      <c r="F63" s="39"/>
      <c r="G63" s="39"/>
      <c r="H63" s="39">
        <f>PPMT(H56/$B60,1,($B58*$B60),$B57)</f>
        <v>0</v>
      </c>
      <c r="I63" s="39">
        <f>PPMT(I56/$B60,1,(YEAR($B56)+$B58+0.5-I$5)*$B60,I57)</f>
        <v>0</v>
      </c>
      <c r="J63" s="39">
        <f>PPMT(J56/$B60,1,(YEAR($B56)+$B58+0.5-J$5)*$B60,J57)</f>
        <v>0</v>
      </c>
      <c r="K63" s="39">
        <f>PPMT(K56/$B60,1,(YEAR($B56)+$B58+0.5-K$5)*$B60,K57)</f>
        <v>0</v>
      </c>
      <c r="L63" s="39">
        <f>PPMT(L56/$B60,1,(YEAR($B56)+$B58+0.5-L$5)*$B60,L57)</f>
        <v>0</v>
      </c>
      <c r="M63" s="39">
        <f>PPMT(M56/$B60,1,(YEAR($B56)+$B58+0.5-M$5)*$B60,M57)</f>
        <v>0</v>
      </c>
    </row>
    <row r="64" spans="1:14" ht="16.5" hidden="1" customHeight="1">
      <c r="A64" s="5"/>
      <c r="B64" s="147"/>
      <c r="C64" s="5" t="s">
        <v>770</v>
      </c>
      <c r="D64" s="13"/>
      <c r="E64" s="13"/>
      <c r="F64" s="13"/>
      <c r="G64" s="13"/>
      <c r="H64" s="39">
        <f>$B57/$B58</f>
        <v>0</v>
      </c>
      <c r="I64" s="39">
        <f>I57/($B58+0.5-I$5+YEAR($B56))</f>
        <v>0</v>
      </c>
      <c r="J64" s="39">
        <f>J57/($B58+0.5-J$5+YEAR($B56))</f>
        <v>0</v>
      </c>
      <c r="K64" s="39">
        <f>K57/($B58+0.5-K$5+YEAR($B56))</f>
        <v>0</v>
      </c>
      <c r="L64" s="39">
        <f>L57/($B58+0.5-L$5+YEAR($B56))</f>
        <v>0</v>
      </c>
      <c r="M64" s="39">
        <f>M57/($B58+0.5-M$5+YEAR($B56))</f>
        <v>0</v>
      </c>
    </row>
    <row r="65" spans="1:14" ht="16.5" customHeight="1">
      <c r="A65" s="13" t="s">
        <v>182</v>
      </c>
      <c r="B65" s="165"/>
      <c r="C65" s="13"/>
      <c r="D65" s="13"/>
      <c r="E65" s="13"/>
      <c r="F65" s="13"/>
      <c r="G65" s="13"/>
      <c r="H65" s="13"/>
      <c r="I65" s="13"/>
      <c r="J65" s="13"/>
      <c r="K65" s="13"/>
      <c r="L65" s="13"/>
      <c r="M65" s="13"/>
    </row>
    <row r="66" spans="1:14" ht="122.25" customHeight="1">
      <c r="A66" s="13"/>
      <c r="B66" s="17"/>
      <c r="C66" s="13"/>
      <c r="D66" s="13"/>
      <c r="E66" s="13"/>
      <c r="F66" s="13"/>
      <c r="G66" s="13"/>
      <c r="H66" s="13"/>
      <c r="I66" s="13"/>
      <c r="J66" s="13"/>
      <c r="K66" s="13"/>
      <c r="L66" s="13"/>
      <c r="M66" s="13"/>
    </row>
    <row r="67" spans="1:14" ht="16.5" customHeight="1">
      <c r="A67" s="13"/>
      <c r="B67" s="17"/>
      <c r="C67" s="13"/>
      <c r="D67" s="13"/>
      <c r="E67" s="13"/>
      <c r="F67" s="13"/>
      <c r="G67" s="13"/>
      <c r="H67" s="13"/>
      <c r="I67" s="13"/>
      <c r="J67" s="13"/>
      <c r="K67" s="13"/>
      <c r="L67" s="13"/>
      <c r="M67" s="13"/>
    </row>
    <row r="68" spans="1:14" ht="16.5" customHeight="1">
      <c r="A68" s="13"/>
      <c r="B68" s="17"/>
      <c r="C68" s="13"/>
    </row>
    <row r="69" spans="1:14" ht="16.5" customHeight="1">
      <c r="A69" s="13" t="s">
        <v>793</v>
      </c>
      <c r="B69" s="17"/>
      <c r="C69" s="13"/>
      <c r="D69" s="15">
        <f>Input!G8</f>
        <v>2024</v>
      </c>
      <c r="E69" s="15">
        <f t="shared" ref="E69:M69" si="26">D69+1</f>
        <v>2025</v>
      </c>
      <c r="F69" s="15">
        <f t="shared" si="26"/>
        <v>2026</v>
      </c>
      <c r="G69" s="15">
        <f t="shared" si="26"/>
        <v>2027</v>
      </c>
      <c r="H69" s="15">
        <f t="shared" si="26"/>
        <v>2028</v>
      </c>
      <c r="I69" s="15">
        <f t="shared" si="26"/>
        <v>2029</v>
      </c>
      <c r="J69" s="15">
        <f t="shared" si="26"/>
        <v>2030</v>
      </c>
      <c r="K69" s="15">
        <f t="shared" si="26"/>
        <v>2031</v>
      </c>
      <c r="L69" s="15">
        <f t="shared" si="26"/>
        <v>2032</v>
      </c>
      <c r="M69" s="15">
        <f t="shared" si="26"/>
        <v>2033</v>
      </c>
    </row>
    <row r="70" spans="1:14" ht="16.5" customHeight="1">
      <c r="A70" s="13"/>
      <c r="B70" s="17"/>
      <c r="C70" s="13"/>
      <c r="D70" s="15" t="s">
        <v>46</v>
      </c>
      <c r="E70" s="15" t="s">
        <v>46</v>
      </c>
      <c r="F70" s="15" t="s">
        <v>46</v>
      </c>
      <c r="G70" s="15" t="s">
        <v>46</v>
      </c>
      <c r="H70" s="15" t="s">
        <v>46</v>
      </c>
      <c r="I70" s="15" t="s">
        <v>46</v>
      </c>
      <c r="J70" s="15" t="s">
        <v>46</v>
      </c>
      <c r="K70" s="15" t="s">
        <v>46</v>
      </c>
      <c r="L70" s="15" t="s">
        <v>46</v>
      </c>
      <c r="M70" s="15" t="s">
        <v>46</v>
      </c>
    </row>
    <row r="71" spans="1:14" ht="16.5" customHeight="1">
      <c r="A71" s="13" t="s">
        <v>820</v>
      </c>
      <c r="B71" s="14"/>
      <c r="C71" s="13"/>
      <c r="D71" s="18"/>
      <c r="E71" s="14"/>
      <c r="F71" s="13"/>
      <c r="G71" s="13"/>
      <c r="H71" s="13"/>
      <c r="I71" s="13"/>
      <c r="J71" s="13"/>
      <c r="K71" s="13"/>
      <c r="L71" s="13"/>
      <c r="M71" s="13"/>
    </row>
    <row r="72" spans="1:14" ht="16.5" customHeight="1">
      <c r="A72" s="14" t="s">
        <v>677</v>
      </c>
      <c r="B72" s="97">
        <f>DATE(I$5,7,1)</f>
        <v>47300</v>
      </c>
      <c r="C72" s="13" t="s">
        <v>639</v>
      </c>
      <c r="D72" s="44"/>
      <c r="E72" s="44"/>
      <c r="F72" s="44"/>
      <c r="G72" s="44"/>
      <c r="H72" s="44"/>
      <c r="I72" s="73">
        <f>$B75</f>
        <v>7.0000000000000007E-2</v>
      </c>
      <c r="J72" s="73">
        <f>IF(Input!$H$61="V",Input!M$70,IF(AND(($B81=J$5),Input!M$65&gt;0),Input!M$65,I72))</f>
        <v>7.0000000000000007E-2</v>
      </c>
      <c r="K72" s="73">
        <f>IF(Input!$H$61="V",Input!N$70,IF(AND(($B81=K$5),Input!N$65&gt;0),Input!N$65,J72))</f>
        <v>7.0000000000000007E-2</v>
      </c>
      <c r="L72" s="73">
        <f>IF(Input!$H$61="V",Input!O$70,IF(AND(($B81=L$5),Input!O$65&gt;0),Input!O$65,K72))</f>
        <v>7.0000000000000007E-2</v>
      </c>
      <c r="M72" s="73">
        <f>IF(Input!$H$61="V",Input!P$70,IF(AND(($B81=M$5),Input!P$65&gt;0),Input!P$65,L72))</f>
        <v>7.0000000000000007E-2</v>
      </c>
    </row>
    <row r="73" spans="1:14" ht="16.5" customHeight="1">
      <c r="A73" s="13" t="s">
        <v>361</v>
      </c>
      <c r="B73" s="98">
        <f>'g - Plant'!M64</f>
        <v>0</v>
      </c>
      <c r="C73" s="37" t="s">
        <v>173</v>
      </c>
      <c r="D73" s="45"/>
      <c r="E73" s="45"/>
      <c r="F73" s="45"/>
      <c r="G73" s="45"/>
      <c r="H73" s="45"/>
      <c r="I73" s="45">
        <v>0</v>
      </c>
      <c r="J73" s="45">
        <f>I78</f>
        <v>0</v>
      </c>
      <c r="K73" s="45">
        <f>J78</f>
        <v>0</v>
      </c>
      <c r="L73" s="45">
        <f>K78</f>
        <v>0</v>
      </c>
      <c r="M73" s="45">
        <f>L78</f>
        <v>0</v>
      </c>
    </row>
    <row r="74" spans="1:14" ht="16.5" customHeight="1">
      <c r="A74" s="14" t="s">
        <v>170</v>
      </c>
      <c r="B74" s="145">
        <f>'g - Plant'!M48</f>
        <v>35</v>
      </c>
      <c r="C74" s="40" t="s">
        <v>169</v>
      </c>
      <c r="D74" s="39"/>
      <c r="E74" s="39"/>
      <c r="F74" s="39"/>
      <c r="G74" s="39"/>
      <c r="H74" s="39"/>
      <c r="I74" s="39">
        <f>I76-I75</f>
        <v>0</v>
      </c>
      <c r="J74" s="39">
        <f>J76-J75</f>
        <v>0</v>
      </c>
      <c r="K74" s="39">
        <f>K76-K75</f>
        <v>0</v>
      </c>
      <c r="L74" s="39">
        <f>L76-L75</f>
        <v>0</v>
      </c>
      <c r="M74" s="39">
        <f>M76-M75</f>
        <v>0</v>
      </c>
    </row>
    <row r="75" spans="1:14" ht="16.5" customHeight="1">
      <c r="A75" s="13" t="s">
        <v>172</v>
      </c>
      <c r="B75" s="146">
        <f>IF(Input!$H$61="V",Input!L$70,IF(Input!L$65&gt;0,Input!L$65,0.07))</f>
        <v>7.0000000000000007E-2</v>
      </c>
      <c r="C75" s="13" t="s">
        <v>174</v>
      </c>
      <c r="D75" s="39"/>
      <c r="E75" s="39"/>
      <c r="F75" s="39"/>
      <c r="G75" s="39"/>
      <c r="H75" s="39"/>
      <c r="I75" s="39">
        <f>IF($B77="Y",0,(IF($B78="Y",I80/2,FV(I72/$B76,$B76/2,I79))))</f>
        <v>0</v>
      </c>
      <c r="J75" s="39">
        <f>IF($B77="Y",0,(IF($B78="Y",J80,FV(J72/$B76,$B76,J79))))</f>
        <v>0</v>
      </c>
      <c r="K75" s="39">
        <f>IF((AND($B77="Y",$B78="Y")),K80/2,(IF($B78="Y",K80,IF($B77="Y",FV(K72/$B76,$B76/2,K79),FV(K72/$B76,$B76,K79)))))</f>
        <v>0</v>
      </c>
      <c r="L75" s="39">
        <f>IF(YEAR($B72)+$B74&lt;=L$5,L73,(IF($B78="Y",L80,FV(L72/$B76,$B76,L79))))</f>
        <v>0</v>
      </c>
      <c r="M75" s="39">
        <f>IF(YEAR($B72)+$B74&lt;=M$5,M73,(IF($B78="Y",M80,FV(M72/$B76,$B76,M79))))</f>
        <v>0</v>
      </c>
    </row>
    <row r="76" spans="1:14" ht="16.5" customHeight="1">
      <c r="A76" s="13" t="s">
        <v>171</v>
      </c>
      <c r="B76" s="41">
        <v>12</v>
      </c>
      <c r="C76" s="74" t="s">
        <v>640</v>
      </c>
      <c r="D76" s="39"/>
      <c r="E76" s="39"/>
      <c r="F76" s="39"/>
      <c r="G76" s="39"/>
      <c r="H76" s="39"/>
      <c r="I76" s="39">
        <f>IF($B77="Y",$B73*I72/2,IF($B78="y",I80/2+I72/2*$B73,($B73*I72/$B76-I79)*$B76/2))</f>
        <v>0</v>
      </c>
      <c r="J76" s="39">
        <f>IF($B77="Y",J72*J73,IF($B78="Y",J80+(J73-J80/2)*J72,(J73*J72/$B76-J79)*$B76))</f>
        <v>0</v>
      </c>
      <c r="K76" s="39">
        <f>IF(AND($B77="Y",$B78="Y"),K80/2+(K73-K80/4)*K72,IF($B78="Y",K80+(K73-K80/2)*K72,IF($B77="Y",(K73*K72/$B76-K79)*$B76/2+0.5*K72*K73,(K73*K72/$B76-K79)*$B76)))</f>
        <v>0</v>
      </c>
      <c r="L76" s="39">
        <f>IF(YEAR($B72)+$B74&lt;=L$5,L73+L73*L72/2,(IF($B78="Y",L80+(L73-L80/2)*L72,(L73*L72/$B76-L79)*$B76)))</f>
        <v>0</v>
      </c>
      <c r="M76" s="39">
        <f>IF(YEAR($B72)+$B74&lt;=M$5,M73+M73*M72/2,(IF($B78="Y",M80+(M73-M80/2)*M72,(M73*M72/$B76-M79)*$B76)))</f>
        <v>0</v>
      </c>
    </row>
    <row r="77" spans="1:14" ht="16.5" customHeight="1">
      <c r="A77" s="13" t="s">
        <v>360</v>
      </c>
      <c r="B77" s="41" t="str">
        <f>B61</f>
        <v>Y</v>
      </c>
      <c r="C77" s="141" t="s">
        <v>768</v>
      </c>
      <c r="D77" s="39"/>
      <c r="E77" s="39"/>
      <c r="F77" s="39"/>
      <c r="G77" s="39"/>
      <c r="H77" s="39"/>
      <c r="I77" s="142">
        <v>0</v>
      </c>
      <c r="J77" s="142">
        <v>0</v>
      </c>
      <c r="K77" s="142">
        <v>0</v>
      </c>
      <c r="L77" s="142">
        <v>0</v>
      </c>
      <c r="M77" s="142">
        <v>0</v>
      </c>
    </row>
    <row r="78" spans="1:14" ht="16.5" customHeight="1">
      <c r="A78" s="13" t="s">
        <v>767</v>
      </c>
      <c r="B78" s="41" t="str">
        <f>B62</f>
        <v>N</v>
      </c>
      <c r="C78" s="34" t="s">
        <v>175</v>
      </c>
      <c r="D78" s="39"/>
      <c r="E78" s="39"/>
      <c r="F78" s="39"/>
      <c r="G78" s="39"/>
      <c r="H78" s="39"/>
      <c r="I78" s="39">
        <f>$B73+I74-I76-I77</f>
        <v>0</v>
      </c>
      <c r="J78" s="39">
        <f>J73+J74-J76-J77</f>
        <v>0</v>
      </c>
      <c r="K78" s="39">
        <f>K73+K74-K76-K77</f>
        <v>0</v>
      </c>
      <c r="L78" s="39">
        <f>L73+L74-L76-L77</f>
        <v>0</v>
      </c>
      <c r="M78" s="39">
        <f>M73+M74-M76-M77</f>
        <v>0</v>
      </c>
      <c r="N78" s="13"/>
    </row>
    <row r="79" spans="1:14" ht="16.5" hidden="1" customHeight="1">
      <c r="A79" s="5"/>
      <c r="B79" s="131"/>
      <c r="C79" s="5" t="s">
        <v>769</v>
      </c>
      <c r="D79" s="13"/>
      <c r="E79" s="13"/>
      <c r="F79" s="13"/>
      <c r="G79" s="13"/>
      <c r="H79" s="13"/>
      <c r="I79" s="39">
        <f>PPMT(I72/$B76,1,($B74*$B76),$B73)</f>
        <v>0</v>
      </c>
      <c r="J79" s="39">
        <f>PPMT(J72/$B76,1,(YEAR($B72)+$B74+0.5-J$5)*$B76,J73)</f>
        <v>0</v>
      </c>
      <c r="K79" s="39">
        <f>PPMT(K72/$B76,1,(YEAR($B72)+$B74+0.5-K$5)*$B76,K73)</f>
        <v>0</v>
      </c>
      <c r="L79" s="39">
        <f>PPMT(L72/$B76,1,(YEAR($B72)+$B74+0.5-L$5)*$B76,L73)</f>
        <v>0</v>
      </c>
      <c r="M79" s="39">
        <f>PPMT(M72/$B76,1,(YEAR($B72)+$B74+0.5-M$5)*$B76,M73)</f>
        <v>0</v>
      </c>
    </row>
    <row r="80" spans="1:14" ht="16.5" hidden="1" customHeight="1">
      <c r="A80" s="5"/>
      <c r="B80" s="147"/>
      <c r="C80" s="5" t="s">
        <v>770</v>
      </c>
      <c r="D80" s="13"/>
      <c r="E80" s="13"/>
      <c r="F80" s="13"/>
      <c r="G80" s="13"/>
      <c r="H80" s="13"/>
      <c r="I80" s="39">
        <f>$B73/$B74</f>
        <v>0</v>
      </c>
      <c r="J80" s="39">
        <f>J73/($B74+0.5-J$5+YEAR($B72))</f>
        <v>0</v>
      </c>
      <c r="K80" s="39">
        <f>K73/($B74+0.5-K$5+YEAR($B72))</f>
        <v>0</v>
      </c>
      <c r="L80" s="39">
        <f>L73/($B74+0.5-L$5+YEAR($B72))</f>
        <v>0</v>
      </c>
      <c r="M80" s="39">
        <f>M73/($B74+0.5-M$5+YEAR($B72))</f>
        <v>0</v>
      </c>
    </row>
    <row r="81" spans="1:14" ht="16.5" customHeight="1">
      <c r="A81" s="13" t="s">
        <v>182</v>
      </c>
      <c r="B81" s="165"/>
      <c r="C81" s="13"/>
      <c r="D81" s="13"/>
      <c r="E81" s="13"/>
      <c r="F81" s="13"/>
      <c r="G81" s="13"/>
      <c r="H81" s="13"/>
      <c r="I81" s="39"/>
      <c r="J81" s="39"/>
      <c r="K81" s="39"/>
      <c r="L81" s="39"/>
      <c r="M81" s="39"/>
    </row>
    <row r="82" spans="1:14" ht="16.5" customHeight="1">
      <c r="A82" s="13"/>
      <c r="B82" s="119"/>
      <c r="C82" s="5"/>
      <c r="D82" s="13"/>
      <c r="E82" s="13"/>
      <c r="F82" s="13"/>
      <c r="G82" s="13"/>
      <c r="H82" s="13"/>
      <c r="I82" s="39"/>
      <c r="J82" s="39"/>
      <c r="K82" s="39"/>
      <c r="L82" s="39"/>
      <c r="M82" s="39"/>
    </row>
    <row r="83" spans="1:14" ht="16.5" customHeight="1">
      <c r="A83" s="13" t="s">
        <v>821</v>
      </c>
      <c r="B83" s="14"/>
      <c r="C83" s="13"/>
      <c r="D83" s="18"/>
      <c r="E83" s="14"/>
      <c r="F83" s="13"/>
      <c r="G83" s="13"/>
      <c r="H83" s="13"/>
      <c r="I83" s="13"/>
      <c r="J83" s="13"/>
      <c r="K83" s="13"/>
      <c r="L83" s="13"/>
      <c r="M83" s="13"/>
    </row>
    <row r="84" spans="1:14" ht="16.5" customHeight="1">
      <c r="A84" s="14" t="s">
        <v>677</v>
      </c>
      <c r="B84" s="97">
        <f>DATE(J$5,7,1)</f>
        <v>47665</v>
      </c>
      <c r="C84" s="13" t="s">
        <v>639</v>
      </c>
      <c r="D84" s="44"/>
      <c r="E84" s="44"/>
      <c r="F84" s="44"/>
      <c r="G84" s="44"/>
      <c r="H84" s="44"/>
      <c r="I84" s="44"/>
      <c r="J84" s="73">
        <f>$B87</f>
        <v>7.0000000000000007E-2</v>
      </c>
      <c r="K84" s="73">
        <f>IF(Input!$H$61="V",Input!N$70,IF(AND(($B93=K$5),Input!N$65&gt;0),Input!N$65,J84))</f>
        <v>7.0000000000000007E-2</v>
      </c>
      <c r="L84" s="73">
        <f>IF(Input!$H$61="V",Input!O$70,IF(AND(($B93=L$5),Input!O$65&gt;0),Input!O$65,K84))</f>
        <v>7.0000000000000007E-2</v>
      </c>
      <c r="M84" s="73">
        <f>IF(Input!$H$61="V",Input!P$70,IF(AND(($B93=M$5),Input!P$65&gt;0),Input!P$65,L84))</f>
        <v>7.0000000000000007E-2</v>
      </c>
    </row>
    <row r="85" spans="1:14" ht="16.5" customHeight="1">
      <c r="A85" s="13" t="s">
        <v>361</v>
      </c>
      <c r="B85" s="98">
        <f>'g - Plant'!N64</f>
        <v>0</v>
      </c>
      <c r="C85" s="37" t="s">
        <v>173</v>
      </c>
      <c r="D85" s="45"/>
      <c r="E85" s="45"/>
      <c r="F85" s="45"/>
      <c r="G85" s="45"/>
      <c r="H85" s="45"/>
      <c r="I85" s="45"/>
      <c r="J85" s="45">
        <v>0</v>
      </c>
      <c r="K85" s="45">
        <f>J90</f>
        <v>0</v>
      </c>
      <c r="L85" s="45">
        <f>K90</f>
        <v>0</v>
      </c>
      <c r="M85" s="45">
        <f>L90</f>
        <v>0</v>
      </c>
    </row>
    <row r="86" spans="1:14" ht="16.5" customHeight="1">
      <c r="A86" s="14" t="s">
        <v>170</v>
      </c>
      <c r="B86" s="145">
        <f>'g - Plant'!N48</f>
        <v>35</v>
      </c>
      <c r="C86" s="40" t="s">
        <v>169</v>
      </c>
      <c r="D86" s="39"/>
      <c r="E86" s="39"/>
      <c r="F86" s="39"/>
      <c r="G86" s="39"/>
      <c r="H86" s="39"/>
      <c r="I86" s="39"/>
      <c r="J86" s="39">
        <f>J88-J87</f>
        <v>0</v>
      </c>
      <c r="K86" s="39">
        <f>K88-K87</f>
        <v>0</v>
      </c>
      <c r="L86" s="39">
        <f>L88-L87</f>
        <v>0</v>
      </c>
      <c r="M86" s="39">
        <f>M88-M87</f>
        <v>0</v>
      </c>
    </row>
    <row r="87" spans="1:14" ht="16.5" customHeight="1">
      <c r="A87" s="13" t="s">
        <v>172</v>
      </c>
      <c r="B87" s="146">
        <f>IF(Input!$H$61="V",Input!M$70,IF(Input!M$65&gt;0,Input!M$65,0.07))</f>
        <v>7.0000000000000007E-2</v>
      </c>
      <c r="C87" s="13" t="s">
        <v>174</v>
      </c>
      <c r="D87" s="39"/>
      <c r="E87" s="39"/>
      <c r="F87" s="39"/>
      <c r="G87" s="39"/>
      <c r="H87" s="39"/>
      <c r="I87" s="39"/>
      <c r="J87" s="39">
        <f>IF($B89="Y",0,(IF($B90="Y",J92/2,FV(J84/$B88,$B88/2,J91))))</f>
        <v>0</v>
      </c>
      <c r="K87" s="39">
        <f>IF($B89="Y",0,(IF($B90="Y",K92,FV(K84/$B88,$B88,K91))))</f>
        <v>0</v>
      </c>
      <c r="L87" s="39">
        <f>IF((AND($B89="Y",$B90="Y")),L92/2,(IF($B90="Y",L92,IF($B89="Y",FV(L84/$B88,$B88/2,L91),FV(L84/$B88,$B88,L91)))))</f>
        <v>0</v>
      </c>
      <c r="M87" s="39">
        <f>IF(YEAR($B84)+$B86&lt;=M$5,M85,(IF($B90="Y",M92,FV(M84/$B88,$B88,M91))))</f>
        <v>0</v>
      </c>
    </row>
    <row r="88" spans="1:14" ht="16.5" customHeight="1">
      <c r="A88" s="13" t="s">
        <v>171</v>
      </c>
      <c r="B88" s="41">
        <v>12</v>
      </c>
      <c r="C88" s="74" t="s">
        <v>640</v>
      </c>
      <c r="D88" s="39"/>
      <c r="E88" s="39"/>
      <c r="F88" s="39"/>
      <c r="G88" s="39"/>
      <c r="H88" s="39"/>
      <c r="I88" s="39"/>
      <c r="J88" s="39">
        <f>IF($B89="Y",$B85*J84/2,IF($B90="y",J92/2+J84/2*$B85,($B85*J84/$B88-J91)*$B88/2))</f>
        <v>0</v>
      </c>
      <c r="K88" s="39">
        <f>IF($B89="Y",K84*K85,IF($B90="Y",K92+(K85-K92/2)*K84,(K85*K84/$B88-K91)*$B88))</f>
        <v>0</v>
      </c>
      <c r="L88" s="39">
        <f>IF(AND($B89="Y",$B90="Y"),L92/2+(L85-L92/4)*L84,IF($B90="Y",L92+(L85-L92/2)*L84,IF($B89="Y",(L85*L84/$B88-L91)*$B88/2+0.5*L84*L85,(L85*L84/$B88-L91)*$B88)))</f>
        <v>0</v>
      </c>
      <c r="M88" s="39">
        <f>IF(YEAR($B84)+$B86&lt;=M$5,M85+M85*M84/2,(IF($B90="Y",M92+(M85-M92/2)*M84,(M85*M84/$B88-M91)*$B88)))</f>
        <v>0</v>
      </c>
    </row>
    <row r="89" spans="1:14" ht="16.5" customHeight="1">
      <c r="A89" s="13" t="s">
        <v>360</v>
      </c>
      <c r="B89" s="41" t="str">
        <f>B77</f>
        <v>Y</v>
      </c>
      <c r="C89" s="141" t="s">
        <v>768</v>
      </c>
      <c r="D89" s="39"/>
      <c r="E89" s="39"/>
      <c r="F89" s="39"/>
      <c r="G89" s="39"/>
      <c r="H89" s="39"/>
      <c r="I89" s="39"/>
      <c r="J89" s="142">
        <v>0</v>
      </c>
      <c r="K89" s="142">
        <v>0</v>
      </c>
      <c r="L89" s="142">
        <v>0</v>
      </c>
      <c r="M89" s="142">
        <v>0</v>
      </c>
    </row>
    <row r="90" spans="1:14" ht="16.5" customHeight="1">
      <c r="A90" s="13" t="s">
        <v>767</v>
      </c>
      <c r="B90" s="41" t="str">
        <f>B78</f>
        <v>N</v>
      </c>
      <c r="C90" s="34" t="s">
        <v>175</v>
      </c>
      <c r="D90" s="39"/>
      <c r="E90" s="39"/>
      <c r="F90" s="39"/>
      <c r="G90" s="39"/>
      <c r="H90" s="39"/>
      <c r="I90" s="39"/>
      <c r="J90" s="39">
        <f>$B85+J86-J88-J89</f>
        <v>0</v>
      </c>
      <c r="K90" s="39">
        <f>K85+K86-K88-K89</f>
        <v>0</v>
      </c>
      <c r="L90" s="39">
        <f>L85+L86-L88-L89</f>
        <v>0</v>
      </c>
      <c r="M90" s="39">
        <f>M85+M86-M88-M89</f>
        <v>0</v>
      </c>
      <c r="N90" s="13"/>
    </row>
    <row r="91" spans="1:14" ht="16.5" hidden="1" customHeight="1">
      <c r="A91" s="5"/>
      <c r="B91" s="131"/>
      <c r="C91" s="5" t="s">
        <v>769</v>
      </c>
      <c r="D91" s="13"/>
      <c r="E91" s="13"/>
      <c r="F91" s="13"/>
      <c r="G91" s="13"/>
      <c r="H91" s="13"/>
      <c r="I91" s="13"/>
      <c r="J91" s="39">
        <f>PPMT(J84/$B88,1,($B86*$B88),$B85)</f>
        <v>0</v>
      </c>
      <c r="K91" s="39">
        <f>PPMT(K84/$B88,1,(YEAR($B84)+$B86+0.5-K$5)*$B88,K85)</f>
        <v>0</v>
      </c>
      <c r="L91" s="39">
        <f>PPMT(L84/$B88,1,(YEAR($B84)+$B86+0.5-L$5)*$B88,L85)</f>
        <v>0</v>
      </c>
      <c r="M91" s="39">
        <f>PPMT(M84/$B88,1,(YEAR($B84)+$B86+0.5-M$5)*$B88,M85)</f>
        <v>0</v>
      </c>
    </row>
    <row r="92" spans="1:14" ht="16.5" hidden="1" customHeight="1">
      <c r="A92" s="5"/>
      <c r="B92" s="147"/>
      <c r="C92" s="5" t="s">
        <v>770</v>
      </c>
      <c r="D92" s="13"/>
      <c r="E92" s="13"/>
      <c r="F92" s="13"/>
      <c r="G92" s="13"/>
      <c r="H92" s="13"/>
      <c r="I92" s="13"/>
      <c r="J92" s="39">
        <f>$B85/$B86</f>
        <v>0</v>
      </c>
      <c r="K92" s="39">
        <f>K85/($B86+0.5-K$5+YEAR($B84))</f>
        <v>0</v>
      </c>
      <c r="L92" s="39">
        <f>L85/($B86+0.5-L$5+YEAR($B84))</f>
        <v>0</v>
      </c>
      <c r="M92" s="39">
        <f>M85/($B86+0.5-M$5+YEAR($B84))</f>
        <v>0</v>
      </c>
    </row>
    <row r="93" spans="1:14" ht="16.5" customHeight="1">
      <c r="A93" s="13" t="s">
        <v>182</v>
      </c>
      <c r="B93" s="165"/>
      <c r="C93" s="13"/>
      <c r="D93" s="13"/>
      <c r="E93" s="13"/>
      <c r="F93" s="13"/>
      <c r="G93" s="13"/>
      <c r="H93" s="13"/>
      <c r="I93" s="13"/>
      <c r="J93" s="39"/>
      <c r="K93" s="39"/>
      <c r="L93" s="39"/>
      <c r="M93" s="39"/>
    </row>
    <row r="94" spans="1:14" ht="16.5" customHeight="1">
      <c r="A94" s="13"/>
      <c r="B94" s="138"/>
      <c r="C94" s="5"/>
      <c r="D94" s="13"/>
      <c r="E94" s="13"/>
      <c r="F94" s="13"/>
      <c r="G94" s="13"/>
      <c r="H94" s="13"/>
      <c r="I94" s="13"/>
      <c r="J94" s="39"/>
      <c r="K94" s="39"/>
      <c r="L94" s="39"/>
      <c r="M94" s="39"/>
    </row>
    <row r="95" spans="1:14" ht="16.5" customHeight="1">
      <c r="A95" s="13" t="s">
        <v>822</v>
      </c>
      <c r="B95" s="14"/>
      <c r="C95" s="13"/>
      <c r="D95" s="18"/>
      <c r="E95" s="14"/>
      <c r="F95" s="13"/>
      <c r="G95" s="13"/>
      <c r="H95" s="13"/>
      <c r="I95" s="13"/>
      <c r="J95" s="13"/>
      <c r="K95" s="13"/>
      <c r="L95" s="13"/>
      <c r="M95" s="13"/>
    </row>
    <row r="96" spans="1:14" ht="16.5" customHeight="1">
      <c r="A96" s="14" t="s">
        <v>677</v>
      </c>
      <c r="B96" s="97">
        <f>DATE(K$5,7,1)</f>
        <v>48030</v>
      </c>
      <c r="C96" s="13" t="s">
        <v>639</v>
      </c>
      <c r="D96" s="44"/>
      <c r="E96" s="44"/>
      <c r="F96" s="44"/>
      <c r="G96" s="44"/>
      <c r="H96" s="44"/>
      <c r="I96" s="44"/>
      <c r="J96" s="44"/>
      <c r="K96" s="73">
        <f>$B99</f>
        <v>7.0000000000000007E-2</v>
      </c>
      <c r="L96" s="73">
        <f>IF(Input!$H$61="V",Input!O$70,IF(AND(($B105=L$5),Input!O$65&gt;0),Input!O$65,K96))</f>
        <v>7.0000000000000007E-2</v>
      </c>
      <c r="M96" s="73">
        <f>IF(Input!$H$61="V",Input!P$70,IF(AND(($B105=M$5),Input!P$65&gt;0),Input!P$65,L96))</f>
        <v>7.0000000000000007E-2</v>
      </c>
    </row>
    <row r="97" spans="1:14" ht="16.5" customHeight="1">
      <c r="A97" s="13" t="s">
        <v>361</v>
      </c>
      <c r="B97" s="98">
        <f>'g - Plant'!O64</f>
        <v>0</v>
      </c>
      <c r="C97" s="37" t="s">
        <v>173</v>
      </c>
      <c r="D97" s="45"/>
      <c r="E97" s="45"/>
      <c r="F97" s="45"/>
      <c r="G97" s="45"/>
      <c r="H97" s="45"/>
      <c r="I97" s="45"/>
      <c r="J97" s="45"/>
      <c r="K97" s="45">
        <v>0</v>
      </c>
      <c r="L97" s="45">
        <f>K102</f>
        <v>0</v>
      </c>
      <c r="M97" s="45">
        <f>L102</f>
        <v>0</v>
      </c>
    </row>
    <row r="98" spans="1:14" ht="16.5" customHeight="1">
      <c r="A98" s="14" t="s">
        <v>170</v>
      </c>
      <c r="B98" s="145">
        <f>'g - Plant'!O48</f>
        <v>35</v>
      </c>
      <c r="C98" s="40" t="s">
        <v>169</v>
      </c>
      <c r="D98" s="39"/>
      <c r="E98" s="39"/>
      <c r="F98" s="39"/>
      <c r="G98" s="39"/>
      <c r="H98" s="39"/>
      <c r="I98" s="39"/>
      <c r="J98" s="39"/>
      <c r="K98" s="39">
        <f>K100-K99</f>
        <v>0</v>
      </c>
      <c r="L98" s="39">
        <f>L100-L99</f>
        <v>0</v>
      </c>
      <c r="M98" s="39">
        <f>M100-M99</f>
        <v>0</v>
      </c>
    </row>
    <row r="99" spans="1:14" ht="16.5" customHeight="1">
      <c r="A99" s="13" t="s">
        <v>172</v>
      </c>
      <c r="B99" s="146">
        <f>IF(Input!$H$61="V",Input!N$70,IF(Input!N$65&gt;0,Input!N$65,0.07))</f>
        <v>7.0000000000000007E-2</v>
      </c>
      <c r="C99" s="13" t="s">
        <v>174</v>
      </c>
      <c r="D99" s="39"/>
      <c r="E99" s="39"/>
      <c r="F99" s="39"/>
      <c r="G99" s="39"/>
      <c r="H99" s="39"/>
      <c r="I99" s="39"/>
      <c r="J99" s="39"/>
      <c r="K99" s="39">
        <f>IF($B101="Y",0,(IF($B102="Y",K104/2,FV(K96/$B100,$B100/2,K103))))</f>
        <v>0</v>
      </c>
      <c r="L99" s="39">
        <f>IF($B101="Y",0,(IF($B102="Y",L104,FV(L96/$B100,$B100,L103))))</f>
        <v>0</v>
      </c>
      <c r="M99" s="39">
        <f>IF((AND($B101="Y",$B102="Y")),M104/2,(IF($B102="Y",M104,IF($B101="Y",FV(M96/$B100,$B100/2,M103),FV(M96/$B100,$B100,M103)))))</f>
        <v>0</v>
      </c>
    </row>
    <row r="100" spans="1:14" ht="16.5" customHeight="1">
      <c r="A100" s="13" t="s">
        <v>171</v>
      </c>
      <c r="B100" s="41">
        <v>12</v>
      </c>
      <c r="C100" s="74" t="s">
        <v>640</v>
      </c>
      <c r="D100" s="39"/>
      <c r="E100" s="39"/>
      <c r="F100" s="39"/>
      <c r="G100" s="39"/>
      <c r="H100" s="39"/>
      <c r="I100" s="39"/>
      <c r="J100" s="39"/>
      <c r="K100" s="39">
        <f>IF($B101="Y",$B97*K96/2,IF($B102="y",K104/2+K96/2*$B97,($B97*K96/$B100-K103)*$B100/2))</f>
        <v>0</v>
      </c>
      <c r="L100" s="39">
        <f>IF($B101="Y",L96*L97,IF($B102="Y",L104+(L97-L104/2)*L96,(L97*L96/$B100-L103)*$B100))</f>
        <v>0</v>
      </c>
      <c r="M100" s="39">
        <f>IF(AND($B101="Y",$B102="Y"),M104/2+(M97-M104/4)*M96,IF($B102="Y",M104+(M97-M104/2)*M96,IF($B101="Y",(M97*M96/$B100-M103)*$B100/2+0.5*M96*M97,(M97*M96/$B100-M103)*$B100)))</f>
        <v>0</v>
      </c>
    </row>
    <row r="101" spans="1:14" ht="16.5" customHeight="1">
      <c r="A101" s="13" t="s">
        <v>360</v>
      </c>
      <c r="B101" s="41" t="str">
        <f>B89</f>
        <v>Y</v>
      </c>
      <c r="C101" s="141" t="s">
        <v>768</v>
      </c>
      <c r="D101" s="39"/>
      <c r="E101" s="39"/>
      <c r="F101" s="39"/>
      <c r="G101" s="39"/>
      <c r="H101" s="39"/>
      <c r="I101" s="39"/>
      <c r="J101" s="39"/>
      <c r="K101" s="142">
        <v>0</v>
      </c>
      <c r="L101" s="142">
        <v>0</v>
      </c>
      <c r="M101" s="142">
        <v>0</v>
      </c>
    </row>
    <row r="102" spans="1:14" ht="16.5" customHeight="1">
      <c r="A102" s="13" t="s">
        <v>767</v>
      </c>
      <c r="B102" s="41" t="str">
        <f>B90</f>
        <v>N</v>
      </c>
      <c r="C102" s="34" t="s">
        <v>175</v>
      </c>
      <c r="D102" s="39"/>
      <c r="E102" s="39"/>
      <c r="F102" s="39"/>
      <c r="G102" s="39"/>
      <c r="H102" s="39"/>
      <c r="I102" s="39"/>
      <c r="J102" s="39"/>
      <c r="K102" s="39">
        <f>$B97+K98-K100-K101</f>
        <v>0</v>
      </c>
      <c r="L102" s="39">
        <f>L97+L98-L100-L101</f>
        <v>0</v>
      </c>
      <c r="M102" s="39">
        <f>M97+M98-M100-M101</f>
        <v>0</v>
      </c>
      <c r="N102" s="13"/>
    </row>
    <row r="103" spans="1:14" ht="16.5" hidden="1" customHeight="1">
      <c r="A103" s="5"/>
      <c r="B103" s="131"/>
      <c r="C103" s="5" t="s">
        <v>769</v>
      </c>
      <c r="D103" s="13"/>
      <c r="E103" s="13"/>
      <c r="F103" s="13"/>
      <c r="G103" s="13"/>
      <c r="H103" s="13"/>
      <c r="I103" s="13"/>
      <c r="J103" s="13"/>
      <c r="K103" s="39">
        <f>PPMT(K96/$B100,1,($B98*$B100),$B97)</f>
        <v>0</v>
      </c>
      <c r="L103" s="39">
        <f>PPMT(L96/$B100,1,(YEAR($B96)+$B98+0.5-L$5)*$B100,L97)</f>
        <v>0</v>
      </c>
      <c r="M103" s="39">
        <f>PPMT(M96/$B100,1,(YEAR($B96)+$B98+0.5-M$5)*$B100,M97)</f>
        <v>0</v>
      </c>
    </row>
    <row r="104" spans="1:14" ht="16.5" hidden="1" customHeight="1">
      <c r="A104" s="5"/>
      <c r="B104" s="147"/>
      <c r="C104" s="5" t="s">
        <v>770</v>
      </c>
      <c r="D104" s="13"/>
      <c r="E104" s="13"/>
      <c r="F104" s="13"/>
      <c r="G104" s="13"/>
      <c r="H104" s="13"/>
      <c r="I104" s="13"/>
      <c r="J104" s="13"/>
      <c r="K104" s="39">
        <f>$B97/$B98</f>
        <v>0</v>
      </c>
      <c r="L104" s="39">
        <f>L97/($B98+0.5-L$5+YEAR($B96))</f>
        <v>0</v>
      </c>
      <c r="M104" s="39">
        <f>M97/($B98+0.5-M$5+YEAR($B96))</f>
        <v>0</v>
      </c>
    </row>
    <row r="105" spans="1:14" ht="16.5" customHeight="1">
      <c r="A105" s="13" t="s">
        <v>182</v>
      </c>
      <c r="B105" s="165"/>
      <c r="C105" s="13"/>
      <c r="D105" s="13"/>
      <c r="E105" s="13"/>
      <c r="F105" s="13"/>
      <c r="G105" s="13"/>
      <c r="H105" s="13"/>
      <c r="I105" s="13"/>
      <c r="J105" s="13"/>
      <c r="K105" s="39"/>
      <c r="L105" s="39"/>
      <c r="M105" s="39"/>
    </row>
    <row r="106" spans="1:14" ht="16.5" customHeight="1">
      <c r="A106" s="13"/>
      <c r="B106" s="138"/>
      <c r="C106" s="5"/>
      <c r="D106" s="13"/>
      <c r="E106" s="13"/>
      <c r="F106" s="13"/>
      <c r="G106" s="13"/>
      <c r="H106" s="13"/>
      <c r="I106" s="13"/>
      <c r="J106" s="13"/>
      <c r="K106" s="39"/>
      <c r="L106" s="39"/>
      <c r="M106" s="39"/>
    </row>
    <row r="107" spans="1:14" ht="16.5" customHeight="1">
      <c r="A107" s="13" t="s">
        <v>823</v>
      </c>
      <c r="B107" s="14"/>
      <c r="C107" s="13"/>
      <c r="D107" s="18"/>
      <c r="E107" s="14"/>
      <c r="F107" s="13"/>
      <c r="G107" s="13"/>
      <c r="H107" s="13"/>
      <c r="I107" s="13"/>
      <c r="J107" s="13"/>
      <c r="K107" s="13"/>
      <c r="L107" s="13"/>
      <c r="M107" s="13"/>
    </row>
    <row r="108" spans="1:14" ht="16.5" customHeight="1">
      <c r="A108" s="14" t="s">
        <v>677</v>
      </c>
      <c r="B108" s="97">
        <f>DATE(L$5,7,1)</f>
        <v>48396</v>
      </c>
      <c r="C108" s="13" t="s">
        <v>639</v>
      </c>
      <c r="D108" s="44"/>
      <c r="E108" s="44"/>
      <c r="F108" s="44"/>
      <c r="G108" s="44"/>
      <c r="H108" s="44"/>
      <c r="I108" s="44"/>
      <c r="J108" s="44"/>
      <c r="K108" s="44"/>
      <c r="L108" s="73">
        <f>$B111</f>
        <v>7.0000000000000007E-2</v>
      </c>
      <c r="M108" s="73">
        <f>IF(Input!$H$61="V",Input!P$70,IF(AND(($B117=M$5),Input!P$65&gt;0),Input!P$65,L108))</f>
        <v>7.0000000000000007E-2</v>
      </c>
    </row>
    <row r="109" spans="1:14" ht="16.5" customHeight="1">
      <c r="A109" s="13" t="s">
        <v>361</v>
      </c>
      <c r="B109" s="98">
        <f>'g - Plant'!P64</f>
        <v>0</v>
      </c>
      <c r="C109" s="37" t="s">
        <v>173</v>
      </c>
      <c r="D109" s="45"/>
      <c r="E109" s="45"/>
      <c r="F109" s="45"/>
      <c r="G109" s="45"/>
      <c r="H109" s="45"/>
      <c r="I109" s="45"/>
      <c r="J109" s="45"/>
      <c r="K109" s="45"/>
      <c r="L109" s="45">
        <v>0</v>
      </c>
      <c r="M109" s="45">
        <f>L114</f>
        <v>0</v>
      </c>
    </row>
    <row r="110" spans="1:14" ht="16.5" customHeight="1">
      <c r="A110" s="14" t="s">
        <v>170</v>
      </c>
      <c r="B110" s="145">
        <f>'g - Plant'!P48</f>
        <v>35</v>
      </c>
      <c r="C110" s="40" t="s">
        <v>169</v>
      </c>
      <c r="D110" s="39"/>
      <c r="E110" s="39"/>
      <c r="F110" s="39"/>
      <c r="G110" s="39"/>
      <c r="H110" s="39"/>
      <c r="I110" s="39"/>
      <c r="J110" s="39"/>
      <c r="K110" s="39"/>
      <c r="L110" s="39">
        <f>L112-L111</f>
        <v>0</v>
      </c>
      <c r="M110" s="39">
        <f>M112-M111</f>
        <v>0</v>
      </c>
    </row>
    <row r="111" spans="1:14" ht="16.5" customHeight="1">
      <c r="A111" s="13" t="s">
        <v>172</v>
      </c>
      <c r="B111" s="146">
        <f>IF(Input!$H$61="V",Input!O$70,IF(Input!O$65&gt;0,Input!O$65,0.07))</f>
        <v>7.0000000000000007E-2</v>
      </c>
      <c r="C111" s="13" t="s">
        <v>174</v>
      </c>
      <c r="D111" s="39"/>
      <c r="E111" s="39"/>
      <c r="F111" s="39"/>
      <c r="G111" s="39"/>
      <c r="H111" s="39"/>
      <c r="I111" s="39"/>
      <c r="J111" s="39"/>
      <c r="K111" s="39"/>
      <c r="L111" s="39">
        <f>IF($B113="Y",0,(IF($B114="Y",L116/2,FV(L108/$B112,$B112/2,L115))))</f>
        <v>0</v>
      </c>
      <c r="M111" s="39">
        <f>IF($B113="Y",0,(IF($B114="Y",M116,FV(M108/$B112,$B112,M115))))</f>
        <v>0</v>
      </c>
    </row>
    <row r="112" spans="1:14" ht="16.5" customHeight="1">
      <c r="A112" s="13" t="s">
        <v>171</v>
      </c>
      <c r="B112" s="41">
        <v>12</v>
      </c>
      <c r="C112" s="74" t="s">
        <v>640</v>
      </c>
      <c r="D112" s="39"/>
      <c r="E112" s="39"/>
      <c r="F112" s="39"/>
      <c r="G112" s="39"/>
      <c r="H112" s="39"/>
      <c r="I112" s="39"/>
      <c r="J112" s="39"/>
      <c r="K112" s="39"/>
      <c r="L112" s="39">
        <f>IF($B113="Y",$B109*L108/2,IF($B114="y",L116/2+L108/2*$B109,($B109*L108/$B112-L115)*$B112/2))</f>
        <v>0</v>
      </c>
      <c r="M112" s="39">
        <f>IF($B113="Y",M108*M109,IF($B114="Y",M116+(M109-M116/2)*M108,(M109*M108/$B112-M115)*$B112))</f>
        <v>0</v>
      </c>
    </row>
    <row r="113" spans="1:14" ht="16.5" customHeight="1">
      <c r="A113" s="13" t="s">
        <v>360</v>
      </c>
      <c r="B113" s="41" t="str">
        <f>B101</f>
        <v>Y</v>
      </c>
      <c r="C113" s="141" t="s">
        <v>768</v>
      </c>
      <c r="D113" s="39"/>
      <c r="E113" s="39"/>
      <c r="F113" s="39"/>
      <c r="G113" s="39"/>
      <c r="H113" s="39"/>
      <c r="I113" s="39"/>
      <c r="J113" s="39"/>
      <c r="K113" s="39"/>
      <c r="L113" s="142">
        <v>0</v>
      </c>
      <c r="M113" s="142">
        <v>0</v>
      </c>
    </row>
    <row r="114" spans="1:14" ht="16.5" customHeight="1">
      <c r="A114" s="13" t="s">
        <v>767</v>
      </c>
      <c r="B114" s="41" t="str">
        <f>B102</f>
        <v>N</v>
      </c>
      <c r="C114" s="34" t="s">
        <v>175</v>
      </c>
      <c r="D114" s="39"/>
      <c r="E114" s="39"/>
      <c r="F114" s="39"/>
      <c r="G114" s="39"/>
      <c r="H114" s="39"/>
      <c r="I114" s="39"/>
      <c r="J114" s="39"/>
      <c r="K114" s="39"/>
      <c r="L114" s="39">
        <f>$B109+L110-L112-L113</f>
        <v>0</v>
      </c>
      <c r="M114" s="39">
        <f>M109+M110-M112-M113</f>
        <v>0</v>
      </c>
      <c r="N114" s="13"/>
    </row>
    <row r="115" spans="1:14" ht="16.5" hidden="1" customHeight="1">
      <c r="A115" s="5"/>
      <c r="B115" s="131"/>
      <c r="C115" s="5" t="s">
        <v>769</v>
      </c>
      <c r="D115" s="13"/>
      <c r="E115" s="13"/>
      <c r="F115" s="13"/>
      <c r="G115" s="13"/>
      <c r="H115" s="13"/>
      <c r="I115" s="13"/>
      <c r="J115" s="13"/>
      <c r="K115" s="13"/>
      <c r="L115" s="39">
        <f>PPMT(L108/$B112,1,($B110*$B112),$B109)</f>
        <v>0</v>
      </c>
      <c r="M115" s="39">
        <f>PPMT(M108/$B112,1,(YEAR($B108)+$B110+0.5-M$5)*$B112,M109)</f>
        <v>0</v>
      </c>
      <c r="N115" s="13"/>
    </row>
    <row r="116" spans="1:14" ht="16.5" hidden="1" customHeight="1">
      <c r="A116" s="5"/>
      <c r="B116" s="147"/>
      <c r="C116" s="5" t="s">
        <v>770</v>
      </c>
      <c r="D116" s="13"/>
      <c r="E116" s="13"/>
      <c r="F116" s="13"/>
      <c r="G116" s="13"/>
      <c r="H116" s="13"/>
      <c r="I116" s="13"/>
      <c r="J116" s="13"/>
      <c r="K116" s="13"/>
      <c r="L116" s="39">
        <f>$B109/$B110</f>
        <v>0</v>
      </c>
      <c r="M116" s="39">
        <f>M109/($B110+0.5-M$5+YEAR($B108))</f>
        <v>0</v>
      </c>
    </row>
    <row r="117" spans="1:14" ht="16.5" customHeight="1">
      <c r="A117" s="13" t="s">
        <v>182</v>
      </c>
      <c r="B117" s="165"/>
      <c r="C117" s="13"/>
      <c r="D117" s="13"/>
      <c r="E117" s="13"/>
      <c r="F117" s="13"/>
      <c r="G117" s="13"/>
      <c r="H117" s="13"/>
      <c r="I117" s="13"/>
      <c r="J117" s="13"/>
      <c r="K117" s="13"/>
      <c r="L117" s="39"/>
      <c r="M117" s="39"/>
    </row>
    <row r="118" spans="1:14" ht="16.5" customHeight="1">
      <c r="A118" s="13"/>
      <c r="B118" s="148"/>
      <c r="C118" s="13"/>
      <c r="D118" s="13"/>
      <c r="E118" s="13"/>
      <c r="F118" s="13"/>
      <c r="G118" s="13"/>
      <c r="H118" s="13"/>
      <c r="I118" s="13"/>
      <c r="J118" s="13"/>
      <c r="K118" s="13"/>
      <c r="L118" s="39"/>
      <c r="M118" s="39"/>
    </row>
    <row r="119" spans="1:14" ht="16.5" customHeight="1">
      <c r="A119" s="13" t="s">
        <v>824</v>
      </c>
      <c r="B119" s="14"/>
      <c r="C119" s="13"/>
      <c r="D119" s="18"/>
      <c r="E119" s="14"/>
      <c r="F119" s="13"/>
      <c r="G119" s="13"/>
      <c r="H119" s="13"/>
      <c r="I119" s="13"/>
      <c r="J119" s="13"/>
      <c r="K119" s="13"/>
      <c r="L119" s="13"/>
      <c r="M119" s="13"/>
    </row>
    <row r="120" spans="1:14" ht="16.5" customHeight="1">
      <c r="A120" s="14" t="s">
        <v>677</v>
      </c>
      <c r="B120" s="97">
        <f>DATE(M$5,7,1)</f>
        <v>48761</v>
      </c>
      <c r="C120" s="13" t="s">
        <v>639</v>
      </c>
      <c r="D120" s="44"/>
      <c r="E120" s="44"/>
      <c r="F120" s="44"/>
      <c r="G120" s="44"/>
      <c r="H120" s="44"/>
      <c r="I120" s="44"/>
      <c r="J120" s="44"/>
      <c r="K120" s="44"/>
      <c r="L120" s="44"/>
      <c r="M120" s="73">
        <f>$B123</f>
        <v>7.0000000000000007E-2</v>
      </c>
    </row>
    <row r="121" spans="1:14" ht="16.5" customHeight="1">
      <c r="A121" s="13" t="s">
        <v>361</v>
      </c>
      <c r="B121" s="98">
        <f>'g - Plant'!Q64</f>
        <v>0</v>
      </c>
      <c r="C121" s="37" t="s">
        <v>173</v>
      </c>
      <c r="D121" s="45"/>
      <c r="E121" s="45"/>
      <c r="F121" s="45"/>
      <c r="G121" s="45"/>
      <c r="H121" s="45"/>
      <c r="I121" s="45"/>
      <c r="J121" s="45"/>
      <c r="K121" s="45"/>
      <c r="L121" s="45"/>
      <c r="M121" s="45">
        <v>0</v>
      </c>
    </row>
    <row r="122" spans="1:14" ht="16.5" customHeight="1">
      <c r="A122" s="14" t="s">
        <v>170</v>
      </c>
      <c r="B122" s="145">
        <f>'g - Plant'!Q48</f>
        <v>35</v>
      </c>
      <c r="C122" s="40" t="s">
        <v>169</v>
      </c>
      <c r="D122" s="39"/>
      <c r="E122" s="39"/>
      <c r="F122" s="39"/>
      <c r="G122" s="39"/>
      <c r="H122" s="39"/>
      <c r="I122" s="39"/>
      <c r="J122" s="39"/>
      <c r="K122" s="39"/>
      <c r="L122" s="39"/>
      <c r="M122" s="39">
        <f>M124-M123</f>
        <v>0</v>
      </c>
    </row>
    <row r="123" spans="1:14" ht="16.5" customHeight="1">
      <c r="A123" s="13" t="s">
        <v>172</v>
      </c>
      <c r="B123" s="146">
        <f>IF(Input!$H$61="V",Input!P$70,IF(Input!P$65&gt;0,Input!P$65,0.07))</f>
        <v>7.0000000000000007E-2</v>
      </c>
      <c r="C123" s="13" t="s">
        <v>174</v>
      </c>
      <c r="D123" s="39"/>
      <c r="E123" s="39"/>
      <c r="F123" s="39"/>
      <c r="G123" s="39"/>
      <c r="H123" s="39"/>
      <c r="I123" s="39"/>
      <c r="J123" s="39"/>
      <c r="K123" s="39"/>
      <c r="L123" s="39"/>
      <c r="M123" s="39">
        <f>IF($B125="Y",0,(IF($B126="Y",M128/2,FV(M120/$B124,$B124/2,M127))))</f>
        <v>0</v>
      </c>
    </row>
    <row r="124" spans="1:14" ht="16.5" customHeight="1">
      <c r="A124" s="13" t="s">
        <v>171</v>
      </c>
      <c r="B124" s="41">
        <v>12</v>
      </c>
      <c r="C124" s="74" t="s">
        <v>640</v>
      </c>
      <c r="D124" s="39"/>
      <c r="E124" s="39"/>
      <c r="F124" s="39"/>
      <c r="G124" s="39"/>
      <c r="H124" s="39"/>
      <c r="I124" s="39"/>
      <c r="J124" s="39"/>
      <c r="K124" s="39"/>
      <c r="L124" s="39"/>
      <c r="M124" s="39">
        <f>IF($B125="Y",$B121*M120/2,IF($B126="y",M128/2+M120/2*$B121,($B121*M120/$B124-M127)*$B124/2))</f>
        <v>0</v>
      </c>
    </row>
    <row r="125" spans="1:14" ht="16.5" customHeight="1">
      <c r="A125" s="13" t="s">
        <v>360</v>
      </c>
      <c r="B125" s="41" t="str">
        <f>B113</f>
        <v>Y</v>
      </c>
      <c r="C125" s="141" t="s">
        <v>768</v>
      </c>
      <c r="D125" s="39"/>
      <c r="E125" s="39"/>
      <c r="F125" s="39"/>
      <c r="G125" s="39"/>
      <c r="H125" s="39"/>
      <c r="I125" s="39"/>
      <c r="J125" s="39"/>
      <c r="K125" s="39"/>
      <c r="L125" s="39"/>
      <c r="M125" s="142">
        <v>0</v>
      </c>
    </row>
    <row r="126" spans="1:14" ht="16.5" customHeight="1">
      <c r="A126" s="13" t="s">
        <v>767</v>
      </c>
      <c r="B126" s="41" t="str">
        <f>B114</f>
        <v>N</v>
      </c>
      <c r="C126" s="34" t="s">
        <v>175</v>
      </c>
      <c r="D126" s="39"/>
      <c r="E126" s="39"/>
      <c r="F126" s="39"/>
      <c r="G126" s="39"/>
      <c r="H126" s="39"/>
      <c r="I126" s="39"/>
      <c r="J126" s="39"/>
      <c r="K126" s="39"/>
      <c r="L126" s="39"/>
      <c r="M126" s="39">
        <f>$B121+M122-M124-M125</f>
        <v>0</v>
      </c>
      <c r="N126" s="13"/>
    </row>
    <row r="127" spans="1:14" ht="16.5" hidden="1" customHeight="1">
      <c r="A127" s="5"/>
      <c r="B127" s="131"/>
      <c r="C127" s="5" t="s">
        <v>769</v>
      </c>
      <c r="D127" s="13"/>
      <c r="E127" s="13"/>
      <c r="F127" s="13"/>
      <c r="G127" s="13"/>
      <c r="H127" s="13"/>
      <c r="I127" s="13"/>
      <c r="J127" s="13"/>
      <c r="K127" s="13"/>
      <c r="L127" s="13"/>
      <c r="M127" s="39">
        <f>PPMT(M120/$B124,1,($B122*$B124),$B121)</f>
        <v>0</v>
      </c>
    </row>
    <row r="128" spans="1:14" ht="16.5" hidden="1" customHeight="1">
      <c r="A128" s="5"/>
      <c r="B128" s="147"/>
      <c r="C128" s="5" t="s">
        <v>770</v>
      </c>
      <c r="D128" s="13"/>
      <c r="E128" s="13"/>
      <c r="F128" s="13"/>
      <c r="G128" s="13"/>
      <c r="H128" s="13"/>
      <c r="I128" s="13"/>
      <c r="J128" s="13"/>
      <c r="K128" s="13"/>
      <c r="L128" s="13"/>
      <c r="M128" s="39">
        <f>$B121/$B122</f>
        <v>0</v>
      </c>
    </row>
    <row r="129" spans="1:13" ht="16.5" customHeight="1">
      <c r="A129" s="13" t="s">
        <v>182</v>
      </c>
      <c r="B129" s="165"/>
      <c r="C129" s="13"/>
      <c r="D129" s="13"/>
      <c r="E129" s="13"/>
      <c r="F129" s="13"/>
      <c r="G129" s="13"/>
      <c r="H129" s="13"/>
      <c r="I129" s="13"/>
      <c r="J129" s="13"/>
      <c r="K129" s="13"/>
      <c r="L129" s="13"/>
      <c r="M129" s="39"/>
    </row>
    <row r="130" spans="1:13" ht="16.5" customHeight="1">
      <c r="A130" s="13"/>
      <c r="B130" s="150"/>
      <c r="C130" s="13"/>
      <c r="D130" s="13"/>
      <c r="E130" s="13"/>
      <c r="F130" s="13"/>
      <c r="G130" s="13"/>
      <c r="H130" s="13"/>
      <c r="I130" s="13"/>
      <c r="J130" s="13"/>
      <c r="K130" s="13"/>
      <c r="L130" s="13"/>
      <c r="M130" s="39"/>
    </row>
    <row r="131" spans="1:13" ht="16.5" customHeight="1">
      <c r="A131" s="13"/>
      <c r="B131" s="150"/>
      <c r="C131" s="13"/>
      <c r="D131" s="13"/>
      <c r="E131" s="13"/>
      <c r="F131" s="13"/>
      <c r="G131" s="13"/>
      <c r="H131" s="13"/>
      <c r="I131" s="13"/>
      <c r="J131" s="13"/>
      <c r="K131" s="13"/>
      <c r="L131" s="13"/>
      <c r="M131" s="39"/>
    </row>
    <row r="132" spans="1:13" ht="16.5" customHeight="1">
      <c r="A132" s="14" t="s">
        <v>191</v>
      </c>
      <c r="B132" s="15"/>
      <c r="C132" s="13"/>
    </row>
    <row r="133" spans="1:13" ht="16.5" customHeight="1">
      <c r="A133" s="14" t="s">
        <v>188</v>
      </c>
      <c r="B133" s="15"/>
      <c r="C133" s="13"/>
      <c r="D133" s="149">
        <f t="shared" ref="D133:M133" si="27">D121+D109+D97+D85+D73+D57+D45+D33+D21+D9</f>
        <v>0</v>
      </c>
      <c r="E133" s="149">
        <f t="shared" si="27"/>
        <v>0</v>
      </c>
      <c r="F133" s="149">
        <f t="shared" si="27"/>
        <v>0</v>
      </c>
      <c r="G133" s="149">
        <f t="shared" si="27"/>
        <v>0</v>
      </c>
      <c r="H133" s="149">
        <f t="shared" si="27"/>
        <v>0</v>
      </c>
      <c r="I133" s="149">
        <f t="shared" si="27"/>
        <v>0</v>
      </c>
      <c r="J133" s="149">
        <f t="shared" si="27"/>
        <v>0</v>
      </c>
      <c r="K133" s="149">
        <f t="shared" si="27"/>
        <v>0</v>
      </c>
      <c r="L133" s="149">
        <f t="shared" si="27"/>
        <v>0</v>
      </c>
      <c r="M133" s="149">
        <f t="shared" si="27"/>
        <v>0</v>
      </c>
    </row>
    <row r="134" spans="1:13" ht="16.5" customHeight="1">
      <c r="A134" s="14" t="s">
        <v>189</v>
      </c>
      <c r="B134" s="15"/>
      <c r="C134" s="13"/>
      <c r="D134" s="149">
        <f>B9</f>
        <v>0</v>
      </c>
      <c r="E134" s="149">
        <f>B21</f>
        <v>0</v>
      </c>
      <c r="F134" s="149">
        <f>B33</f>
        <v>0</v>
      </c>
      <c r="G134" s="149">
        <f>B45</f>
        <v>0</v>
      </c>
      <c r="H134" s="149">
        <f>B57</f>
        <v>0</v>
      </c>
      <c r="I134" s="149">
        <f>B73</f>
        <v>0</v>
      </c>
      <c r="J134" s="149">
        <f>B85</f>
        <v>0</v>
      </c>
      <c r="K134" s="149">
        <f>B97</f>
        <v>0</v>
      </c>
      <c r="L134" s="149">
        <f>B109</f>
        <v>0</v>
      </c>
      <c r="M134" s="149">
        <f>B121</f>
        <v>0</v>
      </c>
    </row>
    <row r="135" spans="1:13" ht="16.5" customHeight="1">
      <c r="A135" s="14" t="s">
        <v>190</v>
      </c>
      <c r="B135" s="15"/>
      <c r="C135" s="13"/>
      <c r="D135" s="149">
        <f t="shared" ref="D135:M135" si="28">D122+D110+D98+D86+D74+D58+D46+D34+D22+D10</f>
        <v>0</v>
      </c>
      <c r="E135" s="149">
        <f t="shared" si="28"/>
        <v>0</v>
      </c>
      <c r="F135" s="149">
        <f t="shared" si="28"/>
        <v>0</v>
      </c>
      <c r="G135" s="149">
        <f t="shared" si="28"/>
        <v>0</v>
      </c>
      <c r="H135" s="149">
        <f t="shared" si="28"/>
        <v>0</v>
      </c>
      <c r="I135" s="149">
        <f t="shared" si="28"/>
        <v>0</v>
      </c>
      <c r="J135" s="149">
        <f t="shared" si="28"/>
        <v>0</v>
      </c>
      <c r="K135" s="149">
        <f t="shared" si="28"/>
        <v>0</v>
      </c>
      <c r="L135" s="149">
        <f t="shared" si="28"/>
        <v>0</v>
      </c>
      <c r="M135" s="149">
        <f t="shared" si="28"/>
        <v>0</v>
      </c>
    </row>
    <row r="136" spans="1:13" ht="16.5" customHeight="1">
      <c r="A136" s="14" t="s">
        <v>192</v>
      </c>
      <c r="B136" s="15"/>
      <c r="C136" s="13"/>
      <c r="D136" s="149">
        <f t="shared" ref="D136:M136" si="29">D123+D111+D99+D87+D75+D59+D47+D35+D23+D11</f>
        <v>0</v>
      </c>
      <c r="E136" s="149">
        <f t="shared" si="29"/>
        <v>0</v>
      </c>
      <c r="F136" s="149">
        <f t="shared" si="29"/>
        <v>0</v>
      </c>
      <c r="G136" s="149">
        <f t="shared" si="29"/>
        <v>0</v>
      </c>
      <c r="H136" s="149">
        <f t="shared" si="29"/>
        <v>0</v>
      </c>
      <c r="I136" s="149">
        <f t="shared" si="29"/>
        <v>0</v>
      </c>
      <c r="J136" s="149">
        <f t="shared" si="29"/>
        <v>0</v>
      </c>
      <c r="K136" s="149">
        <f t="shared" si="29"/>
        <v>0</v>
      </c>
      <c r="L136" s="149">
        <f t="shared" si="29"/>
        <v>0</v>
      </c>
      <c r="M136" s="149">
        <f t="shared" si="29"/>
        <v>0</v>
      </c>
    </row>
    <row r="137" spans="1:13" ht="16.5" customHeight="1">
      <c r="A137" s="34" t="s">
        <v>193</v>
      </c>
      <c r="B137" s="15"/>
      <c r="C137" s="13"/>
      <c r="D137" s="149">
        <f t="shared" ref="D137:M137" si="30">D124+D112+D100+D88+D76+D60+D48+D36+D24+D12</f>
        <v>0</v>
      </c>
      <c r="E137" s="149">
        <f t="shared" si="30"/>
        <v>0</v>
      </c>
      <c r="F137" s="149">
        <f t="shared" si="30"/>
        <v>0</v>
      </c>
      <c r="G137" s="149">
        <f t="shared" si="30"/>
        <v>0</v>
      </c>
      <c r="H137" s="149">
        <f t="shared" si="30"/>
        <v>0</v>
      </c>
      <c r="I137" s="149">
        <f t="shared" si="30"/>
        <v>0</v>
      </c>
      <c r="J137" s="149">
        <f t="shared" si="30"/>
        <v>0</v>
      </c>
      <c r="K137" s="149">
        <f t="shared" si="30"/>
        <v>0</v>
      </c>
      <c r="L137" s="149">
        <f t="shared" si="30"/>
        <v>0</v>
      </c>
      <c r="M137" s="149">
        <f t="shared" si="30"/>
        <v>0</v>
      </c>
    </row>
    <row r="138" spans="1:13" ht="16.5" customHeight="1">
      <c r="A138" s="14" t="s">
        <v>774</v>
      </c>
      <c r="B138" s="15"/>
      <c r="C138" s="13"/>
      <c r="D138" s="149">
        <f t="shared" ref="D138:M138" si="31">D125+D113+D101+D89+D77+D61+D49+D37+D25+D13</f>
        <v>0</v>
      </c>
      <c r="E138" s="149">
        <f t="shared" si="31"/>
        <v>0</v>
      </c>
      <c r="F138" s="149">
        <f t="shared" si="31"/>
        <v>0</v>
      </c>
      <c r="G138" s="149">
        <f t="shared" si="31"/>
        <v>0</v>
      </c>
      <c r="H138" s="149">
        <f t="shared" si="31"/>
        <v>0</v>
      </c>
      <c r="I138" s="149">
        <f t="shared" si="31"/>
        <v>0</v>
      </c>
      <c r="J138" s="149">
        <f t="shared" si="31"/>
        <v>0</v>
      </c>
      <c r="K138" s="149">
        <f t="shared" si="31"/>
        <v>0</v>
      </c>
      <c r="L138" s="149">
        <f t="shared" si="31"/>
        <v>0</v>
      </c>
      <c r="M138" s="149">
        <f t="shared" si="31"/>
        <v>0</v>
      </c>
    </row>
    <row r="139" spans="1:13" ht="16.5" customHeight="1">
      <c r="A139" s="34" t="s">
        <v>775</v>
      </c>
      <c r="B139" s="15"/>
      <c r="C139" s="13"/>
      <c r="D139" s="149">
        <f t="shared" ref="D139:M139" si="32">D126+D114+D102+D90+D78+D62+D50+D38+D26+D14</f>
        <v>0</v>
      </c>
      <c r="E139" s="149">
        <f t="shared" si="32"/>
        <v>0</v>
      </c>
      <c r="F139" s="149">
        <f t="shared" si="32"/>
        <v>0</v>
      </c>
      <c r="G139" s="149">
        <f t="shared" si="32"/>
        <v>0</v>
      </c>
      <c r="H139" s="149">
        <f t="shared" si="32"/>
        <v>0</v>
      </c>
      <c r="I139" s="149">
        <f t="shared" si="32"/>
        <v>0</v>
      </c>
      <c r="J139" s="149">
        <f t="shared" si="32"/>
        <v>0</v>
      </c>
      <c r="K139" s="149">
        <f t="shared" si="32"/>
        <v>0</v>
      </c>
      <c r="L139" s="149">
        <f t="shared" si="32"/>
        <v>0</v>
      </c>
      <c r="M139" s="149">
        <f t="shared" si="32"/>
        <v>0</v>
      </c>
    </row>
  </sheetData>
  <sheetProtection password="9A24" sheet="1" objects="1" scenarios="1"/>
  <phoneticPr fontId="0" type="noConversion"/>
  <pageMargins left="0.75" right="0.75" top="0.6" bottom="0.75" header="0.5" footer="0.5"/>
  <pageSetup scale="49" fitToHeight="2" orientation="landscape" horizontalDpi="300" verticalDpi="300" r:id="rId1"/>
  <headerFooter alignWithMargins="0"/>
  <rowBreaks count="1" manualBreakCount="1">
    <brk id="66" max="12"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pageSetUpPr fitToPage="1"/>
  </sheetPr>
  <dimension ref="A1:M71"/>
  <sheetViews>
    <sheetView showGridLines="0" zoomScale="64" zoomScaleNormal="64" workbookViewId="0">
      <pane xSplit="3" ySplit="7" topLeftCell="D8" activePane="bottomRight" state="frozen"/>
      <selection pane="topRight" activeCell="D1" sqref="D1"/>
      <selection pane="bottomLeft" activeCell="A8" sqref="A8"/>
      <selection pane="bottomRight" activeCell="D9" sqref="D9"/>
    </sheetView>
  </sheetViews>
  <sheetFormatPr defaultColWidth="0" defaultRowHeight="12.5" zeroHeight="1"/>
  <cols>
    <col min="1" max="1" width="5.7265625" customWidth="1"/>
    <col min="2" max="2" width="14.54296875" customWidth="1"/>
    <col min="3" max="3" width="34.7265625" customWidth="1"/>
    <col min="4" max="14" width="14.54296875" customWidth="1"/>
  </cols>
  <sheetData>
    <row r="1" spans="1:13" ht="16.5" customHeight="1">
      <c r="A1" s="13"/>
      <c r="B1" s="13"/>
      <c r="C1" s="13"/>
      <c r="D1" s="13"/>
      <c r="E1" s="13"/>
      <c r="F1" s="14" t="s">
        <v>42</v>
      </c>
      <c r="G1" s="13"/>
      <c r="H1" s="14" t="s">
        <v>196</v>
      </c>
      <c r="I1" s="13"/>
      <c r="J1" s="13"/>
      <c r="K1" s="13"/>
      <c r="L1" s="13"/>
      <c r="M1" s="13"/>
    </row>
    <row r="2" spans="1:13" ht="16.5" customHeight="1">
      <c r="A2" s="13"/>
      <c r="B2" s="13"/>
      <c r="C2" s="13"/>
      <c r="D2" s="13"/>
      <c r="E2" s="13"/>
      <c r="F2" s="13"/>
      <c r="G2" s="13"/>
      <c r="H2" s="13"/>
      <c r="I2" s="13"/>
      <c r="J2" s="13"/>
      <c r="K2" s="13"/>
      <c r="L2" s="13"/>
      <c r="M2" s="13"/>
    </row>
    <row r="3" spans="1:13" ht="16.5" customHeight="1">
      <c r="A3" s="13"/>
      <c r="B3" s="13"/>
      <c r="C3" s="13"/>
      <c r="D3" s="13"/>
      <c r="E3" s="13"/>
      <c r="F3" s="13"/>
      <c r="G3" s="13"/>
      <c r="H3" s="13"/>
      <c r="I3" s="13"/>
      <c r="J3" s="13"/>
      <c r="K3" s="13"/>
      <c r="L3" s="13"/>
      <c r="M3" s="13"/>
    </row>
    <row r="4" spans="1:13" ht="16.5" customHeight="1">
      <c r="A4" s="13"/>
      <c r="B4" s="13"/>
      <c r="C4" s="13"/>
      <c r="D4" s="13"/>
      <c r="E4" s="13"/>
      <c r="F4" s="13"/>
      <c r="G4" s="13"/>
      <c r="H4" s="13"/>
      <c r="I4" s="13"/>
      <c r="J4" s="13"/>
      <c r="K4" s="13"/>
      <c r="L4" s="13"/>
      <c r="M4" s="13"/>
    </row>
    <row r="5" spans="1:13" ht="16.5" customHeight="1">
      <c r="A5" s="13"/>
      <c r="B5" s="13"/>
      <c r="C5" s="13"/>
      <c r="D5" s="13"/>
      <c r="E5" s="13"/>
      <c r="F5" s="13"/>
      <c r="G5" s="13"/>
      <c r="H5" s="13"/>
      <c r="I5" s="13"/>
      <c r="J5" s="13"/>
      <c r="K5" s="13"/>
      <c r="L5" s="13"/>
      <c r="M5" s="13"/>
    </row>
    <row r="6" spans="1:13" ht="16.5" customHeight="1">
      <c r="A6" s="13"/>
      <c r="B6" s="13"/>
      <c r="C6" s="13"/>
      <c r="D6" s="15">
        <f>Input!G8</f>
        <v>2024</v>
      </c>
      <c r="E6" s="15">
        <f t="shared" ref="E6:M6" si="0">D6+1</f>
        <v>2025</v>
      </c>
      <c r="F6" s="15">
        <f t="shared" si="0"/>
        <v>2026</v>
      </c>
      <c r="G6" s="15">
        <f t="shared" si="0"/>
        <v>2027</v>
      </c>
      <c r="H6" s="15">
        <f t="shared" si="0"/>
        <v>2028</v>
      </c>
      <c r="I6" s="15">
        <f t="shared" si="0"/>
        <v>2029</v>
      </c>
      <c r="J6" s="15">
        <f t="shared" si="0"/>
        <v>2030</v>
      </c>
      <c r="K6" s="15">
        <f t="shared" si="0"/>
        <v>2031</v>
      </c>
      <c r="L6" s="15">
        <f t="shared" si="0"/>
        <v>2032</v>
      </c>
      <c r="M6" s="15">
        <f t="shared" si="0"/>
        <v>2033</v>
      </c>
    </row>
    <row r="7" spans="1:13" ht="16.5" customHeight="1">
      <c r="A7" s="13"/>
      <c r="B7" s="13"/>
      <c r="C7" s="13"/>
      <c r="D7" s="15" t="s">
        <v>46</v>
      </c>
      <c r="E7" s="15" t="s">
        <v>46</v>
      </c>
      <c r="F7" s="15" t="s">
        <v>46</v>
      </c>
      <c r="G7" s="15" t="s">
        <v>46</v>
      </c>
      <c r="H7" s="15" t="s">
        <v>46</v>
      </c>
      <c r="I7" s="15" t="s">
        <v>46</v>
      </c>
      <c r="J7" s="15" t="s">
        <v>46</v>
      </c>
      <c r="K7" s="15" t="s">
        <v>46</v>
      </c>
      <c r="L7" s="15" t="s">
        <v>46</v>
      </c>
      <c r="M7" s="15" t="s">
        <v>46</v>
      </c>
    </row>
    <row r="8" spans="1:13" ht="16.5" customHeight="1">
      <c r="A8" s="34" t="s">
        <v>197</v>
      </c>
      <c r="B8" s="13"/>
      <c r="C8" s="13"/>
      <c r="D8" s="13"/>
      <c r="E8" s="13"/>
      <c r="F8" s="13"/>
      <c r="G8" s="13"/>
      <c r="H8" s="13"/>
      <c r="I8" s="13"/>
      <c r="J8" s="13"/>
      <c r="K8" s="13"/>
      <c r="L8" s="13"/>
      <c r="M8" s="13"/>
    </row>
    <row r="9" spans="1:13" ht="16.5" customHeight="1">
      <c r="A9" s="14" t="s">
        <v>188</v>
      </c>
      <c r="B9" s="13"/>
      <c r="C9" s="13"/>
      <c r="D9" s="96">
        <f>'h1 - 2%&amp;5%'!G17+'h1 - 2%&amp;5%'!G45</f>
        <v>0</v>
      </c>
      <c r="E9" s="96">
        <f>'h1 - 2%&amp;5%'!H17+'h1 - 2%&amp;5%'!H45</f>
        <v>0</v>
      </c>
      <c r="F9" s="96">
        <f>'h1 - 2%&amp;5%'!I17+'h1 - 2%&amp;5%'!I45</f>
        <v>0</v>
      </c>
      <c r="G9" s="96">
        <f>'h1 - 2%&amp;5%'!J17+'h1 - 2%&amp;5%'!J45</f>
        <v>0</v>
      </c>
      <c r="H9" s="96">
        <f>'h1 - 2%&amp;5%'!K17+'h1 - 2%&amp;5%'!K45</f>
        <v>0</v>
      </c>
      <c r="I9" s="96">
        <f>'h1 - 2%&amp;5%'!L17+'h1 - 2%&amp;5%'!L45</f>
        <v>0</v>
      </c>
      <c r="J9" s="96">
        <f>'h1 - 2%&amp;5%'!M17+'h1 - 2%&amp;5%'!M45</f>
        <v>0</v>
      </c>
      <c r="K9" s="96">
        <f>'h1 - 2%&amp;5%'!N17+'h1 - 2%&amp;5%'!N45</f>
        <v>0</v>
      </c>
      <c r="L9" s="96">
        <f>'h1 - 2%&amp;5%'!O17+'h1 - 2%&amp;5%'!O45</f>
        <v>0</v>
      </c>
      <c r="M9" s="96">
        <f>'h1 - 2%&amp;5%'!P17+'h1 - 2%&amp;5%'!P45</f>
        <v>0</v>
      </c>
    </row>
    <row r="10" spans="1:13" ht="16.5" customHeight="1">
      <c r="A10" s="14" t="s">
        <v>189</v>
      </c>
      <c r="B10" s="13"/>
      <c r="C10" s="13"/>
      <c r="D10" s="96">
        <f>'h1 - 2%&amp;5%'!G18+'h1 - 2%&amp;5%'!G46</f>
        <v>0</v>
      </c>
      <c r="E10" s="96">
        <f>'h1 - 2%&amp;5%'!H18+'h1 - 2%&amp;5%'!H46</f>
        <v>0</v>
      </c>
      <c r="F10" s="96">
        <f>'h1 - 2%&amp;5%'!I18+'h1 - 2%&amp;5%'!I46</f>
        <v>0</v>
      </c>
      <c r="G10" s="96">
        <f>'h1 - 2%&amp;5%'!J18+'h1 - 2%&amp;5%'!J46</f>
        <v>0</v>
      </c>
      <c r="H10" s="96">
        <f>'h1 - 2%&amp;5%'!K18+'h1 - 2%&amp;5%'!K46</f>
        <v>0</v>
      </c>
      <c r="I10" s="96">
        <f>'h1 - 2%&amp;5%'!L18+'h1 - 2%&amp;5%'!L46</f>
        <v>0</v>
      </c>
      <c r="J10" s="96">
        <f>'h1 - 2%&amp;5%'!M18+'h1 - 2%&amp;5%'!M46</f>
        <v>0</v>
      </c>
      <c r="K10" s="96">
        <f>'h1 - 2%&amp;5%'!N18+'h1 - 2%&amp;5%'!N46</f>
        <v>0</v>
      </c>
      <c r="L10" s="96">
        <f>'h1 - 2%&amp;5%'!O18+'h1 - 2%&amp;5%'!O46</f>
        <v>0</v>
      </c>
      <c r="M10" s="96">
        <f>'h1 - 2%&amp;5%'!P18+'h1 - 2%&amp;5%'!P46</f>
        <v>0</v>
      </c>
    </row>
    <row r="11" spans="1:13" ht="16.5" customHeight="1">
      <c r="A11" s="14" t="s">
        <v>190</v>
      </c>
      <c r="B11" s="13"/>
      <c r="C11" s="13"/>
      <c r="D11" s="96">
        <f>'h1 - 2%&amp;5%'!G13+'h1 - 2%&amp;5%'!G41</f>
        <v>0</v>
      </c>
      <c r="E11" s="96">
        <f>'h1 - 2%&amp;5%'!H13+'h1 - 2%&amp;5%'!H41</f>
        <v>0</v>
      </c>
      <c r="F11" s="96">
        <f>'h1 - 2%&amp;5%'!I13+'h1 - 2%&amp;5%'!I41</f>
        <v>0</v>
      </c>
      <c r="G11" s="96">
        <f>'h1 - 2%&amp;5%'!J13+'h1 - 2%&amp;5%'!J41</f>
        <v>0</v>
      </c>
      <c r="H11" s="96">
        <f>'h1 - 2%&amp;5%'!K13+'h1 - 2%&amp;5%'!K41</f>
        <v>0</v>
      </c>
      <c r="I11" s="96">
        <f>'h1 - 2%&amp;5%'!L13+'h1 - 2%&amp;5%'!L41</f>
        <v>0</v>
      </c>
      <c r="J11" s="96">
        <f>'h1 - 2%&amp;5%'!M13+'h1 - 2%&amp;5%'!M41</f>
        <v>0</v>
      </c>
      <c r="K11" s="96">
        <f>'h1 - 2%&amp;5%'!N13+'h1 - 2%&amp;5%'!N41</f>
        <v>0</v>
      </c>
      <c r="L11" s="96">
        <f>'h1 - 2%&amp;5%'!O13+'h1 - 2%&amp;5%'!O41</f>
        <v>0</v>
      </c>
      <c r="M11" s="96">
        <f>'h1 - 2%&amp;5%'!P13+'h1 - 2%&amp;5%'!P41</f>
        <v>0</v>
      </c>
    </row>
    <row r="12" spans="1:13" ht="16.5" customHeight="1">
      <c r="A12" s="14" t="s">
        <v>195</v>
      </c>
      <c r="B12" s="13"/>
      <c r="C12" s="13"/>
      <c r="D12" s="96">
        <f>'h1 - 2%&amp;5%'!G12+'h1 - 2%&amp;5%'!G40</f>
        <v>0</v>
      </c>
      <c r="E12" s="96">
        <f>'h1 - 2%&amp;5%'!H12+'h1 - 2%&amp;5%'!H40</f>
        <v>0</v>
      </c>
      <c r="F12" s="96">
        <f>'h1 - 2%&amp;5%'!I12+'h1 - 2%&amp;5%'!I40</f>
        <v>0</v>
      </c>
      <c r="G12" s="96">
        <f>'h1 - 2%&amp;5%'!J12+'h1 - 2%&amp;5%'!J40</f>
        <v>0</v>
      </c>
      <c r="H12" s="96">
        <f>'h1 - 2%&amp;5%'!K12+'h1 - 2%&amp;5%'!K40</f>
        <v>0</v>
      </c>
      <c r="I12" s="96">
        <f>'h1 - 2%&amp;5%'!L12+'h1 - 2%&amp;5%'!L40</f>
        <v>0</v>
      </c>
      <c r="J12" s="96">
        <f>'h1 - 2%&amp;5%'!M12+'h1 - 2%&amp;5%'!M40</f>
        <v>0</v>
      </c>
      <c r="K12" s="96">
        <f>'h1 - 2%&amp;5%'!N12+'h1 - 2%&amp;5%'!N40</f>
        <v>0</v>
      </c>
      <c r="L12" s="96">
        <f>'h1 - 2%&amp;5%'!O12+'h1 - 2%&amp;5%'!O40</f>
        <v>0</v>
      </c>
      <c r="M12" s="96">
        <f>'h1 - 2%&amp;5%'!P12+'h1 - 2%&amp;5%'!P40</f>
        <v>0</v>
      </c>
    </row>
    <row r="13" spans="1:13" ht="16.5" customHeight="1">
      <c r="A13" s="14" t="s">
        <v>773</v>
      </c>
      <c r="B13" s="13"/>
      <c r="C13" s="13"/>
      <c r="D13" s="96">
        <f>'h1 - 2%&amp;5%'!G20+'h1 - 2%&amp;5%'!G48</f>
        <v>0</v>
      </c>
      <c r="E13" s="96">
        <f>'h1 - 2%&amp;5%'!H20+'h1 - 2%&amp;5%'!H48</f>
        <v>0</v>
      </c>
      <c r="F13" s="96">
        <f>'h1 - 2%&amp;5%'!I20+'h1 - 2%&amp;5%'!I48</f>
        <v>0</v>
      </c>
      <c r="G13" s="96">
        <f>'h1 - 2%&amp;5%'!J20+'h1 - 2%&amp;5%'!J48</f>
        <v>0</v>
      </c>
      <c r="H13" s="96">
        <f>'h1 - 2%&amp;5%'!K20+'h1 - 2%&amp;5%'!K48</f>
        <v>0</v>
      </c>
      <c r="I13" s="96">
        <f>'h1 - 2%&amp;5%'!L20+'h1 - 2%&amp;5%'!L48</f>
        <v>0</v>
      </c>
      <c r="J13" s="96">
        <f>'h1 - 2%&amp;5%'!M20+'h1 - 2%&amp;5%'!M48</f>
        <v>0</v>
      </c>
      <c r="K13" s="96">
        <f>'h1 - 2%&amp;5%'!N20+'h1 - 2%&amp;5%'!N48</f>
        <v>0</v>
      </c>
      <c r="L13" s="96">
        <f>'h1 - 2%&amp;5%'!O20+'h1 - 2%&amp;5%'!O48</f>
        <v>0</v>
      </c>
      <c r="M13" s="96">
        <f>'h1 - 2%&amp;5%'!P20+'h1 - 2%&amp;5%'!P48</f>
        <v>0</v>
      </c>
    </row>
    <row r="14" spans="1:13" ht="16.5" customHeight="1">
      <c r="A14" s="14" t="s">
        <v>194</v>
      </c>
      <c r="B14" s="13"/>
      <c r="C14" s="13"/>
      <c r="D14" s="96">
        <f>'h1 - 2%&amp;5%'!G21+'h1 - 2%&amp;5%'!G49</f>
        <v>0</v>
      </c>
      <c r="E14" s="96">
        <f>'h1 - 2%&amp;5%'!H21+'h1 - 2%&amp;5%'!H49</f>
        <v>0</v>
      </c>
      <c r="F14" s="96">
        <f>'h1 - 2%&amp;5%'!I21+'h1 - 2%&amp;5%'!I49</f>
        <v>0</v>
      </c>
      <c r="G14" s="96">
        <f>'h1 - 2%&amp;5%'!J21+'h1 - 2%&amp;5%'!J49</f>
        <v>0</v>
      </c>
      <c r="H14" s="96">
        <f>'h1 - 2%&amp;5%'!K21+'h1 - 2%&amp;5%'!K49</f>
        <v>0</v>
      </c>
      <c r="I14" s="96">
        <f>'h1 - 2%&amp;5%'!L21+'h1 - 2%&amp;5%'!L49</f>
        <v>0</v>
      </c>
      <c r="J14" s="96">
        <f>'h1 - 2%&amp;5%'!M21+'h1 - 2%&amp;5%'!M49</f>
        <v>0</v>
      </c>
      <c r="K14" s="96">
        <f>'h1 - 2%&amp;5%'!N21+'h1 - 2%&amp;5%'!N49</f>
        <v>0</v>
      </c>
      <c r="L14" s="96">
        <f>'h1 - 2%&amp;5%'!O21+'h1 - 2%&amp;5%'!O49</f>
        <v>0</v>
      </c>
      <c r="M14" s="96">
        <f>'h1 - 2%&amp;5%'!P21+'h1 - 2%&amp;5%'!P49</f>
        <v>0</v>
      </c>
    </row>
    <row r="15" spans="1:13" ht="16.5" customHeight="1">
      <c r="A15" s="13"/>
      <c r="B15" s="13"/>
      <c r="C15" s="13"/>
      <c r="D15" s="96"/>
      <c r="E15" s="96"/>
      <c r="F15" s="96"/>
      <c r="G15" s="96"/>
      <c r="H15" s="96"/>
      <c r="I15" s="96"/>
      <c r="J15" s="96"/>
      <c r="K15" s="96"/>
      <c r="L15" s="96"/>
      <c r="M15" s="96"/>
    </row>
    <row r="16" spans="1:13" ht="16.5" customHeight="1">
      <c r="A16" s="34" t="s">
        <v>198</v>
      </c>
      <c r="B16" s="13"/>
      <c r="C16" s="13"/>
      <c r="D16" s="96"/>
      <c r="E16" s="96"/>
      <c r="F16" s="96"/>
      <c r="G16" s="96"/>
      <c r="H16" s="96"/>
      <c r="I16" s="96"/>
      <c r="J16" s="96"/>
      <c r="K16" s="96"/>
      <c r="L16" s="96"/>
      <c r="M16" s="96"/>
    </row>
    <row r="17" spans="1:13" ht="16.5" customHeight="1">
      <c r="A17" s="14" t="s">
        <v>188</v>
      </c>
      <c r="B17" s="13"/>
      <c r="C17" s="13"/>
      <c r="D17" s="96">
        <f>'h2(b) - Debt RUS'!D300</f>
        <v>0</v>
      </c>
      <c r="E17" s="96">
        <f>'h2(b) - Debt RUS'!E300</f>
        <v>0</v>
      </c>
      <c r="F17" s="96">
        <f>'h2(b) - Debt RUS'!F300</f>
        <v>0</v>
      </c>
      <c r="G17" s="96">
        <f>'h2(b) - Debt RUS'!G300</f>
        <v>0</v>
      </c>
      <c r="H17" s="96">
        <f>'h2(b) - Debt RUS'!H300</f>
        <v>0</v>
      </c>
      <c r="I17" s="96">
        <f>'h2(b) - Debt RUS'!I300</f>
        <v>0</v>
      </c>
      <c r="J17" s="96">
        <f>'h2(b) - Debt RUS'!J300</f>
        <v>0</v>
      </c>
      <c r="K17" s="96">
        <f>'h2(b) - Debt RUS'!K300</f>
        <v>0</v>
      </c>
      <c r="L17" s="96">
        <f>'h2(b) - Debt RUS'!L300</f>
        <v>0</v>
      </c>
      <c r="M17" s="96">
        <f>'h2(b) - Debt RUS'!M300</f>
        <v>0</v>
      </c>
    </row>
    <row r="18" spans="1:13" ht="16.5" customHeight="1">
      <c r="A18" s="14" t="s">
        <v>189</v>
      </c>
      <c r="B18" s="13"/>
      <c r="C18" s="13"/>
      <c r="D18" s="96">
        <v>0</v>
      </c>
      <c r="E18" s="96">
        <v>0</v>
      </c>
      <c r="F18" s="96">
        <v>0</v>
      </c>
      <c r="G18" s="96">
        <v>0</v>
      </c>
      <c r="H18" s="96">
        <v>0</v>
      </c>
      <c r="I18" s="96">
        <v>0</v>
      </c>
      <c r="J18" s="96">
        <v>0</v>
      </c>
      <c r="K18" s="96">
        <v>0</v>
      </c>
      <c r="L18" s="96">
        <v>0</v>
      </c>
      <c r="M18" s="96">
        <v>0</v>
      </c>
    </row>
    <row r="19" spans="1:13" ht="16.5" customHeight="1">
      <c r="A19" s="14" t="s">
        <v>190</v>
      </c>
      <c r="B19" s="13"/>
      <c r="C19" s="13"/>
      <c r="D19" s="96">
        <f>'h2(b) - Debt RUS'!D301</f>
        <v>0</v>
      </c>
      <c r="E19" s="96">
        <f>'h2(b) - Debt RUS'!E301</f>
        <v>0</v>
      </c>
      <c r="F19" s="96">
        <f>'h2(b) - Debt RUS'!F301</f>
        <v>0</v>
      </c>
      <c r="G19" s="96">
        <f>'h2(b) - Debt RUS'!G301</f>
        <v>0</v>
      </c>
      <c r="H19" s="96">
        <f>'h2(b) - Debt RUS'!H301</f>
        <v>0</v>
      </c>
      <c r="I19" s="96">
        <f>'h2(b) - Debt RUS'!I301</f>
        <v>0</v>
      </c>
      <c r="J19" s="96">
        <f>'h2(b) - Debt RUS'!J301</f>
        <v>0</v>
      </c>
      <c r="K19" s="96">
        <f>'h2(b) - Debt RUS'!K301</f>
        <v>0</v>
      </c>
      <c r="L19" s="96">
        <f>'h2(b) - Debt RUS'!L301</f>
        <v>0</v>
      </c>
      <c r="M19" s="96">
        <f>'h2(b) - Debt RUS'!M301</f>
        <v>0</v>
      </c>
    </row>
    <row r="20" spans="1:13" ht="16.5" customHeight="1">
      <c r="A20" s="14" t="s">
        <v>195</v>
      </c>
      <c r="B20" s="13"/>
      <c r="C20" s="13"/>
      <c r="D20" s="96">
        <f>+'h2(b) - Debt RUS'!D303</f>
        <v>0</v>
      </c>
      <c r="E20" s="96">
        <f>+'h2(b) - Debt RUS'!E303</f>
        <v>0</v>
      </c>
      <c r="F20" s="96">
        <f>+'h2(b) - Debt RUS'!F303</f>
        <v>0</v>
      </c>
      <c r="G20" s="96">
        <f>+'h2(b) - Debt RUS'!G303</f>
        <v>0</v>
      </c>
      <c r="H20" s="96">
        <f>+'h2(b) - Debt RUS'!H303</f>
        <v>0</v>
      </c>
      <c r="I20" s="96">
        <f>+'h2(b) - Debt RUS'!I303</f>
        <v>0</v>
      </c>
      <c r="J20" s="96">
        <f>+'h2(b) - Debt RUS'!J303</f>
        <v>0</v>
      </c>
      <c r="K20" s="96">
        <f>+'h2(b) - Debt RUS'!K303</f>
        <v>0</v>
      </c>
      <c r="L20" s="96">
        <f>+'h2(b) - Debt RUS'!L303</f>
        <v>0</v>
      </c>
      <c r="M20" s="96">
        <f>+'h2(b) - Debt RUS'!M303</f>
        <v>0</v>
      </c>
    </row>
    <row r="21" spans="1:13" ht="16.5" customHeight="1">
      <c r="A21" s="14" t="s">
        <v>773</v>
      </c>
      <c r="B21" s="13"/>
      <c r="C21" s="13"/>
      <c r="D21" s="96">
        <f>+'h2(b) - Debt RUS'!D304</f>
        <v>0</v>
      </c>
      <c r="E21" s="96">
        <f>+'h2(b) - Debt RUS'!E304</f>
        <v>0</v>
      </c>
      <c r="F21" s="96">
        <f>+'h2(b) - Debt RUS'!F304</f>
        <v>0</v>
      </c>
      <c r="G21" s="96">
        <f>+'h2(b) - Debt RUS'!G304</f>
        <v>0</v>
      </c>
      <c r="H21" s="96">
        <f>+'h2(b) - Debt RUS'!H304</f>
        <v>0</v>
      </c>
      <c r="I21" s="96">
        <f>+'h2(b) - Debt RUS'!I304</f>
        <v>0</v>
      </c>
      <c r="J21" s="96">
        <f>+'h2(b) - Debt RUS'!J304</f>
        <v>0</v>
      </c>
      <c r="K21" s="96">
        <f>+'h2(b) - Debt RUS'!K304</f>
        <v>0</v>
      </c>
      <c r="L21" s="96">
        <f>+'h2(b) - Debt RUS'!L304</f>
        <v>0</v>
      </c>
      <c r="M21" s="96">
        <f>+'h2(b) - Debt RUS'!M304</f>
        <v>0</v>
      </c>
    </row>
    <row r="22" spans="1:13" ht="16.5" customHeight="1">
      <c r="A22" s="14" t="s">
        <v>194</v>
      </c>
      <c r="B22" s="13"/>
      <c r="C22" s="13"/>
      <c r="D22" s="96">
        <f>+'h2(b) - Debt RUS'!D305</f>
        <v>0</v>
      </c>
      <c r="E22" s="96">
        <f>+'h2(b) - Debt RUS'!E305</f>
        <v>0</v>
      </c>
      <c r="F22" s="96">
        <f>+'h2(b) - Debt RUS'!F305</f>
        <v>0</v>
      </c>
      <c r="G22" s="96">
        <f>+'h2(b) - Debt RUS'!G305</f>
        <v>0</v>
      </c>
      <c r="H22" s="96">
        <f>+'h2(b) - Debt RUS'!H305</f>
        <v>0</v>
      </c>
      <c r="I22" s="96">
        <f>+'h2(b) - Debt RUS'!I305</f>
        <v>0</v>
      </c>
      <c r="J22" s="96">
        <f>+'h2(b) - Debt RUS'!J305</f>
        <v>0</v>
      </c>
      <c r="K22" s="96">
        <f>+'h2(b) - Debt RUS'!K305</f>
        <v>0</v>
      </c>
      <c r="L22" s="96">
        <f>+'h2(b) - Debt RUS'!L305</f>
        <v>0</v>
      </c>
      <c r="M22" s="96">
        <f>+'h2(b) - Debt RUS'!M305</f>
        <v>0</v>
      </c>
    </row>
    <row r="23" spans="1:13" ht="16.5" customHeight="1">
      <c r="A23" s="13"/>
      <c r="B23" s="13"/>
      <c r="C23" s="13"/>
      <c r="D23" s="96"/>
      <c r="E23" s="96"/>
      <c r="F23" s="96"/>
      <c r="G23" s="96"/>
      <c r="H23" s="96"/>
      <c r="I23" s="96"/>
      <c r="J23" s="96"/>
      <c r="K23" s="96"/>
      <c r="L23" s="96"/>
      <c r="M23" s="96"/>
    </row>
    <row r="24" spans="1:13" ht="16.5" customHeight="1">
      <c r="A24" s="34" t="s">
        <v>199</v>
      </c>
      <c r="B24" s="13"/>
      <c r="C24" s="13"/>
      <c r="D24" s="96"/>
      <c r="E24" s="96"/>
      <c r="F24" s="96"/>
      <c r="G24" s="96"/>
      <c r="H24" s="96"/>
      <c r="I24" s="96"/>
      <c r="J24" s="96"/>
      <c r="K24" s="96"/>
      <c r="L24" s="96"/>
      <c r="M24" s="96"/>
    </row>
    <row r="25" spans="1:13" ht="16.5" customHeight="1">
      <c r="A25" s="14" t="s">
        <v>188</v>
      </c>
      <c r="B25" s="13"/>
      <c r="C25" s="13"/>
      <c r="D25" s="96">
        <f>'h4 - New RUS'!D131</f>
        <v>0</v>
      </c>
      <c r="E25" s="96">
        <f>'h4 - New RUS'!E131</f>
        <v>0</v>
      </c>
      <c r="F25" s="96">
        <f>'h4 - New RUS'!F131</f>
        <v>0</v>
      </c>
      <c r="G25" s="96">
        <f>'h4 - New RUS'!G131</f>
        <v>0</v>
      </c>
      <c r="H25" s="96">
        <f>'h4 - New RUS'!H131</f>
        <v>0</v>
      </c>
      <c r="I25" s="96">
        <f>'h4 - New RUS'!I131</f>
        <v>0</v>
      </c>
      <c r="J25" s="96">
        <f>'h4 - New RUS'!J131</f>
        <v>0</v>
      </c>
      <c r="K25" s="96">
        <f>'h4 - New RUS'!K131</f>
        <v>0</v>
      </c>
      <c r="L25" s="96">
        <f>'h4 - New RUS'!L131</f>
        <v>0</v>
      </c>
      <c r="M25" s="96">
        <f>'h4 - New RUS'!M131</f>
        <v>0</v>
      </c>
    </row>
    <row r="26" spans="1:13" ht="16.5" customHeight="1">
      <c r="A26" s="14" t="s">
        <v>189</v>
      </c>
      <c r="B26" s="13"/>
      <c r="C26" s="13"/>
      <c r="D26" s="96">
        <f>'h4 - New RUS'!D132</f>
        <v>0</v>
      </c>
      <c r="E26" s="96">
        <f>'h4 - New RUS'!E132</f>
        <v>0</v>
      </c>
      <c r="F26" s="96">
        <f>'h4 - New RUS'!F132</f>
        <v>0</v>
      </c>
      <c r="G26" s="96">
        <f>'h4 - New RUS'!G132</f>
        <v>0</v>
      </c>
      <c r="H26" s="96">
        <f>'h4 - New RUS'!H132</f>
        <v>0</v>
      </c>
      <c r="I26" s="96">
        <f>'h4 - New RUS'!I132</f>
        <v>0</v>
      </c>
      <c r="J26" s="96">
        <f>'h4 - New RUS'!J132</f>
        <v>0</v>
      </c>
      <c r="K26" s="96">
        <f>'h4 - New RUS'!K132</f>
        <v>0</v>
      </c>
      <c r="L26" s="96">
        <f>'h4 - New RUS'!L132</f>
        <v>0</v>
      </c>
      <c r="M26" s="96">
        <f>'h4 - New RUS'!M132</f>
        <v>0</v>
      </c>
    </row>
    <row r="27" spans="1:13" ht="16.5" customHeight="1">
      <c r="A27" s="14" t="s">
        <v>190</v>
      </c>
      <c r="B27" s="13"/>
      <c r="C27" s="13"/>
      <c r="D27" s="96">
        <f>'h4 - New RUS'!D133</f>
        <v>0</v>
      </c>
      <c r="E27" s="96">
        <f>'h4 - New RUS'!E133</f>
        <v>0</v>
      </c>
      <c r="F27" s="96">
        <f>'h4 - New RUS'!F133</f>
        <v>0</v>
      </c>
      <c r="G27" s="96">
        <f>'h4 - New RUS'!G133</f>
        <v>0</v>
      </c>
      <c r="H27" s="96">
        <f>'h4 - New RUS'!H133</f>
        <v>0</v>
      </c>
      <c r="I27" s="96">
        <f>'h4 - New RUS'!I133</f>
        <v>0</v>
      </c>
      <c r="J27" s="96">
        <f>'h4 - New RUS'!J133</f>
        <v>0</v>
      </c>
      <c r="K27" s="96">
        <f>'h4 - New RUS'!K133</f>
        <v>0</v>
      </c>
      <c r="L27" s="96">
        <f>'h4 - New RUS'!L133</f>
        <v>0</v>
      </c>
      <c r="M27" s="96">
        <f>'h4 - New RUS'!M133</f>
        <v>0</v>
      </c>
    </row>
    <row r="28" spans="1:13" ht="16.5" customHeight="1">
      <c r="A28" s="14" t="s">
        <v>195</v>
      </c>
      <c r="B28" s="13"/>
      <c r="C28" s="13"/>
      <c r="D28" s="96">
        <f>'h4 - New RUS'!D135</f>
        <v>0</v>
      </c>
      <c r="E28" s="96">
        <f>'h4 - New RUS'!E135</f>
        <v>0</v>
      </c>
      <c r="F28" s="96">
        <f>'h4 - New RUS'!F135</f>
        <v>0</v>
      </c>
      <c r="G28" s="96">
        <f>'h4 - New RUS'!G135</f>
        <v>0</v>
      </c>
      <c r="H28" s="96">
        <f>'h4 - New RUS'!H135</f>
        <v>0</v>
      </c>
      <c r="I28" s="96">
        <f>'h4 - New RUS'!I135</f>
        <v>0</v>
      </c>
      <c r="J28" s="96">
        <f>'h4 - New RUS'!J135</f>
        <v>0</v>
      </c>
      <c r="K28" s="96">
        <f>'h4 - New RUS'!K135</f>
        <v>0</v>
      </c>
      <c r="L28" s="96">
        <f>'h4 - New RUS'!L135</f>
        <v>0</v>
      </c>
      <c r="M28" s="96">
        <f>'h4 - New RUS'!M135</f>
        <v>0</v>
      </c>
    </row>
    <row r="29" spans="1:13" ht="16.5" customHeight="1">
      <c r="A29" s="14" t="s">
        <v>773</v>
      </c>
      <c r="B29" s="13"/>
      <c r="C29" s="13"/>
      <c r="D29" s="96">
        <f>'h4 - New RUS'!D136</f>
        <v>0</v>
      </c>
      <c r="E29" s="96">
        <f>'h4 - New RUS'!E136</f>
        <v>0</v>
      </c>
      <c r="F29" s="96">
        <f>'h4 - New RUS'!F136</f>
        <v>0</v>
      </c>
      <c r="G29" s="96">
        <f>'h4 - New RUS'!G136</f>
        <v>0</v>
      </c>
      <c r="H29" s="96">
        <f>'h4 - New RUS'!H136</f>
        <v>0</v>
      </c>
      <c r="I29" s="96">
        <f>'h4 - New RUS'!I136</f>
        <v>0</v>
      </c>
      <c r="J29" s="96">
        <f>'h4 - New RUS'!J136</f>
        <v>0</v>
      </c>
      <c r="K29" s="96">
        <f>'h4 - New RUS'!K136</f>
        <v>0</v>
      </c>
      <c r="L29" s="96">
        <f>'h4 - New RUS'!L136</f>
        <v>0</v>
      </c>
      <c r="M29" s="96">
        <f>'h4 - New RUS'!M136</f>
        <v>0</v>
      </c>
    </row>
    <row r="30" spans="1:13" ht="16.5" customHeight="1">
      <c r="A30" s="14" t="s">
        <v>194</v>
      </c>
      <c r="B30" s="13"/>
      <c r="C30" s="13"/>
      <c r="D30" s="96">
        <f>'h4 - New RUS'!D137</f>
        <v>0</v>
      </c>
      <c r="E30" s="96">
        <f>'h4 - New RUS'!E137</f>
        <v>0</v>
      </c>
      <c r="F30" s="96">
        <f>'h4 - New RUS'!F137</f>
        <v>0</v>
      </c>
      <c r="G30" s="96">
        <f>'h4 - New RUS'!G137</f>
        <v>0</v>
      </c>
      <c r="H30" s="96">
        <f>'h4 - New RUS'!H137</f>
        <v>0</v>
      </c>
      <c r="I30" s="96">
        <f>'h4 - New RUS'!I137</f>
        <v>0</v>
      </c>
      <c r="J30" s="96">
        <f>'h4 - New RUS'!J137</f>
        <v>0</v>
      </c>
      <c r="K30" s="96">
        <f>'h4 - New RUS'!K137</f>
        <v>0</v>
      </c>
      <c r="L30" s="96">
        <f>'h4 - New RUS'!L137</f>
        <v>0</v>
      </c>
      <c r="M30" s="96">
        <f>'h4 - New RUS'!M137</f>
        <v>0</v>
      </c>
    </row>
    <row r="31" spans="1:13" ht="16.5" customHeight="1">
      <c r="A31" s="13"/>
      <c r="B31" s="13"/>
      <c r="C31" s="13"/>
      <c r="D31" s="96"/>
      <c r="E31" s="96"/>
      <c r="F31" s="96"/>
      <c r="G31" s="96"/>
      <c r="H31" s="96"/>
      <c r="I31" s="96"/>
      <c r="J31" s="96"/>
      <c r="K31" s="96"/>
      <c r="L31" s="96"/>
      <c r="M31" s="96"/>
    </row>
    <row r="32" spans="1:13" ht="16.5" customHeight="1">
      <c r="A32" s="34" t="s">
        <v>200</v>
      </c>
      <c r="B32" s="13"/>
      <c r="C32" s="13"/>
      <c r="D32" s="96"/>
      <c r="E32" s="96"/>
      <c r="F32" s="96"/>
      <c r="G32" s="96"/>
      <c r="H32" s="96"/>
      <c r="I32" s="96"/>
      <c r="J32" s="96"/>
      <c r="K32" s="96"/>
      <c r="L32" s="96"/>
      <c r="M32" s="96"/>
    </row>
    <row r="33" spans="1:13" ht="16.5" customHeight="1">
      <c r="A33" s="14" t="s">
        <v>188</v>
      </c>
      <c r="B33" s="13"/>
      <c r="C33" s="13"/>
      <c r="D33" s="96">
        <f>+'h3(b) - Debt Guar'!D300</f>
        <v>0</v>
      </c>
      <c r="E33" s="96">
        <f>+'h3(b) - Debt Guar'!E300</f>
        <v>0</v>
      </c>
      <c r="F33" s="96">
        <f>+'h3(b) - Debt Guar'!F300</f>
        <v>0</v>
      </c>
      <c r="G33" s="96">
        <f>+'h3(b) - Debt Guar'!G300</f>
        <v>0</v>
      </c>
      <c r="H33" s="96">
        <f>+'h3(b) - Debt Guar'!H300</f>
        <v>0</v>
      </c>
      <c r="I33" s="96">
        <f>+'h3(b) - Debt Guar'!I300</f>
        <v>0</v>
      </c>
      <c r="J33" s="96">
        <f>+'h3(b) - Debt Guar'!J300</f>
        <v>0</v>
      </c>
      <c r="K33" s="96">
        <f>+'h3(b) - Debt Guar'!K300</f>
        <v>0</v>
      </c>
      <c r="L33" s="96">
        <f>+'h3(b) - Debt Guar'!L300</f>
        <v>0</v>
      </c>
      <c r="M33" s="96">
        <f>+'h3(b) - Debt Guar'!M300</f>
        <v>0</v>
      </c>
    </row>
    <row r="34" spans="1:13" ht="16.5" customHeight="1">
      <c r="A34" s="14" t="s">
        <v>189</v>
      </c>
      <c r="B34" s="13"/>
      <c r="C34" s="13"/>
      <c r="D34" s="96">
        <v>0</v>
      </c>
      <c r="E34" s="96">
        <v>0</v>
      </c>
      <c r="F34" s="96">
        <v>0</v>
      </c>
      <c r="G34" s="96">
        <v>0</v>
      </c>
      <c r="H34" s="96">
        <v>0</v>
      </c>
      <c r="I34" s="96">
        <v>0</v>
      </c>
      <c r="J34" s="96">
        <v>0</v>
      </c>
      <c r="K34" s="96">
        <v>0</v>
      </c>
      <c r="L34" s="96">
        <v>0</v>
      </c>
      <c r="M34" s="96">
        <v>0</v>
      </c>
    </row>
    <row r="35" spans="1:13" ht="16.5" customHeight="1">
      <c r="A35" s="14" t="s">
        <v>190</v>
      </c>
      <c r="B35" s="13"/>
      <c r="C35" s="13"/>
      <c r="D35" s="96">
        <f>+'h3(b) - Debt Guar'!D301</f>
        <v>0</v>
      </c>
      <c r="E35" s="96">
        <f>+'h3(b) - Debt Guar'!E301</f>
        <v>0</v>
      </c>
      <c r="F35" s="96">
        <f>+'h3(b) - Debt Guar'!F301</f>
        <v>0</v>
      </c>
      <c r="G35" s="96">
        <f>+'h3(b) - Debt Guar'!G301</f>
        <v>0</v>
      </c>
      <c r="H35" s="96">
        <f>+'h3(b) - Debt Guar'!H301</f>
        <v>0</v>
      </c>
      <c r="I35" s="96">
        <f>+'h3(b) - Debt Guar'!I301</f>
        <v>0</v>
      </c>
      <c r="J35" s="96">
        <f>+'h3(b) - Debt Guar'!J301</f>
        <v>0</v>
      </c>
      <c r="K35" s="96">
        <f>+'h3(b) - Debt Guar'!K301</f>
        <v>0</v>
      </c>
      <c r="L35" s="96">
        <f>+'h3(b) - Debt Guar'!L301</f>
        <v>0</v>
      </c>
      <c r="M35" s="96">
        <f>+'h3(b) - Debt Guar'!M301</f>
        <v>0</v>
      </c>
    </row>
    <row r="36" spans="1:13" ht="16.5" customHeight="1">
      <c r="A36" s="14" t="s">
        <v>195</v>
      </c>
      <c r="B36" s="13"/>
      <c r="C36" s="13"/>
      <c r="D36" s="96">
        <f>+'h3(b) - Debt Guar'!D303</f>
        <v>0</v>
      </c>
      <c r="E36" s="96">
        <f>+'h3(b) - Debt Guar'!E303</f>
        <v>0</v>
      </c>
      <c r="F36" s="96">
        <f>+'h3(b) - Debt Guar'!F303</f>
        <v>0</v>
      </c>
      <c r="G36" s="96">
        <f>+'h3(b) - Debt Guar'!G303</f>
        <v>0</v>
      </c>
      <c r="H36" s="96">
        <f>+'h3(b) - Debt Guar'!H303</f>
        <v>0</v>
      </c>
      <c r="I36" s="96">
        <f>+'h3(b) - Debt Guar'!I303</f>
        <v>0</v>
      </c>
      <c r="J36" s="96">
        <f>+'h3(b) - Debt Guar'!J303</f>
        <v>0</v>
      </c>
      <c r="K36" s="96">
        <f>+'h3(b) - Debt Guar'!K303</f>
        <v>0</v>
      </c>
      <c r="L36" s="96">
        <f>+'h3(b) - Debt Guar'!L303</f>
        <v>0</v>
      </c>
      <c r="M36" s="96">
        <f>+'h3(b) - Debt Guar'!M303</f>
        <v>0</v>
      </c>
    </row>
    <row r="37" spans="1:13" ht="16.5" customHeight="1">
      <c r="A37" s="14" t="s">
        <v>773</v>
      </c>
      <c r="B37" s="13"/>
      <c r="C37" s="13"/>
      <c r="D37" s="96">
        <f>+'h3(b) - Debt Guar'!D304</f>
        <v>0</v>
      </c>
      <c r="E37" s="96">
        <f>+'h3(b) - Debt Guar'!E304</f>
        <v>0</v>
      </c>
      <c r="F37" s="96">
        <f>+'h3(b) - Debt Guar'!F304</f>
        <v>0</v>
      </c>
      <c r="G37" s="96">
        <f>+'h3(b) - Debt Guar'!G304</f>
        <v>0</v>
      </c>
      <c r="H37" s="96">
        <f>+'h3(b) - Debt Guar'!H304</f>
        <v>0</v>
      </c>
      <c r="I37" s="96">
        <f>+'h3(b) - Debt Guar'!I304</f>
        <v>0</v>
      </c>
      <c r="J37" s="96">
        <f>+'h3(b) - Debt Guar'!J304</f>
        <v>0</v>
      </c>
      <c r="K37" s="96">
        <f>+'h3(b) - Debt Guar'!K304</f>
        <v>0</v>
      </c>
      <c r="L37" s="96">
        <f>+'h3(b) - Debt Guar'!L304</f>
        <v>0</v>
      </c>
      <c r="M37" s="96">
        <f>+'h3(b) - Debt Guar'!M304</f>
        <v>0</v>
      </c>
    </row>
    <row r="38" spans="1:13" ht="16.5" customHeight="1">
      <c r="A38" s="14" t="s">
        <v>194</v>
      </c>
      <c r="B38" s="13"/>
      <c r="C38" s="13"/>
      <c r="D38" s="96">
        <f>+'h3(b) - Debt Guar'!D305</f>
        <v>0</v>
      </c>
      <c r="E38" s="96">
        <f>+'h3(b) - Debt Guar'!E305</f>
        <v>0</v>
      </c>
      <c r="F38" s="96">
        <f>+'h3(b) - Debt Guar'!F305</f>
        <v>0</v>
      </c>
      <c r="G38" s="96">
        <f>+'h3(b) - Debt Guar'!G305</f>
        <v>0</v>
      </c>
      <c r="H38" s="96">
        <f>+'h3(b) - Debt Guar'!H305</f>
        <v>0</v>
      </c>
      <c r="I38" s="96">
        <f>+'h3(b) - Debt Guar'!I305</f>
        <v>0</v>
      </c>
      <c r="J38" s="96">
        <f>+'h3(b) - Debt Guar'!J305</f>
        <v>0</v>
      </c>
      <c r="K38" s="96">
        <f>+'h3(b) - Debt Guar'!K305</f>
        <v>0</v>
      </c>
      <c r="L38" s="96">
        <f>+'h3(b) - Debt Guar'!L305</f>
        <v>0</v>
      </c>
      <c r="M38" s="96">
        <f>+'h3(b) - Debt Guar'!M305</f>
        <v>0</v>
      </c>
    </row>
    <row r="39" spans="1:13" ht="16.5" customHeight="1">
      <c r="A39" s="13"/>
      <c r="B39" s="13"/>
      <c r="C39" s="13"/>
      <c r="D39" s="96"/>
      <c r="E39" s="96"/>
      <c r="F39" s="96"/>
      <c r="G39" s="96"/>
      <c r="H39" s="96"/>
      <c r="I39" s="96"/>
      <c r="J39" s="96"/>
      <c r="K39" s="96"/>
      <c r="L39" s="96"/>
      <c r="M39" s="96"/>
    </row>
    <row r="40" spans="1:13" ht="16.5" customHeight="1">
      <c r="A40" s="34" t="s">
        <v>357</v>
      </c>
      <c r="B40" s="13"/>
      <c r="C40" s="13"/>
      <c r="D40" s="96"/>
      <c r="E40" s="96"/>
      <c r="F40" s="96"/>
      <c r="G40" s="96"/>
      <c r="H40" s="96"/>
      <c r="I40" s="96"/>
      <c r="J40" s="96"/>
      <c r="K40" s="96"/>
      <c r="L40" s="96"/>
      <c r="M40" s="96"/>
    </row>
    <row r="41" spans="1:13" ht="16.5" customHeight="1">
      <c r="A41" s="14" t="s">
        <v>188</v>
      </c>
      <c r="B41" s="13"/>
      <c r="C41" s="13"/>
      <c r="D41" s="96">
        <f>'h5 - New Guar'!D131</f>
        <v>0</v>
      </c>
      <c r="E41" s="96">
        <f>'h5 - New Guar'!E131</f>
        <v>0</v>
      </c>
      <c r="F41" s="96">
        <f>'h5 - New Guar'!F131</f>
        <v>0</v>
      </c>
      <c r="G41" s="96">
        <f>'h5 - New Guar'!G131</f>
        <v>0</v>
      </c>
      <c r="H41" s="96">
        <f>'h5 - New Guar'!H131</f>
        <v>0</v>
      </c>
      <c r="I41" s="96">
        <f>'h5 - New Guar'!I131</f>
        <v>0</v>
      </c>
      <c r="J41" s="96">
        <f>'h5 - New Guar'!J131</f>
        <v>0</v>
      </c>
      <c r="K41" s="96">
        <f>'h5 - New Guar'!K131</f>
        <v>0</v>
      </c>
      <c r="L41" s="96">
        <f>'h5 - New Guar'!L131</f>
        <v>0</v>
      </c>
      <c r="M41" s="96">
        <f>'h5 - New Guar'!M131</f>
        <v>0</v>
      </c>
    </row>
    <row r="42" spans="1:13" ht="16.5" customHeight="1">
      <c r="A42" s="14" t="s">
        <v>189</v>
      </c>
      <c r="B42" s="13"/>
      <c r="C42" s="13"/>
      <c r="D42" s="96">
        <f>'h5 - New Guar'!D132</f>
        <v>0</v>
      </c>
      <c r="E42" s="96">
        <f>'h5 - New Guar'!E132</f>
        <v>0</v>
      </c>
      <c r="F42" s="96">
        <f>'h5 - New Guar'!F132</f>
        <v>0</v>
      </c>
      <c r="G42" s="96">
        <f>'h5 - New Guar'!G132</f>
        <v>0</v>
      </c>
      <c r="H42" s="96">
        <f>'h5 - New Guar'!H132</f>
        <v>0</v>
      </c>
      <c r="I42" s="96">
        <f>'h5 - New Guar'!I132</f>
        <v>0</v>
      </c>
      <c r="J42" s="96">
        <f>'h5 - New Guar'!J132</f>
        <v>0</v>
      </c>
      <c r="K42" s="96">
        <f>'h5 - New Guar'!K132</f>
        <v>0</v>
      </c>
      <c r="L42" s="96">
        <f>'h5 - New Guar'!L132</f>
        <v>0</v>
      </c>
      <c r="M42" s="96">
        <f>'h5 - New Guar'!M132</f>
        <v>0</v>
      </c>
    </row>
    <row r="43" spans="1:13" ht="16.5" customHeight="1">
      <c r="A43" s="14" t="s">
        <v>190</v>
      </c>
      <c r="B43" s="13"/>
      <c r="C43" s="13"/>
      <c r="D43" s="96">
        <f>'h5 - New Guar'!D133</f>
        <v>0</v>
      </c>
      <c r="E43" s="96">
        <f>'h5 - New Guar'!E133</f>
        <v>0</v>
      </c>
      <c r="F43" s="96">
        <f>'h5 - New Guar'!F133</f>
        <v>0</v>
      </c>
      <c r="G43" s="96">
        <f>'h5 - New Guar'!G133</f>
        <v>0</v>
      </c>
      <c r="H43" s="96">
        <f>'h5 - New Guar'!H133</f>
        <v>0</v>
      </c>
      <c r="I43" s="96">
        <f>'h5 - New Guar'!I133</f>
        <v>0</v>
      </c>
      <c r="J43" s="96">
        <f>'h5 - New Guar'!J133</f>
        <v>0</v>
      </c>
      <c r="K43" s="96">
        <f>'h5 - New Guar'!K133</f>
        <v>0</v>
      </c>
      <c r="L43" s="96">
        <f>'h5 - New Guar'!L133</f>
        <v>0</v>
      </c>
      <c r="M43" s="96">
        <f>'h5 - New Guar'!M133</f>
        <v>0</v>
      </c>
    </row>
    <row r="44" spans="1:13" ht="16.5" customHeight="1">
      <c r="A44" s="14" t="s">
        <v>195</v>
      </c>
      <c r="B44" s="13"/>
      <c r="C44" s="13"/>
      <c r="D44" s="96">
        <f>'h5 - New Guar'!D135</f>
        <v>0</v>
      </c>
      <c r="E44" s="96">
        <f>'h5 - New Guar'!E135</f>
        <v>0</v>
      </c>
      <c r="F44" s="96">
        <f>'h5 - New Guar'!F135</f>
        <v>0</v>
      </c>
      <c r="G44" s="96">
        <f>'h5 - New Guar'!G135</f>
        <v>0</v>
      </c>
      <c r="H44" s="96">
        <f>'h5 - New Guar'!H135</f>
        <v>0</v>
      </c>
      <c r="I44" s="96">
        <f>'h5 - New Guar'!I135</f>
        <v>0</v>
      </c>
      <c r="J44" s="96">
        <f>'h5 - New Guar'!J135</f>
        <v>0</v>
      </c>
      <c r="K44" s="96">
        <f>'h5 - New Guar'!K135</f>
        <v>0</v>
      </c>
      <c r="L44" s="96">
        <f>'h5 - New Guar'!L135</f>
        <v>0</v>
      </c>
      <c r="M44" s="96">
        <f>'h5 - New Guar'!M135</f>
        <v>0</v>
      </c>
    </row>
    <row r="45" spans="1:13" ht="16.5" customHeight="1">
      <c r="A45" s="14" t="s">
        <v>773</v>
      </c>
      <c r="B45" s="13"/>
      <c r="C45" s="13"/>
      <c r="D45" s="96">
        <f>'h5 - New Guar'!D136</f>
        <v>0</v>
      </c>
      <c r="E45" s="96">
        <f>'h5 - New Guar'!E136</f>
        <v>0</v>
      </c>
      <c r="F45" s="96">
        <f>'h5 - New Guar'!F136</f>
        <v>0</v>
      </c>
      <c r="G45" s="96">
        <f>'h5 - New Guar'!G136</f>
        <v>0</v>
      </c>
      <c r="H45" s="96">
        <f>'h5 - New Guar'!H136</f>
        <v>0</v>
      </c>
      <c r="I45" s="96">
        <f>'h5 - New Guar'!I136</f>
        <v>0</v>
      </c>
      <c r="J45" s="96">
        <f>'h5 - New Guar'!J136</f>
        <v>0</v>
      </c>
      <c r="K45" s="96">
        <f>'h5 - New Guar'!K136</f>
        <v>0</v>
      </c>
      <c r="L45" s="96">
        <f>'h5 - New Guar'!L136</f>
        <v>0</v>
      </c>
      <c r="M45" s="96">
        <f>'h5 - New Guar'!M136</f>
        <v>0</v>
      </c>
    </row>
    <row r="46" spans="1:13" ht="16.5" customHeight="1">
      <c r="A46" s="14" t="s">
        <v>194</v>
      </c>
      <c r="B46" s="13"/>
      <c r="C46" s="13"/>
      <c r="D46" s="96">
        <f>'h5 - New Guar'!D137</f>
        <v>0</v>
      </c>
      <c r="E46" s="96">
        <f>'h5 - New Guar'!E137</f>
        <v>0</v>
      </c>
      <c r="F46" s="96">
        <f>'h5 - New Guar'!F137</f>
        <v>0</v>
      </c>
      <c r="G46" s="96">
        <f>'h5 - New Guar'!G137</f>
        <v>0</v>
      </c>
      <c r="H46" s="96">
        <f>'h5 - New Guar'!H137</f>
        <v>0</v>
      </c>
      <c r="I46" s="96">
        <f>'h5 - New Guar'!I137</f>
        <v>0</v>
      </c>
      <c r="J46" s="96">
        <f>'h5 - New Guar'!J137</f>
        <v>0</v>
      </c>
      <c r="K46" s="96">
        <f>'h5 - New Guar'!K137</f>
        <v>0</v>
      </c>
      <c r="L46" s="96">
        <f>'h5 - New Guar'!L137</f>
        <v>0</v>
      </c>
      <c r="M46" s="96">
        <f>'h5 - New Guar'!M137</f>
        <v>0</v>
      </c>
    </row>
    <row r="47" spans="1:13" ht="16.5" customHeight="1">
      <c r="A47" s="13"/>
      <c r="B47" s="13"/>
      <c r="C47" s="13"/>
      <c r="D47" s="96"/>
      <c r="E47" s="96"/>
      <c r="F47" s="96"/>
      <c r="G47" s="96"/>
      <c r="H47" s="96"/>
      <c r="I47" s="96"/>
      <c r="J47" s="96"/>
      <c r="K47" s="96"/>
      <c r="L47" s="96"/>
      <c r="M47" s="96"/>
    </row>
    <row r="48" spans="1:13" ht="16.5" customHeight="1">
      <c r="A48" s="34" t="s">
        <v>201</v>
      </c>
      <c r="B48" s="13"/>
      <c r="C48" s="13"/>
      <c r="D48" s="96"/>
      <c r="E48" s="96"/>
      <c r="F48" s="96"/>
      <c r="G48" s="96"/>
      <c r="H48" s="96"/>
      <c r="I48" s="96"/>
      <c r="J48" s="96"/>
      <c r="K48" s="96"/>
      <c r="L48" s="96"/>
      <c r="M48" s="96"/>
    </row>
    <row r="49" spans="1:13" ht="16.5" customHeight="1">
      <c r="A49" s="14" t="s">
        <v>188</v>
      </c>
      <c r="B49" s="13"/>
      <c r="C49" s="13"/>
      <c r="D49" s="96">
        <f>+'i1(b) - Debt Other'!D300</f>
        <v>0</v>
      </c>
      <c r="E49" s="96">
        <f>+'i1(b) - Debt Other'!E300</f>
        <v>0</v>
      </c>
      <c r="F49" s="96">
        <f>+'i1(b) - Debt Other'!F300</f>
        <v>0</v>
      </c>
      <c r="G49" s="96">
        <f>+'i1(b) - Debt Other'!G300</f>
        <v>0</v>
      </c>
      <c r="H49" s="96">
        <f>+'i1(b) - Debt Other'!H300</f>
        <v>0</v>
      </c>
      <c r="I49" s="96">
        <f>+'i1(b) - Debt Other'!I300</f>
        <v>0</v>
      </c>
      <c r="J49" s="96">
        <f>+'i1(b) - Debt Other'!J300</f>
        <v>0</v>
      </c>
      <c r="K49" s="96">
        <f>+'i1(b) - Debt Other'!K300</f>
        <v>0</v>
      </c>
      <c r="L49" s="96">
        <f>+'i1(b) - Debt Other'!L300</f>
        <v>0</v>
      </c>
      <c r="M49" s="96">
        <f>+'i1(b) - Debt Other'!M300</f>
        <v>0</v>
      </c>
    </row>
    <row r="50" spans="1:13" ht="16.5" customHeight="1">
      <c r="A50" s="14" t="s">
        <v>189</v>
      </c>
      <c r="B50" s="13"/>
      <c r="C50" s="13"/>
      <c r="D50" s="96">
        <v>0</v>
      </c>
      <c r="E50" s="96">
        <v>0</v>
      </c>
      <c r="F50" s="96">
        <v>0</v>
      </c>
      <c r="G50" s="96">
        <v>0</v>
      </c>
      <c r="H50" s="96">
        <v>0</v>
      </c>
      <c r="I50" s="96">
        <v>0</v>
      </c>
      <c r="J50" s="96">
        <v>0</v>
      </c>
      <c r="K50" s="96">
        <v>0</v>
      </c>
      <c r="L50" s="96">
        <v>0</v>
      </c>
      <c r="M50" s="96">
        <v>0</v>
      </c>
    </row>
    <row r="51" spans="1:13" ht="16.5" customHeight="1">
      <c r="A51" s="14" t="s">
        <v>190</v>
      </c>
      <c r="B51" s="13"/>
      <c r="C51" s="13"/>
      <c r="D51" s="96">
        <f>+'i1(b) - Debt Other'!D301</f>
        <v>0</v>
      </c>
      <c r="E51" s="96">
        <f>+'i1(b) - Debt Other'!E301</f>
        <v>0</v>
      </c>
      <c r="F51" s="96">
        <f>+'i1(b) - Debt Other'!F301</f>
        <v>0</v>
      </c>
      <c r="G51" s="96">
        <f>+'i1(b) - Debt Other'!G301</f>
        <v>0</v>
      </c>
      <c r="H51" s="96">
        <f>+'i1(b) - Debt Other'!H301</f>
        <v>0</v>
      </c>
      <c r="I51" s="96">
        <f>+'i1(b) - Debt Other'!I301</f>
        <v>0</v>
      </c>
      <c r="J51" s="96">
        <f>+'i1(b) - Debt Other'!J301</f>
        <v>0</v>
      </c>
      <c r="K51" s="96">
        <f>+'i1(b) - Debt Other'!K301</f>
        <v>0</v>
      </c>
      <c r="L51" s="96">
        <f>+'i1(b) - Debt Other'!L301</f>
        <v>0</v>
      </c>
      <c r="M51" s="96">
        <f>+'i1(b) - Debt Other'!M301</f>
        <v>0</v>
      </c>
    </row>
    <row r="52" spans="1:13" ht="16.5" customHeight="1">
      <c r="A52" s="14" t="s">
        <v>195</v>
      </c>
      <c r="B52" s="13"/>
      <c r="C52" s="13"/>
      <c r="D52" s="96">
        <f>+'i1(b) - Debt Other'!D303</f>
        <v>0</v>
      </c>
      <c r="E52" s="96">
        <f>+'i1(b) - Debt Other'!E303</f>
        <v>0</v>
      </c>
      <c r="F52" s="96">
        <f>+'i1(b) - Debt Other'!F303</f>
        <v>0</v>
      </c>
      <c r="G52" s="96">
        <f>+'i1(b) - Debt Other'!G303</f>
        <v>0</v>
      </c>
      <c r="H52" s="96">
        <f>+'i1(b) - Debt Other'!H303</f>
        <v>0</v>
      </c>
      <c r="I52" s="96">
        <f>+'i1(b) - Debt Other'!I303</f>
        <v>0</v>
      </c>
      <c r="J52" s="96">
        <f>+'i1(b) - Debt Other'!J303</f>
        <v>0</v>
      </c>
      <c r="K52" s="96">
        <f>+'i1(b) - Debt Other'!K303</f>
        <v>0</v>
      </c>
      <c r="L52" s="96">
        <f>+'i1(b) - Debt Other'!L303</f>
        <v>0</v>
      </c>
      <c r="M52" s="96">
        <f>+'i1(b) - Debt Other'!M303</f>
        <v>0</v>
      </c>
    </row>
    <row r="53" spans="1:13" ht="16.5" customHeight="1">
      <c r="A53" s="14" t="s">
        <v>773</v>
      </c>
      <c r="B53" s="13"/>
      <c r="C53" s="13"/>
      <c r="D53" s="96">
        <f>+'i1(b) - Debt Other'!D304</f>
        <v>0</v>
      </c>
      <c r="E53" s="96">
        <f>+'i1(b) - Debt Other'!E304</f>
        <v>0</v>
      </c>
      <c r="F53" s="96">
        <f>+'i1(b) - Debt Other'!F304</f>
        <v>0</v>
      </c>
      <c r="G53" s="96">
        <f>+'i1(b) - Debt Other'!G304</f>
        <v>0</v>
      </c>
      <c r="H53" s="96">
        <f>+'i1(b) - Debt Other'!H304</f>
        <v>0</v>
      </c>
      <c r="I53" s="96">
        <f>+'i1(b) - Debt Other'!I304</f>
        <v>0</v>
      </c>
      <c r="J53" s="96">
        <f>+'i1(b) - Debt Other'!J304</f>
        <v>0</v>
      </c>
      <c r="K53" s="96">
        <f>+'i1(b) - Debt Other'!K304</f>
        <v>0</v>
      </c>
      <c r="L53" s="96">
        <f>+'i1(b) - Debt Other'!L304</f>
        <v>0</v>
      </c>
      <c r="M53" s="96">
        <f>+'i1(b) - Debt Other'!M304</f>
        <v>0</v>
      </c>
    </row>
    <row r="54" spans="1:13" ht="16.5" customHeight="1">
      <c r="A54" s="14" t="s">
        <v>194</v>
      </c>
      <c r="B54" s="13"/>
      <c r="C54" s="13"/>
      <c r="D54" s="96">
        <f>+'i1(b) - Debt Other'!D305</f>
        <v>0</v>
      </c>
      <c r="E54" s="96">
        <f>+'i1(b) - Debt Other'!E305</f>
        <v>0</v>
      </c>
      <c r="F54" s="96">
        <f>+'i1(b) - Debt Other'!F305</f>
        <v>0</v>
      </c>
      <c r="G54" s="96">
        <f>+'i1(b) - Debt Other'!G305</f>
        <v>0</v>
      </c>
      <c r="H54" s="96">
        <f>+'i1(b) - Debt Other'!H305</f>
        <v>0</v>
      </c>
      <c r="I54" s="96">
        <f>+'i1(b) - Debt Other'!I305</f>
        <v>0</v>
      </c>
      <c r="J54" s="96">
        <f>+'i1(b) - Debt Other'!J305</f>
        <v>0</v>
      </c>
      <c r="K54" s="96">
        <f>+'i1(b) - Debt Other'!K305</f>
        <v>0</v>
      </c>
      <c r="L54" s="96">
        <f>+'i1(b) - Debt Other'!L305</f>
        <v>0</v>
      </c>
      <c r="M54" s="96">
        <f>+'i1(b) - Debt Other'!M305</f>
        <v>0</v>
      </c>
    </row>
    <row r="55" spans="1:13" ht="16.5" customHeight="1">
      <c r="A55" s="14"/>
      <c r="B55" s="13"/>
      <c r="C55" s="13"/>
      <c r="D55" s="96"/>
      <c r="E55" s="96"/>
      <c r="F55" s="96"/>
      <c r="G55" s="96"/>
      <c r="H55" s="96"/>
      <c r="I55" s="96"/>
      <c r="J55" s="96"/>
      <c r="K55" s="96"/>
      <c r="L55" s="96"/>
      <c r="M55" s="96"/>
    </row>
    <row r="56" spans="1:13" ht="16.5" customHeight="1">
      <c r="A56" s="34" t="s">
        <v>202</v>
      </c>
      <c r="B56" s="13"/>
      <c r="C56" s="13"/>
      <c r="D56" s="96"/>
      <c r="E56" s="96"/>
      <c r="F56" s="96"/>
      <c r="G56" s="96"/>
      <c r="H56" s="96"/>
      <c r="I56" s="96"/>
      <c r="J56" s="96"/>
      <c r="K56" s="96"/>
      <c r="L56" s="96"/>
      <c r="M56" s="96"/>
    </row>
    <row r="57" spans="1:13" ht="16.5" customHeight="1">
      <c r="A57" s="14" t="s">
        <v>188</v>
      </c>
      <c r="B57" s="13"/>
      <c r="C57" s="13"/>
      <c r="D57" s="96">
        <f>'i2 - New Other'!D133</f>
        <v>0</v>
      </c>
      <c r="E57" s="96">
        <f>'i2 - New Other'!E133</f>
        <v>0</v>
      </c>
      <c r="F57" s="96">
        <f>'i2 - New Other'!F133</f>
        <v>0</v>
      </c>
      <c r="G57" s="96">
        <f>'i2 - New Other'!G133</f>
        <v>0</v>
      </c>
      <c r="H57" s="96">
        <f>'i2 - New Other'!H133</f>
        <v>0</v>
      </c>
      <c r="I57" s="96">
        <f>'i2 - New Other'!I133</f>
        <v>0</v>
      </c>
      <c r="J57" s="96">
        <f>'i2 - New Other'!J133</f>
        <v>0</v>
      </c>
      <c r="K57" s="96">
        <f>'i2 - New Other'!K133</f>
        <v>0</v>
      </c>
      <c r="L57" s="96">
        <f>'i2 - New Other'!L133</f>
        <v>0</v>
      </c>
      <c r="M57" s="96">
        <f>'i2 - New Other'!M133</f>
        <v>0</v>
      </c>
    </row>
    <row r="58" spans="1:13" ht="16.5" customHeight="1">
      <c r="A58" s="14" t="s">
        <v>189</v>
      </c>
      <c r="B58" s="13"/>
      <c r="C58" s="13"/>
      <c r="D58" s="96">
        <f>'i2 - New Other'!D134</f>
        <v>0</v>
      </c>
      <c r="E58" s="96">
        <f>'i2 - New Other'!E134</f>
        <v>0</v>
      </c>
      <c r="F58" s="96">
        <f>'i2 - New Other'!F134</f>
        <v>0</v>
      </c>
      <c r="G58" s="96">
        <f>'i2 - New Other'!G134</f>
        <v>0</v>
      </c>
      <c r="H58" s="96">
        <f>'i2 - New Other'!H134</f>
        <v>0</v>
      </c>
      <c r="I58" s="96">
        <f>'i2 - New Other'!I134</f>
        <v>0</v>
      </c>
      <c r="J58" s="96">
        <f>'i2 - New Other'!J134</f>
        <v>0</v>
      </c>
      <c r="K58" s="96">
        <f>'i2 - New Other'!K134</f>
        <v>0</v>
      </c>
      <c r="L58" s="96">
        <f>'i2 - New Other'!L134</f>
        <v>0</v>
      </c>
      <c r="M58" s="96">
        <f>'i2 - New Other'!M134</f>
        <v>0</v>
      </c>
    </row>
    <row r="59" spans="1:13" ht="16.5" customHeight="1">
      <c r="A59" s="14" t="s">
        <v>190</v>
      </c>
      <c r="B59" s="13"/>
      <c r="C59" s="13"/>
      <c r="D59" s="96">
        <f>'i2 - New Other'!D135</f>
        <v>0</v>
      </c>
      <c r="E59" s="96">
        <f>'i2 - New Other'!E135</f>
        <v>0</v>
      </c>
      <c r="F59" s="96">
        <f>'i2 - New Other'!F135</f>
        <v>0</v>
      </c>
      <c r="G59" s="96">
        <f>'i2 - New Other'!G135</f>
        <v>0</v>
      </c>
      <c r="H59" s="96">
        <f>'i2 - New Other'!H135</f>
        <v>0</v>
      </c>
      <c r="I59" s="96">
        <f>'i2 - New Other'!I135</f>
        <v>0</v>
      </c>
      <c r="J59" s="96">
        <f>'i2 - New Other'!J135</f>
        <v>0</v>
      </c>
      <c r="K59" s="96">
        <f>'i2 - New Other'!K135</f>
        <v>0</v>
      </c>
      <c r="L59" s="96">
        <f>'i2 - New Other'!L135</f>
        <v>0</v>
      </c>
      <c r="M59" s="96">
        <f>'i2 - New Other'!M135</f>
        <v>0</v>
      </c>
    </row>
    <row r="60" spans="1:13" ht="16.5" customHeight="1">
      <c r="A60" s="14" t="s">
        <v>195</v>
      </c>
      <c r="B60" s="13"/>
      <c r="C60" s="13"/>
      <c r="D60" s="96">
        <f>'i2 - New Other'!D137</f>
        <v>0</v>
      </c>
      <c r="E60" s="96">
        <f>'i2 - New Other'!E137</f>
        <v>0</v>
      </c>
      <c r="F60" s="96">
        <f>'i2 - New Other'!F137</f>
        <v>0</v>
      </c>
      <c r="G60" s="96">
        <f>'i2 - New Other'!G137</f>
        <v>0</v>
      </c>
      <c r="H60" s="96">
        <f>'i2 - New Other'!H137</f>
        <v>0</v>
      </c>
      <c r="I60" s="96">
        <f>'i2 - New Other'!I137</f>
        <v>0</v>
      </c>
      <c r="J60" s="96">
        <f>'i2 - New Other'!J137</f>
        <v>0</v>
      </c>
      <c r="K60" s="96">
        <f>'i2 - New Other'!K137</f>
        <v>0</v>
      </c>
      <c r="L60" s="96">
        <f>'i2 - New Other'!L137</f>
        <v>0</v>
      </c>
      <c r="M60" s="96">
        <f>'i2 - New Other'!M137</f>
        <v>0</v>
      </c>
    </row>
    <row r="61" spans="1:13" ht="16.5" customHeight="1">
      <c r="A61" s="14" t="s">
        <v>773</v>
      </c>
      <c r="B61" s="13"/>
      <c r="C61" s="13"/>
      <c r="D61" s="96">
        <f>'i2 - New Other'!D138</f>
        <v>0</v>
      </c>
      <c r="E61" s="96">
        <f>'i2 - New Other'!E138</f>
        <v>0</v>
      </c>
      <c r="F61" s="96">
        <f>'i2 - New Other'!F138</f>
        <v>0</v>
      </c>
      <c r="G61" s="96">
        <f>'i2 - New Other'!G138</f>
        <v>0</v>
      </c>
      <c r="H61" s="96">
        <f>'i2 - New Other'!H138</f>
        <v>0</v>
      </c>
      <c r="I61" s="96">
        <f>'i2 - New Other'!I138</f>
        <v>0</v>
      </c>
      <c r="J61" s="96">
        <f>'i2 - New Other'!J138</f>
        <v>0</v>
      </c>
      <c r="K61" s="96">
        <f>'i2 - New Other'!K138</f>
        <v>0</v>
      </c>
      <c r="L61" s="96">
        <f>'i2 - New Other'!L138</f>
        <v>0</v>
      </c>
      <c r="M61" s="96">
        <f>'i2 - New Other'!M138</f>
        <v>0</v>
      </c>
    </row>
    <row r="62" spans="1:13" ht="16.5" customHeight="1">
      <c r="A62" s="14" t="s">
        <v>194</v>
      </c>
      <c r="B62" s="13"/>
      <c r="C62" s="13"/>
      <c r="D62" s="96">
        <f>'i2 - New Other'!D139</f>
        <v>0</v>
      </c>
      <c r="E62" s="96">
        <f>'i2 - New Other'!E139</f>
        <v>0</v>
      </c>
      <c r="F62" s="96">
        <f>'i2 - New Other'!F139</f>
        <v>0</v>
      </c>
      <c r="G62" s="96">
        <f>'i2 - New Other'!G139</f>
        <v>0</v>
      </c>
      <c r="H62" s="96">
        <f>'i2 - New Other'!H139</f>
        <v>0</v>
      </c>
      <c r="I62" s="96">
        <f>'i2 - New Other'!I139</f>
        <v>0</v>
      </c>
      <c r="J62" s="96">
        <f>'i2 - New Other'!J139</f>
        <v>0</v>
      </c>
      <c r="K62" s="96">
        <f>'i2 - New Other'!K139</f>
        <v>0</v>
      </c>
      <c r="L62" s="96">
        <f>'i2 - New Other'!L139</f>
        <v>0</v>
      </c>
      <c r="M62" s="96">
        <f>'i2 - New Other'!M139</f>
        <v>0</v>
      </c>
    </row>
    <row r="63" spans="1:13" ht="16.5" customHeight="1">
      <c r="A63" s="14"/>
      <c r="B63" s="13"/>
      <c r="C63" s="13"/>
      <c r="D63" s="96"/>
      <c r="E63" s="96"/>
      <c r="F63" s="96"/>
      <c r="G63" s="96"/>
      <c r="H63" s="96"/>
      <c r="I63" s="96"/>
      <c r="J63" s="96"/>
      <c r="K63" s="96"/>
      <c r="L63" s="96"/>
      <c r="M63" s="96"/>
    </row>
    <row r="64" spans="1:13" ht="16.5" customHeight="1">
      <c r="A64" s="34" t="s">
        <v>203</v>
      </c>
      <c r="B64" s="13"/>
      <c r="C64" s="13"/>
      <c r="D64" s="96"/>
      <c r="E64" s="96"/>
      <c r="F64" s="96"/>
      <c r="G64" s="96"/>
      <c r="H64" s="96"/>
      <c r="I64" s="96"/>
      <c r="J64" s="96"/>
      <c r="K64" s="96"/>
      <c r="L64" s="96"/>
      <c r="M64" s="96"/>
    </row>
    <row r="65" spans="1:13" ht="16.5" customHeight="1">
      <c r="A65" s="14" t="s">
        <v>188</v>
      </c>
      <c r="B65" s="13"/>
      <c r="C65" s="13"/>
      <c r="D65" s="96">
        <f t="shared" ref="D65:D70" si="1">D57+D49+D41+D33+D25+D17+D9</f>
        <v>0</v>
      </c>
      <c r="E65" s="96">
        <f t="shared" ref="E65:M65" si="2">E57+E49+E41+E33+E25+E17+E9</f>
        <v>0</v>
      </c>
      <c r="F65" s="96">
        <f t="shared" si="2"/>
        <v>0</v>
      </c>
      <c r="G65" s="96">
        <f t="shared" si="2"/>
        <v>0</v>
      </c>
      <c r="H65" s="96">
        <f t="shared" si="2"/>
        <v>0</v>
      </c>
      <c r="I65" s="96">
        <f t="shared" si="2"/>
        <v>0</v>
      </c>
      <c r="J65" s="96">
        <f t="shared" si="2"/>
        <v>0</v>
      </c>
      <c r="K65" s="96">
        <f t="shared" si="2"/>
        <v>0</v>
      </c>
      <c r="L65" s="96">
        <f t="shared" si="2"/>
        <v>0</v>
      </c>
      <c r="M65" s="96">
        <f t="shared" si="2"/>
        <v>0</v>
      </c>
    </row>
    <row r="66" spans="1:13" ht="16.5" customHeight="1">
      <c r="A66" s="14" t="s">
        <v>189</v>
      </c>
      <c r="B66" s="13"/>
      <c r="C66" s="13"/>
      <c r="D66" s="96">
        <f t="shared" si="1"/>
        <v>0</v>
      </c>
      <c r="E66" s="96">
        <f t="shared" ref="E66:M66" si="3">E58+E50+E42+E34+E26+E18+E10</f>
        <v>0</v>
      </c>
      <c r="F66" s="96">
        <f t="shared" si="3"/>
        <v>0</v>
      </c>
      <c r="G66" s="96">
        <f t="shared" si="3"/>
        <v>0</v>
      </c>
      <c r="H66" s="96">
        <f t="shared" si="3"/>
        <v>0</v>
      </c>
      <c r="I66" s="96">
        <f t="shared" si="3"/>
        <v>0</v>
      </c>
      <c r="J66" s="96">
        <f t="shared" si="3"/>
        <v>0</v>
      </c>
      <c r="K66" s="96">
        <f t="shared" si="3"/>
        <v>0</v>
      </c>
      <c r="L66" s="96">
        <f t="shared" si="3"/>
        <v>0</v>
      </c>
      <c r="M66" s="96">
        <f t="shared" si="3"/>
        <v>0</v>
      </c>
    </row>
    <row r="67" spans="1:13" ht="16.5" customHeight="1">
      <c r="A67" s="14" t="s">
        <v>190</v>
      </c>
      <c r="B67" s="13"/>
      <c r="C67" s="13"/>
      <c r="D67" s="96">
        <f t="shared" si="1"/>
        <v>0</v>
      </c>
      <c r="E67" s="96">
        <f t="shared" ref="E67:M67" si="4">E59+E51+E43+E35+E27+E19+E11</f>
        <v>0</v>
      </c>
      <c r="F67" s="96">
        <f t="shared" si="4"/>
        <v>0</v>
      </c>
      <c r="G67" s="96">
        <f t="shared" si="4"/>
        <v>0</v>
      </c>
      <c r="H67" s="96">
        <f t="shared" si="4"/>
        <v>0</v>
      </c>
      <c r="I67" s="96">
        <f t="shared" si="4"/>
        <v>0</v>
      </c>
      <c r="J67" s="96">
        <f t="shared" si="4"/>
        <v>0</v>
      </c>
      <c r="K67" s="96">
        <f t="shared" si="4"/>
        <v>0</v>
      </c>
      <c r="L67" s="96">
        <f t="shared" si="4"/>
        <v>0</v>
      </c>
      <c r="M67" s="96">
        <f t="shared" si="4"/>
        <v>0</v>
      </c>
    </row>
    <row r="68" spans="1:13" ht="16.5" customHeight="1">
      <c r="A68" s="14" t="s">
        <v>195</v>
      </c>
      <c r="B68" s="13"/>
      <c r="C68" s="13"/>
      <c r="D68" s="96">
        <f t="shared" si="1"/>
        <v>0</v>
      </c>
      <c r="E68" s="96">
        <f t="shared" ref="E68:M68" si="5">E60+E52+E44+E36+E28+E20+E12</f>
        <v>0</v>
      </c>
      <c r="F68" s="96">
        <f t="shared" si="5"/>
        <v>0</v>
      </c>
      <c r="G68" s="96">
        <f t="shared" si="5"/>
        <v>0</v>
      </c>
      <c r="H68" s="96">
        <f t="shared" si="5"/>
        <v>0</v>
      </c>
      <c r="I68" s="96">
        <f t="shared" si="5"/>
        <v>0</v>
      </c>
      <c r="J68" s="96">
        <f t="shared" si="5"/>
        <v>0</v>
      </c>
      <c r="K68" s="96">
        <f t="shared" si="5"/>
        <v>0</v>
      </c>
      <c r="L68" s="96">
        <f t="shared" si="5"/>
        <v>0</v>
      </c>
      <c r="M68" s="96">
        <f t="shared" si="5"/>
        <v>0</v>
      </c>
    </row>
    <row r="69" spans="1:13" ht="16.5" customHeight="1">
      <c r="A69" s="14" t="s">
        <v>773</v>
      </c>
      <c r="B69" s="13"/>
      <c r="C69" s="13"/>
      <c r="D69" s="96">
        <f t="shared" si="1"/>
        <v>0</v>
      </c>
      <c r="E69" s="96">
        <f t="shared" ref="E69:M69" si="6">E61+E53+E45+E37+E29+E21+E13</f>
        <v>0</v>
      </c>
      <c r="F69" s="96">
        <f t="shared" si="6"/>
        <v>0</v>
      </c>
      <c r="G69" s="96">
        <f t="shared" si="6"/>
        <v>0</v>
      </c>
      <c r="H69" s="96">
        <f t="shared" si="6"/>
        <v>0</v>
      </c>
      <c r="I69" s="96">
        <f t="shared" si="6"/>
        <v>0</v>
      </c>
      <c r="J69" s="96">
        <f t="shared" si="6"/>
        <v>0</v>
      </c>
      <c r="K69" s="96">
        <f t="shared" si="6"/>
        <v>0</v>
      </c>
      <c r="L69" s="96">
        <f t="shared" si="6"/>
        <v>0</v>
      </c>
      <c r="M69" s="96">
        <f t="shared" si="6"/>
        <v>0</v>
      </c>
    </row>
    <row r="70" spans="1:13" ht="16.5" customHeight="1">
      <c r="A70" s="14" t="s">
        <v>194</v>
      </c>
      <c r="B70" s="13"/>
      <c r="C70" s="13"/>
      <c r="D70" s="96">
        <f t="shared" si="1"/>
        <v>0</v>
      </c>
      <c r="E70" s="96">
        <f t="shared" ref="E70:M70" si="7">E62+E54+E46+E38+E30+E22+E14</f>
        <v>0</v>
      </c>
      <c r="F70" s="96">
        <f t="shared" si="7"/>
        <v>0</v>
      </c>
      <c r="G70" s="96">
        <f t="shared" si="7"/>
        <v>0</v>
      </c>
      <c r="H70" s="96">
        <f t="shared" si="7"/>
        <v>0</v>
      </c>
      <c r="I70" s="96">
        <f t="shared" si="7"/>
        <v>0</v>
      </c>
      <c r="J70" s="96">
        <f t="shared" si="7"/>
        <v>0</v>
      </c>
      <c r="K70" s="96">
        <f t="shared" si="7"/>
        <v>0</v>
      </c>
      <c r="L70" s="96">
        <f t="shared" si="7"/>
        <v>0</v>
      </c>
      <c r="M70" s="96">
        <f t="shared" si="7"/>
        <v>0</v>
      </c>
    </row>
    <row r="71" spans="1:13" ht="16.5" customHeight="1">
      <c r="D71" s="51"/>
      <c r="E71" s="51"/>
      <c r="F71" s="51"/>
      <c r="G71" s="51"/>
      <c r="H71" s="51"/>
      <c r="I71" s="51"/>
      <c r="J71" s="51"/>
      <c r="K71" s="51"/>
      <c r="L71" s="51"/>
      <c r="M71" s="51"/>
    </row>
  </sheetData>
  <sheetProtection password="9A24" sheet="1" objects="1" scenarios="1"/>
  <phoneticPr fontId="0" type="noConversion"/>
  <pageMargins left="0.85" right="0.12" top="0.25" bottom="0.42" header="0" footer="0"/>
  <pageSetup scale="4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pageSetUpPr fitToPage="1"/>
  </sheetPr>
  <dimension ref="A1:O34"/>
  <sheetViews>
    <sheetView showGridLines="0" zoomScale="106" zoomScaleNormal="106" workbookViewId="0">
      <selection activeCell="D4" sqref="D4"/>
    </sheetView>
  </sheetViews>
  <sheetFormatPr defaultColWidth="0" defaultRowHeight="12.5" zeroHeight="1"/>
  <cols>
    <col min="1" max="15" width="9.1796875" customWidth="1"/>
  </cols>
  <sheetData>
    <row r="1" spans="1:15" ht="16" thickBot="1">
      <c r="A1" s="79"/>
      <c r="B1" s="80"/>
      <c r="C1" s="80"/>
      <c r="D1" s="80"/>
      <c r="E1" s="80"/>
      <c r="F1" s="80"/>
      <c r="G1" s="80"/>
      <c r="H1" s="80"/>
      <c r="I1" s="80"/>
      <c r="J1" s="80"/>
      <c r="K1" s="81"/>
      <c r="L1" s="173" t="s">
        <v>969</v>
      </c>
      <c r="M1" s="174"/>
      <c r="N1" s="174"/>
      <c r="O1" s="175"/>
    </row>
    <row r="2" spans="1:15" ht="26" thickTop="1" thickBot="1">
      <c r="A2" s="82"/>
      <c r="B2" s="83"/>
      <c r="C2" s="83"/>
      <c r="D2" s="83"/>
      <c r="E2" s="254" t="s">
        <v>666</v>
      </c>
      <c r="F2" s="255"/>
      <c r="G2" s="255"/>
      <c r="H2" s="255"/>
      <c r="I2" s="255"/>
      <c r="J2" s="256"/>
      <c r="K2" s="83"/>
      <c r="L2" s="83"/>
      <c r="M2" s="83"/>
      <c r="N2" s="83"/>
      <c r="O2" s="84"/>
    </row>
    <row r="3" spans="1:15" ht="13" thickTop="1">
      <c r="A3" s="82"/>
      <c r="B3" s="83"/>
      <c r="C3" s="83"/>
      <c r="D3" s="83"/>
      <c r="E3" s="83"/>
      <c r="F3" s="83"/>
      <c r="G3" s="83"/>
      <c r="H3" s="83"/>
      <c r="I3" s="83"/>
      <c r="J3" s="83"/>
      <c r="K3" s="83"/>
      <c r="L3" s="83"/>
      <c r="M3" s="83"/>
      <c r="N3" s="83"/>
      <c r="O3" s="84"/>
    </row>
    <row r="4" spans="1:15">
      <c r="A4" s="82"/>
      <c r="B4" s="83"/>
      <c r="C4" s="83"/>
      <c r="D4" s="83"/>
      <c r="E4" s="83"/>
      <c r="F4" s="83"/>
      <c r="G4" s="83"/>
      <c r="H4" s="83"/>
      <c r="I4" s="83"/>
      <c r="J4" s="83"/>
      <c r="K4" s="83"/>
      <c r="L4" s="83"/>
      <c r="M4" s="83"/>
      <c r="N4" s="83"/>
      <c r="O4" s="84"/>
    </row>
    <row r="5" spans="1:15">
      <c r="A5" s="82"/>
      <c r="B5" s="83"/>
      <c r="C5" s="83"/>
      <c r="D5" s="83"/>
      <c r="E5" s="83"/>
      <c r="F5" s="83"/>
      <c r="G5" s="83"/>
      <c r="H5" s="83"/>
      <c r="I5" s="83"/>
      <c r="J5" s="83"/>
      <c r="K5" s="83"/>
      <c r="L5" s="83"/>
      <c r="M5" s="83"/>
      <c r="N5" s="83"/>
      <c r="O5" s="84"/>
    </row>
    <row r="6" spans="1:15">
      <c r="A6" s="82"/>
      <c r="B6" s="83"/>
      <c r="C6" s="83"/>
      <c r="D6" s="83"/>
      <c r="E6" s="83"/>
      <c r="F6" s="83"/>
      <c r="G6" s="83"/>
      <c r="H6" s="83"/>
      <c r="I6" s="83"/>
      <c r="J6" s="83"/>
      <c r="K6" s="83"/>
      <c r="L6" s="83"/>
      <c r="M6" s="83"/>
      <c r="N6" s="83"/>
      <c r="O6" s="84"/>
    </row>
    <row r="7" spans="1:15">
      <c r="A7" s="82"/>
      <c r="B7" s="83"/>
      <c r="C7" s="83"/>
      <c r="D7" s="83"/>
      <c r="E7" s="83"/>
      <c r="F7" s="83"/>
      <c r="G7" s="83"/>
      <c r="H7" s="83"/>
      <c r="I7" s="83"/>
      <c r="J7" s="83"/>
      <c r="K7" s="83"/>
      <c r="L7" s="83"/>
      <c r="M7" s="83"/>
      <c r="N7" s="83"/>
      <c r="O7" s="84"/>
    </row>
    <row r="8" spans="1:15">
      <c r="A8" s="82"/>
      <c r="B8" s="83">
        <v>0</v>
      </c>
      <c r="C8" s="83"/>
      <c r="D8" s="83"/>
      <c r="E8" s="83"/>
      <c r="F8" s="83"/>
      <c r="G8" s="83"/>
      <c r="H8" s="83"/>
      <c r="I8" s="83"/>
      <c r="J8" s="83"/>
      <c r="K8" s="83"/>
      <c r="L8" s="83"/>
      <c r="M8" s="83"/>
      <c r="N8" s="83"/>
      <c r="O8" s="84"/>
    </row>
    <row r="9" spans="1:15">
      <c r="A9" s="82"/>
      <c r="B9" s="83"/>
      <c r="C9" s="83"/>
      <c r="D9" s="83"/>
      <c r="E9" s="83"/>
      <c r="F9" s="83"/>
      <c r="G9" s="83"/>
      <c r="H9" s="83"/>
      <c r="I9" s="83"/>
      <c r="J9" s="83"/>
      <c r="K9" s="83"/>
      <c r="L9" s="83"/>
      <c r="M9" s="83"/>
      <c r="N9" s="83"/>
      <c r="O9" s="84"/>
    </row>
    <row r="10" spans="1:15">
      <c r="A10" s="82"/>
      <c r="B10" s="83"/>
      <c r="C10" s="83"/>
      <c r="D10" s="83"/>
      <c r="E10" s="83"/>
      <c r="F10" s="83"/>
      <c r="G10" s="83"/>
      <c r="H10" s="83"/>
      <c r="I10" s="83"/>
      <c r="J10" s="83"/>
      <c r="K10" s="83"/>
      <c r="L10" s="83"/>
      <c r="M10" s="83"/>
      <c r="N10" s="83"/>
      <c r="O10" s="84"/>
    </row>
    <row r="11" spans="1:15">
      <c r="A11" s="82"/>
      <c r="B11" s="83"/>
      <c r="C11" s="83"/>
      <c r="D11" s="83"/>
      <c r="E11" s="83"/>
      <c r="F11" s="83"/>
      <c r="G11" s="83"/>
      <c r="H11" s="83"/>
      <c r="I11" s="83"/>
      <c r="J11" s="83"/>
      <c r="K11" s="83"/>
      <c r="L11" s="83"/>
      <c r="M11" s="83"/>
      <c r="N11" s="83"/>
      <c r="O11" s="84"/>
    </row>
    <row r="12" spans="1:15">
      <c r="A12" s="82"/>
      <c r="B12" s="83"/>
      <c r="C12" s="83"/>
      <c r="D12" s="83"/>
      <c r="E12" s="83"/>
      <c r="F12" s="83"/>
      <c r="G12" s="83"/>
      <c r="H12" s="83"/>
      <c r="I12" s="83"/>
      <c r="J12" s="83"/>
      <c r="K12" s="83"/>
      <c r="L12" s="83"/>
      <c r="M12" s="83"/>
      <c r="N12" s="83"/>
      <c r="O12" s="84"/>
    </row>
    <row r="13" spans="1:15">
      <c r="A13" s="82"/>
      <c r="B13" s="83"/>
      <c r="C13" s="83"/>
      <c r="D13" s="83"/>
      <c r="E13" s="83"/>
      <c r="F13" s="83"/>
      <c r="G13" s="83"/>
      <c r="H13" s="83"/>
      <c r="I13" s="83"/>
      <c r="J13" s="83"/>
      <c r="K13" s="83"/>
      <c r="L13" s="83"/>
      <c r="M13" s="83"/>
      <c r="N13" s="83"/>
      <c r="O13" s="84"/>
    </row>
    <row r="14" spans="1:15">
      <c r="A14" s="82"/>
      <c r="B14" s="83"/>
      <c r="C14" s="83"/>
      <c r="D14" s="83"/>
      <c r="E14" s="83"/>
      <c r="F14" s="83"/>
      <c r="G14" s="83"/>
      <c r="H14" s="83"/>
      <c r="I14" s="83"/>
      <c r="J14" s="83"/>
      <c r="K14" s="83"/>
      <c r="L14" s="83"/>
      <c r="M14" s="83"/>
      <c r="N14" s="83"/>
      <c r="O14" s="84"/>
    </row>
    <row r="15" spans="1:15">
      <c r="A15" s="82"/>
      <c r="B15" s="83"/>
      <c r="C15" s="83"/>
      <c r="D15" s="83"/>
      <c r="E15" s="83"/>
      <c r="F15" s="83"/>
      <c r="G15" s="83"/>
      <c r="H15" s="83"/>
      <c r="I15" s="83"/>
      <c r="J15" s="83"/>
      <c r="K15" s="83"/>
      <c r="L15" s="83"/>
      <c r="M15" s="83"/>
      <c r="N15" s="83"/>
      <c r="O15" s="84"/>
    </row>
    <row r="16" spans="1:15">
      <c r="A16" s="82"/>
      <c r="B16" s="83"/>
      <c r="C16" s="83"/>
      <c r="D16" s="83"/>
      <c r="E16" s="83"/>
      <c r="F16" s="83"/>
      <c r="G16" s="83"/>
      <c r="H16" s="83"/>
      <c r="I16" s="83"/>
      <c r="J16" s="83"/>
      <c r="K16" s="83"/>
      <c r="L16" s="83"/>
      <c r="M16" s="83"/>
      <c r="N16" s="83"/>
      <c r="O16" s="84"/>
    </row>
    <row r="17" spans="1:15">
      <c r="A17" s="82"/>
      <c r="B17" s="83"/>
      <c r="C17" s="83"/>
      <c r="D17" s="83"/>
      <c r="E17" s="83"/>
      <c r="F17" s="83"/>
      <c r="G17" s="83"/>
      <c r="H17" s="83"/>
      <c r="I17" s="83"/>
      <c r="J17" s="83"/>
      <c r="K17" s="83"/>
      <c r="L17" s="83"/>
      <c r="M17" s="83"/>
      <c r="N17" s="83"/>
      <c r="O17" s="84"/>
    </row>
    <row r="18" spans="1:15">
      <c r="A18" s="82"/>
      <c r="B18" s="83"/>
      <c r="C18" s="83"/>
      <c r="D18" s="83"/>
      <c r="E18" s="83"/>
      <c r="F18" s="83"/>
      <c r="G18" s="83"/>
      <c r="H18" s="83"/>
      <c r="I18" s="83"/>
      <c r="J18" s="83"/>
      <c r="K18" s="83"/>
      <c r="L18" s="83"/>
      <c r="M18" s="83"/>
      <c r="N18" s="83"/>
      <c r="O18" s="84"/>
    </row>
    <row r="19" spans="1:15">
      <c r="A19" s="82"/>
      <c r="B19" s="83"/>
      <c r="C19" s="83"/>
      <c r="D19" s="83"/>
      <c r="E19" s="83"/>
      <c r="F19" s="83"/>
      <c r="G19" s="83"/>
      <c r="H19" s="83"/>
      <c r="I19" s="83"/>
      <c r="J19" s="83"/>
      <c r="K19" s="83"/>
      <c r="L19" s="83"/>
      <c r="M19" s="83"/>
      <c r="N19" s="83"/>
      <c r="O19" s="84"/>
    </row>
    <row r="20" spans="1:15">
      <c r="A20" s="82"/>
      <c r="B20" s="83"/>
      <c r="C20" s="83"/>
      <c r="D20" s="83"/>
      <c r="E20" s="83"/>
      <c r="F20" s="83"/>
      <c r="G20" s="83"/>
      <c r="H20" s="83"/>
      <c r="I20" s="83"/>
      <c r="J20" s="83"/>
      <c r="K20" s="83"/>
      <c r="L20" s="83"/>
      <c r="M20" s="83"/>
      <c r="N20" s="83"/>
      <c r="O20" s="84"/>
    </row>
    <row r="21" spans="1:15">
      <c r="A21" s="82"/>
      <c r="B21" s="83"/>
      <c r="C21" s="83"/>
      <c r="D21" s="83"/>
      <c r="E21" s="83"/>
      <c r="F21" s="83"/>
      <c r="G21" s="83"/>
      <c r="H21" s="83"/>
      <c r="I21" s="83"/>
      <c r="J21" s="83"/>
      <c r="K21" s="83"/>
      <c r="L21" s="83"/>
      <c r="M21" s="83"/>
      <c r="N21" s="83"/>
      <c r="O21" s="84"/>
    </row>
    <row r="22" spans="1:15" ht="13" thickBot="1">
      <c r="A22" s="82"/>
      <c r="B22" s="83"/>
      <c r="C22" s="83"/>
      <c r="D22" s="83"/>
      <c r="E22" s="83"/>
      <c r="F22" s="83"/>
      <c r="G22" s="83"/>
      <c r="H22" s="83"/>
      <c r="I22" s="83"/>
      <c r="J22" s="83"/>
      <c r="K22" s="83"/>
      <c r="L22" s="83"/>
      <c r="M22" s="90"/>
      <c r="N22" s="90"/>
      <c r="O22" s="90"/>
    </row>
    <row r="23" spans="1:15">
      <c r="A23" s="82"/>
      <c r="B23" s="83"/>
      <c r="C23" s="83"/>
      <c r="D23" s="83"/>
      <c r="E23" s="83"/>
      <c r="F23" s="83"/>
      <c r="G23" s="83"/>
      <c r="H23" s="83"/>
      <c r="I23" s="83"/>
      <c r="J23" s="83"/>
      <c r="K23" s="83"/>
      <c r="L23" s="83"/>
      <c r="M23" s="88"/>
      <c r="N23" s="83"/>
      <c r="O23" s="89"/>
    </row>
    <row r="24" spans="1:15">
      <c r="A24" s="82"/>
      <c r="B24" s="83"/>
      <c r="C24" s="83"/>
      <c r="D24" s="83"/>
      <c r="E24" s="83"/>
      <c r="F24" s="83"/>
      <c r="G24" s="83"/>
      <c r="H24" s="83"/>
      <c r="I24" s="83"/>
      <c r="J24" s="83"/>
      <c r="K24" s="83"/>
      <c r="L24" s="83"/>
      <c r="M24" s="88"/>
      <c r="N24" s="83"/>
      <c r="O24" s="89"/>
    </row>
    <row r="25" spans="1:15">
      <c r="A25" s="82"/>
      <c r="B25" s="83"/>
      <c r="C25" s="83"/>
      <c r="D25" s="83"/>
      <c r="E25" s="83"/>
      <c r="F25" s="83"/>
      <c r="G25" s="83"/>
      <c r="H25" s="83"/>
      <c r="I25" s="83"/>
      <c r="J25" s="83"/>
      <c r="K25" s="83"/>
      <c r="L25" s="83"/>
      <c r="M25" s="88"/>
      <c r="N25" s="83"/>
      <c r="O25" s="89"/>
    </row>
    <row r="26" spans="1:15">
      <c r="A26" s="82"/>
      <c r="B26" s="83"/>
      <c r="C26" s="83"/>
      <c r="D26" s="83"/>
      <c r="E26" s="83"/>
      <c r="F26" s="83"/>
      <c r="G26" s="83"/>
      <c r="H26" s="83"/>
      <c r="I26" s="83"/>
      <c r="J26" s="83"/>
      <c r="K26" s="83"/>
      <c r="L26" s="83"/>
      <c r="M26" s="88"/>
      <c r="N26" s="83"/>
      <c r="O26" s="89"/>
    </row>
    <row r="27" spans="1:15">
      <c r="A27" s="82"/>
      <c r="B27" s="83"/>
      <c r="C27" s="83"/>
      <c r="D27" s="83"/>
      <c r="E27" s="83"/>
      <c r="F27" s="83"/>
      <c r="G27" s="83"/>
      <c r="H27" s="83"/>
      <c r="I27" s="83"/>
      <c r="J27" s="83"/>
      <c r="K27" s="83"/>
      <c r="L27" s="83"/>
      <c r="M27" s="88"/>
      <c r="N27" s="83"/>
      <c r="O27" s="89"/>
    </row>
    <row r="28" spans="1:15">
      <c r="A28" s="82"/>
      <c r="B28" s="83"/>
      <c r="C28" s="83"/>
      <c r="D28" s="83"/>
      <c r="E28" s="83"/>
      <c r="F28" s="83"/>
      <c r="G28" s="83"/>
      <c r="H28" s="83"/>
      <c r="I28" s="83"/>
      <c r="J28" s="83"/>
      <c r="K28" s="83"/>
      <c r="L28" s="83"/>
      <c r="M28" s="88"/>
      <c r="N28" s="83"/>
      <c r="O28" s="89"/>
    </row>
    <row r="29" spans="1:15">
      <c r="A29" s="82"/>
      <c r="B29" s="83"/>
      <c r="C29" s="83"/>
      <c r="D29" s="83"/>
      <c r="E29" s="83"/>
      <c r="F29" s="83"/>
      <c r="G29" s="83"/>
      <c r="H29" s="83"/>
      <c r="I29" s="83"/>
      <c r="J29" s="83"/>
      <c r="K29" s="83"/>
      <c r="L29" s="83"/>
      <c r="M29" s="88"/>
      <c r="N29" s="83"/>
      <c r="O29" s="89"/>
    </row>
    <row r="30" spans="1:15">
      <c r="A30" s="82"/>
      <c r="B30" s="83"/>
      <c r="C30" s="83"/>
      <c r="D30" s="83"/>
      <c r="E30" s="83"/>
      <c r="F30" s="83"/>
      <c r="G30" s="83"/>
      <c r="H30" s="83"/>
      <c r="I30" s="83"/>
      <c r="J30" s="83"/>
      <c r="K30" s="83"/>
      <c r="L30" s="83"/>
      <c r="M30" s="88"/>
      <c r="N30" s="83"/>
      <c r="O30" s="89"/>
    </row>
    <row r="31" spans="1:15" ht="14">
      <c r="A31" s="82"/>
      <c r="B31" s="83"/>
      <c r="C31" s="83"/>
      <c r="D31" s="83"/>
      <c r="E31" s="83"/>
      <c r="F31" s="83"/>
      <c r="G31" s="83"/>
      <c r="H31" s="83"/>
      <c r="I31" s="83"/>
      <c r="J31" s="83"/>
      <c r="K31" s="83"/>
      <c r="L31" s="83"/>
      <c r="M31" s="106"/>
      <c r="N31" s="83"/>
      <c r="O31" s="89"/>
    </row>
    <row r="32" spans="1:15" ht="14">
      <c r="A32" s="82"/>
      <c r="B32" s="83"/>
      <c r="C32" s="83"/>
      <c r="D32" s="83"/>
      <c r="E32" s="83"/>
      <c r="F32" s="83"/>
      <c r="G32" s="83"/>
      <c r="H32" s="83"/>
      <c r="I32" s="83"/>
      <c r="J32" s="83"/>
      <c r="K32" s="83"/>
      <c r="L32" s="105"/>
      <c r="M32" s="106" t="s">
        <v>696</v>
      </c>
      <c r="N32" s="83"/>
      <c r="O32" s="89"/>
    </row>
    <row r="33" spans="1:15" ht="14.5" thickBot="1">
      <c r="A33" s="85"/>
      <c r="B33" s="86"/>
      <c r="C33" s="86"/>
      <c r="D33" s="86"/>
      <c r="E33" s="86"/>
      <c r="F33" s="86"/>
      <c r="G33" s="86"/>
      <c r="H33" s="86"/>
      <c r="I33" s="86"/>
      <c r="J33" s="86"/>
      <c r="K33" s="86"/>
      <c r="L33" s="86"/>
      <c r="M33" s="106" t="s">
        <v>697</v>
      </c>
      <c r="N33" s="90"/>
      <c r="O33" s="91"/>
    </row>
    <row r="34" spans="1:15" hidden="1">
      <c r="A34" s="87"/>
      <c r="B34" s="87"/>
      <c r="C34" s="87"/>
      <c r="D34" s="87"/>
      <c r="E34" s="87"/>
      <c r="F34" s="87"/>
      <c r="G34" s="87"/>
      <c r="H34" s="87"/>
      <c r="I34" s="87"/>
      <c r="J34" s="87"/>
      <c r="K34" s="87"/>
      <c r="L34" s="87"/>
      <c r="M34" s="87"/>
      <c r="N34" s="87"/>
      <c r="O34" s="87"/>
    </row>
  </sheetData>
  <sheetProtection algorithmName="SHA-512" hashValue="sKC9yjx4EiYGOSGd4ytNrRHZWtNe6LrjMKhK0adL80rwp/8fYsonrbkkoO9s3zhbYFihniZtWYrWLGvOcOrojA==" saltValue="80M6YgpDQBYCY1YavbMPQw==" spinCount="100000" sheet="1" objects="1" scenarios="1"/>
  <mergeCells count="1">
    <mergeCell ref="E2:J2"/>
  </mergeCells>
  <phoneticPr fontId="0" type="noConversion"/>
  <pageMargins left="0.75" right="0.75" top="0.52" bottom="1" header="0.5" footer="0.5"/>
  <pageSetup scale="71"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Line="0" autoPict="0" macro="[0]!Access_Consumer_KWH_Data">
                <anchor moveWithCells="1" sizeWithCells="1">
                  <from>
                    <xdr:col>6</xdr:col>
                    <xdr:colOff>57150</xdr:colOff>
                    <xdr:row>4</xdr:row>
                    <xdr:rowOff>88900</xdr:rowOff>
                  </from>
                  <to>
                    <xdr:col>8</xdr:col>
                    <xdr:colOff>381000</xdr:colOff>
                    <xdr:row>10</xdr:row>
                    <xdr:rowOff>76200</xdr:rowOff>
                  </to>
                </anchor>
              </controlPr>
            </control>
          </mc:Choice>
        </mc:AlternateContent>
        <mc:AlternateContent xmlns:mc="http://schemas.openxmlformats.org/markup-compatibility/2006">
          <mc:Choice Requires="x14">
            <control shapeId="8194" r:id="rId5" name="Button 2">
              <controlPr defaultSize="0" print="0" autoFill="0" autoLine="0" autoPict="0" macro="[0]!Access_Plant_Addition_Data">
                <anchor moveWithCells="1" sizeWithCells="1">
                  <from>
                    <xdr:col>12</xdr:col>
                    <xdr:colOff>12700</xdr:colOff>
                    <xdr:row>4</xdr:row>
                    <xdr:rowOff>57150</xdr:rowOff>
                  </from>
                  <to>
                    <xdr:col>14</xdr:col>
                    <xdr:colOff>323850</xdr:colOff>
                    <xdr:row>10</xdr:row>
                    <xdr:rowOff>76200</xdr:rowOff>
                  </to>
                </anchor>
              </controlPr>
            </control>
          </mc:Choice>
        </mc:AlternateContent>
        <mc:AlternateContent xmlns:mc="http://schemas.openxmlformats.org/markup-compatibility/2006">
          <mc:Choice Requires="x14">
            <control shapeId="8195" r:id="rId6" name="Button 3">
              <controlPr defaultSize="0" print="0" autoFill="0" autoLine="0" autoPict="0" macro="[0]!Access_Monthly_RUS_Debt">
                <anchor moveWithCells="1" sizeWithCells="1">
                  <from>
                    <xdr:col>3</xdr:col>
                    <xdr:colOff>95250</xdr:colOff>
                    <xdr:row>13</xdr:row>
                    <xdr:rowOff>50800</xdr:rowOff>
                  </from>
                  <to>
                    <xdr:col>5</xdr:col>
                    <xdr:colOff>419100</xdr:colOff>
                    <xdr:row>22</xdr:row>
                    <xdr:rowOff>57150</xdr:rowOff>
                  </to>
                </anchor>
              </controlPr>
            </control>
          </mc:Choice>
        </mc:AlternateContent>
        <mc:AlternateContent xmlns:mc="http://schemas.openxmlformats.org/markup-compatibility/2006">
          <mc:Choice Requires="x14">
            <control shapeId="8196" r:id="rId7" name="Button 4">
              <controlPr defaultSize="0" print="0" autoFill="0" autoLine="0" autoPict="0" macro="[0]!Access_Revenue_Data">
                <anchor moveWithCells="1" sizeWithCells="1">
                  <from>
                    <xdr:col>9</xdr:col>
                    <xdr:colOff>31750</xdr:colOff>
                    <xdr:row>4</xdr:row>
                    <xdr:rowOff>69850</xdr:rowOff>
                  </from>
                  <to>
                    <xdr:col>11</xdr:col>
                    <xdr:colOff>355600</xdr:colOff>
                    <xdr:row>10</xdr:row>
                    <xdr:rowOff>95250</xdr:rowOff>
                  </to>
                </anchor>
              </controlPr>
            </control>
          </mc:Choice>
        </mc:AlternateContent>
        <mc:AlternateContent xmlns:mc="http://schemas.openxmlformats.org/markup-compatibility/2006">
          <mc:Choice Requires="x14">
            <control shapeId="8197" r:id="rId8" name="Button 5">
              <controlPr defaultSize="0" print="0" autoFill="0" autoLine="0" autoPict="0" macro="[0]!Access_Quarterly_RUS_Debt">
                <anchor moveWithCells="1" sizeWithCells="1">
                  <from>
                    <xdr:col>0</xdr:col>
                    <xdr:colOff>133350</xdr:colOff>
                    <xdr:row>13</xdr:row>
                    <xdr:rowOff>50800</xdr:rowOff>
                  </from>
                  <to>
                    <xdr:col>2</xdr:col>
                    <xdr:colOff>457200</xdr:colOff>
                    <xdr:row>22</xdr:row>
                    <xdr:rowOff>88900</xdr:rowOff>
                  </to>
                </anchor>
              </controlPr>
            </control>
          </mc:Choice>
        </mc:AlternateContent>
        <mc:AlternateContent xmlns:mc="http://schemas.openxmlformats.org/markup-compatibility/2006">
          <mc:Choice Requires="x14">
            <control shapeId="8198" r:id="rId9" name="Button 6">
              <controlPr defaultSize="0" print="0" autoFill="0" autoLine="0" autoPict="0" macro="[0]!Access_Guaranteed_Debt">
                <anchor moveWithCells="1" sizeWithCells="1">
                  <from>
                    <xdr:col>6</xdr:col>
                    <xdr:colOff>95250</xdr:colOff>
                    <xdr:row>13</xdr:row>
                    <xdr:rowOff>31750</xdr:rowOff>
                  </from>
                  <to>
                    <xdr:col>8</xdr:col>
                    <xdr:colOff>393700</xdr:colOff>
                    <xdr:row>22</xdr:row>
                    <xdr:rowOff>50800</xdr:rowOff>
                  </to>
                </anchor>
              </controlPr>
            </control>
          </mc:Choice>
        </mc:AlternateContent>
        <mc:AlternateContent xmlns:mc="http://schemas.openxmlformats.org/markup-compatibility/2006">
          <mc:Choice Requires="x14">
            <control shapeId="8199" r:id="rId10" name="Button 7">
              <controlPr defaultSize="0" print="0" autoFill="0" autoLine="0" autoPict="0" macro="[0]!Access_Other_Debt">
                <anchor moveWithCells="1" sizeWithCells="1">
                  <from>
                    <xdr:col>9</xdr:col>
                    <xdr:colOff>57150</xdr:colOff>
                    <xdr:row>13</xdr:row>
                    <xdr:rowOff>38100</xdr:rowOff>
                  </from>
                  <to>
                    <xdr:col>11</xdr:col>
                    <xdr:colOff>361950</xdr:colOff>
                    <xdr:row>22</xdr:row>
                    <xdr:rowOff>31750</xdr:rowOff>
                  </to>
                </anchor>
              </controlPr>
            </control>
          </mc:Choice>
        </mc:AlternateContent>
        <mc:AlternateContent xmlns:mc="http://schemas.openxmlformats.org/markup-compatibility/2006">
          <mc:Choice Requires="x14">
            <control shapeId="8200" r:id="rId11" name="Button 8">
              <controlPr defaultSize="0" print="0" autoFill="0" autoLine="0" autoPict="0" macro="[0]!Access_Primary_Assumptions">
                <anchor moveWithCells="1" sizeWithCells="1">
                  <from>
                    <xdr:col>0</xdr:col>
                    <xdr:colOff>146050</xdr:colOff>
                    <xdr:row>4</xdr:row>
                    <xdr:rowOff>19050</xdr:rowOff>
                  </from>
                  <to>
                    <xdr:col>2</xdr:col>
                    <xdr:colOff>438150</xdr:colOff>
                    <xdr:row>12</xdr:row>
                    <xdr:rowOff>12700</xdr:rowOff>
                  </to>
                </anchor>
              </controlPr>
            </control>
          </mc:Choice>
        </mc:AlternateContent>
        <mc:AlternateContent xmlns:mc="http://schemas.openxmlformats.org/markup-compatibility/2006">
          <mc:Choice Requires="x14">
            <control shapeId="8201" r:id="rId12" name="Button 9">
              <controlPr defaultSize="0" print="0" autoFill="0" autoLine="0" autoPict="0" macro="[0]!PrintCompleteReport">
                <anchor moveWithCells="1" sizeWithCells="1">
                  <from>
                    <xdr:col>3</xdr:col>
                    <xdr:colOff>133350</xdr:colOff>
                    <xdr:row>23</xdr:row>
                    <xdr:rowOff>127000</xdr:rowOff>
                  </from>
                  <to>
                    <xdr:col>5</xdr:col>
                    <xdr:colOff>438150</xdr:colOff>
                    <xdr:row>30</xdr:row>
                    <xdr:rowOff>127000</xdr:rowOff>
                  </to>
                </anchor>
              </controlPr>
            </control>
          </mc:Choice>
        </mc:AlternateContent>
        <mc:AlternateContent xmlns:mc="http://schemas.openxmlformats.org/markup-compatibility/2006">
          <mc:Choice Requires="x14">
            <control shapeId="8202" r:id="rId13" name="Button 10">
              <controlPr defaultSize="0" print="0" autoFill="0" autoLine="0" autoPict="0" macro="[0]!PrintSummaryPages">
                <anchor moveWithCells="1" sizeWithCells="1">
                  <from>
                    <xdr:col>6</xdr:col>
                    <xdr:colOff>76200</xdr:colOff>
                    <xdr:row>23</xdr:row>
                    <xdr:rowOff>127000</xdr:rowOff>
                  </from>
                  <to>
                    <xdr:col>8</xdr:col>
                    <xdr:colOff>393700</xdr:colOff>
                    <xdr:row>30</xdr:row>
                    <xdr:rowOff>107950</xdr:rowOff>
                  </to>
                </anchor>
              </controlPr>
            </control>
          </mc:Choice>
        </mc:AlternateContent>
        <mc:AlternateContent xmlns:mc="http://schemas.openxmlformats.org/markup-compatibility/2006">
          <mc:Choice Requires="x14">
            <control shapeId="8203" r:id="rId14" name="Button 11">
              <controlPr defaultSize="0" print="0" autoFill="0" autoLine="0" autoPict="0" macro="[0]!PrintAbbreviatedForecast">
                <anchor moveWithCells="1" sizeWithCells="1">
                  <from>
                    <xdr:col>9</xdr:col>
                    <xdr:colOff>57150</xdr:colOff>
                    <xdr:row>23</xdr:row>
                    <xdr:rowOff>127000</xdr:rowOff>
                  </from>
                  <to>
                    <xdr:col>11</xdr:col>
                    <xdr:colOff>355600</xdr:colOff>
                    <xdr:row>30</xdr:row>
                    <xdr:rowOff>107950</xdr:rowOff>
                  </to>
                </anchor>
              </controlPr>
            </control>
          </mc:Choice>
        </mc:AlternateContent>
        <mc:AlternateContent xmlns:mc="http://schemas.openxmlformats.org/markup-compatibility/2006">
          <mc:Choice Requires="x14">
            <control shapeId="8207" r:id="rId15" name="Button 15">
              <controlPr defaultSize="0" print="0" autoFill="0" autoLine="0" autoPict="0" macro="[0]!Access_Historic_ASR_Data">
                <anchor moveWithCells="1" sizeWithCells="1">
                  <from>
                    <xdr:col>3</xdr:col>
                    <xdr:colOff>127000</xdr:colOff>
                    <xdr:row>4</xdr:row>
                    <xdr:rowOff>69850</xdr:rowOff>
                  </from>
                  <to>
                    <xdr:col>5</xdr:col>
                    <xdr:colOff>361950</xdr:colOff>
                    <xdr:row>10</xdr:row>
                    <xdr:rowOff>95250</xdr:rowOff>
                  </to>
                </anchor>
              </controlPr>
            </control>
          </mc:Choice>
        </mc:AlternateContent>
        <mc:AlternateContent xmlns:mc="http://schemas.openxmlformats.org/markup-compatibility/2006">
          <mc:Choice Requires="x14">
            <control shapeId="8209" r:id="rId16" name="Button 17">
              <controlPr defaultSize="0" print="0" autoFill="0" autoLine="0" autoPict="0" macro="[0]!Access_Graphs">
                <anchor moveWithCells="1" sizeWithCells="1">
                  <from>
                    <xdr:col>0</xdr:col>
                    <xdr:colOff>171450</xdr:colOff>
                    <xdr:row>23</xdr:row>
                    <xdr:rowOff>107950</xdr:rowOff>
                  </from>
                  <to>
                    <xdr:col>2</xdr:col>
                    <xdr:colOff>419100</xdr:colOff>
                    <xdr:row>31</xdr:row>
                    <xdr:rowOff>19050</xdr:rowOff>
                  </to>
                </anchor>
              </controlPr>
            </control>
          </mc:Choice>
        </mc:AlternateContent>
        <mc:AlternateContent xmlns:mc="http://schemas.openxmlformats.org/markup-compatibility/2006">
          <mc:Choice Requires="x14">
            <control shapeId="8210" r:id="rId17" name="Button 18">
              <controlPr defaultSize="0" print="0" autoFill="0" autoLine="0" autoPict="0" macro="[0]!Annual_Update_with_New_Years_Data">
                <anchor moveWithCells="1" sizeWithCells="1">
                  <from>
                    <xdr:col>12</xdr:col>
                    <xdr:colOff>133350</xdr:colOff>
                    <xdr:row>23</xdr:row>
                    <xdr:rowOff>19050</xdr:rowOff>
                  </from>
                  <to>
                    <xdr:col>14</xdr:col>
                    <xdr:colOff>374650</xdr:colOff>
                    <xdr:row>30</xdr:row>
                    <xdr:rowOff>69850</xdr:rowOff>
                  </to>
                </anchor>
              </controlPr>
            </control>
          </mc:Choice>
        </mc:AlternateContent>
        <mc:AlternateContent xmlns:mc="http://schemas.openxmlformats.org/markup-compatibility/2006">
          <mc:Choice Requires="x14">
            <control shapeId="8211" r:id="rId18" name="Button 19">
              <controlPr defaultSize="0" print="0" autoFill="0" autoLine="0" autoPict="0" macro="[0]!General_Funds_Calculation">
                <anchor moveWithCells="1" sizeWithCells="1">
                  <from>
                    <xdr:col>12</xdr:col>
                    <xdr:colOff>31750</xdr:colOff>
                    <xdr:row>13</xdr:row>
                    <xdr:rowOff>50800</xdr:rowOff>
                  </from>
                  <to>
                    <xdr:col>14</xdr:col>
                    <xdr:colOff>381000</xdr:colOff>
                    <xdr:row>20</xdr:row>
                    <xdr:rowOff>95250</xdr:rowOff>
                  </to>
                </anchor>
              </controlPr>
            </control>
          </mc:Choice>
        </mc:AlternateContent>
        <mc:AlternateContent xmlns:mc="http://schemas.openxmlformats.org/markup-compatibility/2006">
          <mc:Choice Requires="x14">
            <control shapeId="8212" r:id="rId19" name="Button 20">
              <controlPr defaultSize="0" print="0" autoFill="0" autoLine="0" autoPict="0" macro="[0]!Change_Screen_Resolution">
                <anchor moveWithCells="1" sizeWithCells="1">
                  <from>
                    <xdr:col>5</xdr:col>
                    <xdr:colOff>209550</xdr:colOff>
                    <xdr:row>2</xdr:row>
                    <xdr:rowOff>88900</xdr:rowOff>
                  </from>
                  <to>
                    <xdr:col>9</xdr:col>
                    <xdr:colOff>133350</xdr:colOff>
                    <xdr:row>3</xdr:row>
                    <xdr:rowOff>107950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pageSetUpPr fitToPage="1"/>
  </sheetPr>
  <dimension ref="A1:P30"/>
  <sheetViews>
    <sheetView showGridLines="0" zoomScale="101" zoomScaleNormal="101" workbookViewId="0">
      <pane xSplit="3" ySplit="6" topLeftCell="D7" activePane="bottomRight" state="frozen"/>
      <selection pane="topRight" activeCell="D1" sqref="D1"/>
      <selection pane="bottomLeft" activeCell="A7" sqref="A7"/>
      <selection pane="bottomRight" activeCell="D7" sqref="D7"/>
    </sheetView>
  </sheetViews>
  <sheetFormatPr defaultColWidth="0" defaultRowHeight="12.5" zeroHeight="1"/>
  <cols>
    <col min="1" max="1" width="5.7265625" customWidth="1"/>
    <col min="2" max="2" width="14.54296875" customWidth="1"/>
    <col min="3" max="3" width="35.453125" customWidth="1"/>
    <col min="4" max="16" width="15.81640625" customWidth="1"/>
    <col min="17" max="17" width="14.54296875" customWidth="1"/>
  </cols>
  <sheetData>
    <row r="1" spans="1:16" ht="16.5" customHeight="1">
      <c r="A1" s="13"/>
      <c r="B1" s="13"/>
      <c r="C1" s="13"/>
      <c r="D1" s="13"/>
      <c r="E1" s="13"/>
      <c r="F1" s="14" t="s">
        <v>42</v>
      </c>
      <c r="G1" s="13"/>
      <c r="H1" s="14" t="s">
        <v>219</v>
      </c>
      <c r="I1" s="13"/>
      <c r="J1" s="13"/>
      <c r="K1" s="13"/>
      <c r="L1" s="13"/>
      <c r="M1" s="13"/>
      <c r="N1" s="13"/>
      <c r="O1" s="13"/>
      <c r="P1" s="13"/>
    </row>
    <row r="2" spans="1:16" ht="16.5" customHeight="1">
      <c r="A2" s="13"/>
      <c r="B2" s="13"/>
      <c r="C2" s="13"/>
      <c r="D2" s="13"/>
      <c r="E2" s="13"/>
      <c r="F2" s="13"/>
      <c r="G2" s="13"/>
      <c r="H2" s="13"/>
      <c r="I2" s="13"/>
      <c r="J2" s="13"/>
      <c r="K2" s="13"/>
      <c r="L2" s="13"/>
      <c r="M2" s="13"/>
      <c r="N2" s="13"/>
      <c r="O2" s="13"/>
      <c r="P2" s="13"/>
    </row>
    <row r="3" spans="1:16" ht="16.5" customHeight="1">
      <c r="A3" s="13"/>
      <c r="B3" s="13"/>
      <c r="C3" s="13"/>
      <c r="D3" s="260" t="s">
        <v>682</v>
      </c>
      <c r="E3" s="260"/>
      <c r="F3" s="260"/>
      <c r="G3" s="18" t="s">
        <v>44</v>
      </c>
      <c r="H3" s="18"/>
      <c r="I3" s="260" t="s">
        <v>45</v>
      </c>
      <c r="J3" s="260"/>
      <c r="K3" s="18" t="s">
        <v>44</v>
      </c>
      <c r="L3" s="18"/>
      <c r="M3" s="18"/>
      <c r="N3" s="18"/>
      <c r="O3" s="18"/>
      <c r="P3" s="18"/>
    </row>
    <row r="4" spans="1:16" ht="16.5" customHeight="1">
      <c r="A4" s="13"/>
      <c r="B4" s="13"/>
      <c r="C4" s="13"/>
      <c r="D4" s="13"/>
      <c r="E4" s="13"/>
      <c r="F4" s="13"/>
      <c r="G4" s="13"/>
      <c r="H4" s="13"/>
      <c r="I4" s="13"/>
      <c r="J4" s="13"/>
      <c r="K4" s="13"/>
      <c r="L4" s="13"/>
      <c r="M4" s="13"/>
      <c r="N4" s="13"/>
      <c r="O4" s="13"/>
      <c r="P4" s="13"/>
    </row>
    <row r="5" spans="1:16" ht="16.5" customHeight="1">
      <c r="A5" s="13"/>
      <c r="B5" s="13"/>
      <c r="C5" s="13"/>
      <c r="D5" s="15">
        <f>E5-1</f>
        <v>2021</v>
      </c>
      <c r="E5" s="15">
        <f>F5-1</f>
        <v>2022</v>
      </c>
      <c r="F5" s="15">
        <f>G5-1</f>
        <v>2023</v>
      </c>
      <c r="G5" s="15">
        <f>Input!G8</f>
        <v>2024</v>
      </c>
      <c r="H5" s="15">
        <f t="shared" ref="H5:P5" si="0">G5+1</f>
        <v>2025</v>
      </c>
      <c r="I5" s="15">
        <f t="shared" si="0"/>
        <v>2026</v>
      </c>
      <c r="J5" s="15">
        <f t="shared" si="0"/>
        <v>2027</v>
      </c>
      <c r="K5" s="15">
        <f t="shared" si="0"/>
        <v>2028</v>
      </c>
      <c r="L5" s="15">
        <f t="shared" si="0"/>
        <v>2029</v>
      </c>
      <c r="M5" s="15">
        <f t="shared" si="0"/>
        <v>2030</v>
      </c>
      <c r="N5" s="15">
        <f t="shared" si="0"/>
        <v>2031</v>
      </c>
      <c r="O5" s="15">
        <f t="shared" si="0"/>
        <v>2032</v>
      </c>
      <c r="P5" s="15">
        <f t="shared" si="0"/>
        <v>2033</v>
      </c>
    </row>
    <row r="6" spans="1:16" ht="16.5" customHeight="1">
      <c r="A6" s="13"/>
      <c r="B6" s="13"/>
      <c r="C6" s="13"/>
      <c r="D6" s="15" t="s">
        <v>683</v>
      </c>
      <c r="E6" s="15" t="s">
        <v>683</v>
      </c>
      <c r="F6" s="15" t="s">
        <v>683</v>
      </c>
      <c r="G6" s="15" t="s">
        <v>683</v>
      </c>
      <c r="H6" s="15" t="s">
        <v>683</v>
      </c>
      <c r="I6" s="15" t="s">
        <v>683</v>
      </c>
      <c r="J6" s="15" t="s">
        <v>683</v>
      </c>
      <c r="K6" s="15" t="s">
        <v>683</v>
      </c>
      <c r="L6" s="15" t="s">
        <v>683</v>
      </c>
      <c r="M6" s="15" t="s">
        <v>683</v>
      </c>
      <c r="N6" s="15" t="s">
        <v>683</v>
      </c>
      <c r="O6" s="15" t="s">
        <v>683</v>
      </c>
      <c r="P6" s="15" t="s">
        <v>683</v>
      </c>
    </row>
    <row r="7" spans="1:16" ht="16.5" customHeight="1">
      <c r="A7" s="14" t="s">
        <v>204</v>
      </c>
      <c r="B7" s="13"/>
      <c r="C7" s="13"/>
      <c r="D7" s="71">
        <f>'e - Sales'!D61</f>
        <v>0</v>
      </c>
      <c r="E7" s="71">
        <f>'e - Sales'!E61</f>
        <v>0</v>
      </c>
      <c r="F7" s="71">
        <f>'e - Sales'!F61</f>
        <v>0</v>
      </c>
      <c r="G7" s="71">
        <f>'e - Sales'!G61</f>
        <v>0</v>
      </c>
      <c r="H7" s="71">
        <f>'e - Sales'!H61</f>
        <v>0</v>
      </c>
      <c r="I7" s="71">
        <f>'e - Sales'!I61</f>
        <v>0</v>
      </c>
      <c r="J7" s="71">
        <f>'e - Sales'!J61</f>
        <v>0</v>
      </c>
      <c r="K7" s="71">
        <f>'e - Sales'!K61</f>
        <v>0</v>
      </c>
      <c r="L7" s="71">
        <f>'e - Sales'!L61</f>
        <v>0</v>
      </c>
      <c r="M7" s="71">
        <f>'e - Sales'!M61</f>
        <v>0</v>
      </c>
      <c r="N7" s="71">
        <f>'e - Sales'!N61</f>
        <v>0</v>
      </c>
      <c r="O7" s="71">
        <f>'e - Sales'!O61</f>
        <v>0</v>
      </c>
      <c r="P7" s="71">
        <f>'e - Sales'!P61</f>
        <v>0</v>
      </c>
    </row>
    <row r="8" spans="1:16" ht="16.5" customHeight="1">
      <c r="A8" s="14" t="s">
        <v>205</v>
      </c>
      <c r="B8" s="13"/>
      <c r="C8" s="13"/>
      <c r="D8" s="70" t="e">
        <f>D10-D9</f>
        <v>#DIV/0!</v>
      </c>
      <c r="E8" s="70" t="e">
        <f>E10-E9</f>
        <v>#DIV/0!</v>
      </c>
      <c r="F8" s="70" t="e">
        <f>F10-F9</f>
        <v>#DIV/0!</v>
      </c>
      <c r="G8" s="70">
        <f>Input!G50</f>
        <v>0</v>
      </c>
      <c r="H8" s="70">
        <f>Input!H50</f>
        <v>0</v>
      </c>
      <c r="I8" s="70">
        <f>Input!I50</f>
        <v>0</v>
      </c>
      <c r="J8" s="70">
        <f>Input!J50</f>
        <v>0</v>
      </c>
      <c r="K8" s="70">
        <f>Input!K50</f>
        <v>0</v>
      </c>
      <c r="L8" s="70">
        <f>Input!L50</f>
        <v>0</v>
      </c>
      <c r="M8" s="70">
        <f>Input!M50</f>
        <v>0</v>
      </c>
      <c r="N8" s="70">
        <f>Input!N50</f>
        <v>0</v>
      </c>
      <c r="O8" s="70">
        <f>Input!O50</f>
        <v>0</v>
      </c>
      <c r="P8" s="70">
        <f>Input!P50</f>
        <v>0</v>
      </c>
    </row>
    <row r="9" spans="1:16" ht="16.5" customHeight="1">
      <c r="A9" s="14" t="s">
        <v>206</v>
      </c>
      <c r="B9" s="13"/>
      <c r="C9" s="13"/>
      <c r="D9" s="70">
        <f>Input!D51</f>
        <v>0</v>
      </c>
      <c r="E9" s="70">
        <f>Input!E51</f>
        <v>0</v>
      </c>
      <c r="F9" s="70">
        <f>Input!F51</f>
        <v>0</v>
      </c>
      <c r="G9" s="70">
        <f>Input!G51</f>
        <v>0</v>
      </c>
      <c r="H9" s="70">
        <f>Input!H51</f>
        <v>0</v>
      </c>
      <c r="I9" s="70">
        <f>Input!I51</f>
        <v>0</v>
      </c>
      <c r="J9" s="70">
        <f>Input!J51</f>
        <v>0</v>
      </c>
      <c r="K9" s="70">
        <f>Input!K51</f>
        <v>0</v>
      </c>
      <c r="L9" s="70">
        <f>Input!L51</f>
        <v>0</v>
      </c>
      <c r="M9" s="70">
        <f>Input!M51</f>
        <v>0</v>
      </c>
      <c r="N9" s="70">
        <f>Input!N51</f>
        <v>0</v>
      </c>
      <c r="O9" s="70">
        <f>Input!O51</f>
        <v>0</v>
      </c>
      <c r="P9" s="70">
        <f>Input!P51</f>
        <v>0</v>
      </c>
    </row>
    <row r="10" spans="1:16" ht="16.5" customHeight="1">
      <c r="A10" s="14" t="s">
        <v>207</v>
      </c>
      <c r="B10" s="13"/>
      <c r="C10" s="13"/>
      <c r="D10" s="70" t="e">
        <f>D11/D7</f>
        <v>#DIV/0!</v>
      </c>
      <c r="E10" s="70" t="e">
        <f>E11/E7</f>
        <v>#DIV/0!</v>
      </c>
      <c r="F10" s="70" t="e">
        <f>F11/F7</f>
        <v>#DIV/0!</v>
      </c>
      <c r="G10" s="70">
        <f>G8+G9</f>
        <v>0</v>
      </c>
      <c r="H10" s="70">
        <f t="shared" ref="H10:P10" si="1">H8+H9</f>
        <v>0</v>
      </c>
      <c r="I10" s="70">
        <f t="shared" si="1"/>
        <v>0</v>
      </c>
      <c r="J10" s="70">
        <f t="shared" si="1"/>
        <v>0</v>
      </c>
      <c r="K10" s="70">
        <f t="shared" si="1"/>
        <v>0</v>
      </c>
      <c r="L10" s="70">
        <f t="shared" si="1"/>
        <v>0</v>
      </c>
      <c r="M10" s="70">
        <f t="shared" si="1"/>
        <v>0</v>
      </c>
      <c r="N10" s="70">
        <f t="shared" si="1"/>
        <v>0</v>
      </c>
      <c r="O10" s="70">
        <f t="shared" si="1"/>
        <v>0</v>
      </c>
      <c r="P10" s="70">
        <f t="shared" si="1"/>
        <v>0</v>
      </c>
    </row>
    <row r="11" spans="1:16" ht="16.5" customHeight="1">
      <c r="A11" s="14" t="s">
        <v>208</v>
      </c>
      <c r="B11" s="13"/>
      <c r="C11" s="13"/>
      <c r="D11" s="71">
        <f>Input!D52</f>
        <v>0</v>
      </c>
      <c r="E11" s="71">
        <f>Input!E52</f>
        <v>0</v>
      </c>
      <c r="F11" s="71">
        <f>Input!F52</f>
        <v>0</v>
      </c>
      <c r="G11" s="71">
        <f>G10*G7</f>
        <v>0</v>
      </c>
      <c r="H11" s="71">
        <f t="shared" ref="H11:P11" si="2">H10*H7</f>
        <v>0</v>
      </c>
      <c r="I11" s="71">
        <f t="shared" si="2"/>
        <v>0</v>
      </c>
      <c r="J11" s="71">
        <f t="shared" si="2"/>
        <v>0</v>
      </c>
      <c r="K11" s="71">
        <f t="shared" si="2"/>
        <v>0</v>
      </c>
      <c r="L11" s="71">
        <f t="shared" si="2"/>
        <v>0</v>
      </c>
      <c r="M11" s="71">
        <f t="shared" si="2"/>
        <v>0</v>
      </c>
      <c r="N11" s="71">
        <f t="shared" si="2"/>
        <v>0</v>
      </c>
      <c r="O11" s="71">
        <f t="shared" si="2"/>
        <v>0</v>
      </c>
      <c r="P11" s="71">
        <f t="shared" si="2"/>
        <v>0</v>
      </c>
    </row>
    <row r="12" spans="1:16" ht="16.5" customHeight="1">
      <c r="A12" s="13"/>
      <c r="B12" s="13"/>
      <c r="C12" s="13"/>
      <c r="D12" s="13"/>
      <c r="E12" s="13"/>
      <c r="F12" s="13"/>
      <c r="G12" s="13"/>
      <c r="H12" s="13"/>
      <c r="I12" s="13"/>
      <c r="J12" s="13"/>
      <c r="K12" s="13"/>
      <c r="L12" s="13"/>
      <c r="M12" s="13"/>
      <c r="N12" s="13"/>
      <c r="O12" s="13"/>
      <c r="P12" s="13"/>
    </row>
    <row r="13" spans="1:16" ht="16.5" customHeight="1">
      <c r="A13" s="14" t="s">
        <v>209</v>
      </c>
      <c r="B13" s="13"/>
      <c r="C13" s="13"/>
      <c r="D13" s="16">
        <f>Input!D54</f>
        <v>0</v>
      </c>
      <c r="E13" s="16">
        <f>Input!E54</f>
        <v>0</v>
      </c>
      <c r="F13" s="16">
        <f>Input!F54</f>
        <v>0</v>
      </c>
      <c r="G13" s="16" t="e">
        <f>IF(Input!G54=0,AVERAGEA($D14:$F14)/100*G25,Input!G54)</f>
        <v>#DIV/0!</v>
      </c>
      <c r="H13" s="16" t="e">
        <f>IF(Input!H54=0,AVERAGEA($D14:$F14)/100*H25,Input!H54)</f>
        <v>#DIV/0!</v>
      </c>
      <c r="I13" s="16" t="e">
        <f>IF(Input!I54=0,AVERAGEA($D14:$F14)/100*I25,Input!I54)</f>
        <v>#DIV/0!</v>
      </c>
      <c r="J13" s="16" t="e">
        <f>IF(Input!J54=0,AVERAGEA($D14:$F14)/100*J25,Input!J54)</f>
        <v>#DIV/0!</v>
      </c>
      <c r="K13" s="16" t="e">
        <f>IF(Input!K54=0,AVERAGEA($D14:$F14)/100*K25,Input!K54)</f>
        <v>#DIV/0!</v>
      </c>
      <c r="L13" s="16" t="e">
        <f>IF(Input!L54=0,AVERAGEA($D14:$F14)/100*L25,Input!L54)</f>
        <v>#DIV/0!</v>
      </c>
      <c r="M13" s="16" t="e">
        <f>IF(Input!M54=0,AVERAGEA($D14:$F14)/100*M25,Input!M54)</f>
        <v>#DIV/0!</v>
      </c>
      <c r="N13" s="16" t="e">
        <f>IF(Input!N54=0,AVERAGEA($D14:$F14)/100*N25,Input!N54)</f>
        <v>#DIV/0!</v>
      </c>
      <c r="O13" s="16" t="e">
        <f>IF(Input!O54=0,AVERAGEA($D14:$F14)/100*O25,Input!O54)</f>
        <v>#DIV/0!</v>
      </c>
      <c r="P13" s="16" t="e">
        <f>IF(Input!P54=0,AVERAGEA($D14:$F14)/100*P25,Input!P54)</f>
        <v>#DIV/0!</v>
      </c>
    </row>
    <row r="14" spans="1:16" ht="16.5" customHeight="1">
      <c r="A14" s="14" t="s">
        <v>210</v>
      </c>
      <c r="B14" s="13"/>
      <c r="C14" s="13"/>
      <c r="D14" s="72" t="e">
        <f>D13/D25*100</f>
        <v>#DIV/0!</v>
      </c>
      <c r="E14" s="72" t="e">
        <f>E13/E25*100</f>
        <v>#DIV/0!</v>
      </c>
      <c r="F14" s="72" t="e">
        <f>F13/F25*100</f>
        <v>#DIV/0!</v>
      </c>
      <c r="G14" s="72" t="e">
        <f>IF(Input!G54=0,AVERAGEA($D14:$F14),G13/G25*100)</f>
        <v>#DIV/0!</v>
      </c>
      <c r="H14" s="72" t="e">
        <f>IF(Input!H54=0,AVERAGEA($D14:$F14),H13/H25*100)</f>
        <v>#DIV/0!</v>
      </c>
      <c r="I14" s="72" t="e">
        <f>IF(Input!I54=0,AVERAGEA($D14:$F14),I13/I25*100)</f>
        <v>#DIV/0!</v>
      </c>
      <c r="J14" s="72" t="e">
        <f>IF(Input!J54=0,AVERAGEA($D14:$F14),J13/J25*100)</f>
        <v>#DIV/0!</v>
      </c>
      <c r="K14" s="72" t="e">
        <f>IF(Input!K54=0,AVERAGEA($D14:$F14),K13/K25*100)</f>
        <v>#DIV/0!</v>
      </c>
      <c r="L14" s="72" t="e">
        <f>IF(Input!L54=0,AVERAGEA($D14:$F14),L13/L25*100)</f>
        <v>#DIV/0!</v>
      </c>
      <c r="M14" s="72" t="e">
        <f>IF(Input!M54=0,AVERAGEA($D14:$F14),M13/M25*100)</f>
        <v>#DIV/0!</v>
      </c>
      <c r="N14" s="72" t="e">
        <f>IF(Input!N54=0,AVERAGEA($D14:$F14),N13/N25*100)</f>
        <v>#DIV/0!</v>
      </c>
      <c r="O14" s="72" t="e">
        <f>IF(Input!O54=0,AVERAGEA($D14:$F14),O13/O25*100)</f>
        <v>#DIV/0!</v>
      </c>
      <c r="P14" s="72" t="e">
        <f>IF(Input!P54=0,AVERAGEA($D14:$F14),P13/P25*100)</f>
        <v>#DIV/0!</v>
      </c>
    </row>
    <row r="15" spans="1:16" ht="16.5" customHeight="1">
      <c r="A15" s="13"/>
      <c r="B15" s="13"/>
      <c r="C15" s="13"/>
      <c r="D15" s="13"/>
      <c r="E15" s="13"/>
      <c r="F15" s="13"/>
      <c r="G15" s="13"/>
      <c r="H15" s="13"/>
      <c r="I15" s="13"/>
      <c r="J15" s="13"/>
      <c r="K15" s="13"/>
      <c r="L15" s="13"/>
      <c r="M15" s="13"/>
      <c r="N15" s="13"/>
      <c r="O15" s="13"/>
      <c r="P15" s="13"/>
    </row>
    <row r="16" spans="1:16" ht="16.5" customHeight="1">
      <c r="A16" s="14" t="s">
        <v>211</v>
      </c>
      <c r="B16" s="13"/>
      <c r="C16" s="13"/>
      <c r="D16" s="16">
        <f>Input!D55</f>
        <v>0</v>
      </c>
      <c r="E16" s="16">
        <f>Input!E55</f>
        <v>0</v>
      </c>
      <c r="F16" s="16">
        <f>Input!F55</f>
        <v>0</v>
      </c>
      <c r="G16" s="16" t="e">
        <f>IF(Input!G55=0,AVERAGEA($D17:$F17)/100*G25,Input!G55)</f>
        <v>#DIV/0!</v>
      </c>
      <c r="H16" s="16" t="e">
        <f>IF(Input!H55=0,AVERAGEA($D17:$F17)/100*H25,Input!H55)</f>
        <v>#DIV/0!</v>
      </c>
      <c r="I16" s="16" t="e">
        <f>IF(Input!I55=0,AVERAGEA($D17:$F17)/100*I25,Input!I55)</f>
        <v>#DIV/0!</v>
      </c>
      <c r="J16" s="16" t="e">
        <f>IF(Input!J55=0,AVERAGEA($D17:$F17)/100*J25,Input!J55)</f>
        <v>#DIV/0!</v>
      </c>
      <c r="K16" s="16" t="e">
        <f>IF(Input!K55=0,AVERAGEA($D17:$F17)/100*K25,Input!K55)</f>
        <v>#DIV/0!</v>
      </c>
      <c r="L16" s="16" t="e">
        <f>IF(Input!L55=0,AVERAGEA($D17:$F17)/100*L25,Input!L55)</f>
        <v>#DIV/0!</v>
      </c>
      <c r="M16" s="16" t="e">
        <f>IF(Input!M55=0,AVERAGEA($D17:$F17)/100*M25,Input!M55)</f>
        <v>#DIV/0!</v>
      </c>
      <c r="N16" s="16" t="e">
        <f>IF(Input!N55=0,AVERAGEA($D17:$F17)/100*N25,Input!N55)</f>
        <v>#DIV/0!</v>
      </c>
      <c r="O16" s="16" t="e">
        <f>IF(Input!O55=0,AVERAGEA($D17:$F17)/100*O25,Input!O55)</f>
        <v>#DIV/0!</v>
      </c>
      <c r="P16" s="16" t="e">
        <f>IF(Input!P55=0,AVERAGEA($D17:$F17)/100*P25,Input!P55)</f>
        <v>#DIV/0!</v>
      </c>
    </row>
    <row r="17" spans="1:16" ht="16.5" customHeight="1">
      <c r="A17" s="14" t="s">
        <v>212</v>
      </c>
      <c r="B17" s="13"/>
      <c r="C17" s="13"/>
      <c r="D17" s="72" t="e">
        <f>D16/D25*100</f>
        <v>#DIV/0!</v>
      </c>
      <c r="E17" s="72" t="e">
        <f>E16/E25*100</f>
        <v>#DIV/0!</v>
      </c>
      <c r="F17" s="72" t="e">
        <f>F16/F25*100</f>
        <v>#DIV/0!</v>
      </c>
      <c r="G17" s="72" t="e">
        <f>IF(Input!G55=0,AVERAGEA($D17:$F17),G16/G25*100)</f>
        <v>#DIV/0!</v>
      </c>
      <c r="H17" s="72" t="e">
        <f>IF(Input!H55=0,AVERAGEA($D17:$F17),H16/H25*100)</f>
        <v>#DIV/0!</v>
      </c>
      <c r="I17" s="72" t="e">
        <f>IF(Input!I55=0,AVERAGEA($D17:$F17),I16/I25*100)</f>
        <v>#DIV/0!</v>
      </c>
      <c r="J17" s="72" t="e">
        <f>IF(Input!J55=0,AVERAGEA($D17:$F17),J16/J25*100)</f>
        <v>#DIV/0!</v>
      </c>
      <c r="K17" s="72" t="e">
        <f>IF(Input!K55=0,AVERAGEA($D17:$F17),K16/K25*100)</f>
        <v>#DIV/0!</v>
      </c>
      <c r="L17" s="72" t="e">
        <f>IF(Input!L55=0,AVERAGEA($D17:$F17),L16/L25*100)</f>
        <v>#DIV/0!</v>
      </c>
      <c r="M17" s="72" t="e">
        <f>IF(Input!M55=0,AVERAGEA($D17:$F17),M16/M25*100)</f>
        <v>#DIV/0!</v>
      </c>
      <c r="N17" s="72" t="e">
        <f>IF(Input!N55=0,AVERAGEA($D17:$F17),N16/N25*100)</f>
        <v>#DIV/0!</v>
      </c>
      <c r="O17" s="72" t="e">
        <f>IF(Input!O55=0,AVERAGEA($D17:$F17),O16/O25*100)</f>
        <v>#DIV/0!</v>
      </c>
      <c r="P17" s="72" t="e">
        <f>IF(Input!P55=0,AVERAGEA($D17:$F17),P16/P25*100)</f>
        <v>#DIV/0!</v>
      </c>
    </row>
    <row r="18" spans="1:16" ht="16.5" customHeight="1">
      <c r="A18" s="13"/>
      <c r="B18" s="13"/>
      <c r="C18" s="13"/>
      <c r="D18" s="13"/>
      <c r="E18" s="13"/>
      <c r="F18" s="13"/>
      <c r="G18" s="13"/>
      <c r="H18" s="13"/>
      <c r="I18" s="13"/>
      <c r="J18" s="13"/>
      <c r="K18" s="13"/>
      <c r="L18" s="13"/>
      <c r="M18" s="13"/>
      <c r="N18" s="13"/>
      <c r="O18" s="13"/>
      <c r="P18" s="13"/>
    </row>
    <row r="19" spans="1:16" ht="16.5" customHeight="1">
      <c r="A19" s="14" t="s">
        <v>213</v>
      </c>
      <c r="B19" s="13"/>
      <c r="C19" s="14"/>
      <c r="D19" s="16">
        <f>Input!D56</f>
        <v>0</v>
      </c>
      <c r="E19" s="16">
        <f>Input!E56</f>
        <v>0</v>
      </c>
      <c r="F19" s="16">
        <f>Input!F56</f>
        <v>0</v>
      </c>
      <c r="G19" s="16" t="e">
        <f>IF(Input!G56=0,AVERAGEA($D20:$F20)/100*G25,Input!G56)</f>
        <v>#DIV/0!</v>
      </c>
      <c r="H19" s="16" t="e">
        <f>IF(Input!H56=0,AVERAGEA($D20:$F20)/100*H25,Input!H56)</f>
        <v>#DIV/0!</v>
      </c>
      <c r="I19" s="16" t="e">
        <f>IF(Input!I56=0,AVERAGEA($D20:$F20)/100*I25,Input!I56)</f>
        <v>#DIV/0!</v>
      </c>
      <c r="J19" s="16" t="e">
        <f>IF(Input!J56=0,AVERAGEA($D20:$F20)/100*J25,Input!J56)</f>
        <v>#DIV/0!</v>
      </c>
      <c r="K19" s="16" t="e">
        <f>IF(Input!K56=0,AVERAGEA($D20:$F20)/100*K25,Input!K56)</f>
        <v>#DIV/0!</v>
      </c>
      <c r="L19" s="16" t="e">
        <f>IF(Input!L56=0,AVERAGEA($D20:$F20)/100*L25,Input!L56)</f>
        <v>#DIV/0!</v>
      </c>
      <c r="M19" s="16" t="e">
        <f>IF(Input!M56=0,AVERAGEA($D20:$F20)/100*M25,Input!M56)</f>
        <v>#DIV/0!</v>
      </c>
      <c r="N19" s="16" t="e">
        <f>IF(Input!N56=0,AVERAGEA($D20:$F20)/100*N25,Input!N56)</f>
        <v>#DIV/0!</v>
      </c>
      <c r="O19" s="16" t="e">
        <f>IF(Input!O56=0,AVERAGEA($D20:$F20)/100*O25,Input!O56)</f>
        <v>#DIV/0!</v>
      </c>
      <c r="P19" s="16" t="e">
        <f>IF(Input!P56=0,AVERAGEA($D20:$F20)/100*P25,Input!P56)</f>
        <v>#DIV/0!</v>
      </c>
    </row>
    <row r="20" spans="1:16" ht="16.5" customHeight="1">
      <c r="A20" s="14" t="s">
        <v>210</v>
      </c>
      <c r="B20" s="13"/>
      <c r="C20" s="14"/>
      <c r="D20" s="72" t="e">
        <f>D19/D25*100</f>
        <v>#DIV/0!</v>
      </c>
      <c r="E20" s="72" t="e">
        <f>E19/E25*100</f>
        <v>#DIV/0!</v>
      </c>
      <c r="F20" s="72" t="e">
        <f>F19/F25*100</f>
        <v>#DIV/0!</v>
      </c>
      <c r="G20" s="72" t="e">
        <f>IF(Input!G56=0,AVERAGEA($D20:$F20),G19/G25*100)</f>
        <v>#DIV/0!</v>
      </c>
      <c r="H20" s="72" t="e">
        <f>IF(Input!H56=0,AVERAGEA($D20:$F20),H19/H25*100)</f>
        <v>#DIV/0!</v>
      </c>
      <c r="I20" s="72" t="e">
        <f>IF(Input!I56=0,AVERAGEA($D20:$F20),I19/I25*100)</f>
        <v>#DIV/0!</v>
      </c>
      <c r="J20" s="72" t="e">
        <f>IF(Input!J56=0,AVERAGEA($D20:$F20),J19/J25*100)</f>
        <v>#DIV/0!</v>
      </c>
      <c r="K20" s="72" t="e">
        <f>IF(Input!K56=0,AVERAGEA($D20:$F20),K19/K25*100)</f>
        <v>#DIV/0!</v>
      </c>
      <c r="L20" s="72" t="e">
        <f>IF(Input!L56=0,AVERAGEA($D20:$F20),L19/L25*100)</f>
        <v>#DIV/0!</v>
      </c>
      <c r="M20" s="72" t="e">
        <f>IF(Input!M56=0,AVERAGEA($D20:$F20),M19/M25*100)</f>
        <v>#DIV/0!</v>
      </c>
      <c r="N20" s="72" t="e">
        <f>IF(Input!N56=0,AVERAGEA($D20:$F20),N19/N25*100)</f>
        <v>#DIV/0!</v>
      </c>
      <c r="O20" s="72" t="e">
        <f>IF(Input!O56=0,AVERAGEA($D20:$F20),O19/O25*100)</f>
        <v>#DIV/0!</v>
      </c>
      <c r="P20" s="72" t="e">
        <f>IF(Input!P56=0,AVERAGEA($D20:$F20),P19/P25*100)</f>
        <v>#DIV/0!</v>
      </c>
    </row>
    <row r="21" spans="1:16" ht="16.5" customHeight="1">
      <c r="A21" s="13"/>
      <c r="B21" s="13"/>
      <c r="C21" s="13"/>
      <c r="D21" s="13"/>
      <c r="E21" s="13"/>
      <c r="F21" s="13"/>
      <c r="G21" s="13"/>
      <c r="H21" s="13"/>
      <c r="I21" s="13"/>
      <c r="J21" s="13"/>
      <c r="K21" s="13"/>
      <c r="L21" s="13"/>
      <c r="M21" s="13"/>
      <c r="N21" s="13"/>
      <c r="O21" s="13"/>
      <c r="P21" s="13"/>
    </row>
    <row r="22" spans="1:16" ht="16.5" customHeight="1">
      <c r="A22" s="14" t="s">
        <v>214</v>
      </c>
      <c r="B22" s="13"/>
      <c r="C22" s="13"/>
      <c r="D22" s="16">
        <f>Input!D57</f>
        <v>0</v>
      </c>
      <c r="E22" s="16">
        <f>Input!E57</f>
        <v>0</v>
      </c>
      <c r="F22" s="16">
        <f>Input!F57</f>
        <v>0</v>
      </c>
      <c r="G22" s="16" t="e">
        <f>IF(Input!G57=0,AVERAGEA($D23:$F23)/100*G25,Input!G57)</f>
        <v>#DIV/0!</v>
      </c>
      <c r="H22" s="16" t="e">
        <f>IF(Input!H57=0,AVERAGEA($D23:$F23)/100*H25,Input!H57)</f>
        <v>#DIV/0!</v>
      </c>
      <c r="I22" s="16" t="e">
        <f>IF(Input!I57=0,AVERAGEA($D23:$F23)/100*I25,Input!I57)</f>
        <v>#DIV/0!</v>
      </c>
      <c r="J22" s="16" t="e">
        <f>IF(Input!J57=0,AVERAGEA($D23:$F23)/100*J25,Input!J57)</f>
        <v>#DIV/0!</v>
      </c>
      <c r="K22" s="16" t="e">
        <f>IF(Input!K57=0,AVERAGEA($D23:$F23)/100*K25,Input!K57)</f>
        <v>#DIV/0!</v>
      </c>
      <c r="L22" s="16" t="e">
        <f>IF(Input!L57=0,AVERAGEA($D23:$F23)/100*L25,Input!L57)</f>
        <v>#DIV/0!</v>
      </c>
      <c r="M22" s="16" t="e">
        <f>IF(Input!M57=0,AVERAGEA($D23:$F23)/100*M25,Input!M57)</f>
        <v>#DIV/0!</v>
      </c>
      <c r="N22" s="16" t="e">
        <f>IF(Input!N57=0,AVERAGEA($D23:$F23)/100*N25,Input!N57)</f>
        <v>#DIV/0!</v>
      </c>
      <c r="O22" s="16" t="e">
        <f>IF(Input!O57=0,AVERAGEA($D23:$F23)/100*O25,Input!O57)</f>
        <v>#DIV/0!</v>
      </c>
      <c r="P22" s="16" t="e">
        <f>IF(Input!P57=0,AVERAGEA($D23:$F23)/100*P25,Input!P57)</f>
        <v>#DIV/0!</v>
      </c>
    </row>
    <row r="23" spans="1:16" ht="16.5" customHeight="1">
      <c r="A23" s="14" t="s">
        <v>210</v>
      </c>
      <c r="B23" s="13"/>
      <c r="C23" s="13"/>
      <c r="D23" s="72" t="e">
        <f>D22/D25*100</f>
        <v>#DIV/0!</v>
      </c>
      <c r="E23" s="72" t="e">
        <f>E22/E25*100</f>
        <v>#DIV/0!</v>
      </c>
      <c r="F23" s="72" t="e">
        <f>F22/F25*100</f>
        <v>#DIV/0!</v>
      </c>
      <c r="G23" s="72" t="e">
        <f>IF(Input!G57=0,AVERAGEA($D23:$F23),G22/G25*100)</f>
        <v>#DIV/0!</v>
      </c>
      <c r="H23" s="72" t="e">
        <f>IF(Input!H57=0,AVERAGEA($D23:$F23),H22/H25*100)</f>
        <v>#DIV/0!</v>
      </c>
      <c r="I23" s="72" t="e">
        <f>IF(Input!I57=0,AVERAGEA($D23:$F23),I22/I25*100)</f>
        <v>#DIV/0!</v>
      </c>
      <c r="J23" s="72" t="e">
        <f>IF(Input!J57=0,AVERAGEA($D23:$F23),J22/J25*100)</f>
        <v>#DIV/0!</v>
      </c>
      <c r="K23" s="72" t="e">
        <f>IF(Input!K57=0,AVERAGEA($D23:$F23),K22/K25*100)</f>
        <v>#DIV/0!</v>
      </c>
      <c r="L23" s="72" t="e">
        <f>IF(Input!L57=0,AVERAGEA($D23:$F23),L22/L25*100)</f>
        <v>#DIV/0!</v>
      </c>
      <c r="M23" s="72" t="e">
        <f>IF(Input!M57=0,AVERAGEA($D23:$F23),M22/M25*100)</f>
        <v>#DIV/0!</v>
      </c>
      <c r="N23" s="72" t="e">
        <f>IF(Input!N57=0,AVERAGEA($D23:$F23),N22/N25*100)</f>
        <v>#DIV/0!</v>
      </c>
      <c r="O23" s="72" t="e">
        <f>IF(Input!O57=0,AVERAGEA($D23:$F23),O22/O25*100)</f>
        <v>#DIV/0!</v>
      </c>
      <c r="P23" s="72" t="e">
        <f>IF(Input!P57=0,AVERAGEA($D23:$F23),P22/P25*100)</f>
        <v>#DIV/0!</v>
      </c>
    </row>
    <row r="24" spans="1:16" ht="16.5" customHeight="1">
      <c r="A24" s="13"/>
      <c r="B24" s="13"/>
      <c r="C24" s="13"/>
      <c r="D24" s="13"/>
      <c r="E24" s="13"/>
      <c r="F24" s="13"/>
      <c r="G24" s="13"/>
      <c r="H24" s="13"/>
      <c r="I24" s="13"/>
      <c r="J24" s="13"/>
      <c r="K24" s="13"/>
      <c r="L24" s="13"/>
      <c r="M24" s="13"/>
      <c r="N24" s="13"/>
      <c r="O24" s="13"/>
      <c r="P24" s="13"/>
    </row>
    <row r="25" spans="1:16" ht="16.5" customHeight="1">
      <c r="A25" s="14" t="s">
        <v>215</v>
      </c>
      <c r="B25" s="13"/>
      <c r="C25" s="13"/>
      <c r="D25" s="16">
        <f>+'g - Plant'!E12</f>
        <v>0</v>
      </c>
      <c r="E25" s="16">
        <f>+'g - Plant'!F12</f>
        <v>0</v>
      </c>
      <c r="F25" s="16">
        <f>+'g - Plant'!G12</f>
        <v>0</v>
      </c>
      <c r="G25" s="16">
        <f>+'g - Plant'!H12</f>
        <v>0</v>
      </c>
      <c r="H25" s="16">
        <f>+'g - Plant'!I12</f>
        <v>0</v>
      </c>
      <c r="I25" s="16">
        <f>+'g - Plant'!J12</f>
        <v>0</v>
      </c>
      <c r="J25" s="16">
        <f>+'g - Plant'!K12</f>
        <v>0</v>
      </c>
      <c r="K25" s="16">
        <f>+'g - Plant'!L12</f>
        <v>0</v>
      </c>
      <c r="L25" s="16">
        <f>+'g - Plant'!M12</f>
        <v>0</v>
      </c>
      <c r="M25" s="16">
        <f>+'g - Plant'!N12</f>
        <v>0</v>
      </c>
      <c r="N25" s="16">
        <f>+'g - Plant'!O12</f>
        <v>0</v>
      </c>
      <c r="O25" s="16">
        <f>+'g - Plant'!P12</f>
        <v>0</v>
      </c>
      <c r="P25" s="16">
        <f>+'g - Plant'!Q12</f>
        <v>0</v>
      </c>
    </row>
    <row r="26" spans="1:16" ht="16.5" customHeight="1">
      <c r="A26" s="13"/>
      <c r="B26" s="13"/>
      <c r="C26" s="13"/>
      <c r="D26" s="13"/>
      <c r="E26" s="13"/>
      <c r="F26" s="13"/>
      <c r="G26" s="13"/>
      <c r="H26" s="13"/>
      <c r="I26" s="13"/>
      <c r="J26" s="13"/>
      <c r="K26" s="13"/>
      <c r="L26" s="13"/>
      <c r="M26" s="13"/>
      <c r="N26" s="13"/>
      <c r="O26" s="13"/>
      <c r="P26" s="13"/>
    </row>
    <row r="27" spans="1:16" ht="16.5" customHeight="1">
      <c r="A27" s="14" t="s">
        <v>216</v>
      </c>
      <c r="B27" s="13"/>
      <c r="C27" s="13"/>
      <c r="D27" s="16">
        <f>Input!D58</f>
        <v>0</v>
      </c>
      <c r="E27" s="16">
        <f>Input!E58</f>
        <v>0</v>
      </c>
      <c r="F27" s="16">
        <f>Input!F58</f>
        <v>0</v>
      </c>
      <c r="G27" s="16" t="e">
        <f>IF(Input!G58=0,IF(Input!G59=0,AVERAGEA($D28:$F28)*G29,Input!G59*G29),Input!G58)</f>
        <v>#DIV/0!</v>
      </c>
      <c r="H27" s="16" t="e">
        <f>IF(Input!H58=0,IF(Input!H59=0,AVERAGEA($D28:$F28)*H29,Input!H59*H29),Input!H58)</f>
        <v>#DIV/0!</v>
      </c>
      <c r="I27" s="16" t="e">
        <f>IF(Input!I58=0,IF(Input!I59=0,AVERAGEA($D28:$F28)*I29,Input!I59*I29),Input!I58)</f>
        <v>#DIV/0!</v>
      </c>
      <c r="J27" s="16" t="e">
        <f>IF(Input!J58=0,IF(Input!J59=0,AVERAGEA($D28:$F28)*J29,Input!J59*J29),Input!J58)</f>
        <v>#DIV/0!</v>
      </c>
      <c r="K27" s="16" t="e">
        <f>IF(Input!K58=0,IF(Input!K59=0,AVERAGEA($D28:$F28)*K29,Input!K59*K29),Input!K58)</f>
        <v>#DIV/0!</v>
      </c>
      <c r="L27" s="16" t="e">
        <f>IF(Input!L58=0,IF(Input!L59=0,AVERAGEA($D28:$F28)*L29,Input!L59*L29),Input!L58)</f>
        <v>#DIV/0!</v>
      </c>
      <c r="M27" s="16" t="e">
        <f>IF(Input!M58=0,IF(Input!M59=0,AVERAGEA($D28:$F28)*M29,Input!M59*M29),Input!M58)</f>
        <v>#DIV/0!</v>
      </c>
      <c r="N27" s="16" t="e">
        <f>IF(Input!N58=0,IF(Input!N59=0,AVERAGEA($D28:$F28)*N29,Input!N59*N29),Input!N58)</f>
        <v>#DIV/0!</v>
      </c>
      <c r="O27" s="16" t="e">
        <f>IF(Input!O58=0,IF(Input!O59=0,AVERAGEA($D28:$F28)*O29,Input!O59*O29),Input!O58)</f>
        <v>#DIV/0!</v>
      </c>
      <c r="P27" s="16" t="e">
        <f>IF(Input!P58=0,IF(Input!P59=0,AVERAGEA($D28:$F28)*P29,Input!P59*P29),Input!P58)</f>
        <v>#DIV/0!</v>
      </c>
    </row>
    <row r="28" spans="1:16" ht="16.5" customHeight="1">
      <c r="A28" s="14" t="s">
        <v>217</v>
      </c>
      <c r="B28" s="13"/>
      <c r="C28" s="13"/>
      <c r="D28" s="72" t="e">
        <f>D27/D29</f>
        <v>#DIV/0!</v>
      </c>
      <c r="E28" s="72" t="e">
        <f>E27/E29</f>
        <v>#DIV/0!</v>
      </c>
      <c r="F28" s="72" t="e">
        <f>F27/F29</f>
        <v>#DIV/0!</v>
      </c>
      <c r="G28" s="72" t="e">
        <f>IF(Input!G59=0,IF(Input!G58=0,AVERAGEA($D28:$F28),G27/G29),Input!G59)</f>
        <v>#DIV/0!</v>
      </c>
      <c r="H28" s="72" t="e">
        <f>IF(Input!H59=0,IF(Input!H58=0,AVERAGEA($D28:$F28),H27/H29),Input!H59)</f>
        <v>#DIV/0!</v>
      </c>
      <c r="I28" s="72" t="e">
        <f>IF(Input!I59=0,IF(Input!I58=0,AVERAGEA($D28:$F28),I27/I29),Input!I59)</f>
        <v>#DIV/0!</v>
      </c>
      <c r="J28" s="72" t="e">
        <f>IF(Input!J59=0,IF(Input!J58=0,AVERAGEA($D28:$F28),J27/J29),Input!J59)</f>
        <v>#DIV/0!</v>
      </c>
      <c r="K28" s="72" t="e">
        <f>IF(Input!K59=0,IF(Input!K58=0,AVERAGEA($D28:$F28),K27/K29),Input!K59)</f>
        <v>#DIV/0!</v>
      </c>
      <c r="L28" s="72" t="e">
        <f>IF(Input!L59=0,IF(Input!L58=0,AVERAGEA($D28:$F28),L27/L29),Input!L59)</f>
        <v>#DIV/0!</v>
      </c>
      <c r="M28" s="72" t="e">
        <f>IF(Input!M59=0,IF(Input!M58=0,AVERAGEA($D28:$F28),M27/M29),Input!M59)</f>
        <v>#DIV/0!</v>
      </c>
      <c r="N28" s="72" t="e">
        <f>IF(Input!N59=0,IF(Input!N58=0,AVERAGEA($D28:$F28),N27/N29),Input!N59)</f>
        <v>#DIV/0!</v>
      </c>
      <c r="O28" s="72" t="e">
        <f>IF(Input!O59=0,IF(Input!O58=0,AVERAGEA($D28:$F28),O27/O29),Input!O59)</f>
        <v>#DIV/0!</v>
      </c>
      <c r="P28" s="72" t="e">
        <f>IF(Input!P59=0,IF(Input!P58=0,AVERAGEA($D28:$F28),P27/P29),Input!P59)</f>
        <v>#DIV/0!</v>
      </c>
    </row>
    <row r="29" spans="1:16" ht="16.5" customHeight="1">
      <c r="A29" s="14" t="s">
        <v>218</v>
      </c>
      <c r="B29" s="13"/>
      <c r="C29" s="13"/>
      <c r="D29" s="16">
        <f>'e - Sales'!D21</f>
        <v>0</v>
      </c>
      <c r="E29" s="16">
        <f>'e - Sales'!E21</f>
        <v>0</v>
      </c>
      <c r="F29" s="16">
        <f>'e - Sales'!F21</f>
        <v>0</v>
      </c>
      <c r="G29" s="16">
        <f>'e - Sales'!G21</f>
        <v>0</v>
      </c>
      <c r="H29" s="16">
        <f>'e - Sales'!H21</f>
        <v>0</v>
      </c>
      <c r="I29" s="16">
        <f>'e - Sales'!I21</f>
        <v>0</v>
      </c>
      <c r="J29" s="16">
        <f>'e - Sales'!J21</f>
        <v>0</v>
      </c>
      <c r="K29" s="16">
        <f>'e - Sales'!K21</f>
        <v>0</v>
      </c>
      <c r="L29" s="16">
        <f>'e - Sales'!L21</f>
        <v>0</v>
      </c>
      <c r="M29" s="16">
        <f>'e - Sales'!M21</f>
        <v>0</v>
      </c>
      <c r="N29" s="16">
        <f>'e - Sales'!N21</f>
        <v>0</v>
      </c>
      <c r="O29" s="16">
        <f>'e - Sales'!O21</f>
        <v>0</v>
      </c>
      <c r="P29" s="16">
        <f>'e - Sales'!P21</f>
        <v>0</v>
      </c>
    </row>
    <row r="30" spans="1:16" ht="16.5" customHeight="1">
      <c r="A30" s="13"/>
      <c r="B30" s="13"/>
      <c r="C30" s="13"/>
      <c r="D30" s="13"/>
      <c r="E30" s="13"/>
      <c r="F30" s="13"/>
      <c r="G30" s="13"/>
      <c r="H30" s="13"/>
      <c r="I30" s="13"/>
      <c r="J30" s="13"/>
      <c r="K30" s="13"/>
      <c r="L30" s="13"/>
      <c r="M30" s="13"/>
      <c r="N30" s="13"/>
      <c r="O30" s="13"/>
      <c r="P30" s="13"/>
    </row>
  </sheetData>
  <sheetProtection password="9A24" sheet="1" objects="1" scenarios="1"/>
  <mergeCells count="2">
    <mergeCell ref="I3:J3"/>
    <mergeCell ref="D3:F3"/>
  </mergeCells>
  <phoneticPr fontId="0" type="noConversion"/>
  <pageMargins left="0.51" right="0.52" top="1" bottom="1" header="0.5" footer="0.5"/>
  <pageSetup scale="49"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pageSetUpPr fitToPage="1"/>
  </sheetPr>
  <dimension ref="A1:Q1048576"/>
  <sheetViews>
    <sheetView showGridLines="0" zoomScale="75" zoomScaleNormal="75" workbookViewId="0">
      <pane xSplit="3" ySplit="9" topLeftCell="D10" activePane="bottomRight" state="frozen"/>
      <selection pane="topRight" activeCell="D1" sqref="D1"/>
      <selection pane="bottomLeft" activeCell="A4" sqref="A4"/>
      <selection pane="bottomRight" activeCell="F45" sqref="F45"/>
    </sheetView>
  </sheetViews>
  <sheetFormatPr defaultColWidth="0" defaultRowHeight="12.5" zeroHeight="1"/>
  <cols>
    <col min="1" max="1" width="5.7265625" customWidth="1"/>
    <col min="2" max="2" width="31.81640625" customWidth="1"/>
    <col min="3" max="3" width="29" customWidth="1"/>
    <col min="4" max="16" width="15.81640625" customWidth="1"/>
    <col min="17" max="17" width="14.54296875" customWidth="1"/>
  </cols>
  <sheetData>
    <row r="1" spans="1:17" ht="18">
      <c r="E1" s="272" t="s">
        <v>669</v>
      </c>
      <c r="F1" s="272"/>
      <c r="G1" s="272"/>
      <c r="H1" s="272"/>
      <c r="I1" s="272"/>
    </row>
    <row r="2" spans="1:17" ht="15.5">
      <c r="B2" s="101" t="s">
        <v>691</v>
      </c>
      <c r="D2" s="23" t="s">
        <v>670</v>
      </c>
      <c r="E2" s="23"/>
      <c r="F2" s="23"/>
      <c r="G2" s="23"/>
      <c r="H2" s="23"/>
      <c r="I2" s="23"/>
      <c r="J2" s="23"/>
      <c r="K2" s="23"/>
      <c r="L2" s="23"/>
      <c r="M2" s="23"/>
      <c r="N2" s="23"/>
      <c r="O2" s="23"/>
      <c r="P2" s="23"/>
    </row>
    <row r="3" spans="1:17" ht="15.5">
      <c r="B3" s="101" t="s">
        <v>692</v>
      </c>
      <c r="D3" s="23" t="s">
        <v>973</v>
      </c>
      <c r="E3" s="23"/>
      <c r="F3" s="23"/>
      <c r="G3" s="23"/>
      <c r="H3" s="23"/>
      <c r="I3" s="23"/>
      <c r="J3" s="23"/>
      <c r="K3" s="23"/>
      <c r="L3" s="23"/>
      <c r="M3" s="23"/>
      <c r="N3" s="23"/>
      <c r="O3" s="23"/>
      <c r="P3" s="23"/>
    </row>
    <row r="4" spans="1:17" ht="15.5">
      <c r="B4" s="101" t="s">
        <v>693</v>
      </c>
      <c r="D4" s="23" t="s">
        <v>974</v>
      </c>
      <c r="E4" s="23"/>
      <c r="F4" s="23"/>
      <c r="G4" s="23"/>
      <c r="H4" s="23"/>
      <c r="I4" s="23"/>
      <c r="J4" s="23"/>
      <c r="K4" s="23"/>
      <c r="L4" s="23"/>
      <c r="M4" s="23"/>
      <c r="N4" s="23"/>
      <c r="O4" s="23"/>
      <c r="P4" s="23"/>
    </row>
    <row r="5" spans="1:17" ht="15.5">
      <c r="B5" s="101" t="s">
        <v>694</v>
      </c>
      <c r="D5" s="23" t="s">
        <v>962</v>
      </c>
      <c r="E5" s="23"/>
      <c r="F5" s="23"/>
      <c r="G5" s="23"/>
      <c r="H5" s="23"/>
      <c r="I5" s="23"/>
      <c r="J5" s="23"/>
      <c r="K5" s="23"/>
      <c r="L5" s="23"/>
      <c r="M5" s="23"/>
      <c r="N5" s="23"/>
      <c r="O5" s="23"/>
      <c r="P5" s="23"/>
    </row>
    <row r="6" spans="1:17" ht="15.5">
      <c r="B6" s="101" t="s">
        <v>695</v>
      </c>
      <c r="D6" s="23" t="s">
        <v>671</v>
      </c>
      <c r="E6" s="23"/>
      <c r="F6" s="23"/>
      <c r="G6" s="168"/>
      <c r="H6" s="23"/>
      <c r="I6" s="23"/>
      <c r="J6" s="23"/>
      <c r="K6" s="23"/>
      <c r="L6" s="23"/>
      <c r="M6" s="23"/>
      <c r="N6" s="23"/>
      <c r="O6" s="23"/>
      <c r="P6" s="23"/>
    </row>
    <row r="7" spans="1:17" ht="16.5" customHeight="1">
      <c r="A7" s="13"/>
      <c r="B7" s="14"/>
      <c r="C7" s="13"/>
      <c r="D7" s="260" t="s">
        <v>681</v>
      </c>
      <c r="E7" s="260"/>
      <c r="F7" s="260"/>
      <c r="G7" s="18" t="s">
        <v>44</v>
      </c>
      <c r="H7" s="18"/>
      <c r="I7" s="260" t="s">
        <v>45</v>
      </c>
      <c r="J7" s="260"/>
      <c r="K7" s="18" t="s">
        <v>44</v>
      </c>
      <c r="L7" s="18"/>
      <c r="M7" s="18"/>
      <c r="N7" s="18"/>
      <c r="O7" s="18"/>
      <c r="P7" s="18"/>
      <c r="Q7" s="13"/>
    </row>
    <row r="8" spans="1:17" ht="16.5" customHeight="1">
      <c r="A8" s="13"/>
      <c r="B8" s="14"/>
      <c r="C8" s="13"/>
      <c r="D8" s="15">
        <f>E8-1</f>
        <v>2021</v>
      </c>
      <c r="E8" s="15">
        <f>F8-1</f>
        <v>2022</v>
      </c>
      <c r="F8" s="15">
        <f>G8-1</f>
        <v>2023</v>
      </c>
      <c r="G8" s="168">
        <v>2024</v>
      </c>
      <c r="H8" s="15">
        <f t="shared" ref="H8:P8" si="0">G8+1</f>
        <v>2025</v>
      </c>
      <c r="I8" s="15">
        <f t="shared" si="0"/>
        <v>2026</v>
      </c>
      <c r="J8" s="15">
        <f t="shared" si="0"/>
        <v>2027</v>
      </c>
      <c r="K8" s="15">
        <f t="shared" si="0"/>
        <v>2028</v>
      </c>
      <c r="L8" s="15">
        <f t="shared" si="0"/>
        <v>2029</v>
      </c>
      <c r="M8" s="15">
        <f t="shared" si="0"/>
        <v>2030</v>
      </c>
      <c r="N8" s="15">
        <f t="shared" si="0"/>
        <v>2031</v>
      </c>
      <c r="O8" s="15">
        <f t="shared" si="0"/>
        <v>2032</v>
      </c>
      <c r="P8" s="15">
        <f t="shared" si="0"/>
        <v>2033</v>
      </c>
      <c r="Q8" s="13"/>
    </row>
    <row r="9" spans="1:17" ht="16.5" customHeight="1">
      <c r="A9" s="13"/>
      <c r="B9" s="13"/>
      <c r="C9" s="13"/>
      <c r="D9" s="93" t="s">
        <v>65</v>
      </c>
      <c r="E9" s="93" t="s">
        <v>65</v>
      </c>
      <c r="F9" s="93" t="s">
        <v>65</v>
      </c>
      <c r="G9" s="93" t="s">
        <v>65</v>
      </c>
      <c r="H9" s="93" t="s">
        <v>65</v>
      </c>
      <c r="I9" s="93" t="s">
        <v>65</v>
      </c>
      <c r="J9" s="93" t="s">
        <v>65</v>
      </c>
      <c r="K9" s="93" t="s">
        <v>65</v>
      </c>
      <c r="L9" s="93" t="s">
        <v>65</v>
      </c>
      <c r="M9" s="93" t="s">
        <v>65</v>
      </c>
      <c r="N9" s="93" t="s">
        <v>65</v>
      </c>
      <c r="O9" s="93" t="s">
        <v>65</v>
      </c>
      <c r="P9" s="93" t="s">
        <v>65</v>
      </c>
      <c r="Q9" s="13"/>
    </row>
    <row r="10" spans="1:17" ht="16.5" customHeight="1">
      <c r="A10" s="14" t="s">
        <v>66</v>
      </c>
      <c r="B10" s="13"/>
      <c r="C10" s="13"/>
      <c r="D10" s="13"/>
      <c r="E10" s="13"/>
      <c r="F10" s="13"/>
      <c r="G10" s="13"/>
      <c r="H10" s="13"/>
      <c r="I10" s="13"/>
      <c r="J10" s="13"/>
      <c r="K10" s="13"/>
      <c r="L10" s="13"/>
      <c r="M10" s="13"/>
      <c r="N10" s="13"/>
      <c r="O10" s="13"/>
      <c r="P10" s="13"/>
      <c r="Q10" s="13"/>
    </row>
    <row r="11" spans="1:17" ht="16.5" customHeight="1">
      <c r="A11" s="14" t="s">
        <v>67</v>
      </c>
      <c r="B11" s="14" t="s">
        <v>68</v>
      </c>
      <c r="C11" s="13"/>
      <c r="D11" s="62" t="s">
        <v>798</v>
      </c>
      <c r="E11" s="62" t="s">
        <v>798</v>
      </c>
      <c r="F11" s="7">
        <v>0</v>
      </c>
      <c r="G11" s="62" t="s">
        <v>798</v>
      </c>
      <c r="H11" s="62" t="s">
        <v>798</v>
      </c>
      <c r="I11" s="62" t="s">
        <v>798</v>
      </c>
      <c r="J11" s="62" t="s">
        <v>798</v>
      </c>
      <c r="K11" s="62" t="s">
        <v>798</v>
      </c>
      <c r="L11" s="62" t="s">
        <v>798</v>
      </c>
      <c r="M11" s="62" t="s">
        <v>798</v>
      </c>
      <c r="N11" s="62" t="s">
        <v>798</v>
      </c>
      <c r="O11" s="62" t="s">
        <v>798</v>
      </c>
      <c r="P11" s="62" t="s">
        <v>798</v>
      </c>
      <c r="Q11" s="13"/>
    </row>
    <row r="12" spans="1:17" ht="16.5" customHeight="1">
      <c r="A12" s="14" t="s">
        <v>69</v>
      </c>
      <c r="B12" s="14" t="s">
        <v>70</v>
      </c>
      <c r="C12" s="13"/>
      <c r="D12" s="62" t="s">
        <v>798</v>
      </c>
      <c r="E12" s="62" t="s">
        <v>798</v>
      </c>
      <c r="F12" s="7">
        <v>0</v>
      </c>
      <c r="G12" s="62" t="s">
        <v>798</v>
      </c>
      <c r="H12" s="62" t="s">
        <v>798</v>
      </c>
      <c r="I12" s="62" t="s">
        <v>798</v>
      </c>
      <c r="J12" s="62" t="s">
        <v>798</v>
      </c>
      <c r="K12" s="62" t="s">
        <v>798</v>
      </c>
      <c r="L12" s="62" t="s">
        <v>798</v>
      </c>
      <c r="M12" s="62" t="s">
        <v>798</v>
      </c>
      <c r="N12" s="62" t="s">
        <v>798</v>
      </c>
      <c r="O12" s="62" t="s">
        <v>798</v>
      </c>
      <c r="P12" s="62" t="s">
        <v>798</v>
      </c>
      <c r="Q12" s="13"/>
    </row>
    <row r="13" spans="1:17" ht="16.5" customHeight="1">
      <c r="A13" s="14"/>
      <c r="B13" s="14" t="s">
        <v>893</v>
      </c>
      <c r="C13" s="13"/>
      <c r="D13" s="62" t="s">
        <v>798</v>
      </c>
      <c r="E13" s="62" t="s">
        <v>798</v>
      </c>
      <c r="F13" s="62" t="s">
        <v>798</v>
      </c>
      <c r="G13" s="169" t="s">
        <v>963</v>
      </c>
      <c r="H13" s="169" t="s">
        <v>963</v>
      </c>
      <c r="I13" s="169" t="s">
        <v>963</v>
      </c>
      <c r="J13" s="169" t="s">
        <v>963</v>
      </c>
      <c r="K13" s="169" t="s">
        <v>963</v>
      </c>
      <c r="L13" s="169" t="s">
        <v>963</v>
      </c>
      <c r="M13" s="169" t="s">
        <v>963</v>
      </c>
      <c r="N13" s="169" t="s">
        <v>963</v>
      </c>
      <c r="O13" s="169" t="s">
        <v>963</v>
      </c>
      <c r="P13" s="169" t="s">
        <v>963</v>
      </c>
      <c r="Q13" s="169"/>
    </row>
    <row r="14" spans="1:17" ht="16.5" customHeight="1">
      <c r="A14" s="14"/>
      <c r="B14" s="14" t="s">
        <v>851</v>
      </c>
      <c r="C14" s="13"/>
      <c r="D14" s="62" t="s">
        <v>798</v>
      </c>
      <c r="E14" s="62" t="s">
        <v>798</v>
      </c>
      <c r="F14" s="62" t="s">
        <v>798</v>
      </c>
      <c r="G14" s="7">
        <v>1.75</v>
      </c>
      <c r="H14" s="7">
        <v>1.75</v>
      </c>
      <c r="I14" s="7">
        <v>1.75</v>
      </c>
      <c r="J14" s="7">
        <v>1.75</v>
      </c>
      <c r="K14" s="7">
        <v>1.75</v>
      </c>
      <c r="L14" s="7">
        <v>1.75</v>
      </c>
      <c r="M14" s="7">
        <v>1.75</v>
      </c>
      <c r="N14" s="7">
        <v>1.75</v>
      </c>
      <c r="O14" s="7">
        <v>1.75</v>
      </c>
      <c r="P14" s="7">
        <v>1.75</v>
      </c>
      <c r="Q14" s="13"/>
    </row>
    <row r="15" spans="1:17" ht="16.5" customHeight="1">
      <c r="A15" s="34" t="s">
        <v>362</v>
      </c>
      <c r="B15" s="34" t="s">
        <v>667</v>
      </c>
      <c r="C15" s="13"/>
      <c r="D15" s="62" t="s">
        <v>798</v>
      </c>
      <c r="E15" s="62" t="s">
        <v>798</v>
      </c>
      <c r="F15" s="62" t="s">
        <v>798</v>
      </c>
      <c r="G15" s="200">
        <v>0</v>
      </c>
      <c r="H15" s="200">
        <v>0</v>
      </c>
      <c r="I15" s="200">
        <v>0</v>
      </c>
      <c r="J15" s="200">
        <v>0</v>
      </c>
      <c r="K15" s="200">
        <v>0</v>
      </c>
      <c r="L15" s="200">
        <v>0</v>
      </c>
      <c r="M15" s="200">
        <v>0</v>
      </c>
      <c r="N15" s="200">
        <v>0</v>
      </c>
      <c r="O15" s="200">
        <v>0</v>
      </c>
      <c r="P15" s="200">
        <v>0</v>
      </c>
      <c r="Q15" s="13"/>
    </row>
    <row r="16" spans="1:17" ht="16.5" customHeight="1">
      <c r="A16" s="34" t="s">
        <v>104</v>
      </c>
      <c r="B16" s="34" t="s">
        <v>668</v>
      </c>
      <c r="C16" s="13"/>
      <c r="D16" s="62" t="s">
        <v>798</v>
      </c>
      <c r="E16" s="62" t="s">
        <v>798</v>
      </c>
      <c r="F16" s="62" t="s">
        <v>798</v>
      </c>
      <c r="G16" s="201">
        <v>0</v>
      </c>
      <c r="H16" s="201">
        <v>0</v>
      </c>
      <c r="I16" s="201">
        <v>0</v>
      </c>
      <c r="J16" s="201">
        <v>0</v>
      </c>
      <c r="K16" s="201">
        <v>0</v>
      </c>
      <c r="L16" s="201">
        <v>0</v>
      </c>
      <c r="M16" s="201">
        <v>0</v>
      </c>
      <c r="N16" s="201">
        <v>0</v>
      </c>
      <c r="O16" s="201">
        <v>0</v>
      </c>
      <c r="P16" s="201">
        <v>0</v>
      </c>
      <c r="Q16" s="13"/>
    </row>
    <row r="17" spans="1:17" ht="16.5" customHeight="1">
      <c r="A17" s="14"/>
      <c r="B17" s="14"/>
      <c r="C17" s="13"/>
      <c r="D17" s="62"/>
      <c r="E17" s="62"/>
      <c r="F17" s="53"/>
      <c r="G17" s="53"/>
      <c r="H17" s="53"/>
      <c r="I17" s="53"/>
      <c r="J17" s="53"/>
      <c r="K17" s="53"/>
      <c r="L17" s="53"/>
      <c r="M17" s="53"/>
      <c r="N17" s="53"/>
      <c r="O17" s="53"/>
      <c r="P17" s="53"/>
      <c r="Q17" s="13"/>
    </row>
    <row r="18" spans="1:17" ht="16.5" customHeight="1">
      <c r="A18" s="13"/>
      <c r="B18" s="14" t="s">
        <v>71</v>
      </c>
      <c r="C18" s="13"/>
      <c r="D18" s="62" t="s">
        <v>798</v>
      </c>
      <c r="E18" s="62" t="s">
        <v>798</v>
      </c>
      <c r="F18" s="62" t="s">
        <v>798</v>
      </c>
      <c r="G18" s="202">
        <v>0</v>
      </c>
      <c r="H18" s="202">
        <v>0</v>
      </c>
      <c r="I18" s="202">
        <v>0</v>
      </c>
      <c r="J18" s="202">
        <v>0</v>
      </c>
      <c r="K18" s="202">
        <v>0</v>
      </c>
      <c r="L18" s="202">
        <v>0</v>
      </c>
      <c r="M18" s="202">
        <v>0</v>
      </c>
      <c r="N18" s="202">
        <v>0</v>
      </c>
      <c r="O18" s="202">
        <v>0</v>
      </c>
      <c r="P18" s="202">
        <v>0</v>
      </c>
      <c r="Q18" s="13"/>
    </row>
    <row r="19" spans="1:17" ht="16.5" customHeight="1">
      <c r="A19" s="13"/>
      <c r="B19" s="14" t="s">
        <v>72</v>
      </c>
      <c r="C19" s="13"/>
      <c r="D19" s="62" t="s">
        <v>798</v>
      </c>
      <c r="E19" s="62" t="s">
        <v>798</v>
      </c>
      <c r="F19" s="8">
        <v>0</v>
      </c>
      <c r="G19" s="8">
        <v>0</v>
      </c>
      <c r="H19" s="8">
        <v>0</v>
      </c>
      <c r="I19" s="8">
        <v>0</v>
      </c>
      <c r="J19" s="8">
        <v>0</v>
      </c>
      <c r="K19" s="8">
        <v>0</v>
      </c>
      <c r="L19" s="8">
        <v>0</v>
      </c>
      <c r="M19" s="8">
        <v>0</v>
      </c>
      <c r="N19" s="8">
        <v>0</v>
      </c>
      <c r="O19" s="8">
        <v>0</v>
      </c>
      <c r="P19" s="8">
        <v>0</v>
      </c>
      <c r="Q19" s="13"/>
    </row>
    <row r="20" spans="1:17" ht="16.5" customHeight="1">
      <c r="A20" s="13"/>
      <c r="B20" s="13"/>
      <c r="C20" s="13"/>
      <c r="D20" s="13"/>
      <c r="E20" s="13"/>
      <c r="F20" s="13"/>
      <c r="G20" s="8"/>
      <c r="H20" s="8"/>
      <c r="I20" s="8"/>
      <c r="J20" s="8"/>
      <c r="K20" s="8"/>
      <c r="L20" s="8"/>
      <c r="M20" s="8"/>
      <c r="N20" s="8"/>
      <c r="O20" s="8"/>
      <c r="P20" s="8"/>
      <c r="Q20" s="13"/>
    </row>
    <row r="21" spans="1:17" ht="16.5" customHeight="1">
      <c r="A21" s="14" t="s">
        <v>73</v>
      </c>
      <c r="B21" s="13"/>
      <c r="C21" s="13"/>
      <c r="D21" s="8"/>
      <c r="E21" s="13"/>
      <c r="F21" s="13"/>
      <c r="G21" s="13"/>
      <c r="H21" s="13"/>
      <c r="I21" s="13"/>
      <c r="J21" s="13"/>
      <c r="K21" s="13"/>
      <c r="L21" s="13"/>
      <c r="M21" s="13"/>
      <c r="N21" s="13"/>
      <c r="O21" s="13"/>
      <c r="P21" s="13"/>
      <c r="Q21" s="13"/>
    </row>
    <row r="22" spans="1:17" ht="16.5" customHeight="1">
      <c r="A22" s="14" t="s">
        <v>74</v>
      </c>
      <c r="B22" s="14" t="s">
        <v>75</v>
      </c>
      <c r="C22" s="13"/>
      <c r="D22" s="62" t="s">
        <v>798</v>
      </c>
      <c r="E22" s="62" t="s">
        <v>798</v>
      </c>
      <c r="F22" s="214">
        <v>0</v>
      </c>
      <c r="G22" s="62" t="s">
        <v>798</v>
      </c>
      <c r="H22" s="62" t="s">
        <v>798</v>
      </c>
      <c r="I22" s="62" t="s">
        <v>798</v>
      </c>
      <c r="J22" s="62" t="s">
        <v>798</v>
      </c>
      <c r="K22" s="62" t="s">
        <v>798</v>
      </c>
      <c r="L22" s="62" t="s">
        <v>798</v>
      </c>
      <c r="M22" s="62" t="s">
        <v>798</v>
      </c>
      <c r="N22" s="62" t="s">
        <v>798</v>
      </c>
      <c r="O22" s="62" t="s">
        <v>798</v>
      </c>
      <c r="P22" s="62" t="s">
        <v>798</v>
      </c>
      <c r="Q22" s="13"/>
    </row>
    <row r="23" spans="1:17" ht="16.5" customHeight="1">
      <c r="A23" s="14" t="s">
        <v>76</v>
      </c>
      <c r="B23" s="14" t="s">
        <v>77</v>
      </c>
      <c r="C23" s="13"/>
      <c r="D23" s="62" t="s">
        <v>798</v>
      </c>
      <c r="E23" s="62" t="s">
        <v>798</v>
      </c>
      <c r="F23" s="214">
        <v>0</v>
      </c>
      <c r="G23" s="62" t="s">
        <v>798</v>
      </c>
      <c r="H23" s="62" t="s">
        <v>798</v>
      </c>
      <c r="I23" s="62" t="s">
        <v>798</v>
      </c>
      <c r="J23" s="62" t="s">
        <v>798</v>
      </c>
      <c r="K23" s="62" t="s">
        <v>798</v>
      </c>
      <c r="L23" s="62" t="s">
        <v>798</v>
      </c>
      <c r="M23" s="62" t="s">
        <v>798</v>
      </c>
      <c r="N23" s="62" t="s">
        <v>798</v>
      </c>
      <c r="O23" s="62" t="s">
        <v>798</v>
      </c>
      <c r="P23" s="62" t="s">
        <v>798</v>
      </c>
      <c r="Q23" s="13"/>
    </row>
    <row r="24" spans="1:17" ht="16.5" customHeight="1">
      <c r="A24" s="14" t="s">
        <v>78</v>
      </c>
      <c r="B24" s="14" t="s">
        <v>79</v>
      </c>
      <c r="C24" s="13"/>
      <c r="D24" s="62" t="s">
        <v>798</v>
      </c>
      <c r="E24" s="62" t="s">
        <v>798</v>
      </c>
      <c r="F24" s="214">
        <v>0</v>
      </c>
      <c r="G24" s="62" t="s">
        <v>798</v>
      </c>
      <c r="H24" s="62" t="s">
        <v>798</v>
      </c>
      <c r="I24" s="62" t="s">
        <v>798</v>
      </c>
      <c r="J24" s="62" t="s">
        <v>798</v>
      </c>
      <c r="K24" s="62" t="s">
        <v>798</v>
      </c>
      <c r="L24" s="62" t="s">
        <v>798</v>
      </c>
      <c r="M24" s="62" t="s">
        <v>798</v>
      </c>
      <c r="N24" s="62" t="s">
        <v>798</v>
      </c>
      <c r="O24" s="62" t="s">
        <v>798</v>
      </c>
      <c r="P24" s="62" t="s">
        <v>798</v>
      </c>
      <c r="Q24" s="13"/>
    </row>
    <row r="25" spans="1:17" ht="16.5" customHeight="1">
      <c r="A25" s="14" t="s">
        <v>80</v>
      </c>
      <c r="B25" s="14" t="s">
        <v>81</v>
      </c>
      <c r="C25" s="13"/>
      <c r="D25" s="62" t="s">
        <v>798</v>
      </c>
      <c r="E25" s="62" t="s">
        <v>798</v>
      </c>
      <c r="F25" s="214">
        <v>0</v>
      </c>
      <c r="G25" s="62" t="s">
        <v>798</v>
      </c>
      <c r="H25" s="62" t="s">
        <v>798</v>
      </c>
      <c r="I25" s="62" t="s">
        <v>798</v>
      </c>
      <c r="J25" s="62" t="s">
        <v>798</v>
      </c>
      <c r="K25" s="62" t="s">
        <v>798</v>
      </c>
      <c r="L25" s="62" t="s">
        <v>798</v>
      </c>
      <c r="M25" s="62" t="s">
        <v>798</v>
      </c>
      <c r="N25" s="62" t="s">
        <v>798</v>
      </c>
      <c r="O25" s="62" t="s">
        <v>798</v>
      </c>
      <c r="P25" s="62" t="s">
        <v>798</v>
      </c>
      <c r="Q25" s="13"/>
    </row>
    <row r="26" spans="1:17" ht="16.5" customHeight="1">
      <c r="A26" s="14" t="s">
        <v>82</v>
      </c>
      <c r="B26" s="14" t="s">
        <v>83</v>
      </c>
      <c r="C26" s="13"/>
      <c r="D26" s="62" t="s">
        <v>798</v>
      </c>
      <c r="E26" s="62" t="s">
        <v>798</v>
      </c>
      <c r="F26" s="214">
        <v>0</v>
      </c>
      <c r="G26" s="62" t="s">
        <v>798</v>
      </c>
      <c r="H26" s="62" t="s">
        <v>798</v>
      </c>
      <c r="I26" s="62" t="s">
        <v>798</v>
      </c>
      <c r="J26" s="62" t="s">
        <v>798</v>
      </c>
      <c r="K26" s="62" t="s">
        <v>798</v>
      </c>
      <c r="L26" s="62" t="s">
        <v>798</v>
      </c>
      <c r="M26" s="62" t="s">
        <v>798</v>
      </c>
      <c r="N26" s="62" t="s">
        <v>798</v>
      </c>
      <c r="O26" s="62" t="s">
        <v>798</v>
      </c>
      <c r="P26" s="62" t="s">
        <v>798</v>
      </c>
      <c r="Q26" s="13"/>
    </row>
    <row r="27" spans="1:17" ht="16.5" customHeight="1">
      <c r="A27" s="14" t="s">
        <v>834</v>
      </c>
      <c r="B27" s="14" t="s">
        <v>838</v>
      </c>
      <c r="C27" s="13"/>
      <c r="D27" s="62" t="s">
        <v>798</v>
      </c>
      <c r="E27" s="62" t="s">
        <v>798</v>
      </c>
      <c r="F27" s="214">
        <v>0</v>
      </c>
      <c r="G27" s="62" t="s">
        <v>798</v>
      </c>
      <c r="H27" s="62" t="s">
        <v>798</v>
      </c>
      <c r="I27" s="62" t="s">
        <v>798</v>
      </c>
      <c r="J27" s="62" t="s">
        <v>798</v>
      </c>
      <c r="K27" s="62" t="s">
        <v>798</v>
      </c>
      <c r="L27" s="62" t="s">
        <v>798</v>
      </c>
      <c r="M27" s="62" t="s">
        <v>798</v>
      </c>
      <c r="N27" s="62" t="s">
        <v>798</v>
      </c>
      <c r="O27" s="62" t="s">
        <v>798</v>
      </c>
      <c r="P27" s="62" t="s">
        <v>798</v>
      </c>
      <c r="Q27" s="13"/>
    </row>
    <row r="28" spans="1:17" ht="16.5" customHeight="1">
      <c r="A28" s="14" t="s">
        <v>84</v>
      </c>
      <c r="B28" s="14" t="s">
        <v>835</v>
      </c>
      <c r="C28" s="13"/>
      <c r="D28" s="62" t="s">
        <v>798</v>
      </c>
      <c r="E28" s="62" t="s">
        <v>798</v>
      </c>
      <c r="F28" s="214">
        <v>0</v>
      </c>
      <c r="G28" s="62" t="s">
        <v>798</v>
      </c>
      <c r="H28" s="62" t="s">
        <v>798</v>
      </c>
      <c r="I28" s="62" t="s">
        <v>798</v>
      </c>
      <c r="J28" s="62" t="s">
        <v>798</v>
      </c>
      <c r="K28" s="62" t="s">
        <v>798</v>
      </c>
      <c r="L28" s="62" t="s">
        <v>798</v>
      </c>
      <c r="M28" s="62" t="s">
        <v>798</v>
      </c>
      <c r="N28" s="62" t="s">
        <v>798</v>
      </c>
      <c r="O28" s="62" t="s">
        <v>798</v>
      </c>
      <c r="P28" s="62" t="s">
        <v>798</v>
      </c>
      <c r="Q28" s="13"/>
    </row>
    <row r="29" spans="1:17" ht="16.5" customHeight="1">
      <c r="A29" s="14" t="s">
        <v>84</v>
      </c>
      <c r="B29" s="14" t="s">
        <v>85</v>
      </c>
      <c r="C29" s="13"/>
      <c r="D29" s="62" t="s">
        <v>798</v>
      </c>
      <c r="E29" s="62" t="s">
        <v>798</v>
      </c>
      <c r="F29" s="214">
        <v>0</v>
      </c>
      <c r="G29" s="62" t="s">
        <v>798</v>
      </c>
      <c r="H29" s="62" t="s">
        <v>798</v>
      </c>
      <c r="I29" s="62" t="s">
        <v>798</v>
      </c>
      <c r="J29" s="62" t="s">
        <v>798</v>
      </c>
      <c r="K29" s="62" t="s">
        <v>798</v>
      </c>
      <c r="L29" s="62" t="s">
        <v>798</v>
      </c>
      <c r="M29" s="62" t="s">
        <v>798</v>
      </c>
      <c r="N29" s="62" t="s">
        <v>798</v>
      </c>
      <c r="O29" s="62" t="s">
        <v>798</v>
      </c>
      <c r="P29" s="62" t="s">
        <v>798</v>
      </c>
      <c r="Q29" s="13"/>
    </row>
    <row r="30" spans="1:17" ht="16.5" customHeight="1">
      <c r="A30" s="13"/>
      <c r="B30" s="13"/>
      <c r="C30" s="13"/>
      <c r="D30" s="13"/>
      <c r="E30" s="13"/>
      <c r="F30" s="13"/>
      <c r="G30" s="13"/>
      <c r="H30" s="13"/>
      <c r="I30" s="13"/>
      <c r="J30" s="13"/>
      <c r="K30" s="13"/>
      <c r="L30" s="13"/>
      <c r="M30" s="13"/>
      <c r="N30" s="13"/>
      <c r="O30" s="13"/>
      <c r="P30" s="13"/>
      <c r="Q30" s="13"/>
    </row>
    <row r="31" spans="1:17" ht="16.5" customHeight="1">
      <c r="A31" s="14" t="s">
        <v>86</v>
      </c>
      <c r="B31" s="13"/>
      <c r="C31" s="13"/>
      <c r="D31" s="13"/>
      <c r="E31" s="13"/>
      <c r="F31" s="8"/>
      <c r="G31" s="13"/>
      <c r="H31" s="13"/>
      <c r="I31" s="13"/>
      <c r="J31" s="13"/>
      <c r="K31" s="13"/>
      <c r="L31" s="13"/>
      <c r="M31" s="13"/>
      <c r="N31" s="13"/>
      <c r="O31" s="13"/>
      <c r="P31" s="13"/>
      <c r="Q31" s="13"/>
    </row>
    <row r="32" spans="1:17" ht="16.5" customHeight="1">
      <c r="A32" s="14" t="s">
        <v>699</v>
      </c>
      <c r="B32" s="14" t="s">
        <v>698</v>
      </c>
      <c r="C32" s="13"/>
      <c r="D32" s="62" t="s">
        <v>798</v>
      </c>
      <c r="E32" s="62" t="s">
        <v>798</v>
      </c>
      <c r="F32" s="214">
        <v>0</v>
      </c>
      <c r="G32" s="62" t="s">
        <v>798</v>
      </c>
      <c r="H32" s="62" t="s">
        <v>798</v>
      </c>
      <c r="I32" s="62" t="s">
        <v>798</v>
      </c>
      <c r="J32" s="62" t="s">
        <v>798</v>
      </c>
      <c r="K32" s="62" t="s">
        <v>798</v>
      </c>
      <c r="L32" s="62" t="s">
        <v>798</v>
      </c>
      <c r="M32" s="62" t="s">
        <v>798</v>
      </c>
      <c r="N32" s="62" t="s">
        <v>798</v>
      </c>
      <c r="O32" s="62" t="s">
        <v>798</v>
      </c>
      <c r="P32" s="62" t="s">
        <v>798</v>
      </c>
      <c r="Q32" s="13"/>
    </row>
    <row r="33" spans="1:17" ht="16.5" customHeight="1">
      <c r="A33" s="14" t="s">
        <v>87</v>
      </c>
      <c r="B33" s="14" t="s">
        <v>847</v>
      </c>
      <c r="C33" s="13"/>
      <c r="D33" s="62" t="s">
        <v>798</v>
      </c>
      <c r="E33" s="62" t="s">
        <v>798</v>
      </c>
      <c r="F33" s="62" t="s">
        <v>798</v>
      </c>
      <c r="G33" s="203">
        <v>0</v>
      </c>
      <c r="H33" s="203">
        <v>0</v>
      </c>
      <c r="I33" s="203">
        <v>0</v>
      </c>
      <c r="J33" s="203">
        <v>0</v>
      </c>
      <c r="K33" s="203">
        <v>0</v>
      </c>
      <c r="L33" s="203">
        <v>0</v>
      </c>
      <c r="M33" s="203">
        <v>0</v>
      </c>
      <c r="N33" s="203">
        <v>0</v>
      </c>
      <c r="O33" s="203">
        <v>0</v>
      </c>
      <c r="P33" s="203">
        <v>0</v>
      </c>
      <c r="Q33" s="13"/>
    </row>
    <row r="34" spans="1:17" ht="16.5" customHeight="1">
      <c r="A34" s="14" t="s">
        <v>87</v>
      </c>
      <c r="B34" s="14" t="s">
        <v>841</v>
      </c>
      <c r="C34" s="13"/>
      <c r="D34" s="62" t="s">
        <v>798</v>
      </c>
      <c r="E34" s="62" t="s">
        <v>798</v>
      </c>
      <c r="F34" s="62" t="s">
        <v>798</v>
      </c>
      <c r="G34" s="8">
        <v>0</v>
      </c>
      <c r="H34" s="8">
        <v>0</v>
      </c>
      <c r="I34" s="8">
        <v>0</v>
      </c>
      <c r="J34" s="8">
        <v>0</v>
      </c>
      <c r="K34" s="8">
        <v>0</v>
      </c>
      <c r="L34" s="8">
        <v>0</v>
      </c>
      <c r="M34" s="8">
        <v>0</v>
      </c>
      <c r="N34" s="8">
        <v>0</v>
      </c>
      <c r="O34" s="8">
        <v>0</v>
      </c>
      <c r="P34" s="8">
        <v>0</v>
      </c>
      <c r="Q34" s="13"/>
    </row>
    <row r="35" spans="1:17" ht="16.5" customHeight="1">
      <c r="A35" s="14" t="s">
        <v>88</v>
      </c>
      <c r="B35" s="34" t="s">
        <v>672</v>
      </c>
      <c r="C35" s="13"/>
      <c r="D35" s="62" t="s">
        <v>798</v>
      </c>
      <c r="E35" s="62" t="s">
        <v>798</v>
      </c>
      <c r="F35" s="218">
        <v>0</v>
      </c>
      <c r="G35" s="8">
        <v>0</v>
      </c>
      <c r="H35" s="8">
        <v>0</v>
      </c>
      <c r="I35" s="8">
        <v>0</v>
      </c>
      <c r="J35" s="8">
        <v>0</v>
      </c>
      <c r="K35" s="8">
        <v>0</v>
      </c>
      <c r="L35" s="8">
        <v>0</v>
      </c>
      <c r="M35" s="8">
        <v>0</v>
      </c>
      <c r="N35" s="8">
        <v>0</v>
      </c>
      <c r="O35" s="8">
        <v>0</v>
      </c>
      <c r="P35" s="8">
        <v>0</v>
      </c>
      <c r="Q35" s="13"/>
    </row>
    <row r="36" spans="1:17" ht="16.5" customHeight="1">
      <c r="A36" s="14" t="s">
        <v>88</v>
      </c>
      <c r="B36" s="34" t="s">
        <v>673</v>
      </c>
      <c r="C36" s="13"/>
      <c r="D36" s="62" t="s">
        <v>798</v>
      </c>
      <c r="E36" s="62" t="s">
        <v>798</v>
      </c>
      <c r="F36" s="218">
        <v>0</v>
      </c>
      <c r="G36" s="8">
        <v>0</v>
      </c>
      <c r="H36" s="8">
        <v>0</v>
      </c>
      <c r="I36" s="8">
        <v>0</v>
      </c>
      <c r="J36" s="8">
        <v>0</v>
      </c>
      <c r="K36" s="8">
        <v>0</v>
      </c>
      <c r="L36" s="8">
        <v>0</v>
      </c>
      <c r="M36" s="8">
        <v>0</v>
      </c>
      <c r="N36" s="8">
        <v>0</v>
      </c>
      <c r="O36" s="8">
        <v>0</v>
      </c>
      <c r="P36" s="8">
        <v>0</v>
      </c>
      <c r="Q36" s="13"/>
    </row>
    <row r="37" spans="1:17" ht="16.5" customHeight="1">
      <c r="A37" s="14"/>
      <c r="B37" s="228" t="s">
        <v>965</v>
      </c>
      <c r="C37" s="13"/>
      <c r="D37" s="62"/>
      <c r="E37" s="62"/>
      <c r="F37" s="218"/>
      <c r="G37" s="203">
        <v>0</v>
      </c>
      <c r="H37" s="203">
        <v>0</v>
      </c>
      <c r="I37" s="203">
        <v>0</v>
      </c>
      <c r="J37" s="203">
        <v>0</v>
      </c>
      <c r="K37" s="203">
        <v>0</v>
      </c>
      <c r="L37" s="203">
        <v>0</v>
      </c>
      <c r="M37" s="203">
        <v>0</v>
      </c>
      <c r="N37" s="203">
        <v>0</v>
      </c>
      <c r="O37" s="203">
        <v>0</v>
      </c>
      <c r="P37" s="203">
        <v>0</v>
      </c>
      <c r="Q37" s="13"/>
    </row>
    <row r="38" spans="1:17" ht="16.5" customHeight="1">
      <c r="A38" s="14"/>
      <c r="B38" s="34"/>
      <c r="C38" s="13"/>
      <c r="D38" s="62"/>
      <c r="E38" s="62"/>
      <c r="F38" s="62"/>
      <c r="G38" s="8"/>
      <c r="H38" s="8"/>
      <c r="I38" s="8"/>
      <c r="J38" s="8"/>
      <c r="K38" s="8"/>
      <c r="L38" s="8"/>
      <c r="M38" s="8"/>
      <c r="N38" s="8"/>
      <c r="O38" s="8"/>
      <c r="P38" s="8"/>
      <c r="Q38" s="13"/>
    </row>
    <row r="39" spans="1:17" ht="16.5" customHeight="1">
      <c r="A39" s="14" t="s">
        <v>89</v>
      </c>
      <c r="B39" s="13"/>
      <c r="C39" s="13"/>
      <c r="D39" s="13"/>
      <c r="E39" s="13"/>
      <c r="F39" s="13"/>
      <c r="G39" s="13"/>
      <c r="H39" s="13"/>
      <c r="I39" s="13"/>
      <c r="J39" s="13"/>
      <c r="K39" s="13"/>
      <c r="L39" s="13"/>
      <c r="M39" s="13"/>
      <c r="N39" s="13"/>
      <c r="O39" s="13"/>
      <c r="P39" s="13"/>
      <c r="Q39" s="13"/>
    </row>
    <row r="40" spans="1:17" ht="16.5" customHeight="1">
      <c r="A40" s="14" t="s">
        <v>90</v>
      </c>
      <c r="B40" s="34" t="s">
        <v>674</v>
      </c>
      <c r="C40" s="13"/>
      <c r="D40" s="62" t="s">
        <v>798</v>
      </c>
      <c r="E40" s="62" t="s">
        <v>798</v>
      </c>
      <c r="F40" s="62" t="s">
        <v>798</v>
      </c>
      <c r="G40" s="8">
        <v>0</v>
      </c>
      <c r="H40" s="8">
        <v>0</v>
      </c>
      <c r="I40" s="8">
        <v>0</v>
      </c>
      <c r="J40" s="8">
        <v>0</v>
      </c>
      <c r="K40" s="8">
        <v>0</v>
      </c>
      <c r="L40" s="8">
        <v>0</v>
      </c>
      <c r="M40" s="8">
        <v>0</v>
      </c>
      <c r="N40" s="8">
        <v>0</v>
      </c>
      <c r="O40" s="8">
        <v>0</v>
      </c>
      <c r="P40" s="8">
        <v>0</v>
      </c>
      <c r="Q40" s="13"/>
    </row>
    <row r="41" spans="1:17" ht="16.5" customHeight="1">
      <c r="A41" s="14" t="s">
        <v>90</v>
      </c>
      <c r="B41" s="34" t="s">
        <v>675</v>
      </c>
      <c r="C41" s="13"/>
      <c r="D41" s="62" t="s">
        <v>798</v>
      </c>
      <c r="E41" s="62" t="s">
        <v>798</v>
      </c>
      <c r="F41" s="62" t="s">
        <v>798</v>
      </c>
      <c r="G41" s="8">
        <v>0</v>
      </c>
      <c r="H41" s="8">
        <v>0</v>
      </c>
      <c r="I41" s="8">
        <v>0</v>
      </c>
      <c r="J41" s="8">
        <v>0</v>
      </c>
      <c r="K41" s="8">
        <v>0</v>
      </c>
      <c r="L41" s="8">
        <v>0</v>
      </c>
      <c r="M41" s="8">
        <v>0</v>
      </c>
      <c r="N41" s="8">
        <v>0</v>
      </c>
      <c r="O41" s="8">
        <v>0</v>
      </c>
      <c r="P41" s="8">
        <v>0</v>
      </c>
      <c r="Q41" s="13"/>
    </row>
    <row r="42" spans="1:17" ht="16.5" customHeight="1">
      <c r="A42" s="14" t="s">
        <v>90</v>
      </c>
      <c r="B42" s="34" t="s">
        <v>680</v>
      </c>
      <c r="C42" s="13"/>
      <c r="D42" s="62" t="s">
        <v>798</v>
      </c>
      <c r="E42" s="62" t="s">
        <v>798</v>
      </c>
      <c r="F42" s="62" t="s">
        <v>798</v>
      </c>
      <c r="G42" s="8">
        <v>0</v>
      </c>
      <c r="H42" s="8">
        <v>0</v>
      </c>
      <c r="I42" s="8">
        <v>0</v>
      </c>
      <c r="J42" s="8">
        <v>0</v>
      </c>
      <c r="K42" s="8">
        <v>0</v>
      </c>
      <c r="L42" s="8">
        <v>0</v>
      </c>
      <c r="M42" s="8">
        <v>0</v>
      </c>
      <c r="N42" s="8">
        <v>0</v>
      </c>
      <c r="O42" s="8">
        <v>0</v>
      </c>
      <c r="P42" s="8">
        <v>0</v>
      </c>
      <c r="Q42" s="13"/>
    </row>
    <row r="43" spans="1:17" ht="16.5" customHeight="1">
      <c r="A43" s="14" t="s">
        <v>76</v>
      </c>
      <c r="B43" s="14" t="s">
        <v>91</v>
      </c>
      <c r="C43" s="13"/>
      <c r="D43" s="62" t="s">
        <v>798</v>
      </c>
      <c r="E43" s="62" t="s">
        <v>798</v>
      </c>
      <c r="F43" s="62" t="s">
        <v>798</v>
      </c>
      <c r="G43" s="8">
        <v>0</v>
      </c>
      <c r="H43" s="8">
        <v>0</v>
      </c>
      <c r="I43" s="8">
        <v>0</v>
      </c>
      <c r="J43" s="8">
        <v>0</v>
      </c>
      <c r="K43" s="8">
        <v>0</v>
      </c>
      <c r="L43" s="8">
        <v>0</v>
      </c>
      <c r="M43" s="8">
        <v>0</v>
      </c>
      <c r="N43" s="8">
        <v>0</v>
      </c>
      <c r="O43" s="8">
        <v>0</v>
      </c>
      <c r="P43" s="8">
        <v>0</v>
      </c>
      <c r="Q43" s="13"/>
    </row>
    <row r="44" spans="1:17" ht="16.5" customHeight="1">
      <c r="A44" s="14" t="s">
        <v>836</v>
      </c>
      <c r="B44" s="14" t="s">
        <v>837</v>
      </c>
      <c r="C44" s="13"/>
      <c r="D44" s="62" t="s">
        <v>798</v>
      </c>
      <c r="E44" s="62" t="s">
        <v>798</v>
      </c>
      <c r="F44" s="62" t="s">
        <v>798</v>
      </c>
      <c r="G44" s="8">
        <v>0</v>
      </c>
      <c r="H44" s="8">
        <v>0</v>
      </c>
      <c r="I44" s="8">
        <v>0</v>
      </c>
      <c r="J44" s="8">
        <v>0</v>
      </c>
      <c r="K44" s="8">
        <v>0</v>
      </c>
      <c r="L44" s="8">
        <v>0</v>
      </c>
      <c r="M44" s="8">
        <v>0</v>
      </c>
      <c r="N44" s="8">
        <v>0</v>
      </c>
      <c r="O44" s="8">
        <v>0</v>
      </c>
      <c r="P44" s="8">
        <v>0</v>
      </c>
      <c r="Q44" s="13"/>
    </row>
    <row r="45" spans="1:17" ht="16.5" customHeight="1">
      <c r="A45" s="14" t="s">
        <v>102</v>
      </c>
      <c r="B45" s="14" t="s">
        <v>676</v>
      </c>
      <c r="C45" s="13"/>
      <c r="D45" s="62" t="s">
        <v>798</v>
      </c>
      <c r="E45" s="62" t="s">
        <v>798</v>
      </c>
      <c r="F45" s="62" t="s">
        <v>798</v>
      </c>
      <c r="G45" s="8">
        <v>0</v>
      </c>
      <c r="H45" s="8">
        <v>0</v>
      </c>
      <c r="I45" s="8">
        <v>0</v>
      </c>
      <c r="J45" s="8">
        <v>0</v>
      </c>
      <c r="K45" s="8">
        <v>0</v>
      </c>
      <c r="L45" s="8">
        <v>0</v>
      </c>
      <c r="M45" s="8">
        <v>0</v>
      </c>
      <c r="N45" s="8">
        <v>0</v>
      </c>
      <c r="O45" s="8">
        <v>0</v>
      </c>
      <c r="P45" s="8">
        <v>0</v>
      </c>
      <c r="Q45" s="13"/>
    </row>
    <row r="46" spans="1:17" ht="16.5" customHeight="1">
      <c r="A46" s="14" t="s">
        <v>92</v>
      </c>
      <c r="B46" s="14" t="s">
        <v>93</v>
      </c>
      <c r="C46" s="13"/>
      <c r="D46" s="62" t="s">
        <v>798</v>
      </c>
      <c r="E46" s="62" t="s">
        <v>798</v>
      </c>
      <c r="F46" s="62" t="s">
        <v>798</v>
      </c>
      <c r="G46" s="8">
        <v>0</v>
      </c>
      <c r="H46" s="8">
        <v>0</v>
      </c>
      <c r="I46" s="8">
        <v>0</v>
      </c>
      <c r="J46" s="8">
        <v>0</v>
      </c>
      <c r="K46" s="8">
        <v>0</v>
      </c>
      <c r="L46" s="8">
        <v>0</v>
      </c>
      <c r="M46" s="8">
        <v>0</v>
      </c>
      <c r="N46" s="8">
        <v>0</v>
      </c>
      <c r="O46" s="8">
        <v>0</v>
      </c>
      <c r="P46" s="8">
        <v>0</v>
      </c>
      <c r="Q46" s="13"/>
    </row>
    <row r="47" spans="1:17" ht="16.5" customHeight="1">
      <c r="A47" s="14" t="s">
        <v>94</v>
      </c>
      <c r="B47" s="14" t="s">
        <v>95</v>
      </c>
      <c r="C47" s="13"/>
      <c r="D47" s="62" t="s">
        <v>798</v>
      </c>
      <c r="E47" s="62" t="s">
        <v>798</v>
      </c>
      <c r="F47" s="62" t="s">
        <v>798</v>
      </c>
      <c r="G47" s="8">
        <v>0</v>
      </c>
      <c r="H47" s="8">
        <v>0</v>
      </c>
      <c r="I47" s="8">
        <v>0</v>
      </c>
      <c r="J47" s="8">
        <v>0</v>
      </c>
      <c r="K47" s="8">
        <v>0</v>
      </c>
      <c r="L47" s="8">
        <v>0</v>
      </c>
      <c r="M47" s="8">
        <v>0</v>
      </c>
      <c r="N47" s="8">
        <v>0</v>
      </c>
      <c r="O47" s="8">
        <v>0</v>
      </c>
      <c r="P47" s="8">
        <v>0</v>
      </c>
      <c r="Q47" s="13"/>
    </row>
    <row r="48" spans="1:17" ht="16.5" customHeight="1">
      <c r="A48" s="14"/>
      <c r="B48" s="14"/>
      <c r="C48" s="13"/>
      <c r="D48" s="62"/>
      <c r="E48" s="62"/>
      <c r="F48" s="62"/>
      <c r="G48" s="8"/>
      <c r="H48" s="8"/>
      <c r="I48" s="8"/>
      <c r="J48" s="8"/>
      <c r="K48" s="8"/>
      <c r="L48" s="8"/>
      <c r="M48" s="8"/>
      <c r="N48" s="8"/>
      <c r="O48" s="8"/>
      <c r="P48" s="8"/>
      <c r="Q48" s="13"/>
    </row>
    <row r="49" spans="1:17" ht="16.5" customHeight="1">
      <c r="A49" s="14" t="s">
        <v>96</v>
      </c>
      <c r="B49" s="13"/>
      <c r="C49" s="13"/>
      <c r="D49" s="13"/>
      <c r="E49" s="13"/>
      <c r="F49" s="13"/>
      <c r="G49" s="13"/>
      <c r="H49" s="13"/>
      <c r="I49" s="13"/>
      <c r="J49" s="13"/>
      <c r="K49" s="13"/>
      <c r="L49" s="13"/>
      <c r="M49" s="13"/>
      <c r="N49" s="13"/>
      <c r="O49" s="13"/>
      <c r="P49" s="13"/>
      <c r="Q49" s="13"/>
    </row>
    <row r="50" spans="1:17" ht="16.5" customHeight="1">
      <c r="A50" s="14" t="s">
        <v>74</v>
      </c>
      <c r="B50" s="14" t="s">
        <v>97</v>
      </c>
      <c r="C50" s="13"/>
      <c r="D50" s="151" t="e">
        <f>(D52/'k - Exp'!D7)-D51</f>
        <v>#DIV/0!</v>
      </c>
      <c r="E50" s="151" t="e">
        <f>(E52/'k - Exp'!E7)-E51</f>
        <v>#DIV/0!</v>
      </c>
      <c r="F50" s="151" t="e">
        <f>(F52/'k - Exp'!F7)-F51</f>
        <v>#DIV/0!</v>
      </c>
      <c r="G50" s="9">
        <v>0</v>
      </c>
      <c r="H50" s="9">
        <v>0</v>
      </c>
      <c r="I50" s="9">
        <v>0</v>
      </c>
      <c r="J50" s="9">
        <v>0</v>
      </c>
      <c r="K50" s="9">
        <v>0</v>
      </c>
      <c r="L50" s="9">
        <v>0</v>
      </c>
      <c r="M50" s="9">
        <v>0</v>
      </c>
      <c r="N50" s="9">
        <v>0</v>
      </c>
      <c r="O50" s="9">
        <v>0</v>
      </c>
      <c r="P50" s="9">
        <v>0</v>
      </c>
      <c r="Q50" s="13"/>
    </row>
    <row r="51" spans="1:17" ht="16.5" customHeight="1">
      <c r="A51" s="14" t="s">
        <v>90</v>
      </c>
      <c r="B51" s="14" t="s">
        <v>98</v>
      </c>
      <c r="C51" s="13"/>
      <c r="D51" s="9">
        <v>0</v>
      </c>
      <c r="E51" s="9">
        <v>0</v>
      </c>
      <c r="F51" s="9">
        <v>0</v>
      </c>
      <c r="G51" s="9">
        <v>0</v>
      </c>
      <c r="H51" s="9">
        <v>0</v>
      </c>
      <c r="I51" s="9">
        <v>0</v>
      </c>
      <c r="J51" s="9">
        <v>0</v>
      </c>
      <c r="K51" s="9">
        <v>0</v>
      </c>
      <c r="L51" s="9">
        <v>0</v>
      </c>
      <c r="M51" s="9">
        <v>0</v>
      </c>
      <c r="N51" s="9">
        <v>0</v>
      </c>
      <c r="O51" s="9">
        <v>0</v>
      </c>
      <c r="P51" s="9">
        <v>0</v>
      </c>
      <c r="Q51" s="13"/>
    </row>
    <row r="52" spans="1:17" ht="16.5" customHeight="1">
      <c r="A52" s="14" t="s">
        <v>78</v>
      </c>
      <c r="B52" s="14" t="s">
        <v>99</v>
      </c>
      <c r="C52" s="13"/>
      <c r="D52" s="214">
        <v>0</v>
      </c>
      <c r="E52" s="214">
        <v>0</v>
      </c>
      <c r="F52" s="214">
        <v>0</v>
      </c>
      <c r="G52" s="62" t="s">
        <v>798</v>
      </c>
      <c r="H52" s="62" t="s">
        <v>798</v>
      </c>
      <c r="I52" s="62" t="s">
        <v>798</v>
      </c>
      <c r="J52" s="62" t="s">
        <v>798</v>
      </c>
      <c r="K52" s="62" t="s">
        <v>798</v>
      </c>
      <c r="L52" s="62" t="s">
        <v>798</v>
      </c>
      <c r="M52" s="62" t="s">
        <v>798</v>
      </c>
      <c r="N52" s="62" t="s">
        <v>798</v>
      </c>
      <c r="O52" s="62" t="s">
        <v>798</v>
      </c>
      <c r="P52" s="62" t="s">
        <v>798</v>
      </c>
      <c r="Q52" s="13"/>
    </row>
    <row r="53" spans="1:17" ht="16.5" customHeight="1">
      <c r="A53" s="14"/>
      <c r="B53" s="14"/>
      <c r="C53" s="13"/>
      <c r="D53" s="8"/>
      <c r="E53" s="8"/>
      <c r="F53" s="8"/>
      <c r="G53" s="62"/>
      <c r="H53" s="62"/>
      <c r="I53" s="62"/>
      <c r="J53" s="62"/>
      <c r="K53" s="62"/>
      <c r="L53" s="62"/>
      <c r="M53" s="62"/>
      <c r="N53" s="62"/>
      <c r="O53" s="62"/>
      <c r="P53" s="62"/>
      <c r="Q53" s="13"/>
    </row>
    <row r="54" spans="1:17" ht="16.5" customHeight="1">
      <c r="A54" s="14" t="s">
        <v>100</v>
      </c>
      <c r="B54" s="14" t="s">
        <v>101</v>
      </c>
      <c r="C54" s="13"/>
      <c r="D54" s="214">
        <v>0</v>
      </c>
      <c r="E54" s="214">
        <v>0</v>
      </c>
      <c r="F54" s="214">
        <v>0</v>
      </c>
      <c r="G54" s="8">
        <v>0</v>
      </c>
      <c r="H54" s="8">
        <v>0</v>
      </c>
      <c r="I54" s="8">
        <v>0</v>
      </c>
      <c r="J54" s="8">
        <v>0</v>
      </c>
      <c r="K54" s="8">
        <v>0</v>
      </c>
      <c r="L54" s="8">
        <v>0</v>
      </c>
      <c r="M54" s="8">
        <v>0</v>
      </c>
      <c r="N54" s="8">
        <v>0</v>
      </c>
      <c r="O54" s="8">
        <v>0</v>
      </c>
      <c r="P54" s="8">
        <v>0</v>
      </c>
      <c r="Q54" s="13"/>
    </row>
    <row r="55" spans="1:17" ht="16.5" customHeight="1">
      <c r="A55" s="14" t="s">
        <v>102</v>
      </c>
      <c r="B55" s="14" t="s">
        <v>103</v>
      </c>
      <c r="C55" s="13"/>
      <c r="D55" s="214">
        <v>0</v>
      </c>
      <c r="E55" s="214">
        <v>0</v>
      </c>
      <c r="F55" s="214">
        <v>0</v>
      </c>
      <c r="G55" s="8">
        <v>0</v>
      </c>
      <c r="H55" s="8">
        <v>0</v>
      </c>
      <c r="I55" s="8">
        <v>0</v>
      </c>
      <c r="J55" s="8">
        <v>0</v>
      </c>
      <c r="K55" s="8">
        <v>0</v>
      </c>
      <c r="L55" s="8">
        <v>0</v>
      </c>
      <c r="M55" s="8">
        <v>0</v>
      </c>
      <c r="N55" s="8">
        <v>0</v>
      </c>
      <c r="O55" s="8">
        <v>0</v>
      </c>
      <c r="P55" s="8">
        <v>0</v>
      </c>
      <c r="Q55" s="13"/>
    </row>
    <row r="56" spans="1:17" ht="16.5" customHeight="1">
      <c r="A56" s="14" t="s">
        <v>104</v>
      </c>
      <c r="B56" s="14" t="s">
        <v>105</v>
      </c>
      <c r="C56" s="13"/>
      <c r="D56" s="214">
        <v>0</v>
      </c>
      <c r="E56" s="214">
        <v>0</v>
      </c>
      <c r="F56" s="214">
        <v>0</v>
      </c>
      <c r="G56" s="8">
        <v>0</v>
      </c>
      <c r="H56" s="8">
        <v>0</v>
      </c>
      <c r="I56" s="8">
        <v>0</v>
      </c>
      <c r="J56" s="8">
        <v>0</v>
      </c>
      <c r="K56" s="8">
        <v>0</v>
      </c>
      <c r="L56" s="8">
        <v>0</v>
      </c>
      <c r="M56" s="8">
        <v>0</v>
      </c>
      <c r="N56" s="8">
        <v>0</v>
      </c>
      <c r="O56" s="8">
        <v>0</v>
      </c>
      <c r="P56" s="8">
        <v>0</v>
      </c>
      <c r="Q56" s="13"/>
    </row>
    <row r="57" spans="1:17" ht="16.5" customHeight="1">
      <c r="A57" s="14" t="s">
        <v>106</v>
      </c>
      <c r="B57" s="14" t="s">
        <v>107</v>
      </c>
      <c r="C57" s="13"/>
      <c r="D57" s="214">
        <v>0</v>
      </c>
      <c r="E57" s="214">
        <v>0</v>
      </c>
      <c r="F57" s="214">
        <v>0</v>
      </c>
      <c r="G57" s="8">
        <v>0</v>
      </c>
      <c r="H57" s="8">
        <v>0</v>
      </c>
      <c r="I57" s="8">
        <v>0</v>
      </c>
      <c r="J57" s="8">
        <v>0</v>
      </c>
      <c r="K57" s="8">
        <v>0</v>
      </c>
      <c r="L57" s="8">
        <v>0</v>
      </c>
      <c r="M57" s="8">
        <v>0</v>
      </c>
      <c r="N57" s="8">
        <v>0</v>
      </c>
      <c r="O57" s="8">
        <v>0</v>
      </c>
      <c r="P57" s="8">
        <v>0</v>
      </c>
      <c r="Q57" s="13"/>
    </row>
    <row r="58" spans="1:17" ht="16.5" customHeight="1">
      <c r="A58" s="14" t="s">
        <v>108</v>
      </c>
      <c r="B58" s="14" t="s">
        <v>109</v>
      </c>
      <c r="C58" s="13"/>
      <c r="D58" s="214">
        <v>0</v>
      </c>
      <c r="E58" s="214">
        <v>0</v>
      </c>
      <c r="F58" s="214">
        <v>0</v>
      </c>
      <c r="G58" s="8">
        <v>0</v>
      </c>
      <c r="H58" s="8">
        <v>0</v>
      </c>
      <c r="I58" s="8">
        <v>0</v>
      </c>
      <c r="J58" s="8">
        <v>0</v>
      </c>
      <c r="K58" s="8">
        <v>0</v>
      </c>
      <c r="L58" s="8">
        <v>0</v>
      </c>
      <c r="M58" s="8">
        <v>0</v>
      </c>
      <c r="N58" s="8">
        <v>0</v>
      </c>
      <c r="O58" s="8">
        <v>0</v>
      </c>
      <c r="P58" s="8">
        <v>0</v>
      </c>
      <c r="Q58" s="13"/>
    </row>
    <row r="59" spans="1:17" ht="16.5" customHeight="1">
      <c r="A59" s="14" t="s">
        <v>110</v>
      </c>
      <c r="B59" s="34" t="s">
        <v>111</v>
      </c>
      <c r="C59" s="13"/>
      <c r="D59" s="49" t="e">
        <f>D58/'e - Sales'!D21</f>
        <v>#DIV/0!</v>
      </c>
      <c r="E59" s="49" t="e">
        <f>E58/'e - Sales'!E21</f>
        <v>#DIV/0!</v>
      </c>
      <c r="F59" s="49" t="e">
        <f>F58/'e - Sales'!F21</f>
        <v>#DIV/0!</v>
      </c>
      <c r="G59" s="7">
        <v>0</v>
      </c>
      <c r="H59" s="7">
        <v>0</v>
      </c>
      <c r="I59" s="7">
        <v>0</v>
      </c>
      <c r="J59" s="7">
        <v>0</v>
      </c>
      <c r="K59" s="7">
        <v>0</v>
      </c>
      <c r="L59" s="7">
        <v>0</v>
      </c>
      <c r="M59" s="7">
        <v>0</v>
      </c>
      <c r="N59" s="7">
        <v>0</v>
      </c>
      <c r="O59" s="7">
        <v>0</v>
      </c>
      <c r="P59" s="7">
        <v>0</v>
      </c>
      <c r="Q59" s="13"/>
    </row>
    <row r="60" spans="1:17" ht="16.5" customHeight="1">
      <c r="A60" s="14"/>
      <c r="B60" s="34"/>
      <c r="C60" s="13"/>
      <c r="D60" s="49"/>
      <c r="E60" s="49"/>
      <c r="F60" s="49"/>
      <c r="G60" s="7"/>
      <c r="H60" s="7"/>
      <c r="I60" s="7"/>
      <c r="J60" s="7"/>
      <c r="K60" s="7"/>
      <c r="L60" s="7"/>
      <c r="M60" s="7"/>
      <c r="N60" s="7"/>
      <c r="O60" s="7"/>
      <c r="P60" s="7"/>
      <c r="Q60" s="13"/>
    </row>
    <row r="61" spans="1:17" ht="16.5" customHeight="1">
      <c r="A61" s="14" t="s">
        <v>183</v>
      </c>
      <c r="B61" s="34"/>
      <c r="C61" s="13"/>
      <c r="D61" s="49" t="s">
        <v>802</v>
      </c>
      <c r="E61" s="49" t="s">
        <v>803</v>
      </c>
      <c r="F61" s="160"/>
      <c r="G61" s="49"/>
      <c r="H61" s="159" t="s">
        <v>801</v>
      </c>
      <c r="I61" s="53"/>
      <c r="J61" s="53"/>
      <c r="K61" s="53"/>
      <c r="L61" s="53"/>
      <c r="M61" s="53"/>
      <c r="N61" s="53"/>
      <c r="O61" s="53"/>
      <c r="P61" s="53"/>
      <c r="Q61" s="13"/>
    </row>
    <row r="62" spans="1:17" ht="16.5" customHeight="1">
      <c r="A62" s="14"/>
      <c r="B62" s="14" t="s">
        <v>796</v>
      </c>
      <c r="C62" s="13"/>
      <c r="D62" s="49"/>
      <c r="E62" s="49"/>
      <c r="F62" s="49"/>
      <c r="G62" s="53"/>
      <c r="H62" s="53"/>
      <c r="I62" s="53"/>
      <c r="J62" s="53"/>
      <c r="K62" s="53"/>
      <c r="L62" s="53"/>
      <c r="M62" s="53"/>
      <c r="N62" s="53"/>
      <c r="O62" s="53"/>
      <c r="P62" s="53"/>
      <c r="Q62" s="13"/>
    </row>
    <row r="63" spans="1:17" ht="16.5" customHeight="1">
      <c r="A63" s="14"/>
      <c r="B63" s="34" t="s">
        <v>184</v>
      </c>
      <c r="C63" s="13"/>
      <c r="D63" s="62" t="s">
        <v>798</v>
      </c>
      <c r="E63" s="62" t="s">
        <v>798</v>
      </c>
      <c r="F63" s="62" t="s">
        <v>798</v>
      </c>
      <c r="G63" s="36">
        <v>0.06</v>
      </c>
      <c r="H63" s="73">
        <v>0.06</v>
      </c>
      <c r="I63" s="73">
        <f t="shared" ref="I63:P63" si="1">H63</f>
        <v>0.06</v>
      </c>
      <c r="J63" s="73">
        <f t="shared" si="1"/>
        <v>0.06</v>
      </c>
      <c r="K63" s="73">
        <f t="shared" si="1"/>
        <v>0.06</v>
      </c>
      <c r="L63" s="73">
        <f t="shared" si="1"/>
        <v>0.06</v>
      </c>
      <c r="M63" s="73">
        <f t="shared" si="1"/>
        <v>0.06</v>
      </c>
      <c r="N63" s="73">
        <f t="shared" si="1"/>
        <v>0.06</v>
      </c>
      <c r="O63" s="73">
        <f t="shared" si="1"/>
        <v>0.06</v>
      </c>
      <c r="P63" s="73">
        <f t="shared" si="1"/>
        <v>0.06</v>
      </c>
      <c r="Q63" s="13"/>
    </row>
    <row r="64" spans="1:17" ht="16.5" customHeight="1">
      <c r="A64" s="14"/>
      <c r="B64" s="34" t="s">
        <v>359</v>
      </c>
      <c r="C64" s="13"/>
      <c r="D64" s="62" t="s">
        <v>798</v>
      </c>
      <c r="E64" s="62" t="s">
        <v>798</v>
      </c>
      <c r="F64" s="62" t="s">
        <v>798</v>
      </c>
      <c r="G64" s="36">
        <v>0.06</v>
      </c>
      <c r="H64" s="73">
        <v>0.06</v>
      </c>
      <c r="I64" s="73">
        <f t="shared" ref="I64:P65" si="2">H64</f>
        <v>0.06</v>
      </c>
      <c r="J64" s="73">
        <f t="shared" si="2"/>
        <v>0.06</v>
      </c>
      <c r="K64" s="73">
        <f t="shared" si="2"/>
        <v>0.06</v>
      </c>
      <c r="L64" s="73">
        <f t="shared" si="2"/>
        <v>0.06</v>
      </c>
      <c r="M64" s="73">
        <f t="shared" si="2"/>
        <v>0.06</v>
      </c>
      <c r="N64" s="73">
        <f t="shared" si="2"/>
        <v>0.06</v>
      </c>
      <c r="O64" s="73">
        <f t="shared" si="2"/>
        <v>0.06</v>
      </c>
      <c r="P64" s="73">
        <f t="shared" si="2"/>
        <v>0.06</v>
      </c>
      <c r="Q64" s="13"/>
    </row>
    <row r="65" spans="1:17" ht="16.5" customHeight="1">
      <c r="A65" s="14"/>
      <c r="B65" s="14" t="s">
        <v>185</v>
      </c>
      <c r="C65" s="13"/>
      <c r="D65" s="62" t="s">
        <v>798</v>
      </c>
      <c r="E65" s="62" t="s">
        <v>798</v>
      </c>
      <c r="F65" s="62" t="s">
        <v>798</v>
      </c>
      <c r="G65" s="36">
        <v>7.0000000000000007E-2</v>
      </c>
      <c r="H65" s="73">
        <v>7.0000000000000007E-2</v>
      </c>
      <c r="I65" s="73">
        <f t="shared" si="2"/>
        <v>7.0000000000000007E-2</v>
      </c>
      <c r="J65" s="73">
        <f t="shared" si="2"/>
        <v>7.0000000000000007E-2</v>
      </c>
      <c r="K65" s="73">
        <f t="shared" si="2"/>
        <v>7.0000000000000007E-2</v>
      </c>
      <c r="L65" s="73">
        <f t="shared" si="2"/>
        <v>7.0000000000000007E-2</v>
      </c>
      <c r="M65" s="73">
        <f t="shared" si="2"/>
        <v>7.0000000000000007E-2</v>
      </c>
      <c r="N65" s="73">
        <f t="shared" si="2"/>
        <v>7.0000000000000007E-2</v>
      </c>
      <c r="O65" s="73">
        <f t="shared" si="2"/>
        <v>7.0000000000000007E-2</v>
      </c>
      <c r="P65" s="73">
        <f t="shared" si="2"/>
        <v>7.0000000000000007E-2</v>
      </c>
      <c r="Q65" s="13"/>
    </row>
    <row r="66" spans="1:17" ht="16.5" customHeight="1">
      <c r="A66" s="14"/>
      <c r="B66" s="34"/>
      <c r="C66" s="13"/>
      <c r="D66" s="49"/>
      <c r="E66" s="49"/>
      <c r="F66" s="49"/>
      <c r="G66" s="53"/>
      <c r="H66" s="53"/>
      <c r="I66" s="53"/>
      <c r="J66" s="53"/>
      <c r="K66" s="53"/>
      <c r="L66" s="53"/>
      <c r="M66" s="53"/>
      <c r="N66" s="53"/>
      <c r="O66" s="53"/>
      <c r="P66" s="53"/>
      <c r="Q66" s="13"/>
    </row>
    <row r="67" spans="1:17" ht="15.5">
      <c r="B67" s="14" t="s">
        <v>797</v>
      </c>
    </row>
    <row r="68" spans="1:17" ht="15.5">
      <c r="B68" s="34" t="s">
        <v>184</v>
      </c>
      <c r="D68" s="62" t="s">
        <v>798</v>
      </c>
      <c r="E68" s="62" t="s">
        <v>798</v>
      </c>
      <c r="F68" s="62" t="s">
        <v>798</v>
      </c>
      <c r="G68" s="36">
        <v>0.06</v>
      </c>
      <c r="H68" s="73">
        <f>G68</f>
        <v>0.06</v>
      </c>
      <c r="I68" s="73">
        <f t="shared" ref="I68:P68" si="3">H68</f>
        <v>0.06</v>
      </c>
      <c r="J68" s="73">
        <f t="shared" si="3"/>
        <v>0.06</v>
      </c>
      <c r="K68" s="73">
        <f t="shared" si="3"/>
        <v>0.06</v>
      </c>
      <c r="L68" s="73">
        <f t="shared" si="3"/>
        <v>0.06</v>
      </c>
      <c r="M68" s="73">
        <f t="shared" si="3"/>
        <v>0.06</v>
      </c>
      <c r="N68" s="73">
        <f t="shared" si="3"/>
        <v>0.06</v>
      </c>
      <c r="O68" s="73">
        <f t="shared" si="3"/>
        <v>0.06</v>
      </c>
      <c r="P68" s="73">
        <f t="shared" si="3"/>
        <v>0.06</v>
      </c>
    </row>
    <row r="69" spans="1:17" ht="15.5">
      <c r="B69" s="34" t="s">
        <v>359</v>
      </c>
      <c r="D69" s="62" t="s">
        <v>798</v>
      </c>
      <c r="E69" s="62" t="s">
        <v>798</v>
      </c>
      <c r="F69" s="62" t="s">
        <v>798</v>
      </c>
      <c r="G69" s="36">
        <v>0.06</v>
      </c>
      <c r="H69" s="73">
        <f>G69</f>
        <v>0.06</v>
      </c>
      <c r="I69" s="73">
        <f t="shared" ref="I69:P69" si="4">H69</f>
        <v>0.06</v>
      </c>
      <c r="J69" s="73">
        <f t="shared" si="4"/>
        <v>0.06</v>
      </c>
      <c r="K69" s="73">
        <f t="shared" si="4"/>
        <v>0.06</v>
      </c>
      <c r="L69" s="73">
        <f t="shared" si="4"/>
        <v>0.06</v>
      </c>
      <c r="M69" s="73">
        <f t="shared" si="4"/>
        <v>0.06</v>
      </c>
      <c r="N69" s="73">
        <f t="shared" si="4"/>
        <v>0.06</v>
      </c>
      <c r="O69" s="73">
        <f t="shared" si="4"/>
        <v>0.06</v>
      </c>
      <c r="P69" s="73">
        <f t="shared" si="4"/>
        <v>0.06</v>
      </c>
    </row>
    <row r="70" spans="1:17" ht="15.5">
      <c r="B70" s="14" t="s">
        <v>185</v>
      </c>
      <c r="D70" s="62" t="s">
        <v>798</v>
      </c>
      <c r="E70" s="62" t="s">
        <v>798</v>
      </c>
      <c r="F70" s="62" t="s">
        <v>798</v>
      </c>
      <c r="G70" s="36">
        <v>7.0000000000000007E-2</v>
      </c>
      <c r="H70" s="73">
        <f>G70</f>
        <v>7.0000000000000007E-2</v>
      </c>
      <c r="I70" s="73">
        <f t="shared" ref="I70:P70" si="5">H70</f>
        <v>7.0000000000000007E-2</v>
      </c>
      <c r="J70" s="73">
        <f t="shared" si="5"/>
        <v>7.0000000000000007E-2</v>
      </c>
      <c r="K70" s="73">
        <f t="shared" si="5"/>
        <v>7.0000000000000007E-2</v>
      </c>
      <c r="L70" s="73">
        <f t="shared" si="5"/>
        <v>7.0000000000000007E-2</v>
      </c>
      <c r="M70" s="73">
        <f t="shared" si="5"/>
        <v>7.0000000000000007E-2</v>
      </c>
      <c r="N70" s="73">
        <f t="shared" si="5"/>
        <v>7.0000000000000007E-2</v>
      </c>
      <c r="O70" s="73">
        <f t="shared" si="5"/>
        <v>7.0000000000000007E-2</v>
      </c>
      <c r="P70" s="73">
        <f t="shared" si="5"/>
        <v>7.0000000000000007E-2</v>
      </c>
    </row>
    <row r="71" spans="1:17"/>
    <row r="76" spans="1:17"/>
    <row r="77" spans="1:17"/>
    <row r="78" spans="1:17"/>
    <row r="79" spans="1:17"/>
    <row r="80" spans="1:17"/>
    <row r="81"/>
    <row r="1048576"/>
  </sheetData>
  <sheetProtection sheet="1" objects="1" scenarios="1"/>
  <mergeCells count="3">
    <mergeCell ref="I7:J7"/>
    <mergeCell ref="D7:F7"/>
    <mergeCell ref="E1:I1"/>
  </mergeCells>
  <phoneticPr fontId="0" type="noConversion"/>
  <pageMargins left="0.5" right="0.37" top="0.55000000000000004" bottom="0.25" header="0.5" footer="0.25"/>
  <pageSetup scale="48" orientation="landscape"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pageSetUpPr fitToPage="1"/>
  </sheetPr>
  <dimension ref="B1:M65"/>
  <sheetViews>
    <sheetView showGridLines="0" zoomScale="78" zoomScaleNormal="78" workbookViewId="0">
      <pane xSplit="3" ySplit="4" topLeftCell="D5" activePane="bottomRight" state="frozen"/>
      <selection pane="topRight" activeCell="D1" sqref="D1"/>
      <selection pane="bottomLeft" activeCell="A5" sqref="A5"/>
      <selection pane="bottomRight" activeCell="D5" sqref="D5"/>
    </sheetView>
  </sheetViews>
  <sheetFormatPr defaultColWidth="0" defaultRowHeight="12.5" zeroHeight="1"/>
  <cols>
    <col min="1" max="1" width="5.7265625" customWidth="1"/>
    <col min="2" max="2" width="14.54296875" customWidth="1"/>
    <col min="3" max="3" width="39.81640625" customWidth="1"/>
    <col min="4" max="13" width="15.81640625" customWidth="1"/>
    <col min="14" max="14" width="14.54296875" customWidth="1"/>
  </cols>
  <sheetData>
    <row r="1" spans="2:13" ht="16.5" customHeight="1"/>
    <row r="2" spans="2:13" ht="16.5" customHeight="1">
      <c r="C2" s="101" t="s">
        <v>239</v>
      </c>
    </row>
    <row r="3" spans="2:13" ht="16.5" customHeight="1">
      <c r="C3" s="25" t="s">
        <v>240</v>
      </c>
      <c r="D3" s="94">
        <f>Input!G8</f>
        <v>2024</v>
      </c>
      <c r="E3" s="94">
        <f>Input!H8</f>
        <v>2025</v>
      </c>
      <c r="F3" s="94">
        <f>Input!I8</f>
        <v>2026</v>
      </c>
      <c r="G3" s="94">
        <f>Input!J8</f>
        <v>2027</v>
      </c>
      <c r="H3" s="94">
        <f>Input!K8</f>
        <v>2028</v>
      </c>
      <c r="I3" s="94">
        <f>Input!L8</f>
        <v>2029</v>
      </c>
      <c r="J3" s="94">
        <f>Input!M8</f>
        <v>2030</v>
      </c>
      <c r="K3" s="94">
        <f>Input!N8</f>
        <v>2031</v>
      </c>
      <c r="L3" s="94">
        <f>Input!O8</f>
        <v>2032</v>
      </c>
      <c r="M3" s="94">
        <f>Input!P8</f>
        <v>2033</v>
      </c>
    </row>
    <row r="4" spans="2:13" ht="16.5" customHeight="1">
      <c r="D4" s="95" t="s">
        <v>684</v>
      </c>
      <c r="E4" s="95" t="s">
        <v>684</v>
      </c>
      <c r="F4" s="95" t="s">
        <v>684</v>
      </c>
      <c r="G4" s="95" t="s">
        <v>684</v>
      </c>
      <c r="H4" s="95" t="s">
        <v>684</v>
      </c>
      <c r="I4" s="95" t="s">
        <v>684</v>
      </c>
      <c r="J4" s="95" t="s">
        <v>684</v>
      </c>
      <c r="K4" s="95" t="s">
        <v>684</v>
      </c>
      <c r="L4" s="95" t="s">
        <v>684</v>
      </c>
      <c r="M4" s="95" t="s">
        <v>684</v>
      </c>
    </row>
    <row r="5" spans="2:13" ht="16.5" customHeight="1">
      <c r="B5" s="50" t="s">
        <v>241</v>
      </c>
      <c r="C5" s="204" t="s">
        <v>895</v>
      </c>
      <c r="D5" s="205">
        <f>+IF(D6="TIER",Input!G14,IF(D6="OTIER",+((Input!G14*'j - Debt Sum'!D67-Input!G40-Input!G41+'c &amp; d'!D19+'c &amp; d'!D20)/'j - Debt Sum'!D67),IF(D6="DSC",+((Input!G14*'j - Debt Sum'!D68)-'c &amp; d'!D14)/'c &amp; d'!D16,+((Input!G14*'j - Debt Sum'!D68)-'c &amp; d'!D14+Input!G35+Input!G36-Input!G40-Input!G41)/'c &amp; d'!D16)))</f>
        <v>1.75</v>
      </c>
      <c r="E5" s="205">
        <f>+IF(E6="TIER",Input!H14,IF(E6="OTIER",+((Input!H14*'j - Debt Sum'!E67-Input!H40-Input!H41+'c &amp; d'!E19+'c &amp; d'!E20)/'j - Debt Sum'!E67),IF(E6="DSC",+((Input!H14*'j - Debt Sum'!E68)-'c &amp; d'!E14)/'c &amp; d'!E16,+((Input!H14*'j - Debt Sum'!E68)-'c &amp; d'!E14+Input!H35+Input!H36-Input!H40-Input!H41)/'c &amp; d'!E16)))</f>
        <v>1.75</v>
      </c>
      <c r="F5" s="205">
        <f>+IF(F6="TIER",Input!I14,IF(F6="OTIER",+((Input!I14*'j - Debt Sum'!F67-Input!I40-Input!I41+'c &amp; d'!F19+'c &amp; d'!F20)/'j - Debt Sum'!F67),IF(F6="DSC",+((Input!I14*'j - Debt Sum'!F68)-'c &amp; d'!F14)/'c &amp; d'!F16,+((Input!I14*'j - Debt Sum'!F68)-'c &amp; d'!F14+Input!I35+Input!I36-Input!I40-Input!I41)/'c &amp; d'!F16)))</f>
        <v>1.75</v>
      </c>
      <c r="G5" s="205">
        <f>+IF(G6="TIER",Input!J14,IF(G6="OTIER",+((Input!J14*'j - Debt Sum'!G67-Input!J40-Input!J41+'c &amp; d'!G19+'c &amp; d'!G20)/'j - Debt Sum'!G67),IF(G6="DSC",+((Input!J14*'j - Debt Sum'!G68)-'c &amp; d'!G14)/'c &amp; d'!G16,+((Input!J14*'j - Debt Sum'!G68)-'c &amp; d'!G14+Input!J35+Input!J36-Input!J40-Input!J41)/'c &amp; d'!G16)))</f>
        <v>1.75</v>
      </c>
      <c r="H5" s="205">
        <f>+IF(H6="TIER",Input!K14,IF(H6="OTIER",+((Input!K14*'j - Debt Sum'!H67-Input!K40-Input!K41+'c &amp; d'!H19+'c &amp; d'!H20)/'j - Debt Sum'!H67),IF(H6="DSC",+((Input!K14*'j - Debt Sum'!H68)-'c &amp; d'!H14)/'c &amp; d'!H16,+((Input!K14*'j - Debt Sum'!H68)-'c &amp; d'!H14+Input!K35+Input!K36-Input!K40-Input!K41)/'c &amp; d'!H16)))</f>
        <v>1.75</v>
      </c>
      <c r="I5" s="205">
        <f>+IF(I6="TIER",Input!L14,IF(I6="OTIER",+((Input!L14*'j - Debt Sum'!I67-Input!L40-Input!L41+'c &amp; d'!I19+'c &amp; d'!I20)/'j - Debt Sum'!I67),IF(I6="DSC",+((Input!L14*'j - Debt Sum'!I68)-'c &amp; d'!I14)/'c &amp; d'!I16,+((Input!L14*'j - Debt Sum'!I68)-'c &amp; d'!I14+Input!L35+Input!L36-Input!L40-Input!L41)/'c &amp; d'!I16)))</f>
        <v>1.75</v>
      </c>
      <c r="J5" s="205">
        <f>+IF(J6="TIER",Input!M14,IF(J6="OTIER",+((Input!M14*'j - Debt Sum'!J67-Input!M40-Input!M41+'c &amp; d'!J19+'c &amp; d'!J20)/'j - Debt Sum'!J67),IF(J6="DSC",+((Input!M14*'j - Debt Sum'!J68)-'c &amp; d'!J14)/'c &amp; d'!J16,+((Input!M14*'j - Debt Sum'!J68)-'c &amp; d'!J14+Input!M35+Input!M36-Input!M40-Input!M41)/'c &amp; d'!J16)))</f>
        <v>1.75</v>
      </c>
      <c r="K5" s="205">
        <f>+IF(K6="TIER",Input!N14,IF(K6="OTIER",+((Input!N14*'j - Debt Sum'!K67-Input!N40-Input!N41+'c &amp; d'!K19+'c &amp; d'!K20)/'j - Debt Sum'!K67),IF(K6="DSC",+((Input!N14*'j - Debt Sum'!K68)-'c &amp; d'!K14)/'c &amp; d'!K16,+((Input!N14*'j - Debt Sum'!K68)-'c &amp; d'!K14+Input!N35+Input!N36-Input!N40-Input!N41)/'c &amp; d'!K16)))</f>
        <v>1.75</v>
      </c>
      <c r="L5" s="205">
        <f>+IF(L6="TIER",Input!O14,IF(L6="OTIER",+((Input!O14*'j - Debt Sum'!L67-Input!O40-Input!O41+'c &amp; d'!L19+'c &amp; d'!L20)/'j - Debt Sum'!L67),IF(L6="DSC",+((Input!O14*'j - Debt Sum'!L68)-'c &amp; d'!L14)/'c &amp; d'!L16,+((Input!O14*'j - Debt Sum'!L68)-'c &amp; d'!L14+Input!O35+Input!O36-Input!O40-Input!O41)/'c &amp; d'!L16)))</f>
        <v>1.75</v>
      </c>
      <c r="M5" s="205">
        <f>+IF(M6="TIER",Input!P14,IF(M6="OTIER",+((Input!P14*'j - Debt Sum'!M67-Input!P40-Input!P41+'c &amp; d'!M19+'c &amp; d'!M20)/'j - Debt Sum'!M67),IF(M6="DSC",+((Input!P14*'j - Debt Sum'!M68)-'c &amp; d'!M14)/'c &amp; d'!M16,+((Input!P14*'j - Debt Sum'!M68)-'c &amp; d'!M14+Input!P35+Input!P36-Input!P40-Input!P41)/'c &amp; d'!M16)))</f>
        <v>1.75</v>
      </c>
    </row>
    <row r="6" spans="2:13" ht="16.5" customHeight="1">
      <c r="C6" t="s">
        <v>894</v>
      </c>
      <c r="D6" s="2" t="str">
        <f>+IF((Input!G13="OTIER"),"OTIER",+IF((Input!G13="DSC"),"DSC",+IF((Input!G13="ODSC"),"ODSC","TIER")))</f>
        <v>TIER</v>
      </c>
      <c r="E6" s="2" t="str">
        <f>+IF((Input!H13="OTIER"),"OTIER",+IF((Input!H13="DSC"),"DSC",+IF((Input!H13="ODSC"),"ODSC","TIER")))</f>
        <v>TIER</v>
      </c>
      <c r="F6" s="2" t="str">
        <f>+IF((Input!I13="OTIER"),"OTIER",+IF((Input!I13="DSC"),"DSC",+IF((Input!I13="ODSC"),"ODSC","TIER")))</f>
        <v>TIER</v>
      </c>
      <c r="G6" s="2" t="str">
        <f>+IF((Input!J13="OTIER"),"OTIER",+IF((Input!J13="DSC"),"DSC",+IF((Input!J13="ODSC"),"ODSC","TIER")))</f>
        <v>TIER</v>
      </c>
      <c r="H6" s="2" t="str">
        <f>+IF((Input!K13="OTIER"),"OTIER",+IF((Input!K13="DSC"),"DSC",+IF((Input!K13="ODSC"),"ODSC","TIER")))</f>
        <v>TIER</v>
      </c>
      <c r="I6" s="2" t="str">
        <f>+IF((Input!L13="OTIER"),"OTIER",+IF((Input!L13="DSC"),"DSC",+IF((Input!L13="ODSC"),"ODSC","TIER")))</f>
        <v>TIER</v>
      </c>
      <c r="J6" s="2" t="str">
        <f>+IF((Input!M13="OTIER"),"OTIER",+IF((Input!M13="DSC"),"DSC",+IF((Input!M13="ODSC"),"ODSC","TIER")))</f>
        <v>TIER</v>
      </c>
      <c r="K6" s="2" t="str">
        <f>+IF((Input!N13="OTIER"),"OTIER",+IF((Input!N13="DSC"),"DSC",+IF((Input!N13="ODSC"),"ODSC","TIER")))</f>
        <v>TIER</v>
      </c>
      <c r="L6" s="2" t="str">
        <f>+IF((Input!O13="OTIER"),"OTIER",+IF((Input!O13="DSC"),"DSC",+IF((Input!O13="ODSC"),"ODSC","TIER")))</f>
        <v>TIER</v>
      </c>
      <c r="M6" s="2" t="str">
        <f>+IF((Input!P13="OTIER"),"OTIER",+IF((Input!P13="DSC"),"DSC",+IF((Input!P13="ODSC"),"ODSC","TIER")))</f>
        <v>TIER</v>
      </c>
    </row>
    <row r="7" spans="2:13" ht="16.5" customHeight="1">
      <c r="B7" s="50" t="s">
        <v>242</v>
      </c>
      <c r="C7" s="1" t="s">
        <v>243</v>
      </c>
      <c r="D7" s="48" t="e">
        <f>(D26+D11+'c &amp; d'!D19+'c &amp; d'!D20)/D26</f>
        <v>#DIV/0!</v>
      </c>
      <c r="E7" s="48" t="e">
        <f>(E26+E11+'c &amp; d'!E19+'c &amp; d'!E20)/E26</f>
        <v>#DIV/0!</v>
      </c>
      <c r="F7" s="48" t="e">
        <f>(F26+F11+'c &amp; d'!F19+'c &amp; d'!F20)/F26</f>
        <v>#DIV/0!</v>
      </c>
      <c r="G7" s="48" t="e">
        <f>(G26+G11+'c &amp; d'!G19+'c &amp; d'!G20)/G26</f>
        <v>#DIV/0!</v>
      </c>
      <c r="H7" s="48" t="e">
        <f>(H26+H11+'c &amp; d'!H19+'c &amp; d'!H20)/H26</f>
        <v>#DIV/0!</v>
      </c>
      <c r="I7" s="48" t="e">
        <f>(I26+I11+'c &amp; d'!I19+'c &amp; d'!I20)/I26</f>
        <v>#DIV/0!</v>
      </c>
      <c r="J7" s="48" t="e">
        <f>(J26+J11+'c &amp; d'!J19+'c &amp; d'!J20)/J26</f>
        <v>#DIV/0!</v>
      </c>
      <c r="K7" s="48" t="e">
        <f>(K26+K11+'c &amp; d'!K19+'c &amp; d'!K20)/K26</f>
        <v>#DIV/0!</v>
      </c>
      <c r="L7" s="48" t="e">
        <f>(L26+L11+'c &amp; d'!L19+'c &amp; d'!L20)/L26</f>
        <v>#DIV/0!</v>
      </c>
      <c r="M7" s="48" t="e">
        <f>(M26+M11+'c &amp; d'!M19+'c &amp; d'!M20)/M26</f>
        <v>#DIV/0!</v>
      </c>
    </row>
    <row r="8" spans="2:13" ht="16.5" customHeight="1"/>
    <row r="9" spans="2:13" ht="16.5" customHeight="1">
      <c r="B9" s="50" t="s">
        <v>244</v>
      </c>
      <c r="C9" s="24" t="s">
        <v>245</v>
      </c>
      <c r="D9" s="206" t="e">
        <f>'c &amp; d'!D18</f>
        <v>#DIV/0!</v>
      </c>
      <c r="E9" s="206" t="e">
        <f>'c &amp; d'!E18</f>
        <v>#DIV/0!</v>
      </c>
      <c r="F9" s="206" t="e">
        <f>'c &amp; d'!F18</f>
        <v>#DIV/0!</v>
      </c>
      <c r="G9" s="206" t="e">
        <f>'c &amp; d'!G18</f>
        <v>#DIV/0!</v>
      </c>
      <c r="H9" s="206" t="e">
        <f>'c &amp; d'!H18</f>
        <v>#DIV/0!</v>
      </c>
      <c r="I9" s="206" t="e">
        <f>'c &amp; d'!I18</f>
        <v>#DIV/0!</v>
      </c>
      <c r="J9" s="206" t="e">
        <f>'c &amp; d'!J18</f>
        <v>#DIV/0!</v>
      </c>
      <c r="K9" s="206" t="e">
        <f>'c &amp; d'!K18</f>
        <v>#DIV/0!</v>
      </c>
      <c r="L9" s="206" t="e">
        <f>'c &amp; d'!L18</f>
        <v>#DIV/0!</v>
      </c>
      <c r="M9" s="206" t="e">
        <f>'c &amp; d'!M18</f>
        <v>#DIV/0!</v>
      </c>
    </row>
    <row r="10" spans="2:13" ht="16.5" customHeight="1">
      <c r="C10" t="s">
        <v>246</v>
      </c>
    </row>
    <row r="11" spans="2:13" ht="16.5" customHeight="1">
      <c r="B11" s="50" t="s">
        <v>247</v>
      </c>
      <c r="C11" s="207" t="s">
        <v>245</v>
      </c>
      <c r="D11" s="206" t="e">
        <f>D9-'c &amp; d'!D6</f>
        <v>#DIV/0!</v>
      </c>
      <c r="E11" s="206" t="e">
        <f>E9-'c &amp; d'!E6</f>
        <v>#DIV/0!</v>
      </c>
      <c r="F11" s="206" t="e">
        <f>F9-'c &amp; d'!F6</f>
        <v>#DIV/0!</v>
      </c>
      <c r="G11" s="206" t="e">
        <f>G9-'c &amp; d'!G6</f>
        <v>#DIV/0!</v>
      </c>
      <c r="H11" s="206" t="e">
        <f>H9-'c &amp; d'!H6</f>
        <v>#DIV/0!</v>
      </c>
      <c r="I11" s="206" t="e">
        <f>I9-'c &amp; d'!I6</f>
        <v>#DIV/0!</v>
      </c>
      <c r="J11" s="206" t="e">
        <f>J9-'c &amp; d'!J6</f>
        <v>#DIV/0!</v>
      </c>
      <c r="K11" s="206" t="e">
        <f>K9-'c &amp; d'!K6</f>
        <v>#DIV/0!</v>
      </c>
      <c r="L11" s="206" t="e">
        <f>L9-'c &amp; d'!L6</f>
        <v>#DIV/0!</v>
      </c>
      <c r="M11" s="206" t="e">
        <f>M9-'c &amp; d'!M6</f>
        <v>#DIV/0!</v>
      </c>
    </row>
    <row r="12" spans="2:13" ht="16.5" customHeight="1">
      <c r="C12" t="s">
        <v>248</v>
      </c>
    </row>
    <row r="13" spans="2:13" ht="16.5" customHeight="1">
      <c r="C13" s="1" t="s">
        <v>249</v>
      </c>
    </row>
    <row r="14" spans="2:13" ht="16.5" customHeight="1">
      <c r="B14" s="50" t="s">
        <v>250</v>
      </c>
      <c r="C14" s="1" t="s">
        <v>251</v>
      </c>
      <c r="D14" t="e">
        <f>(D5*'c &amp; d'!D16)+'c &amp; d'!D17-'c &amp; d'!D16-'c &amp; d'!D8-'c &amp; d'!D19-'c &amp; d'!D20+D16</f>
        <v>#DIV/0!</v>
      </c>
      <c r="E14" t="e">
        <f>(E5*'c &amp; d'!E16)+'c &amp; d'!E17-'c &amp; d'!E16-'c &amp; d'!E8-'c &amp; d'!E19-'c &amp; d'!E20+E16</f>
        <v>#DIV/0!</v>
      </c>
      <c r="F14" t="e">
        <f>(F5*'c &amp; d'!F16)+'c &amp; d'!F17-'c &amp; d'!F16-'c &amp; d'!F8-'c &amp; d'!F19-'c &amp; d'!F20+F16</f>
        <v>#DIV/0!</v>
      </c>
      <c r="G14" t="e">
        <f>(G5*'c &amp; d'!G16)+'c &amp; d'!G17-'c &amp; d'!G16-'c &amp; d'!G8-'c &amp; d'!G19-'c &amp; d'!G20+G16</f>
        <v>#DIV/0!</v>
      </c>
      <c r="H14" t="e">
        <f>(H5*'c &amp; d'!H16)+'c &amp; d'!H17-'c &amp; d'!H16-'c &amp; d'!H8-'c &amp; d'!H19-'c &amp; d'!H20+H16</f>
        <v>#DIV/0!</v>
      </c>
      <c r="I14" t="e">
        <f>(I5*'c &amp; d'!I16)+'c &amp; d'!I17-'c &amp; d'!I16-'c &amp; d'!I8-'c &amp; d'!I19-'c &amp; d'!I20+I16</f>
        <v>#DIV/0!</v>
      </c>
      <c r="J14" t="e">
        <f>(J5*'c &amp; d'!J16)+'c &amp; d'!J17-'c &amp; d'!J16-'c &amp; d'!J8-'c &amp; d'!J19-'c &amp; d'!J20+J16</f>
        <v>#DIV/0!</v>
      </c>
      <c r="K14" t="e">
        <f>(K5*'c &amp; d'!K16)+'c &amp; d'!K17-'c &amp; d'!K16-'c &amp; d'!K8-'c &amp; d'!K19-'c &amp; d'!K20+K16</f>
        <v>#DIV/0!</v>
      </c>
      <c r="L14" t="e">
        <f>(L5*'c &amp; d'!L16)+'c &amp; d'!L17-'c &amp; d'!L16-'c &amp; d'!L8-'c &amp; d'!L19-'c &amp; d'!L20+L16</f>
        <v>#DIV/0!</v>
      </c>
      <c r="M14" t="e">
        <f>(M5*'c &amp; d'!M16)+'c &amp; d'!M17-'c &amp; d'!M16-'c &amp; d'!M8-'c &amp; d'!M19-'c &amp; d'!M20+M16</f>
        <v>#DIV/0!</v>
      </c>
    </row>
    <row r="15" spans="2:13" ht="16.5" customHeight="1"/>
    <row r="16" spans="2:13" ht="16.5" customHeight="1">
      <c r="B16" s="50" t="s">
        <v>252</v>
      </c>
      <c r="C16" s="1" t="s">
        <v>253</v>
      </c>
      <c r="D16" s="206">
        <f>Input!F19-Input!G19</f>
        <v>0</v>
      </c>
      <c r="E16" s="206">
        <f>Input!G19-Input!H19</f>
        <v>0</v>
      </c>
      <c r="F16" s="206">
        <f>Input!H19-Input!I19</f>
        <v>0</v>
      </c>
      <c r="G16" s="206">
        <f>Input!I19-Input!J19</f>
        <v>0</v>
      </c>
      <c r="H16" s="206">
        <f>Input!J19-Input!K19</f>
        <v>0</v>
      </c>
      <c r="I16" s="206">
        <f>Input!K19-Input!L19</f>
        <v>0</v>
      </c>
      <c r="J16" s="206">
        <f>Input!L19-Input!M19</f>
        <v>0</v>
      </c>
      <c r="K16" s="206">
        <f>Input!M19-Input!N19</f>
        <v>0</v>
      </c>
      <c r="L16" s="206">
        <f>Input!N19-Input!O19</f>
        <v>0</v>
      </c>
      <c r="M16" s="206">
        <f>Input!O19-Input!P19</f>
        <v>0</v>
      </c>
    </row>
    <row r="17" spans="2:13" ht="16.5" customHeight="1">
      <c r="D17" s="206"/>
      <c r="E17" s="206"/>
      <c r="F17" s="206"/>
      <c r="G17" s="206"/>
      <c r="H17" s="206"/>
      <c r="I17" s="206"/>
      <c r="J17" s="206"/>
      <c r="K17" s="206"/>
      <c r="L17" s="206"/>
      <c r="M17" s="206"/>
    </row>
    <row r="18" spans="2:13" ht="16.5" customHeight="1">
      <c r="B18" s="50" t="s">
        <v>254</v>
      </c>
      <c r="C18" s="1" t="s">
        <v>249</v>
      </c>
      <c r="D18" s="206" t="e">
        <f t="shared" ref="D18:M18" si="0">D14-D16</f>
        <v>#DIV/0!</v>
      </c>
      <c r="E18" s="206" t="e">
        <f t="shared" si="0"/>
        <v>#DIV/0!</v>
      </c>
      <c r="F18" s="206" t="e">
        <f t="shared" si="0"/>
        <v>#DIV/0!</v>
      </c>
      <c r="G18" s="206" t="e">
        <f t="shared" si="0"/>
        <v>#DIV/0!</v>
      </c>
      <c r="H18" s="206" t="e">
        <f t="shared" si="0"/>
        <v>#DIV/0!</v>
      </c>
      <c r="I18" s="206" t="e">
        <f t="shared" si="0"/>
        <v>#DIV/0!</v>
      </c>
      <c r="J18" s="206" t="e">
        <f t="shared" si="0"/>
        <v>#DIV/0!</v>
      </c>
      <c r="K18" s="206" t="e">
        <f t="shared" si="0"/>
        <v>#DIV/0!</v>
      </c>
      <c r="L18" s="206" t="e">
        <f t="shared" si="0"/>
        <v>#DIV/0!</v>
      </c>
      <c r="M18" s="206" t="e">
        <f t="shared" si="0"/>
        <v>#DIV/0!</v>
      </c>
    </row>
    <row r="19" spans="2:13" ht="16.5" customHeight="1"/>
    <row r="20" spans="2:13" ht="16.5" customHeight="1">
      <c r="B20" s="50" t="s">
        <v>255</v>
      </c>
      <c r="C20" s="1" t="s">
        <v>256</v>
      </c>
      <c r="D20" s="208" t="e">
        <f>D18/'e - Sales'!G54*100</f>
        <v>#DIV/0!</v>
      </c>
      <c r="E20" s="208" t="e">
        <f>E18/'e - Sales'!H54*100</f>
        <v>#DIV/0!</v>
      </c>
      <c r="F20" s="208" t="e">
        <f>F18/'e - Sales'!I54*100</f>
        <v>#DIV/0!</v>
      </c>
      <c r="G20" s="208" t="e">
        <f>G18/'e - Sales'!J54*100</f>
        <v>#DIV/0!</v>
      </c>
      <c r="H20" s="208" t="e">
        <f>H18/'e - Sales'!K54*100</f>
        <v>#DIV/0!</v>
      </c>
      <c r="I20" s="208" t="e">
        <f>I18/'e - Sales'!L54*100</f>
        <v>#DIV/0!</v>
      </c>
      <c r="J20" s="208" t="e">
        <f>J18/'e - Sales'!M54*100</f>
        <v>#DIV/0!</v>
      </c>
      <c r="K20" s="208" t="e">
        <f>K18/'e - Sales'!N54*100</f>
        <v>#DIV/0!</v>
      </c>
      <c r="L20" s="208" t="e">
        <f>L18/'e - Sales'!O54*100</f>
        <v>#DIV/0!</v>
      </c>
      <c r="M20" s="208" t="e">
        <f>M18/'e - Sales'!P54*100</f>
        <v>#DIV/0!</v>
      </c>
    </row>
    <row r="21" spans="2:13" ht="16.5" customHeight="1"/>
    <row r="22" spans="2:13" ht="16.5" customHeight="1">
      <c r="B22" s="50" t="s">
        <v>257</v>
      </c>
      <c r="C22" s="209" t="s">
        <v>258</v>
      </c>
      <c r="D22" s="48" t="e">
        <f>'a &amp; b'!E19</f>
        <v>#DIV/0!</v>
      </c>
      <c r="E22" s="48" t="e">
        <f>'a &amp; b'!F19</f>
        <v>#DIV/0!</v>
      </c>
      <c r="F22" s="48" t="e">
        <f>'a &amp; b'!G19</f>
        <v>#DIV/0!</v>
      </c>
      <c r="G22" s="48" t="e">
        <f>'a &amp; b'!H19</f>
        <v>#DIV/0!</v>
      </c>
      <c r="H22" s="48" t="e">
        <f>'a &amp; b'!I19</f>
        <v>#DIV/0!</v>
      </c>
      <c r="I22" s="48" t="e">
        <f>'a &amp; b'!J19</f>
        <v>#DIV/0!</v>
      </c>
      <c r="J22" s="48" t="e">
        <f>'a &amp; b'!K19</f>
        <v>#DIV/0!</v>
      </c>
      <c r="K22" s="48" t="e">
        <f>'a &amp; b'!L19</f>
        <v>#DIV/0!</v>
      </c>
      <c r="L22" s="48" t="e">
        <f>'a &amp; b'!M19</f>
        <v>#DIV/0!</v>
      </c>
      <c r="M22" s="48" t="e">
        <f>'a &amp; b'!N19</f>
        <v>#DIV/0!</v>
      </c>
    </row>
    <row r="23" spans="2:13" ht="16.5" customHeight="1"/>
    <row r="24" spans="2:13" ht="16.5" customHeight="1">
      <c r="B24" s="50" t="s">
        <v>259</v>
      </c>
      <c r="C24" s="1" t="s">
        <v>260</v>
      </c>
      <c r="D24" s="210" t="e">
        <f>D18/'c &amp; d'!D8</f>
        <v>#DIV/0!</v>
      </c>
      <c r="E24" s="210" t="e">
        <f>E18/'c &amp; d'!E8</f>
        <v>#DIV/0!</v>
      </c>
      <c r="F24" s="210" t="e">
        <f>F18/'c &amp; d'!F8</f>
        <v>#DIV/0!</v>
      </c>
      <c r="G24" s="210" t="e">
        <f>G18/'c &amp; d'!G8</f>
        <v>#DIV/0!</v>
      </c>
      <c r="H24" s="210" t="e">
        <f>H18/'c &amp; d'!H8</f>
        <v>#DIV/0!</v>
      </c>
      <c r="I24" s="210" t="e">
        <f>I18/'c &amp; d'!I8</f>
        <v>#DIV/0!</v>
      </c>
      <c r="J24" s="210" t="e">
        <f>J18/'c &amp; d'!J8</f>
        <v>#DIV/0!</v>
      </c>
      <c r="K24" s="210" t="e">
        <f>K18/'c &amp; d'!K8</f>
        <v>#DIV/0!</v>
      </c>
      <c r="L24" s="210" t="e">
        <f>L18/'c &amp; d'!L8</f>
        <v>#DIV/0!</v>
      </c>
      <c r="M24" s="210" t="e">
        <f>M18/'c &amp; d'!M8</f>
        <v>#DIV/0!</v>
      </c>
    </row>
    <row r="25" spans="2:13" ht="16.5" customHeight="1"/>
    <row r="26" spans="2:13" ht="16.5" customHeight="1">
      <c r="B26" s="50" t="s">
        <v>261</v>
      </c>
      <c r="C26" s="209" t="s">
        <v>262</v>
      </c>
      <c r="D26" s="206">
        <f>'c &amp; d'!D16</f>
        <v>0</v>
      </c>
      <c r="E26" s="206">
        <f>'c &amp; d'!E16</f>
        <v>0</v>
      </c>
      <c r="F26" s="206">
        <f>'c &amp; d'!F16</f>
        <v>0</v>
      </c>
      <c r="G26" s="206">
        <f>'c &amp; d'!G16</f>
        <v>0</v>
      </c>
      <c r="H26" s="206">
        <f>'c &amp; d'!H16</f>
        <v>0</v>
      </c>
      <c r="I26" s="206">
        <f>'c &amp; d'!I16</f>
        <v>0</v>
      </c>
      <c r="J26" s="206">
        <f>'c &amp; d'!J16</f>
        <v>0</v>
      </c>
      <c r="K26" s="206">
        <f>'c &amp; d'!K16</f>
        <v>0</v>
      </c>
      <c r="L26" s="206">
        <f>'c &amp; d'!L16</f>
        <v>0</v>
      </c>
      <c r="M26" s="206">
        <f>'c &amp; d'!M16</f>
        <v>0</v>
      </c>
    </row>
    <row r="27" spans="2:13" ht="16.5" customHeight="1"/>
    <row r="28" spans="2:13" ht="16.5" customHeight="1">
      <c r="B28" s="50" t="s">
        <v>263</v>
      </c>
      <c r="C28" s="209" t="s">
        <v>264</v>
      </c>
      <c r="D28" s="48" t="e">
        <f>'a &amp; b'!E14</f>
        <v>#DIV/0!</v>
      </c>
      <c r="E28" s="48" t="e">
        <f>'a &amp; b'!F14</f>
        <v>#DIV/0!</v>
      </c>
      <c r="F28" s="48" t="e">
        <f>'a &amp; b'!G14</f>
        <v>#DIV/0!</v>
      </c>
      <c r="G28" s="48" t="e">
        <f>'a &amp; b'!H14</f>
        <v>#DIV/0!</v>
      </c>
      <c r="H28" s="48" t="e">
        <f>'a &amp; b'!I14</f>
        <v>#DIV/0!</v>
      </c>
      <c r="I28" s="48" t="e">
        <f>'a &amp; b'!J14</f>
        <v>#DIV/0!</v>
      </c>
      <c r="J28" s="48" t="e">
        <f>'a &amp; b'!K14</f>
        <v>#DIV/0!</v>
      </c>
      <c r="K28" s="48" t="e">
        <f>'a &amp; b'!L14</f>
        <v>#DIV/0!</v>
      </c>
      <c r="L28" s="48" t="e">
        <f>'a &amp; b'!M14</f>
        <v>#DIV/0!</v>
      </c>
      <c r="M28" s="48" t="e">
        <f>'a &amp; b'!N14</f>
        <v>#DIV/0!</v>
      </c>
    </row>
    <row r="29" spans="2:13" ht="16.5" customHeight="1"/>
    <row r="30" spans="2:13" ht="16.5" customHeight="1">
      <c r="B30" s="50" t="s">
        <v>265</v>
      </c>
      <c r="C30" s="1" t="s">
        <v>266</v>
      </c>
      <c r="D30" s="48" t="e">
        <f>'a &amp; b'!E15</f>
        <v>#DIV/0!</v>
      </c>
      <c r="E30" s="48" t="e">
        <f>'a &amp; b'!F15</f>
        <v>#DIV/0!</v>
      </c>
      <c r="F30" s="48" t="e">
        <f>'a &amp; b'!G15</f>
        <v>#DIV/0!</v>
      </c>
      <c r="G30" s="48" t="e">
        <f>'a &amp; b'!H15</f>
        <v>#DIV/0!</v>
      </c>
      <c r="H30" s="48" t="e">
        <f>'a &amp; b'!I15</f>
        <v>#DIV/0!</v>
      </c>
      <c r="I30" s="48" t="e">
        <f>'a &amp; b'!J15</f>
        <v>#DIV/0!</v>
      </c>
      <c r="J30" s="48" t="e">
        <f>'a &amp; b'!K15</f>
        <v>#DIV/0!</v>
      </c>
      <c r="K30" s="48" t="e">
        <f>'a &amp; b'!L15</f>
        <v>#DIV/0!</v>
      </c>
      <c r="L30" s="48" t="e">
        <f>'a &amp; b'!M15</f>
        <v>#DIV/0!</v>
      </c>
      <c r="M30" s="48" t="e">
        <f>'a &amp; b'!N15</f>
        <v>#DIV/0!</v>
      </c>
    </row>
    <row r="31" spans="2:13" ht="16.5" customHeight="1"/>
    <row r="32" spans="2:13" ht="16.5" customHeight="1">
      <c r="B32" s="50" t="s">
        <v>267</v>
      </c>
      <c r="C32" s="1" t="s">
        <v>268</v>
      </c>
      <c r="D32" s="206" t="e">
        <f>'c &amp; d'!D46</f>
        <v>#DIV/0!</v>
      </c>
      <c r="E32" s="206" t="e">
        <f>'c &amp; d'!E46</f>
        <v>#DIV/0!</v>
      </c>
      <c r="F32" s="206" t="e">
        <f>'c &amp; d'!F46</f>
        <v>#DIV/0!</v>
      </c>
      <c r="G32" s="206" t="e">
        <f>'c &amp; d'!G46</f>
        <v>#DIV/0!</v>
      </c>
      <c r="H32" s="206" t="e">
        <f>'c &amp; d'!H46</f>
        <v>#DIV/0!</v>
      </c>
      <c r="I32" s="206" t="e">
        <f>'c &amp; d'!I46</f>
        <v>#DIV/0!</v>
      </c>
      <c r="J32" s="206" t="e">
        <f>'c &amp; d'!J46</f>
        <v>#DIV/0!</v>
      </c>
      <c r="K32" s="206" t="e">
        <f>'c &amp; d'!K46</f>
        <v>#DIV/0!</v>
      </c>
      <c r="L32" s="206" t="e">
        <f>'c &amp; d'!L46</f>
        <v>#DIV/0!</v>
      </c>
      <c r="M32" s="206" t="e">
        <f>'c &amp; d'!M46</f>
        <v>#DIV/0!</v>
      </c>
    </row>
    <row r="33" spans="2:13" ht="16.5" customHeight="1">
      <c r="B33" s="50" t="s">
        <v>269</v>
      </c>
      <c r="C33" s="1" t="s">
        <v>270</v>
      </c>
      <c r="D33" s="206">
        <f>'c &amp; d'!D55</f>
        <v>0</v>
      </c>
      <c r="E33" s="206">
        <f>'c &amp; d'!E55</f>
        <v>0</v>
      </c>
      <c r="F33" s="206">
        <f>'c &amp; d'!F55</f>
        <v>0</v>
      </c>
      <c r="G33" s="206">
        <f>'c &amp; d'!G55</f>
        <v>0</v>
      </c>
      <c r="H33" s="206">
        <f>'c &amp; d'!H55</f>
        <v>0</v>
      </c>
      <c r="I33" s="206">
        <f>'c &amp; d'!I55</f>
        <v>0</v>
      </c>
      <c r="J33" s="206">
        <f>'c &amp; d'!J55</f>
        <v>0</v>
      </c>
      <c r="K33" s="206">
        <f>'c &amp; d'!K55</f>
        <v>0</v>
      </c>
      <c r="L33" s="206">
        <f>'c &amp; d'!L55</f>
        <v>0</v>
      </c>
      <c r="M33" s="206">
        <f>'c &amp; d'!M55</f>
        <v>0</v>
      </c>
    </row>
    <row r="34" spans="2:13" ht="16.5" customHeight="1">
      <c r="B34" s="50" t="s">
        <v>271</v>
      </c>
      <c r="C34" s="1" t="s">
        <v>272</v>
      </c>
      <c r="D34" s="206" t="e">
        <f t="shared" ref="D34:M34" si="1">D32-D33</f>
        <v>#DIV/0!</v>
      </c>
      <c r="E34" s="206" t="e">
        <f t="shared" si="1"/>
        <v>#DIV/0!</v>
      </c>
      <c r="F34" s="206" t="e">
        <f t="shared" si="1"/>
        <v>#DIV/0!</v>
      </c>
      <c r="G34" s="206" t="e">
        <f t="shared" si="1"/>
        <v>#DIV/0!</v>
      </c>
      <c r="H34" s="206" t="e">
        <f t="shared" si="1"/>
        <v>#DIV/0!</v>
      </c>
      <c r="I34" s="206" t="e">
        <f t="shared" si="1"/>
        <v>#DIV/0!</v>
      </c>
      <c r="J34" s="206" t="e">
        <f t="shared" si="1"/>
        <v>#DIV/0!</v>
      </c>
      <c r="K34" s="206" t="e">
        <f t="shared" si="1"/>
        <v>#DIV/0!</v>
      </c>
      <c r="L34" s="206" t="e">
        <f t="shared" si="1"/>
        <v>#DIV/0!</v>
      </c>
      <c r="M34" s="206" t="e">
        <f t="shared" si="1"/>
        <v>#DIV/0!</v>
      </c>
    </row>
    <row r="35" spans="2:13" ht="16.5" customHeight="1"/>
    <row r="36" spans="2:13" ht="16.5" customHeight="1">
      <c r="B36" s="50" t="s">
        <v>273</v>
      </c>
      <c r="C36" s="1" t="s">
        <v>274</v>
      </c>
      <c r="D36" s="211">
        <f>Input!G15</f>
        <v>0</v>
      </c>
      <c r="E36" s="211">
        <f>Input!H15</f>
        <v>0</v>
      </c>
      <c r="F36" s="211">
        <f>Input!I15</f>
        <v>0</v>
      </c>
      <c r="G36" s="211">
        <f>Input!J15</f>
        <v>0</v>
      </c>
      <c r="H36" s="211">
        <f>Input!K15</f>
        <v>0</v>
      </c>
      <c r="I36" s="211">
        <f>Input!L15</f>
        <v>0</v>
      </c>
      <c r="J36" s="211">
        <f>Input!M15</f>
        <v>0</v>
      </c>
      <c r="K36" s="211">
        <f>Input!N15</f>
        <v>0</v>
      </c>
      <c r="L36" s="211">
        <f>Input!O15</f>
        <v>0</v>
      </c>
      <c r="M36" s="211">
        <f>Input!P15</f>
        <v>0</v>
      </c>
    </row>
    <row r="37" spans="2:13" ht="16.5" customHeight="1">
      <c r="B37" s="50" t="s">
        <v>275</v>
      </c>
      <c r="C37" s="1" t="s">
        <v>276</v>
      </c>
      <c r="D37" s="212">
        <f>Input!G16</f>
        <v>0</v>
      </c>
      <c r="E37" s="212">
        <f>Input!H16</f>
        <v>0</v>
      </c>
      <c r="F37" s="212">
        <f>Input!I16</f>
        <v>0</v>
      </c>
      <c r="G37" s="212">
        <f>Input!J16</f>
        <v>0</v>
      </c>
      <c r="H37" s="212">
        <f>Input!K16</f>
        <v>0</v>
      </c>
      <c r="I37" s="212">
        <f>Input!L16</f>
        <v>0</v>
      </c>
      <c r="J37" s="212">
        <f>Input!M16</f>
        <v>0</v>
      </c>
      <c r="K37" s="212">
        <f>Input!N16</f>
        <v>0</v>
      </c>
      <c r="L37" s="212">
        <f>Input!O16</f>
        <v>0</v>
      </c>
      <c r="M37" s="212">
        <f>Input!P16</f>
        <v>0</v>
      </c>
    </row>
    <row r="38" spans="2:13" ht="16.5" customHeight="1">
      <c r="B38" s="50" t="s">
        <v>277</v>
      </c>
      <c r="C38" s="1" t="s">
        <v>278</v>
      </c>
      <c r="D38" s="48" t="e">
        <f>'a &amp; b'!E23</f>
        <v>#DIV/0!</v>
      </c>
      <c r="E38" s="48" t="e">
        <f>'a &amp; b'!F23</f>
        <v>#DIV/0!</v>
      </c>
      <c r="F38" s="48" t="e">
        <f>'a &amp; b'!G23</f>
        <v>#DIV/0!</v>
      </c>
      <c r="G38" s="48" t="e">
        <f>'a &amp; b'!H23</f>
        <v>#DIV/0!</v>
      </c>
      <c r="H38" s="48" t="e">
        <f>'a &amp; b'!I23</f>
        <v>#DIV/0!</v>
      </c>
      <c r="I38" s="48" t="e">
        <f>'a &amp; b'!J23</f>
        <v>#DIV/0!</v>
      </c>
      <c r="J38" s="48" t="e">
        <f>'a &amp; b'!K23</f>
        <v>#DIV/0!</v>
      </c>
      <c r="K38" s="48" t="e">
        <f>'a &amp; b'!L23</f>
        <v>#DIV/0!</v>
      </c>
      <c r="L38" s="48" t="e">
        <f>'a &amp; b'!M23</f>
        <v>#DIV/0!</v>
      </c>
      <c r="M38" s="48" t="e">
        <f>'a &amp; b'!N23</f>
        <v>#DIV/0!</v>
      </c>
    </row>
    <row r="39" spans="2:13" ht="16.5" customHeight="1">
      <c r="B39" s="50" t="s">
        <v>279</v>
      </c>
      <c r="C39" s="1" t="s">
        <v>280</v>
      </c>
      <c r="D39" s="206">
        <f>MAXA('a &amp; b'!E46*D36,D37)</f>
        <v>0</v>
      </c>
      <c r="E39" s="206">
        <f>MAXA('a &amp; b'!F46*E36,E37)</f>
        <v>0</v>
      </c>
      <c r="F39" s="206">
        <f>MAXA('a &amp; b'!G46*F36,F37)</f>
        <v>0</v>
      </c>
      <c r="G39" s="206">
        <f>MAXA('a &amp; b'!H46*G36,G37)</f>
        <v>0</v>
      </c>
      <c r="H39" s="206">
        <f>MAXA('a &amp; b'!I46*H36,H37)</f>
        <v>0</v>
      </c>
      <c r="I39" s="206">
        <f>MAXA('a &amp; b'!J46*I36,I37)</f>
        <v>0</v>
      </c>
      <c r="J39" s="206">
        <f>MAXA('a &amp; b'!K46*J36,J37)</f>
        <v>0</v>
      </c>
      <c r="K39" s="206">
        <f>MAXA('a &amp; b'!L46*K36,K37)</f>
        <v>0</v>
      </c>
      <c r="L39" s="206">
        <f>MAXA('a &amp; b'!M46*L36,L37)</f>
        <v>0</v>
      </c>
      <c r="M39" s="206">
        <f>MAXA('a &amp; b'!N46*M36,M37)</f>
        <v>0</v>
      </c>
    </row>
    <row r="40" spans="2:13" ht="16.5" customHeight="1"/>
    <row r="41" spans="2:13" ht="16.5" customHeight="1">
      <c r="C41" s="1" t="s">
        <v>281</v>
      </c>
    </row>
    <row r="42" spans="2:13" ht="16.5" customHeight="1">
      <c r="B42" s="50" t="s">
        <v>282</v>
      </c>
      <c r="C42" s="2" t="s">
        <v>283</v>
      </c>
      <c r="D42" s="206" t="e">
        <f>MAXA(0,'c &amp; d'!D57-D39)</f>
        <v>#DIV/0!</v>
      </c>
      <c r="E42" s="206" t="e">
        <f>MAXA(0,'c &amp; d'!E57-E39)</f>
        <v>#DIV/0!</v>
      </c>
      <c r="F42" s="206" t="e">
        <f>MAXA(0,'c &amp; d'!F57-F39)</f>
        <v>#DIV/0!</v>
      </c>
      <c r="G42" s="206" t="e">
        <f>MAXA(0,'c &amp; d'!G57-G39)</f>
        <v>#DIV/0!</v>
      </c>
      <c r="H42" s="206" t="e">
        <f>MAXA(0,'c &amp; d'!H57-H39)</f>
        <v>#DIV/0!</v>
      </c>
      <c r="I42" s="206" t="e">
        <f>MAXA(0,'c &amp; d'!I57-I39)</f>
        <v>#DIV/0!</v>
      </c>
      <c r="J42" s="206" t="e">
        <f>MAXA(0,'c &amp; d'!J57-J39)</f>
        <v>#DIV/0!</v>
      </c>
      <c r="K42" s="206" t="e">
        <f>MAXA(0,'c &amp; d'!K57-K39)</f>
        <v>#DIV/0!</v>
      </c>
      <c r="L42" s="206" t="e">
        <f>MAXA(0,'c &amp; d'!L57-L39)</f>
        <v>#DIV/0!</v>
      </c>
      <c r="M42" s="206" t="e">
        <f>MAXA(0,'c &amp; d'!M57-M39)</f>
        <v>#DIV/0!</v>
      </c>
    </row>
    <row r="43" spans="2:13" ht="16.5" customHeight="1"/>
    <row r="44" spans="2:13" ht="16.5" customHeight="1">
      <c r="B44" s="50" t="s">
        <v>284</v>
      </c>
      <c r="C44" s="1" t="s">
        <v>760</v>
      </c>
      <c r="D44" s="206">
        <f>+'g - Plant'!H65</f>
        <v>0</v>
      </c>
      <c r="E44" s="206">
        <f>+'g - Plant'!I65</f>
        <v>0</v>
      </c>
      <c r="F44" s="206">
        <f>+'g - Plant'!J65</f>
        <v>0</v>
      </c>
      <c r="G44" s="206">
        <f>+'g - Plant'!K65</f>
        <v>0</v>
      </c>
      <c r="H44" s="206">
        <f>+'g - Plant'!L65</f>
        <v>0</v>
      </c>
      <c r="I44" s="206">
        <f>+'g - Plant'!M65</f>
        <v>0</v>
      </c>
      <c r="J44" s="206">
        <f>+'g - Plant'!N65</f>
        <v>0</v>
      </c>
      <c r="K44" s="206">
        <f>+'g - Plant'!O65</f>
        <v>0</v>
      </c>
      <c r="L44" s="206">
        <f>+'g - Plant'!P65</f>
        <v>0</v>
      </c>
      <c r="M44" s="206">
        <f>+'g - Plant'!Q65</f>
        <v>0</v>
      </c>
    </row>
    <row r="45" spans="2:13" ht="16.5" customHeight="1"/>
    <row r="46" spans="2:13" ht="16.5" customHeight="1">
      <c r="B46" s="50" t="s">
        <v>285</v>
      </c>
      <c r="C46" s="1" t="s">
        <v>286</v>
      </c>
      <c r="D46" s="206">
        <f>+'g - Plant'!H61</f>
        <v>0</v>
      </c>
      <c r="E46" s="206">
        <f>+'g - Plant'!I61</f>
        <v>0</v>
      </c>
      <c r="F46" s="206">
        <f>+'g - Plant'!J61</f>
        <v>0</v>
      </c>
      <c r="G46" s="206">
        <f>+'g - Plant'!K61</f>
        <v>0</v>
      </c>
      <c r="H46" s="206">
        <f>+'g - Plant'!L61</f>
        <v>0</v>
      </c>
      <c r="I46" s="206">
        <f>+'g - Plant'!M61</f>
        <v>0</v>
      </c>
      <c r="J46" s="206">
        <f>+'g - Plant'!N61</f>
        <v>0</v>
      </c>
      <c r="K46" s="206">
        <f>+'g - Plant'!O61</f>
        <v>0</v>
      </c>
      <c r="L46" s="206">
        <f>+'g - Plant'!P61</f>
        <v>0</v>
      </c>
      <c r="M46" s="206">
        <f>+'g - Plant'!Q61</f>
        <v>0</v>
      </c>
    </row>
    <row r="47" spans="2:13" ht="16.5" customHeight="1">
      <c r="B47" s="50" t="s">
        <v>287</v>
      </c>
      <c r="C47" s="1" t="s">
        <v>288</v>
      </c>
      <c r="D47" s="206" t="e">
        <f t="shared" ref="D47:M47" si="2">MAXA(0,+D34-D39)</f>
        <v>#DIV/0!</v>
      </c>
      <c r="E47" s="206" t="e">
        <f t="shared" si="2"/>
        <v>#DIV/0!</v>
      </c>
      <c r="F47" s="206" t="e">
        <f t="shared" si="2"/>
        <v>#DIV/0!</v>
      </c>
      <c r="G47" s="206" t="e">
        <f t="shared" si="2"/>
        <v>#DIV/0!</v>
      </c>
      <c r="H47" s="206" t="e">
        <f t="shared" si="2"/>
        <v>#DIV/0!</v>
      </c>
      <c r="I47" s="206" t="e">
        <f t="shared" si="2"/>
        <v>#DIV/0!</v>
      </c>
      <c r="J47" s="206" t="e">
        <f t="shared" si="2"/>
        <v>#DIV/0!</v>
      </c>
      <c r="K47" s="206" t="e">
        <f t="shared" si="2"/>
        <v>#DIV/0!</v>
      </c>
      <c r="L47" s="206" t="e">
        <f t="shared" si="2"/>
        <v>#DIV/0!</v>
      </c>
      <c r="M47" s="206" t="e">
        <f t="shared" si="2"/>
        <v>#DIV/0!</v>
      </c>
    </row>
    <row r="48" spans="2:13" ht="16.5" customHeight="1">
      <c r="B48" s="50" t="s">
        <v>289</v>
      </c>
      <c r="C48" s="1" t="s">
        <v>290</v>
      </c>
      <c r="D48" s="206">
        <f>+'g - Plant'!H43</f>
        <v>0</v>
      </c>
      <c r="E48" s="206">
        <f>+'g - Plant'!I43</f>
        <v>0</v>
      </c>
      <c r="F48" s="206">
        <f>+'g - Plant'!J43</f>
        <v>0</v>
      </c>
      <c r="G48" s="206">
        <f>+'g - Plant'!K43</f>
        <v>0</v>
      </c>
      <c r="H48" s="206">
        <f>+'g - Plant'!L43</f>
        <v>0</v>
      </c>
      <c r="I48" s="206">
        <f>+'g - Plant'!M43</f>
        <v>0</v>
      </c>
      <c r="J48" s="206">
        <f>+'g - Plant'!N43</f>
        <v>0</v>
      </c>
      <c r="K48" s="206">
        <f>+'g - Plant'!O43</f>
        <v>0</v>
      </c>
      <c r="L48" s="206">
        <f>+'g - Plant'!P43</f>
        <v>0</v>
      </c>
      <c r="M48" s="206">
        <f>+'g - Plant'!Q43</f>
        <v>0</v>
      </c>
    </row>
    <row r="49" spans="2:13" ht="16.5" customHeight="1">
      <c r="B49" s="50" t="s">
        <v>291</v>
      </c>
      <c r="C49" s="24" t="s">
        <v>349</v>
      </c>
      <c r="D49" s="206">
        <f>+'g - Plant'!H47+'g - Plant'!H58</f>
        <v>0</v>
      </c>
      <c r="E49" s="206">
        <f>+'g - Plant'!I47+'g - Plant'!I58</f>
        <v>0</v>
      </c>
      <c r="F49" s="206">
        <f>+'g - Plant'!J47+'g - Plant'!J58</f>
        <v>0</v>
      </c>
      <c r="G49" s="206">
        <f>+'g - Plant'!K47+'g - Plant'!K58</f>
        <v>0</v>
      </c>
      <c r="H49" s="206">
        <f>+'g - Plant'!L47+'g - Plant'!L58</f>
        <v>0</v>
      </c>
      <c r="I49" s="206">
        <f>+'g - Plant'!M47+'g - Plant'!M58</f>
        <v>0</v>
      </c>
      <c r="J49" s="206">
        <f>+'g - Plant'!N47+'g - Plant'!N58</f>
        <v>0</v>
      </c>
      <c r="K49" s="206">
        <f>+'g - Plant'!O47+'g - Plant'!O58</f>
        <v>0</v>
      </c>
      <c r="L49" s="206">
        <f>+'g - Plant'!P47+'g - Plant'!P58</f>
        <v>0</v>
      </c>
      <c r="M49" s="206">
        <f>+'g - Plant'!Q47+'g - Plant'!Q58</f>
        <v>0</v>
      </c>
    </row>
    <row r="50" spans="2:13" ht="16.5" customHeight="1">
      <c r="B50" s="47" t="s">
        <v>293</v>
      </c>
      <c r="C50" s="1" t="s">
        <v>292</v>
      </c>
      <c r="D50" s="206">
        <f>+'g - Plant'!H45+'g - Plant'!H57</f>
        <v>0</v>
      </c>
      <c r="E50" s="206">
        <f>+'g - Plant'!I45+'g - Plant'!I57</f>
        <v>0</v>
      </c>
      <c r="F50" s="206">
        <f>+'g - Plant'!J45+'g - Plant'!J57</f>
        <v>0</v>
      </c>
      <c r="G50" s="206">
        <f>+'g - Plant'!K45+'g - Plant'!K57</f>
        <v>0</v>
      </c>
      <c r="H50" s="206">
        <f>+'g - Plant'!L45+'g - Plant'!L57</f>
        <v>0</v>
      </c>
      <c r="I50" s="206">
        <f>+'g - Plant'!M45+'g - Plant'!M57</f>
        <v>0</v>
      </c>
      <c r="J50" s="206">
        <f>+'g - Plant'!N45+'g - Plant'!N57</f>
        <v>0</v>
      </c>
      <c r="K50" s="206">
        <f>+'g - Plant'!O45+'g - Plant'!O57</f>
        <v>0</v>
      </c>
      <c r="L50" s="206">
        <f>+'g - Plant'!P45+'g - Plant'!P57</f>
        <v>0</v>
      </c>
      <c r="M50" s="206">
        <f>+'g - Plant'!Q45+'g - Plant'!Q57</f>
        <v>0</v>
      </c>
    </row>
    <row r="51" spans="2:13" ht="16.5" customHeight="1">
      <c r="B51" s="50" t="s">
        <v>294</v>
      </c>
      <c r="C51" s="1" t="s">
        <v>352</v>
      </c>
      <c r="D51" s="206">
        <f>+'g - Plant'!H34</f>
        <v>0</v>
      </c>
      <c r="E51" s="206">
        <f>+'g - Plant'!I34</f>
        <v>0</v>
      </c>
      <c r="F51" s="206">
        <f>+'g - Plant'!J34</f>
        <v>0</v>
      </c>
      <c r="G51" s="206">
        <f>+'g - Plant'!K34</f>
        <v>0</v>
      </c>
      <c r="H51" s="206">
        <f>+'g - Plant'!L34</f>
        <v>0</v>
      </c>
      <c r="I51" s="206">
        <f>+'g - Plant'!M34</f>
        <v>0</v>
      </c>
      <c r="J51" s="206">
        <f>+'g - Plant'!N34</f>
        <v>0</v>
      </c>
      <c r="K51" s="206">
        <f>+'g - Plant'!O34</f>
        <v>0</v>
      </c>
      <c r="L51" s="206">
        <f>+'g - Plant'!P34</f>
        <v>0</v>
      </c>
      <c r="M51" s="206">
        <f>+'g - Plant'!Q34</f>
        <v>0</v>
      </c>
    </row>
    <row r="52" spans="2:13" ht="16.5" customHeight="1">
      <c r="B52" s="50" t="s">
        <v>295</v>
      </c>
      <c r="C52" s="1" t="s">
        <v>351</v>
      </c>
      <c r="D52" s="206">
        <f>+'g - Plant'!H36+'g - Plant'!H54</f>
        <v>0</v>
      </c>
      <c r="E52" s="206">
        <f>+'g - Plant'!I36+'g - Plant'!I54</f>
        <v>0</v>
      </c>
      <c r="F52" s="206">
        <f>+'g - Plant'!J36+'g - Plant'!J54</f>
        <v>0</v>
      </c>
      <c r="G52" s="206">
        <f>+'g - Plant'!K36+'g - Plant'!K54</f>
        <v>0</v>
      </c>
      <c r="H52" s="206">
        <f>+'g - Plant'!L36+'g - Plant'!L54</f>
        <v>0</v>
      </c>
      <c r="I52" s="206">
        <f>+'g - Plant'!M36+'g - Plant'!M54</f>
        <v>0</v>
      </c>
      <c r="J52" s="206">
        <f>+'g - Plant'!N36+'g - Plant'!N54</f>
        <v>0</v>
      </c>
      <c r="K52" s="206">
        <f>+'g - Plant'!O36+'g - Plant'!O54</f>
        <v>0</v>
      </c>
      <c r="L52" s="206">
        <f>+'g - Plant'!P36+'g - Plant'!P54</f>
        <v>0</v>
      </c>
      <c r="M52" s="206">
        <f>+'g - Plant'!Q36+'g - Plant'!Q54</f>
        <v>0</v>
      </c>
    </row>
    <row r="53" spans="2:13" ht="16.5" customHeight="1">
      <c r="B53" s="47" t="s">
        <v>297</v>
      </c>
      <c r="C53" s="1" t="s">
        <v>353</v>
      </c>
      <c r="D53" s="206">
        <f>+'g - Plant'!H35+'g - Plant'!H53</f>
        <v>0</v>
      </c>
      <c r="E53" s="206">
        <f>+'g - Plant'!I35+'g - Plant'!I53</f>
        <v>0</v>
      </c>
      <c r="F53" s="206">
        <f>+'g - Plant'!J35+'g - Plant'!J53</f>
        <v>0</v>
      </c>
      <c r="G53" s="206">
        <f>+'g - Plant'!K35+'g - Plant'!K53</f>
        <v>0</v>
      </c>
      <c r="H53" s="206">
        <f>+'g - Plant'!L35+'g - Plant'!L53</f>
        <v>0</v>
      </c>
      <c r="I53" s="206">
        <f>+'g - Plant'!M35+'g - Plant'!M53</f>
        <v>0</v>
      </c>
      <c r="J53" s="206">
        <f>+'g - Plant'!N35+'g - Plant'!N53</f>
        <v>0</v>
      </c>
      <c r="K53" s="206">
        <f>+'g - Plant'!O35+'g - Plant'!O53</f>
        <v>0</v>
      </c>
      <c r="L53" s="206">
        <f>+'g - Plant'!P35+'g - Plant'!P53</f>
        <v>0</v>
      </c>
      <c r="M53" s="206">
        <f>+'g - Plant'!Q35+'g - Plant'!Q53</f>
        <v>0</v>
      </c>
    </row>
    <row r="54" spans="2:13" ht="16.5" customHeight="1">
      <c r="B54" s="50"/>
    </row>
    <row r="55" spans="2:13" ht="16.5" customHeight="1">
      <c r="B55" s="47" t="s">
        <v>348</v>
      </c>
      <c r="C55" s="1" t="s">
        <v>296</v>
      </c>
      <c r="D55" s="3">
        <f>'e - Sales'!G54</f>
        <v>0</v>
      </c>
      <c r="E55" s="3">
        <f>'e - Sales'!H54</f>
        <v>0</v>
      </c>
      <c r="F55" s="3">
        <f>'e - Sales'!I54</f>
        <v>0</v>
      </c>
      <c r="G55" s="3">
        <f>'e - Sales'!J54</f>
        <v>0</v>
      </c>
      <c r="H55" s="3">
        <f>'e - Sales'!K54</f>
        <v>0</v>
      </c>
      <c r="I55" s="3">
        <f>'e - Sales'!L54</f>
        <v>0</v>
      </c>
      <c r="J55" s="3">
        <f>'e - Sales'!M54</f>
        <v>0</v>
      </c>
      <c r="K55" s="3">
        <f>'e - Sales'!N54</f>
        <v>0</v>
      </c>
      <c r="L55" s="3">
        <f>'e - Sales'!O54</f>
        <v>0</v>
      </c>
      <c r="M55" s="3">
        <f>'e - Sales'!P54</f>
        <v>0</v>
      </c>
    </row>
    <row r="56" spans="2:13" ht="16.5" customHeight="1">
      <c r="B56" s="47" t="s">
        <v>350</v>
      </c>
      <c r="C56" s="2" t="s">
        <v>298</v>
      </c>
      <c r="D56" s="210" t="e">
        <f>(+D55/'e - Sales'!F54)-1</f>
        <v>#DIV/0!</v>
      </c>
      <c r="E56" s="210" t="e">
        <f>(+E55/'e - Sales'!G54)-1</f>
        <v>#DIV/0!</v>
      </c>
      <c r="F56" s="210" t="e">
        <f>(+F55/'e - Sales'!H54)-1</f>
        <v>#DIV/0!</v>
      </c>
      <c r="G56" s="210" t="e">
        <f>(+G55/'e - Sales'!I54)-1</f>
        <v>#DIV/0!</v>
      </c>
      <c r="H56" s="210" t="e">
        <f>(+H55/'e - Sales'!J54)-1</f>
        <v>#DIV/0!</v>
      </c>
      <c r="I56" s="210" t="e">
        <f>(+I55/'e - Sales'!K54)-1</f>
        <v>#DIV/0!</v>
      </c>
      <c r="J56" s="210" t="e">
        <f>(+J55/'e - Sales'!L54)-1</f>
        <v>#DIV/0!</v>
      </c>
      <c r="K56" s="210" t="e">
        <f>(+K55/'e - Sales'!M54)-1</f>
        <v>#DIV/0!</v>
      </c>
      <c r="L56" s="210" t="e">
        <f>(+L55/'e - Sales'!N54)-1</f>
        <v>#DIV/0!</v>
      </c>
      <c r="M56" s="210" t="e">
        <f>(+M55/'e - Sales'!O54)-1</f>
        <v>#DIV/0!</v>
      </c>
    </row>
    <row r="57" spans="2:13" ht="16.5" customHeight="1"/>
    <row r="58" spans="2:13" ht="16.5" customHeight="1">
      <c r="C58" s="1" t="s">
        <v>299</v>
      </c>
      <c r="D58">
        <f t="shared" ref="D58:M58" si="3">D3</f>
        <v>2024</v>
      </c>
      <c r="E58">
        <f t="shared" si="3"/>
        <v>2025</v>
      </c>
      <c r="F58">
        <f t="shared" si="3"/>
        <v>2026</v>
      </c>
      <c r="G58">
        <f t="shared" si="3"/>
        <v>2027</v>
      </c>
      <c r="H58">
        <f t="shared" si="3"/>
        <v>2028</v>
      </c>
      <c r="I58">
        <f t="shared" si="3"/>
        <v>2029</v>
      </c>
      <c r="J58">
        <f t="shared" si="3"/>
        <v>2030</v>
      </c>
      <c r="K58">
        <f t="shared" si="3"/>
        <v>2031</v>
      </c>
      <c r="L58">
        <f t="shared" si="3"/>
        <v>2032</v>
      </c>
      <c r="M58">
        <f t="shared" si="3"/>
        <v>2033</v>
      </c>
    </row>
    <row r="59" spans="2:13" ht="16.5" customHeight="1">
      <c r="D59" s="213" t="s">
        <v>65</v>
      </c>
      <c r="E59" s="213" t="s">
        <v>65</v>
      </c>
      <c r="F59" s="213" t="s">
        <v>65</v>
      </c>
      <c r="G59" s="213" t="s">
        <v>65</v>
      </c>
      <c r="H59" s="213" t="s">
        <v>65</v>
      </c>
      <c r="I59" s="213" t="s">
        <v>65</v>
      </c>
      <c r="J59" s="213" t="s">
        <v>65</v>
      </c>
      <c r="K59" s="213" t="s">
        <v>65</v>
      </c>
      <c r="L59" s="213" t="s">
        <v>65</v>
      </c>
      <c r="M59" s="213" t="s">
        <v>65</v>
      </c>
    </row>
    <row r="60" spans="2:13" ht="16.5" customHeight="1">
      <c r="C60" s="1" t="s">
        <v>300</v>
      </c>
      <c r="D60" s="3">
        <f>+'g - Plant'!H38</f>
        <v>0</v>
      </c>
      <c r="E60" s="3">
        <f>+'g - Plant'!I38</f>
        <v>0</v>
      </c>
      <c r="F60" s="3">
        <f>+'g - Plant'!J38</f>
        <v>0</v>
      </c>
      <c r="G60" s="3">
        <f>+'g - Plant'!K38</f>
        <v>0</v>
      </c>
      <c r="H60" s="3">
        <f>+'g - Plant'!L38</f>
        <v>0</v>
      </c>
      <c r="I60" s="3">
        <f>+'g - Plant'!M38</f>
        <v>0</v>
      </c>
      <c r="J60" s="3">
        <f>+'g - Plant'!N38</f>
        <v>0</v>
      </c>
      <c r="K60" s="3">
        <f>+'g - Plant'!O38</f>
        <v>0</v>
      </c>
      <c r="L60" s="3">
        <f>+'g - Plant'!P38</f>
        <v>0</v>
      </c>
      <c r="M60" s="3">
        <f>+'g - Plant'!Q38</f>
        <v>0</v>
      </c>
    </row>
    <row r="61" spans="2:13" ht="16.5" customHeight="1">
      <c r="C61" s="1" t="s">
        <v>301</v>
      </c>
      <c r="D61" s="3">
        <f>+'g - Plant'!H55</f>
        <v>0</v>
      </c>
      <c r="E61" s="3">
        <f>+'g - Plant'!I55</f>
        <v>0</v>
      </c>
      <c r="F61" s="3">
        <f>+'g - Plant'!J55</f>
        <v>0</v>
      </c>
      <c r="G61" s="3">
        <f>+'g - Plant'!K55</f>
        <v>0</v>
      </c>
      <c r="H61" s="3">
        <f>+'g - Plant'!L55</f>
        <v>0</v>
      </c>
      <c r="I61" s="3">
        <f>+'g - Plant'!M55</f>
        <v>0</v>
      </c>
      <c r="J61" s="3">
        <f>+'g - Plant'!N55</f>
        <v>0</v>
      </c>
      <c r="K61" s="3">
        <f>+'g - Plant'!O55</f>
        <v>0</v>
      </c>
      <c r="L61" s="3">
        <f>+'g - Plant'!P55</f>
        <v>0</v>
      </c>
      <c r="M61" s="3">
        <f>+'g - Plant'!Q55</f>
        <v>0</v>
      </c>
    </row>
    <row r="62" spans="2:13" ht="16.5" customHeight="1">
      <c r="C62" s="1" t="s">
        <v>302</v>
      </c>
      <c r="D62" s="3" t="e">
        <f>D47</f>
        <v>#DIV/0!</v>
      </c>
      <c r="E62" s="3" t="e">
        <f t="shared" ref="E62:M62" si="4">E34-E39</f>
        <v>#DIV/0!</v>
      </c>
      <c r="F62" s="3" t="e">
        <f t="shared" si="4"/>
        <v>#DIV/0!</v>
      </c>
      <c r="G62" s="3" t="e">
        <f t="shared" si="4"/>
        <v>#DIV/0!</v>
      </c>
      <c r="H62" s="3" t="e">
        <f t="shared" si="4"/>
        <v>#DIV/0!</v>
      </c>
      <c r="I62" s="3" t="e">
        <f t="shared" si="4"/>
        <v>#DIV/0!</v>
      </c>
      <c r="J62" s="3" t="e">
        <f t="shared" si="4"/>
        <v>#DIV/0!</v>
      </c>
      <c r="K62" s="3" t="e">
        <f t="shared" si="4"/>
        <v>#DIV/0!</v>
      </c>
      <c r="L62" s="3" t="e">
        <f t="shared" si="4"/>
        <v>#DIV/0!</v>
      </c>
      <c r="M62" s="3" t="e">
        <f t="shared" si="4"/>
        <v>#DIV/0!</v>
      </c>
    </row>
    <row r="63" spans="2:13" ht="16.5" customHeight="1">
      <c r="C63" s="1" t="s">
        <v>303</v>
      </c>
      <c r="D63" s="3" t="e">
        <f>MINA(+D62+D60,'g - Plant'!H31+'g - Plant'!H27)</f>
        <v>#DIV/0!</v>
      </c>
      <c r="E63" s="3" t="e">
        <f>MINA(+E62+E60,'g - Plant'!I31+'g - Plant'!I27)</f>
        <v>#DIV/0!</v>
      </c>
      <c r="F63" s="3" t="e">
        <f>MINA(+F62+F60,'g - Plant'!J31+'g - Plant'!J27)</f>
        <v>#DIV/0!</v>
      </c>
      <c r="G63" s="3" t="e">
        <f>MINA(+G62+G60,'g - Plant'!K31+'g - Plant'!K27)</f>
        <v>#DIV/0!</v>
      </c>
      <c r="H63" s="3" t="e">
        <f>MINA(+H62+H60,'g - Plant'!L31+'g - Plant'!L27)</f>
        <v>#DIV/0!</v>
      </c>
      <c r="I63" s="3" t="e">
        <f>MINA(+I62+I60,'g - Plant'!M31+'g - Plant'!M27)</f>
        <v>#DIV/0!</v>
      </c>
      <c r="J63" s="3" t="e">
        <f>MINA(+J62+J60,'g - Plant'!N31+'g - Plant'!N27)</f>
        <v>#DIV/0!</v>
      </c>
      <c r="K63" s="3" t="e">
        <f>MINA(+K62+K60,'g - Plant'!O31+'g - Plant'!O27)</f>
        <v>#DIV/0!</v>
      </c>
      <c r="L63" s="3" t="e">
        <f>MINA(+L62+L60,'g - Plant'!P31+'g - Plant'!P27)</f>
        <v>#DIV/0!</v>
      </c>
      <c r="M63" s="3" t="e">
        <f>MINA(+M62+M60,'g - Plant'!Q31+'g - Plant'!Q27)</f>
        <v>#DIV/0!</v>
      </c>
    </row>
    <row r="64" spans="2:13" ht="16.5" customHeight="1">
      <c r="C64" s="1"/>
      <c r="D64" s="3"/>
      <c r="E64" s="3"/>
      <c r="F64" s="3"/>
      <c r="G64" s="3"/>
      <c r="H64" s="3"/>
      <c r="I64" s="3"/>
      <c r="J64" s="3"/>
      <c r="K64" s="3"/>
      <c r="L64" s="3"/>
      <c r="M64" s="3"/>
    </row>
    <row r="65" spans="2:13" ht="16.5" customHeight="1">
      <c r="B65" s="249" t="s">
        <v>968</v>
      </c>
      <c r="C65" s="248" t="s">
        <v>967</v>
      </c>
      <c r="D65" s="250">
        <f>'a &amp; b'!D60-Input!G44+Input!G37*'a &amp; b'!D60</f>
        <v>0</v>
      </c>
      <c r="E65" s="250">
        <f>D65-Input!H44+Input!H37*D65</f>
        <v>0</v>
      </c>
      <c r="F65" s="250">
        <f>E65-Input!I44+Input!I37*E65</f>
        <v>0</v>
      </c>
      <c r="G65" s="250">
        <f>F65-Input!J44+Input!J37*F65</f>
        <v>0</v>
      </c>
      <c r="H65" s="250">
        <f>G65-Input!K44+Input!K37*G65</f>
        <v>0</v>
      </c>
      <c r="I65" s="250">
        <f>H65-Input!L44+Input!L37*H65</f>
        <v>0</v>
      </c>
      <c r="J65" s="250">
        <f>I65-Input!M44+Input!M37*I65</f>
        <v>0</v>
      </c>
      <c r="K65" s="250">
        <f>J65-Input!N44+Input!N37*J65</f>
        <v>0</v>
      </c>
      <c r="L65" s="250">
        <f>K65-Input!O44+Input!O37*K65</f>
        <v>0</v>
      </c>
      <c r="M65" s="250">
        <f>L65-Input!P44+Input!P37*L65</f>
        <v>0</v>
      </c>
    </row>
  </sheetData>
  <sheetProtection algorithmName="SHA-512" hashValue="fKmFkEUAQIq6V4JYOshQ/Duy6MRoi4ju/0OlZRnYiV1N/jZ+EiW0EJJ8v6vOsXWmHypiHPdYORrUh/0pNLPaGg==" saltValue="r6pfBAU/ZbWqhuf/RI1aaQ==" spinCount="100000" sheet="1" objects="1" scenarios="1"/>
  <phoneticPr fontId="0" type="noConversion"/>
  <pageMargins left="0.56999999999999995" right="0.27" top="0.42" bottom="0.37" header="0.38" footer="0.35"/>
  <pageSetup scale="54"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pageSetUpPr fitToPage="1"/>
  </sheetPr>
  <dimension ref="A1:L147"/>
  <sheetViews>
    <sheetView workbookViewId="0">
      <selection activeCell="C3" sqref="C3"/>
    </sheetView>
  </sheetViews>
  <sheetFormatPr defaultRowHeight="12.5"/>
  <cols>
    <col min="1" max="1" width="22.1796875" customWidth="1"/>
    <col min="5" max="5" width="10.1796875" customWidth="1"/>
    <col min="9" max="9" width="9.54296875" customWidth="1"/>
  </cols>
  <sheetData>
    <row r="1" spans="1:12">
      <c r="L1" t="str">
        <f>+Input!D6</f>
        <v>Today</v>
      </c>
    </row>
    <row r="3" spans="1:12" ht="13">
      <c r="C3" s="127" t="s">
        <v>912</v>
      </c>
    </row>
    <row r="5" spans="1:12" ht="13.5" customHeight="1">
      <c r="A5" s="5" t="str">
        <f>+CONCATENATE(Input!D2," has developed its financial forecast, now presented to Rural Development - Electric Programs in support of the XX loan")</f>
        <v>RURAL ELECTRIC COOPERATIVE, INC. has developed its financial forecast, now presented to Rural Development - Electric Programs in support of the XX loan</v>
      </c>
    </row>
    <row r="6" spans="1:12">
      <c r="A6" t="s">
        <v>916</v>
      </c>
    </row>
    <row r="8" spans="1:12" ht="13">
      <c r="A8" s="127" t="s">
        <v>19</v>
      </c>
    </row>
    <row r="10" spans="1:12">
      <c r="A10" t="s">
        <v>20</v>
      </c>
      <c r="B10" t="str">
        <f>+CONCATENATE("A financial control using a ",Input!G13," of  ",TEXT(Input!G14,"0.00")," was used in this forecast below which necessary rate increases were reflected.")</f>
        <v>A financial control using a TIER of  1.75 was used in this forecast below which necessary rate increases were reflected.</v>
      </c>
    </row>
    <row r="12" spans="1:12">
      <c r="A12" t="s">
        <v>16</v>
      </c>
      <c r="B12" t="e">
        <f>+CONCATENATE("Equity initially changes from a level of ",TEXT('a &amp; b'!D14,"00.00")," in the year of ",'a &amp; b'!D12," to a level of ",TEXT('a &amp; b'!N14,"00.00")," in the year of ",'a &amp; b'!N12,".")</f>
        <v>#DIV/0!</v>
      </c>
    </row>
    <row r="14" spans="1:12" ht="13">
      <c r="A14" s="127" t="s">
        <v>17</v>
      </c>
      <c r="B14" s="237" t="s">
        <v>964</v>
      </c>
    </row>
    <row r="15" spans="1:12">
      <c r="B15" t="str">
        <f>+CONCATENATE("(LFS) which was reviewed for approval by the ",Input!D2," board on xx/xx/xx.")</f>
        <v>(LFS) which was reviewed for approval by the RURAL ELECTRIC COOPERATIVE, INC. board on xx/xx/xx.</v>
      </c>
    </row>
    <row r="16" spans="1:12">
      <c r="B16" t="s">
        <v>18</v>
      </c>
    </row>
    <row r="18" spans="1:8" ht="13">
      <c r="A18" t="s">
        <v>913</v>
      </c>
      <c r="B18" t="s">
        <v>21</v>
      </c>
    </row>
    <row r="19" spans="1:8">
      <c r="B19" t="str">
        <f>CONCATENATE("Increases from ",TEXT('e - Sales'!F8,"00,000")," consumers in the year ",'e - Sales'!F5," to ",TEXT('e - Sales'!P8,"00,000")," consumers in the year ",'e - Sales'!P5,".")</f>
        <v>Increases from 00,000 consumers in the year 2023 to 00,000 consumers in the year 2033.</v>
      </c>
      <c r="D19" s="3"/>
      <c r="H19" s="3"/>
    </row>
    <row r="20" spans="1:8">
      <c r="B20" t="str">
        <f>CONCATENATE("kWh sales uses an average of ",TEXT('e - Sales'!G24,"0,000")," kWh per consumer per month in the year ",'e - Sales'!G5,", compared with ",TEXT('e - Sales'!F24,"0,000")," kWh per month in ",'e - Sales'!F5,",")</f>
        <v>kWh sales uses an average of 0,000 kWh per consumer per month in the year 2024, compared with 0,000 kWh per month in 2023,</v>
      </c>
    </row>
    <row r="21" spans="1:8">
      <c r="B21" t="str">
        <f>CONCATENATE("and an average usage of ",TEXT(AVERAGE('e - Sales'!H24:P24),"0,000")," kWh per month thereafter.")</f>
        <v>and an average usage of 0,000 kWh per month thereafter.</v>
      </c>
    </row>
    <row r="23" spans="1:8" ht="13">
      <c r="A23" t="s">
        <v>914</v>
      </c>
      <c r="B23" t="s">
        <v>21</v>
      </c>
    </row>
    <row r="24" spans="1:8">
      <c r="B24" t="str">
        <f>CONCATENATE("Increases from ",TEXT('e - Sales'!F10,"00,000")," consumers in the year ",'e - Sales'!F5," to ",TEXT('e - Sales'!P10,"00,000")," consumers in the year ",'e - Sales'!P5,".")</f>
        <v>Increases from 00,000 consumers in the year 2023 to 00,000 consumers in the year 2033.</v>
      </c>
    </row>
    <row r="25" spans="1:8">
      <c r="B25" t="str">
        <f>CONCATENATE("kWh sales uses an average of ",TEXT('e - Sales'!G26,"0,000")," kWh per consumer per month in the year ",'e - Sales'!G5,", compared with ",TEXT('e - Sales'!F26,"0,000")," kWh per month in ",'e - Sales'!F5,",")</f>
        <v>kWh sales uses an average of 0,000 kWh per consumer per month in the year 2024, compared with 0,000 kWh per month in 2023,</v>
      </c>
    </row>
    <row r="26" spans="1:8">
      <c r="B26" t="str">
        <f>CONCATENATE("and an average usage of ",TEXT(AVERAGE('e - Sales'!H26:P26),"0,000")," kWh per month thereafter.")</f>
        <v>and an average usage of 0,000 kWh per month thereafter.</v>
      </c>
    </row>
    <row r="28" spans="1:8" ht="13">
      <c r="A28" t="s">
        <v>12</v>
      </c>
      <c r="B28" t="s">
        <v>21</v>
      </c>
    </row>
    <row r="29" spans="1:8">
      <c r="B29" t="str">
        <f>CONCATENATE("kWh sales uses an average of ",TEXT('e - Sales'!G27,"00,000")," kWh per consumer per month in the year ",'e - Sales'!G5,", compared with ",TEXT('e - Sales'!F27,"00,000")," kWh per month in ",'e - Sales'!F5,",")</f>
        <v>kWh sales uses an average of 00,000 kWh per consumer per month in the year 2024, compared with 00,000 kWh per month in 2023,</v>
      </c>
    </row>
    <row r="30" spans="1:8">
      <c r="B30" t="str">
        <f>CONCATENATE("and an average usage of ",TEXT(AVERAGE('e - Sales'!H27:P27),"00,000")," kWh per month thereafter.")</f>
        <v>and an average usage of 00,000 kWh per month thereafter.</v>
      </c>
    </row>
    <row r="32" spans="1:8" ht="13">
      <c r="A32" t="s">
        <v>13</v>
      </c>
      <c r="B32" t="s">
        <v>21</v>
      </c>
    </row>
    <row r="33" spans="1:2">
      <c r="B33" t="s">
        <v>928</v>
      </c>
    </row>
    <row r="36" spans="1:2" ht="13">
      <c r="A36" t="s">
        <v>27</v>
      </c>
      <c r="B36" t="s">
        <v>21</v>
      </c>
    </row>
    <row r="37" spans="1:2">
      <c r="B37" t="str">
        <f>CONCATENATE("Increases from ",TEXT('e - Sales'!F16,"0,000")," consumers in the year ",'e - Sales'!F5," to ",TEXT('e - Sales'!P16,"0,000")," consumers in the year ",'e - Sales'!P5,".")</f>
        <v>Increases from 0,000 consumers in the year 2023 to 0,000 consumers in the year 2033.</v>
      </c>
    </row>
    <row r="38" spans="1:2">
      <c r="B38" t="str">
        <f>CONCATENATE("kWh sales uses an average of ",TEXT('e - Sales'!G32,"0,000")," kWh per consumer per month in the year ",'e - Sales'!G5,", compared with ",TEXT('e - Sales'!F32,"0,000")," kWh per month in ",'e - Sales'!F5,",")</f>
        <v>kWh sales uses an average of 0,000 kWh per consumer per month in the year 2024, compared with 0,000 kWh per month in 2023,</v>
      </c>
    </row>
    <row r="39" spans="1:2">
      <c r="B39" t="str">
        <f>CONCATENATE("and an average usage of ",TEXT(AVERAGE('e - Sales'!H32:P32),"0,000")," kWh per month thereafter.")</f>
        <v>and an average usage of 0,000 kWh per month thereafter.</v>
      </c>
    </row>
    <row r="41" spans="1:2">
      <c r="A41" t="s">
        <v>14</v>
      </c>
      <c r="B41" t="e">
        <f>CONCATENATE("Projected at ",TEXT('e - Sales'!G59,"00.00")," in the year ",'e - Sales'!G5," and an average of ",TEXT(AVERAGE('e - Sales'!H59:P59),"00.00")," thereafter, compared with ",TEXT('e - Sales'!F59,"00.00")," in the year ",'e - Sales'!F5,".")</f>
        <v>#DIV/0!</v>
      </c>
    </row>
    <row r="43" spans="1:2">
      <c r="A43" t="s">
        <v>15</v>
      </c>
      <c r="B43" t="str">
        <f>+CONCATENATE("Projected at ",TEXT('e - Sales'!G57,"000,000")," kWh for ",'e - Sales'!G5, " compared with ",TEXT('e - Sales'!F57,"000,000")," in the year ",'e - Sales'!F5,".")</f>
        <v>Projected at 000,000 kWh for 2024 compared with 000,000 in the year 2023.</v>
      </c>
    </row>
    <row r="46" spans="1:2" ht="13">
      <c r="A46" s="127" t="s">
        <v>22</v>
      </c>
      <c r="B46" t="s">
        <v>24</v>
      </c>
    </row>
    <row r="47" spans="1:2">
      <c r="B47" t="s">
        <v>23</v>
      </c>
    </row>
    <row r="49" spans="1:2">
      <c r="A49" t="s">
        <v>25</v>
      </c>
      <c r="B49" t="str">
        <f>+CONCATENATE("$ ",TEXT('f - Rev'!G10,"0.000")," per kWh for the years ",'f - Rev'!G5," to ",'f - Rev'!P5,", compared with $ ",TEXT('f - Rev'!F10,"0.000")," per kWh in ",'f - Rev'!F5,".")</f>
        <v>$ 0.000 per kWh for the years 2024 to 2033, compared with $ 0.000 per kWh in 2023.</v>
      </c>
    </row>
    <row r="51" spans="1:2">
      <c r="A51" t="s">
        <v>914</v>
      </c>
      <c r="B51" t="str">
        <f>+CONCATENATE("$ ",TEXT('f - Rev'!G28,"0.000")," per kWh for the years ",'f - Rev'!G5," to ",'f - Rev'!P5,", compared with $ ",TEXT('f - Rev'!F28,"0.000")," per kWh in ",'f - Rev'!F5,".")</f>
        <v>$ 0.000 per kWh for the years 2024 to 2033, compared with $ 0.000 per kWh in 2023.</v>
      </c>
    </row>
    <row r="53" spans="1:2">
      <c r="A53" t="s">
        <v>26</v>
      </c>
      <c r="B53" t="str">
        <f>+CONCATENATE("$ ",TEXT('f - Rev'!G37,"0.000")," per kWh for the years ",'f - Rev'!G5," to ",'f - Rev'!P5,", compared with $ ",TEXT('f - Rev'!F37,"0.000")," per kWh in ",'f - Rev'!F5,".")</f>
        <v>$ 0.000 per kWh for the years 2024 to 2033, compared with $ 0.000 per kWh in 2023.</v>
      </c>
    </row>
    <row r="55" spans="1:2">
      <c r="A55" t="s">
        <v>13</v>
      </c>
    </row>
    <row r="57" spans="1:2">
      <c r="A57" t="s">
        <v>27</v>
      </c>
      <c r="B57" t="str">
        <f>+CONCATENATE("$ ",TEXT('f - Rev'!G96,"0.000")," per kWh for the years ",'f - Rev'!G5," to ",'f - Rev'!P5,", compared with $ ",TEXT('f - Rev'!F96,"0.000")," per kWh in ",'f - Rev'!F96,".")</f>
        <v>$ 0.000 per kWh for the years 2024 to 2033, compared with $ 0.000 per kWh in 0.</v>
      </c>
    </row>
    <row r="59" spans="1:2">
      <c r="A59" t="s">
        <v>28</v>
      </c>
    </row>
    <row r="61" spans="1:2">
      <c r="A61" t="s">
        <v>30</v>
      </c>
      <c r="B61" t="s">
        <v>31</v>
      </c>
    </row>
    <row r="62" spans="1:2">
      <c r="A62" t="s">
        <v>29</v>
      </c>
      <c r="B62" t="str">
        <f>+CONCATENATE("$",TEXT('f - Rev'!G165,"000,000")," per year for ",'f - Rev'!G5," and $",TEXT('f - Rev'!P165,"000,000")," per year in ",'f - Rev'!P5,", compared with $",TEXT('f - Rev'!F165,"000,000")," in the year ",'f - Rev'!F5,".")</f>
        <v>$000,000 per year for 2024 and $000,000 per year in 2033, compared with $000,000 in the year 2023.</v>
      </c>
    </row>
    <row r="65" spans="1:3" ht="13">
      <c r="A65" s="127" t="s">
        <v>32</v>
      </c>
    </row>
    <row r="67" spans="1:3">
      <c r="A67" s="5" t="str">
        <f>+CONCATENATE(Input!D2," developed a xx-year work plan for the years 20xx-20xx, which was approved by the board on x/x/xx.")</f>
        <v>RURAL ELECTRIC COOPERATIVE, INC. developed a xx-year work plan for the years 20xx-20xx, which was approved by the board on x/x/xx.</v>
      </c>
    </row>
    <row r="69" spans="1:3">
      <c r="A69" t="s">
        <v>917</v>
      </c>
      <c r="B69" t="str">
        <f>+CONCATENATE("Distribution plant additions for the loan period of 20xx to 20xx, included $",'g - Plant'!H16," in the year ",'g - Plant'!H5,", $",'g - Plant'!I16," in the year ",'g - Plant'!I5,", $",'g - Plant'!J16," in the year ",'g - Plant'!J5)</f>
        <v>Distribution plant additions for the loan period of 20xx to 20xx, included $0 in the year 2024, $0 in the year 2025, $0 in the year 2026</v>
      </c>
    </row>
    <row r="70" spans="1:3">
      <c r="B70" t="str">
        <f>+CONCATENATE(" and $",'g - Plant'!K16," in the year ",'g - Plant'!K5,".")</f>
        <v xml:space="preserve"> and $0 in the year 2027.</v>
      </c>
    </row>
    <row r="71" spans="1:3">
      <c r="C71" t="s">
        <v>0</v>
      </c>
    </row>
    <row r="73" spans="1:3">
      <c r="A73" t="s">
        <v>918</v>
      </c>
      <c r="B73" t="s">
        <v>1</v>
      </c>
    </row>
    <row r="75" spans="1:3">
      <c r="A75" t="s">
        <v>923</v>
      </c>
      <c r="B75" t="str">
        <f>+CONCATENATE("General Plant in the amount of $",TEXT('g - Plant'!H22,"000,000")," in the year ",'g - Plant'!H5," compared with $",TEXT('g - Plant'!G22,"000,000")," in the historical year ",'g - Plant'!G5)</f>
        <v>General Plant in the amount of $000,000 in the year 2024 compared with $000,000 in the historical year 2023</v>
      </c>
    </row>
    <row r="77" spans="1:3">
      <c r="A77" t="s">
        <v>922</v>
      </c>
      <c r="B77" t="s">
        <v>2</v>
      </c>
    </row>
    <row r="78" spans="1:3">
      <c r="A78" t="s">
        <v>919</v>
      </c>
    </row>
    <row r="80" spans="1:3">
      <c r="A80" t="s">
        <v>921</v>
      </c>
      <c r="B80" t="s">
        <v>3</v>
      </c>
    </row>
    <row r="82" spans="1:2">
      <c r="A82" t="s">
        <v>920</v>
      </c>
      <c r="B82" t="e">
        <f>+CONCATENATE("Used the ratio of ",TEXT(('g - Plant'!H11/'g - Plant'!H9),"00.0")," (Retirements/Plant Additions) in the year ",'g - Plant'!H5,".")</f>
        <v>#DIV/0!</v>
      </c>
    </row>
    <row r="84" spans="1:2">
      <c r="A84" t="s">
        <v>924</v>
      </c>
      <c r="B84" t="str">
        <f>+CONCATENATE("Used $",TEXT('g - Plant'!H27,"0,000,000")," in the year ",'g - Plant'!H5," and $",TEXT('g - Plant'!I27,"0,000,000")," in the year ",'g - Plant'!I5,".")</f>
        <v>Used $0,000,000 in the year 2024 and $0,000,000 in the year 2025.</v>
      </c>
    </row>
    <row r="86" spans="1:2" ht="13">
      <c r="A86" t="s">
        <v>925</v>
      </c>
      <c r="B86" t="s">
        <v>926</v>
      </c>
    </row>
    <row r="87" spans="1:2" ht="13">
      <c r="B87" t="s">
        <v>927</v>
      </c>
    </row>
    <row r="89" spans="1:2" ht="13">
      <c r="A89" s="127" t="s">
        <v>39</v>
      </c>
    </row>
    <row r="91" spans="1:2" ht="13">
      <c r="A91" t="s">
        <v>33</v>
      </c>
      <c r="B91" t="s">
        <v>944</v>
      </c>
    </row>
    <row r="92" spans="1:2">
      <c r="B92" t="e">
        <f>+CONCATENATE("which ranged from $ ",TEXT(Input!G50,"0.000")," in the year ",Input!G8," and $ ",TEXT(Input!H50,"0.000")," in the year ",Input!H8,", compared with $ ",TEXT(Input!F50,"0.000")," in the year ",Input!F8,".")</f>
        <v>#DIV/0!</v>
      </c>
    </row>
    <row r="94" spans="1:2">
      <c r="A94" t="s">
        <v>34</v>
      </c>
      <c r="B94" t="str">
        <f>+CONCATENATE("Based upon budget projection for ",Input!G8," with future years based upon an escalation rate of xx%.")</f>
        <v>Based upon budget projection for 2024 with future years based upon an escalation rate of xx%.</v>
      </c>
    </row>
    <row r="95" spans="1:2">
      <c r="B95" t="e">
        <f>+CONCATENATE("The historical three year average as a % of TUP was ",TEXT('k - Exp'!F14,"00.0"),"%, compared with ",TEXT('k - Exp'!G14,"00.0"),"% in future years.")</f>
        <v>#DIV/0!</v>
      </c>
    </row>
    <row r="97" spans="1:2">
      <c r="A97" t="s">
        <v>36</v>
      </c>
      <c r="B97" t="str">
        <f>+CONCATENATE("Based upon budget projection for ",(Input!G8)," with future years based upon an escalation rate of xx%.")</f>
        <v>Based upon budget projection for 2024 with future years based upon an escalation rate of xx%.</v>
      </c>
    </row>
    <row r="98" spans="1:2">
      <c r="B98" t="e">
        <f>+CONCATENATE("The historical three year average as a % of TUP was ",TEXT('k - Exp'!F20,"00.0")," %, compared with ",TEXT('k - Exp'!G20,"00.0")," % in future years.")</f>
        <v>#DIV/0!</v>
      </c>
    </row>
    <row r="100" spans="1:2">
      <c r="A100" t="s">
        <v>35</v>
      </c>
      <c r="B100" t="str">
        <f>+CONCATENATE("Based upon budget projection for ",Input!G8," with future years based upon an escalation rate of xx%.")</f>
        <v>Based upon budget projection for 2024 with future years based upon an escalation rate of xx%.</v>
      </c>
    </row>
    <row r="101" spans="1:2">
      <c r="B101" t="e">
        <f>+CONCATENATE("The historical three year average as a % of TUP was ",TEXT('k - Exp'!F17,"00.0")," %, compared with ",TEXT('k - Exp'!G17,"00.0")," % in future years.")</f>
        <v>#DIV/0!</v>
      </c>
    </row>
    <row r="103" spans="1:2">
      <c r="A103" t="s">
        <v>37</v>
      </c>
      <c r="B103" t="str">
        <f>+CONCATENATE("Based upon budget projection for ",Input!G8," with future years based upon an escalation rate of xx%.")</f>
        <v>Based upon budget projection for 2024 with future years based upon an escalation rate of xx%.</v>
      </c>
    </row>
    <row r="104" spans="1:2">
      <c r="B104" t="e">
        <f>+CONCATENATE("The historical three year average as a cost per consumer was $ ",TEXT('k - Exp'!F28,"000.0")," per consumer, compared with $ ",TEXT('k - Exp'!G28,"000.0")," per consumer in future years.")</f>
        <v>#DIV/0!</v>
      </c>
    </row>
    <row r="106" spans="1:2">
      <c r="A106" t="s">
        <v>38</v>
      </c>
      <c r="B106" t="s">
        <v>40</v>
      </c>
    </row>
    <row r="107" spans="1:2" ht="13">
      <c r="B107" s="127" t="s">
        <v>945</v>
      </c>
    </row>
    <row r="110" spans="1:2" ht="13">
      <c r="A110" s="127" t="s">
        <v>934</v>
      </c>
    </row>
    <row r="111" spans="1:2" ht="13">
      <c r="A111" s="127"/>
    </row>
    <row r="112" spans="1:2">
      <c r="A112" t="s">
        <v>5</v>
      </c>
      <c r="B112" t="s">
        <v>7</v>
      </c>
    </row>
    <row r="114" spans="1:2">
      <c r="A114" s="5" t="s">
        <v>6</v>
      </c>
    </row>
    <row r="115" spans="1:2">
      <c r="B115" t="s">
        <v>4</v>
      </c>
    </row>
    <row r="116" spans="1:2">
      <c r="A116" t="s">
        <v>915</v>
      </c>
    </row>
    <row r="117" spans="1:2" ht="13">
      <c r="A117" s="127" t="s">
        <v>935</v>
      </c>
    </row>
    <row r="119" spans="1:2">
      <c r="A119" t="s">
        <v>930</v>
      </c>
      <c r="B119" t="str">
        <f>+CONCATENATE("Non-Operating Margins Interest are tied to interest rates and available net general funds levels, and based upon a yield of ",TEXT(Input!G33,"00.0"),"%")</f>
        <v>Non-Operating Margins Interest are tied to interest rates and available net general funds levels, and based upon a yield of 00.0%</v>
      </c>
    </row>
    <row r="120" spans="1:2">
      <c r="B120" t="str">
        <f>+CONCATENATE("in the year ",Input!G8," as well as other cash yields of $ ",TEXT(Input!G34,"000,000")," in that year.")</f>
        <v>in the year 2024 as well as other cash yields of $ 000,000 in that year.</v>
      </c>
    </row>
    <row r="122" spans="1:2" ht="13">
      <c r="A122" t="s">
        <v>933</v>
      </c>
      <c r="B122" t="s">
        <v>931</v>
      </c>
    </row>
    <row r="123" spans="1:2" ht="13">
      <c r="B123" t="s">
        <v>932</v>
      </c>
    </row>
    <row r="125" spans="1:2">
      <c r="A125" t="s">
        <v>938</v>
      </c>
      <c r="B125" t="s">
        <v>939</v>
      </c>
    </row>
    <row r="128" spans="1:2" ht="13">
      <c r="A128" s="127" t="s">
        <v>936</v>
      </c>
      <c r="B128" t="str">
        <f>+CONCATENATE(Input!D2,"'s own capital credits are assumed to be paid yearly at $ ",TEXT(Input!G46,"0,000,000")," per year in ",Input!G8,",")</f>
        <v>RURAL ELECTRIC COOPERATIVE, INC.'s own capital credits are assumed to be paid yearly at $ 0,000,000 per year in 2024,</v>
      </c>
    </row>
    <row r="129" spans="1:2" ht="13">
      <c r="A129" s="127"/>
      <c r="B129" t="str">
        <f>+CONCATENATE("$ ",TEXT(Input!H46,"0,000,000")," per year in ",Input!H8,",and $ ",TEXT(Input!I46,"0,000,000")," per year in ",Input!I8,".")</f>
        <v>$ 0,000,000 per year in 2025,and $ 0,000,000 per year in 2026.</v>
      </c>
    </row>
    <row r="130" spans="1:2" ht="13">
      <c r="A130" s="127"/>
      <c r="B130" t="s">
        <v>940</v>
      </c>
    </row>
    <row r="132" spans="1:2" ht="13">
      <c r="A132" s="127" t="s">
        <v>937</v>
      </c>
    </row>
    <row r="134" spans="1:2">
      <c r="A134" t="s">
        <v>41</v>
      </c>
      <c r="B134" t="str">
        <f>+CONCATENATE(Input!D2," is applying for a $xxx loan application using TYPE OF LOAN,")</f>
        <v>RURAL ELECTRIC COOPERATIVE, INC. is applying for a $xxx loan application using TYPE OF LOAN,</v>
      </c>
    </row>
    <row r="135" spans="1:2">
      <c r="B135" t="s">
        <v>943</v>
      </c>
    </row>
    <row r="136" spans="1:2">
      <c r="B136" t="s">
        <v>929</v>
      </c>
    </row>
    <row r="138" spans="1:2">
      <c r="A138" t="s">
        <v>946</v>
      </c>
      <c r="B138" t="str">
        <f>+CONCATENATE("Prior loan funds of $xx were unadvanced as of the end of ",Input!F8," which are being advanced thereafter as reflected in forecast.")</f>
        <v>Prior loan funds of $xx were unadvanced as of the end of 2023 which are being advanced thereafter as reflected in forecast.</v>
      </c>
    </row>
    <row r="140" spans="1:2">
      <c r="A140" t="s">
        <v>947</v>
      </c>
      <c r="B140" t="str">
        <f>+CONCATENATE("A minimum level of ",TEXT(Input!G15,"00.0")," % of Total Utility Plant was used, below which new borrowing is required.")</f>
        <v>A minimum level of 00.0 % of Total Utility Plant was used, below which new borrowing is required.</v>
      </c>
    </row>
    <row r="142" spans="1:2" ht="13">
      <c r="A142" s="127" t="s">
        <v>948</v>
      </c>
    </row>
    <row r="143" spans="1:2">
      <c r="B143" t="str">
        <f>+CONCATENATE("Retail rate increases from those in effect in the last historical year of ",'a &amp; b'!D12," are needed as follows:")</f>
        <v>Retail rate increases from those in effect in the last historical year of 2023 are needed as follows:</v>
      </c>
    </row>
    <row r="144" spans="1:2">
      <c r="B144" t="e">
        <f>+CONCATENATE(TEXT('a &amp; b'!E32,"00.0")," in ",'a &amp; b'!E12,",")</f>
        <v>#DIV/0!</v>
      </c>
    </row>
    <row r="145" spans="2:2">
      <c r="B145" t="e">
        <f>+CONCATENATE(TEXT('a &amp; b'!F32,"00.0")," in ",'a &amp; b'!F12,",")</f>
        <v>#DIV/0!</v>
      </c>
    </row>
    <row r="146" spans="2:2">
      <c r="B146" t="e">
        <f>+CONCATENATE(TEXT('a &amp; b'!G32,"00.0")," in ",'a &amp; b'!G12,",")</f>
        <v>#DIV/0!</v>
      </c>
    </row>
    <row r="147" spans="2:2">
      <c r="B147" t="e">
        <f>+CONCATENATE(TEXT('a &amp; b'!G33,"00.0")," cumulative rate increase over the entire 10 year forecast period.")</f>
        <v>#DIV/0!</v>
      </c>
    </row>
  </sheetData>
  <phoneticPr fontId="44" type="noConversion"/>
  <pageMargins left="1.21" right="0.39" top="1" bottom="1" header="0.52" footer="0.5"/>
  <pageSetup scale="63" fitToHeight="2" orientation="portrait" horizontalDpi="4294967293" verticalDpi="0" r:id="rId1"/>
  <headerFooter alignWithMargins="0"/>
  <rowBreaks count="1" manualBreakCount="1">
    <brk id="6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
  <dimension ref="A2:P54"/>
  <sheetViews>
    <sheetView workbookViewId="0">
      <selection activeCell="A2" sqref="A2:P2"/>
    </sheetView>
  </sheetViews>
  <sheetFormatPr defaultRowHeight="12.5"/>
  <cols>
    <col min="2" max="2" width="12.7265625" customWidth="1"/>
    <col min="3" max="3" width="21.7265625" customWidth="1"/>
    <col min="4" max="16" width="13.7265625" customWidth="1"/>
  </cols>
  <sheetData>
    <row r="2" spans="1:16" ht="15.5">
      <c r="A2" s="273" t="s">
        <v>896</v>
      </c>
      <c r="B2" s="273"/>
      <c r="C2" s="273"/>
      <c r="D2" s="273"/>
      <c r="E2" s="273"/>
      <c r="F2" s="273"/>
      <c r="G2" s="273"/>
      <c r="H2" s="273"/>
      <c r="I2" s="273"/>
      <c r="J2" s="273"/>
      <c r="K2" s="273"/>
      <c r="L2" s="273"/>
      <c r="M2" s="273"/>
      <c r="N2" s="273"/>
      <c r="O2" s="273"/>
      <c r="P2" s="273"/>
    </row>
    <row r="4" spans="1:16">
      <c r="D4">
        <f>Input!D8</f>
        <v>2021</v>
      </c>
      <c r="E4">
        <f>Input!E8</f>
        <v>2022</v>
      </c>
      <c r="F4">
        <f>Input!F8</f>
        <v>2023</v>
      </c>
      <c r="G4">
        <f>Input!G8</f>
        <v>2024</v>
      </c>
      <c r="H4">
        <f>Input!H8</f>
        <v>2025</v>
      </c>
      <c r="I4">
        <f>Input!I8</f>
        <v>2026</v>
      </c>
      <c r="J4">
        <f>Input!J8</f>
        <v>2027</v>
      </c>
      <c r="K4">
        <f>Input!K8</f>
        <v>2028</v>
      </c>
      <c r="L4">
        <f>Input!L8</f>
        <v>2029</v>
      </c>
      <c r="M4">
        <f>Input!M8</f>
        <v>2030</v>
      </c>
      <c r="N4">
        <f>Input!N8</f>
        <v>2031</v>
      </c>
      <c r="O4">
        <f>Input!O8</f>
        <v>2032</v>
      </c>
      <c r="P4">
        <f>Input!P8</f>
        <v>2033</v>
      </c>
    </row>
    <row r="5" spans="1:16" ht="13">
      <c r="B5" s="127" t="s">
        <v>8</v>
      </c>
      <c r="C5" s="170"/>
    </row>
    <row r="6" spans="1:16">
      <c r="C6" s="220" t="s">
        <v>950</v>
      </c>
    </row>
    <row r="7" spans="1:16">
      <c r="C7" s="170" t="s">
        <v>9</v>
      </c>
      <c r="D7" s="3">
        <f>'e - Sales'!D54</f>
        <v>0</v>
      </c>
      <c r="E7" s="3">
        <f>'e - Sales'!E54</f>
        <v>0</v>
      </c>
      <c r="F7" s="3">
        <f>'e - Sales'!F54</f>
        <v>0</v>
      </c>
      <c r="G7" s="3">
        <f>'e - Sales'!G54</f>
        <v>0</v>
      </c>
      <c r="H7" s="3">
        <f>'e - Sales'!H54</f>
        <v>0</v>
      </c>
      <c r="I7" s="3">
        <f>'e - Sales'!I54</f>
        <v>0</v>
      </c>
      <c r="J7" s="3">
        <f>'e - Sales'!J54</f>
        <v>0</v>
      </c>
      <c r="K7" s="3">
        <f>'e - Sales'!K54</f>
        <v>0</v>
      </c>
      <c r="L7" s="3">
        <f>'e - Sales'!L54</f>
        <v>0</v>
      </c>
      <c r="M7" s="3">
        <f>'e - Sales'!M54</f>
        <v>0</v>
      </c>
      <c r="N7" s="3">
        <f>'e - Sales'!N54</f>
        <v>0</v>
      </c>
      <c r="O7" s="3">
        <f>'e - Sales'!O54</f>
        <v>0</v>
      </c>
      <c r="P7" s="3">
        <f>'e - Sales'!P54</f>
        <v>0</v>
      </c>
    </row>
    <row r="8" spans="1:16">
      <c r="C8" s="170" t="s">
        <v>410</v>
      </c>
      <c r="D8" s="3">
        <f>'e - Sales'!D60</f>
        <v>0</v>
      </c>
      <c r="E8" s="3">
        <f>'e - Sales'!E60</f>
        <v>0</v>
      </c>
      <c r="F8" s="3">
        <f>'e - Sales'!F60</f>
        <v>0</v>
      </c>
      <c r="G8" s="3">
        <f>'e - Sales'!G60</f>
        <v>0</v>
      </c>
      <c r="H8" s="3">
        <f>'e - Sales'!H60</f>
        <v>0</v>
      </c>
      <c r="I8" s="3">
        <f>'e - Sales'!I60</f>
        <v>0</v>
      </c>
      <c r="J8" s="3">
        <f>'e - Sales'!J60</f>
        <v>0</v>
      </c>
      <c r="K8" s="3">
        <f>'e - Sales'!K60</f>
        <v>0</v>
      </c>
      <c r="L8" s="3">
        <f>'e - Sales'!L60</f>
        <v>0</v>
      </c>
      <c r="M8" s="3">
        <f>'e - Sales'!M60</f>
        <v>0</v>
      </c>
      <c r="N8" s="3">
        <f>'e - Sales'!N60</f>
        <v>0</v>
      </c>
      <c r="O8" s="3">
        <f>'e - Sales'!O60</f>
        <v>0</v>
      </c>
      <c r="P8" s="3">
        <f>'e - Sales'!P60</f>
        <v>0</v>
      </c>
    </row>
    <row r="9" spans="1:16">
      <c r="C9" s="170" t="s">
        <v>949</v>
      </c>
      <c r="D9" s="3">
        <f>'e - Sales'!D61</f>
        <v>0</v>
      </c>
      <c r="E9" s="3">
        <f>'e - Sales'!E61</f>
        <v>0</v>
      </c>
      <c r="F9" s="3">
        <f>'e - Sales'!F61</f>
        <v>0</v>
      </c>
      <c r="G9" s="3">
        <f>'e - Sales'!G61</f>
        <v>0</v>
      </c>
      <c r="H9" s="3">
        <f>'e - Sales'!H61</f>
        <v>0</v>
      </c>
      <c r="I9" s="3">
        <f>'e - Sales'!I61</f>
        <v>0</v>
      </c>
      <c r="J9" s="3">
        <f>'e - Sales'!J61</f>
        <v>0</v>
      </c>
      <c r="K9" s="3">
        <f>'e - Sales'!K61</f>
        <v>0</v>
      </c>
      <c r="L9" s="3">
        <f>'e - Sales'!L61</f>
        <v>0</v>
      </c>
      <c r="M9" s="3">
        <f>'e - Sales'!M61</f>
        <v>0</v>
      </c>
      <c r="N9" s="3">
        <f>'e - Sales'!N61</f>
        <v>0</v>
      </c>
      <c r="O9" s="3">
        <f>'e - Sales'!O61</f>
        <v>0</v>
      </c>
      <c r="P9" s="3">
        <f>'e - Sales'!P61</f>
        <v>0</v>
      </c>
    </row>
    <row r="11" spans="1:16">
      <c r="C11" s="5" t="s">
        <v>951</v>
      </c>
    </row>
    <row r="12" spans="1:16">
      <c r="C12" s="170" t="s">
        <v>952</v>
      </c>
      <c r="D12" s="223" t="e">
        <f>D13/D9</f>
        <v>#DIV/0!</v>
      </c>
      <c r="E12" s="223" t="e">
        <f t="shared" ref="E12:G12" si="0">E13/E9</f>
        <v>#DIV/0!</v>
      </c>
      <c r="F12" s="223" t="e">
        <f t="shared" si="0"/>
        <v>#DIV/0!</v>
      </c>
      <c r="G12" s="223" t="e">
        <f t="shared" si="0"/>
        <v>#DIV/0!</v>
      </c>
      <c r="H12" s="223" t="e">
        <f t="shared" ref="H12" si="1">H13/H9</f>
        <v>#DIV/0!</v>
      </c>
      <c r="I12" s="223" t="e">
        <f t="shared" ref="I12" si="2">I13/I9</f>
        <v>#DIV/0!</v>
      </c>
      <c r="J12" s="223" t="e">
        <f t="shared" ref="J12" si="3">J13/J9</f>
        <v>#DIV/0!</v>
      </c>
      <c r="K12" s="223" t="e">
        <f t="shared" ref="K12" si="4">K13/K9</f>
        <v>#DIV/0!</v>
      </c>
      <c r="L12" s="223" t="e">
        <f t="shared" ref="L12" si="5">L13/L9</f>
        <v>#DIV/0!</v>
      </c>
      <c r="M12" s="223" t="e">
        <f t="shared" ref="M12" si="6">M13/M9</f>
        <v>#DIV/0!</v>
      </c>
      <c r="N12" s="223" t="e">
        <f t="shared" ref="N12" si="7">N13/N9</f>
        <v>#DIV/0!</v>
      </c>
      <c r="O12" s="223" t="e">
        <f t="shared" ref="O12" si="8">O13/O9</f>
        <v>#DIV/0!</v>
      </c>
      <c r="P12" s="223" t="e">
        <f t="shared" ref="P12" si="9">P13/P9</f>
        <v>#DIV/0!</v>
      </c>
    </row>
    <row r="13" spans="1:16">
      <c r="C13" s="220" t="s">
        <v>953</v>
      </c>
      <c r="D13" s="221">
        <f>'k - Exp'!D11</f>
        <v>0</v>
      </c>
      <c r="E13" s="221">
        <f>'k - Exp'!E11</f>
        <v>0</v>
      </c>
      <c r="F13" s="221">
        <f>'k - Exp'!F11</f>
        <v>0</v>
      </c>
      <c r="G13" s="221">
        <f t="shared" ref="G13:P13" si="10">G24+G35+G46</f>
        <v>0</v>
      </c>
      <c r="H13" s="221">
        <f t="shared" si="10"/>
        <v>0</v>
      </c>
      <c r="I13" s="221">
        <f t="shared" si="10"/>
        <v>0</v>
      </c>
      <c r="J13" s="221">
        <f t="shared" si="10"/>
        <v>0</v>
      </c>
      <c r="K13" s="221">
        <f t="shared" si="10"/>
        <v>0</v>
      </c>
      <c r="L13" s="221">
        <f t="shared" si="10"/>
        <v>0</v>
      </c>
      <c r="M13" s="221">
        <f t="shared" si="10"/>
        <v>0</v>
      </c>
      <c r="N13" s="221">
        <f t="shared" si="10"/>
        <v>0</v>
      </c>
      <c r="O13" s="221">
        <f t="shared" si="10"/>
        <v>0</v>
      </c>
      <c r="P13" s="221">
        <f t="shared" si="10"/>
        <v>0</v>
      </c>
    </row>
    <row r="16" spans="1:16" ht="13">
      <c r="B16" s="127" t="s">
        <v>10</v>
      </c>
    </row>
    <row r="17" spans="2:16">
      <c r="C17" s="220" t="s">
        <v>950</v>
      </c>
    </row>
    <row r="18" spans="2:16">
      <c r="C18" s="170" t="s">
        <v>9</v>
      </c>
      <c r="D18" s="3">
        <f>'e - Sales'!D43</f>
        <v>0</v>
      </c>
      <c r="E18" s="3">
        <f>'e - Sales'!E43</f>
        <v>0</v>
      </c>
      <c r="F18" s="3">
        <f>'e - Sales'!F43</f>
        <v>0</v>
      </c>
      <c r="G18" s="3">
        <f>'e - Sales'!G43</f>
        <v>0</v>
      </c>
      <c r="H18" s="3">
        <f>'e - Sales'!H43</f>
        <v>0</v>
      </c>
      <c r="I18" s="3">
        <f>'e - Sales'!I43</f>
        <v>0</v>
      </c>
      <c r="J18" s="3">
        <f>'e - Sales'!J43</f>
        <v>0</v>
      </c>
      <c r="K18" s="3">
        <f>'e - Sales'!K43</f>
        <v>0</v>
      </c>
      <c r="L18" s="3">
        <f>'e - Sales'!L43</f>
        <v>0</v>
      </c>
      <c r="M18" s="3">
        <f>'e - Sales'!M43</f>
        <v>0</v>
      </c>
      <c r="N18" s="3">
        <f>'e - Sales'!N43</f>
        <v>0</v>
      </c>
      <c r="O18" s="3">
        <f>'e - Sales'!O43</f>
        <v>0</v>
      </c>
      <c r="P18" s="3">
        <f>'e - Sales'!P43</f>
        <v>0</v>
      </c>
    </row>
    <row r="19" spans="2:16">
      <c r="C19" s="170" t="s">
        <v>410</v>
      </c>
      <c r="D19" s="222">
        <v>0</v>
      </c>
      <c r="E19" s="222">
        <v>0</v>
      </c>
      <c r="F19" s="222">
        <v>0</v>
      </c>
      <c r="G19" s="222">
        <v>0</v>
      </c>
      <c r="H19" s="222">
        <v>0</v>
      </c>
      <c r="I19" s="222">
        <v>0</v>
      </c>
      <c r="J19" s="222">
        <v>0</v>
      </c>
      <c r="K19" s="222">
        <v>0</v>
      </c>
      <c r="L19" s="222">
        <v>0</v>
      </c>
      <c r="M19" s="222">
        <v>0</v>
      </c>
      <c r="N19" s="222">
        <v>0</v>
      </c>
      <c r="O19" s="222">
        <v>0</v>
      </c>
      <c r="P19" s="222">
        <v>0</v>
      </c>
    </row>
    <row r="20" spans="2:16">
      <c r="C20" s="170" t="s">
        <v>949</v>
      </c>
      <c r="D20" s="3">
        <f>D18+D19</f>
        <v>0</v>
      </c>
      <c r="E20" s="3">
        <f>E18+E19</f>
        <v>0</v>
      </c>
      <c r="F20" s="3">
        <f t="shared" ref="F20:P20" si="11">F18+F19</f>
        <v>0</v>
      </c>
      <c r="G20" s="3">
        <f t="shared" si="11"/>
        <v>0</v>
      </c>
      <c r="H20" s="3">
        <f t="shared" si="11"/>
        <v>0</v>
      </c>
      <c r="I20" s="3">
        <f t="shared" si="11"/>
        <v>0</v>
      </c>
      <c r="J20" s="3">
        <f t="shared" si="11"/>
        <v>0</v>
      </c>
      <c r="K20" s="3">
        <f t="shared" si="11"/>
        <v>0</v>
      </c>
      <c r="L20" s="3">
        <f t="shared" si="11"/>
        <v>0</v>
      </c>
      <c r="M20" s="3">
        <f t="shared" si="11"/>
        <v>0</v>
      </c>
      <c r="N20" s="3">
        <f t="shared" si="11"/>
        <v>0</v>
      </c>
      <c r="O20" s="3">
        <f t="shared" si="11"/>
        <v>0</v>
      </c>
      <c r="P20" s="3">
        <f t="shared" si="11"/>
        <v>0</v>
      </c>
    </row>
    <row r="22" spans="2:16">
      <c r="C22" s="5" t="s">
        <v>951</v>
      </c>
    </row>
    <row r="23" spans="2:16">
      <c r="C23" s="170" t="s">
        <v>952</v>
      </c>
      <c r="D23" s="223" t="e">
        <f>D24/D20</f>
        <v>#DIV/0!</v>
      </c>
      <c r="E23" s="223" t="e">
        <f t="shared" ref="E23:F23" si="12">E24/E20</f>
        <v>#DIV/0!</v>
      </c>
      <c r="F23" s="223" t="e">
        <f t="shared" si="12"/>
        <v>#DIV/0!</v>
      </c>
      <c r="G23" s="225">
        <v>0</v>
      </c>
      <c r="H23" s="225">
        <v>0</v>
      </c>
      <c r="I23" s="225">
        <v>0</v>
      </c>
      <c r="J23" s="225">
        <v>0</v>
      </c>
      <c r="K23" s="225">
        <v>0</v>
      </c>
      <c r="L23" s="225">
        <v>0</v>
      </c>
      <c r="M23" s="225">
        <v>0</v>
      </c>
      <c r="N23" s="225">
        <v>0</v>
      </c>
      <c r="O23" s="225">
        <v>0</v>
      </c>
      <c r="P23" s="225">
        <v>0</v>
      </c>
    </row>
    <row r="24" spans="2:16">
      <c r="C24" s="220" t="s">
        <v>953</v>
      </c>
      <c r="D24" s="224">
        <v>0</v>
      </c>
      <c r="E24" s="224">
        <v>0</v>
      </c>
      <c r="F24" s="224">
        <v>0</v>
      </c>
      <c r="G24" s="226">
        <f>G20*G23</f>
        <v>0</v>
      </c>
      <c r="H24" s="226">
        <f t="shared" ref="H24:I24" si="13">H20*H23</f>
        <v>0</v>
      </c>
      <c r="I24" s="226">
        <f t="shared" si="13"/>
        <v>0</v>
      </c>
      <c r="J24" s="226">
        <f t="shared" ref="J24:K24" si="14">J20*J23</f>
        <v>0</v>
      </c>
      <c r="K24" s="226">
        <f t="shared" si="14"/>
        <v>0</v>
      </c>
      <c r="L24" s="226">
        <f t="shared" ref="L24:M24" si="15">L20*L23</f>
        <v>0</v>
      </c>
      <c r="M24" s="226">
        <f t="shared" si="15"/>
        <v>0</v>
      </c>
      <c r="N24" s="226">
        <f t="shared" ref="N24:O24" si="16">N20*N23</f>
        <v>0</v>
      </c>
      <c r="O24" s="226">
        <f t="shared" si="16"/>
        <v>0</v>
      </c>
      <c r="P24" s="226">
        <f t="shared" ref="P24" si="17">P20*P23</f>
        <v>0</v>
      </c>
    </row>
    <row r="27" spans="2:16" ht="13">
      <c r="B27" s="127" t="s">
        <v>11</v>
      </c>
    </row>
    <row r="28" spans="2:16">
      <c r="C28" s="220" t="s">
        <v>950</v>
      </c>
    </row>
    <row r="29" spans="2:16">
      <c r="C29" s="170" t="s">
        <v>9</v>
      </c>
      <c r="D29" s="3">
        <f>'e - Sales'!D44+'e - Sales'!D45+'e - Sales'!D46</f>
        <v>0</v>
      </c>
      <c r="E29" s="3">
        <f>'e - Sales'!E44+'e - Sales'!E45+'e - Sales'!E46</f>
        <v>0</v>
      </c>
      <c r="F29" s="3">
        <f>'e - Sales'!F44+'e - Sales'!F45+'e - Sales'!F46</f>
        <v>0</v>
      </c>
      <c r="G29" s="3">
        <f>'e - Sales'!G44+'e - Sales'!G45+'e - Sales'!G46</f>
        <v>0</v>
      </c>
      <c r="H29" s="3">
        <f>'e - Sales'!H44+'e - Sales'!H45+'e - Sales'!H46</f>
        <v>0</v>
      </c>
      <c r="I29" s="3">
        <f>'e - Sales'!I44+'e - Sales'!I45+'e - Sales'!I46</f>
        <v>0</v>
      </c>
      <c r="J29" s="3">
        <f>'e - Sales'!J44+'e - Sales'!J45+'e - Sales'!J46</f>
        <v>0</v>
      </c>
      <c r="K29" s="3">
        <f>'e - Sales'!K44+'e - Sales'!K45+'e - Sales'!K46</f>
        <v>0</v>
      </c>
      <c r="L29" s="3">
        <f>'e - Sales'!L44+'e - Sales'!L45+'e - Sales'!L46</f>
        <v>0</v>
      </c>
      <c r="M29" s="3">
        <f>'e - Sales'!M44+'e - Sales'!M45+'e - Sales'!M46</f>
        <v>0</v>
      </c>
      <c r="N29" s="3">
        <f>'e - Sales'!N44+'e - Sales'!N45+'e - Sales'!N46</f>
        <v>0</v>
      </c>
      <c r="O29" s="3">
        <f>'e - Sales'!O44+'e - Sales'!O45+'e - Sales'!O46</f>
        <v>0</v>
      </c>
      <c r="P29" s="3">
        <f>'e - Sales'!P44+'e - Sales'!P45+'e - Sales'!P46</f>
        <v>0</v>
      </c>
    </row>
    <row r="30" spans="2:16">
      <c r="C30" s="170" t="s">
        <v>410</v>
      </c>
      <c r="D30" s="222">
        <v>0</v>
      </c>
      <c r="E30" s="222">
        <v>0</v>
      </c>
      <c r="F30" s="222">
        <v>0</v>
      </c>
      <c r="G30" s="222">
        <v>0</v>
      </c>
      <c r="H30" s="222">
        <v>0</v>
      </c>
      <c r="I30" s="222">
        <v>0</v>
      </c>
      <c r="J30" s="222">
        <v>0</v>
      </c>
      <c r="K30" s="222">
        <v>0</v>
      </c>
      <c r="L30" s="222">
        <v>0</v>
      </c>
      <c r="M30" s="222">
        <v>0</v>
      </c>
      <c r="N30" s="222">
        <v>0</v>
      </c>
      <c r="O30" s="222">
        <v>0</v>
      </c>
      <c r="P30" s="222">
        <v>0</v>
      </c>
    </row>
    <row r="31" spans="2:16">
      <c r="C31" s="170" t="s">
        <v>949</v>
      </c>
      <c r="D31" s="3">
        <f>D29+D30</f>
        <v>0</v>
      </c>
      <c r="E31" s="3">
        <f>E29+E30</f>
        <v>0</v>
      </c>
      <c r="F31" s="3">
        <f t="shared" ref="F31:P31" si="18">F29+F30</f>
        <v>0</v>
      </c>
      <c r="G31" s="3">
        <f t="shared" si="18"/>
        <v>0</v>
      </c>
      <c r="H31" s="3">
        <f t="shared" si="18"/>
        <v>0</v>
      </c>
      <c r="I31" s="3">
        <f t="shared" si="18"/>
        <v>0</v>
      </c>
      <c r="J31" s="3">
        <f t="shared" si="18"/>
        <v>0</v>
      </c>
      <c r="K31" s="3">
        <f t="shared" si="18"/>
        <v>0</v>
      </c>
      <c r="L31" s="3">
        <f t="shared" si="18"/>
        <v>0</v>
      </c>
      <c r="M31" s="3">
        <f t="shared" si="18"/>
        <v>0</v>
      </c>
      <c r="N31" s="3">
        <f t="shared" si="18"/>
        <v>0</v>
      </c>
      <c r="O31" s="3">
        <f t="shared" si="18"/>
        <v>0</v>
      </c>
      <c r="P31" s="3">
        <f t="shared" si="18"/>
        <v>0</v>
      </c>
    </row>
    <row r="33" spans="2:16">
      <c r="C33" s="5" t="s">
        <v>951</v>
      </c>
    </row>
    <row r="34" spans="2:16">
      <c r="C34" s="170" t="s">
        <v>952</v>
      </c>
      <c r="D34" s="223" t="e">
        <f>D35/D31</f>
        <v>#DIV/0!</v>
      </c>
      <c r="E34" s="223" t="e">
        <f t="shared" ref="E34:F34" si="19">E35/E31</f>
        <v>#DIV/0!</v>
      </c>
      <c r="F34" s="223" t="e">
        <f t="shared" si="19"/>
        <v>#DIV/0!</v>
      </c>
      <c r="G34" s="225">
        <v>0</v>
      </c>
      <c r="H34" s="225">
        <v>0</v>
      </c>
      <c r="I34" s="225">
        <v>0</v>
      </c>
      <c r="J34" s="225">
        <v>0</v>
      </c>
      <c r="K34" s="225">
        <v>0</v>
      </c>
      <c r="L34" s="225">
        <v>0</v>
      </c>
      <c r="M34" s="225">
        <v>0</v>
      </c>
      <c r="N34" s="225">
        <v>0</v>
      </c>
      <c r="O34" s="225">
        <v>0</v>
      </c>
      <c r="P34" s="225">
        <v>0</v>
      </c>
    </row>
    <row r="35" spans="2:16">
      <c r="C35" s="220" t="s">
        <v>953</v>
      </c>
      <c r="D35" s="224">
        <v>0</v>
      </c>
      <c r="E35" s="224">
        <v>0</v>
      </c>
      <c r="F35" s="224">
        <v>0</v>
      </c>
      <c r="G35" s="226">
        <f>G31*G34</f>
        <v>0</v>
      </c>
      <c r="H35" s="226">
        <f t="shared" ref="H35" si="20">H31*H34</f>
        <v>0</v>
      </c>
      <c r="I35" s="226">
        <f t="shared" ref="I35" si="21">I31*I34</f>
        <v>0</v>
      </c>
      <c r="J35" s="226">
        <f t="shared" ref="J35" si="22">J31*J34</f>
        <v>0</v>
      </c>
      <c r="K35" s="226">
        <f t="shared" ref="K35" si="23">K31*K34</f>
        <v>0</v>
      </c>
      <c r="L35" s="226">
        <f t="shared" ref="L35" si="24">L31*L34</f>
        <v>0</v>
      </c>
      <c r="M35" s="226">
        <f t="shared" ref="M35" si="25">M31*M34</f>
        <v>0</v>
      </c>
      <c r="N35" s="226">
        <f t="shared" ref="N35" si="26">N31*N34</f>
        <v>0</v>
      </c>
      <c r="O35" s="226">
        <f t="shared" ref="O35" si="27">O31*O34</f>
        <v>0</v>
      </c>
      <c r="P35" s="226">
        <f t="shared" ref="P35" si="28">P31*P34</f>
        <v>0</v>
      </c>
    </row>
    <row r="38" spans="2:16" ht="13">
      <c r="B38" s="127" t="s">
        <v>954</v>
      </c>
    </row>
    <row r="39" spans="2:16">
      <c r="C39" s="220" t="s">
        <v>950</v>
      </c>
    </row>
    <row r="40" spans="2:16">
      <c r="C40" s="170" t="s">
        <v>9</v>
      </c>
      <c r="D40" s="3">
        <f t="shared" ref="D40:P40" si="29">D7-D18-D29</f>
        <v>0</v>
      </c>
      <c r="E40" s="3">
        <f t="shared" si="29"/>
        <v>0</v>
      </c>
      <c r="F40" s="3">
        <f t="shared" si="29"/>
        <v>0</v>
      </c>
      <c r="G40" s="3">
        <f t="shared" si="29"/>
        <v>0</v>
      </c>
      <c r="H40" s="3">
        <f t="shared" si="29"/>
        <v>0</v>
      </c>
      <c r="I40" s="3">
        <f t="shared" si="29"/>
        <v>0</v>
      </c>
      <c r="J40" s="3">
        <f t="shared" si="29"/>
        <v>0</v>
      </c>
      <c r="K40" s="3">
        <f t="shared" si="29"/>
        <v>0</v>
      </c>
      <c r="L40" s="3">
        <f t="shared" si="29"/>
        <v>0</v>
      </c>
      <c r="M40" s="3">
        <f t="shared" si="29"/>
        <v>0</v>
      </c>
      <c r="N40" s="3">
        <f t="shared" si="29"/>
        <v>0</v>
      </c>
      <c r="O40" s="3">
        <f t="shared" si="29"/>
        <v>0</v>
      </c>
      <c r="P40" s="3">
        <f t="shared" si="29"/>
        <v>0</v>
      </c>
    </row>
    <row r="41" spans="2:16">
      <c r="C41" s="170" t="s">
        <v>410</v>
      </c>
      <c r="D41" s="3">
        <f t="shared" ref="D41:P41" si="30">D8-D19-D30</f>
        <v>0</v>
      </c>
      <c r="E41" s="3">
        <f t="shared" si="30"/>
        <v>0</v>
      </c>
      <c r="F41" s="3">
        <f t="shared" si="30"/>
        <v>0</v>
      </c>
      <c r="G41" s="3">
        <f t="shared" si="30"/>
        <v>0</v>
      </c>
      <c r="H41" s="3">
        <f t="shared" si="30"/>
        <v>0</v>
      </c>
      <c r="I41" s="3">
        <f t="shared" si="30"/>
        <v>0</v>
      </c>
      <c r="J41" s="3">
        <f t="shared" si="30"/>
        <v>0</v>
      </c>
      <c r="K41" s="3">
        <f t="shared" si="30"/>
        <v>0</v>
      </c>
      <c r="L41" s="3">
        <f t="shared" si="30"/>
        <v>0</v>
      </c>
      <c r="M41" s="3">
        <f t="shared" si="30"/>
        <v>0</v>
      </c>
      <c r="N41" s="3">
        <f t="shared" si="30"/>
        <v>0</v>
      </c>
      <c r="O41" s="3">
        <f t="shared" si="30"/>
        <v>0</v>
      </c>
      <c r="P41" s="3">
        <f t="shared" si="30"/>
        <v>0</v>
      </c>
    </row>
    <row r="42" spans="2:16">
      <c r="C42" s="170" t="s">
        <v>949</v>
      </c>
      <c r="D42" s="3">
        <f>D40+D41</f>
        <v>0</v>
      </c>
      <c r="E42" s="3">
        <f t="shared" ref="E42:P42" si="31">E40+E41</f>
        <v>0</v>
      </c>
      <c r="F42" s="3">
        <f t="shared" si="31"/>
        <v>0</v>
      </c>
      <c r="G42" s="3">
        <f t="shared" si="31"/>
        <v>0</v>
      </c>
      <c r="H42" s="3">
        <f t="shared" si="31"/>
        <v>0</v>
      </c>
      <c r="I42" s="3">
        <f t="shared" si="31"/>
        <v>0</v>
      </c>
      <c r="J42" s="3">
        <f t="shared" si="31"/>
        <v>0</v>
      </c>
      <c r="K42" s="3">
        <f t="shared" si="31"/>
        <v>0</v>
      </c>
      <c r="L42" s="3">
        <f t="shared" si="31"/>
        <v>0</v>
      </c>
      <c r="M42" s="3">
        <f t="shared" si="31"/>
        <v>0</v>
      </c>
      <c r="N42" s="3">
        <f t="shared" si="31"/>
        <v>0</v>
      </c>
      <c r="O42" s="3">
        <f t="shared" si="31"/>
        <v>0</v>
      </c>
      <c r="P42" s="3">
        <f t="shared" si="31"/>
        <v>0</v>
      </c>
    </row>
    <row r="44" spans="2:16">
      <c r="C44" s="5" t="s">
        <v>951</v>
      </c>
    </row>
    <row r="45" spans="2:16">
      <c r="C45" s="170" t="s">
        <v>952</v>
      </c>
      <c r="D45" t="e">
        <f>D46/D42</f>
        <v>#DIV/0!</v>
      </c>
      <c r="E45" t="e">
        <f t="shared" ref="E45:F45" si="32">E46/E42</f>
        <v>#DIV/0!</v>
      </c>
      <c r="F45" t="e">
        <f t="shared" si="32"/>
        <v>#DIV/0!</v>
      </c>
      <c r="G45" s="225">
        <v>0</v>
      </c>
      <c r="H45" s="225">
        <v>0</v>
      </c>
      <c r="I45" s="225">
        <v>0</v>
      </c>
      <c r="J45" s="225">
        <v>0</v>
      </c>
      <c r="K45" s="225">
        <v>0</v>
      </c>
      <c r="L45" s="225">
        <v>0</v>
      </c>
      <c r="M45" s="225">
        <v>0</v>
      </c>
      <c r="N45" s="225">
        <v>0</v>
      </c>
      <c r="O45" s="225">
        <v>0</v>
      </c>
      <c r="P45" s="225">
        <v>0</v>
      </c>
    </row>
    <row r="46" spans="2:16">
      <c r="C46" s="220" t="s">
        <v>953</v>
      </c>
      <c r="D46" s="221">
        <f>D13-D24-D35</f>
        <v>0</v>
      </c>
      <c r="E46" s="221">
        <f t="shared" ref="E46:F46" si="33">E13-E24-E35</f>
        <v>0</v>
      </c>
      <c r="F46" s="221">
        <f t="shared" si="33"/>
        <v>0</v>
      </c>
      <c r="G46" s="226">
        <f>G42*G45</f>
        <v>0</v>
      </c>
      <c r="H46" s="226">
        <f t="shared" ref="H46:P46" si="34">H42*H45</f>
        <v>0</v>
      </c>
      <c r="I46" s="226">
        <f t="shared" si="34"/>
        <v>0</v>
      </c>
      <c r="J46" s="226">
        <f t="shared" si="34"/>
        <v>0</v>
      </c>
      <c r="K46" s="226">
        <f t="shared" si="34"/>
        <v>0</v>
      </c>
      <c r="L46" s="226">
        <f t="shared" si="34"/>
        <v>0</v>
      </c>
      <c r="M46" s="226">
        <f t="shared" si="34"/>
        <v>0</v>
      </c>
      <c r="N46" s="226">
        <f t="shared" si="34"/>
        <v>0</v>
      </c>
      <c r="O46" s="226">
        <f t="shared" si="34"/>
        <v>0</v>
      </c>
      <c r="P46" s="226">
        <f t="shared" si="34"/>
        <v>0</v>
      </c>
    </row>
    <row r="49" spans="1:16">
      <c r="A49" s="5" t="s">
        <v>955</v>
      </c>
    </row>
    <row r="50" spans="1:16">
      <c r="B50" s="5" t="s">
        <v>956</v>
      </c>
      <c r="D50" s="3">
        <f>'e - Sales'!D61</f>
        <v>0</v>
      </c>
      <c r="E50" s="3">
        <f>'e - Sales'!E61</f>
        <v>0</v>
      </c>
      <c r="F50" s="3">
        <f>'e - Sales'!F61</f>
        <v>0</v>
      </c>
      <c r="G50" s="3">
        <f>'e - Sales'!G61</f>
        <v>0</v>
      </c>
      <c r="H50" s="3">
        <f>'e - Sales'!H61</f>
        <v>0</v>
      </c>
      <c r="I50" s="3">
        <f>'e - Sales'!I61</f>
        <v>0</v>
      </c>
      <c r="J50" s="3">
        <f>'e - Sales'!J61</f>
        <v>0</v>
      </c>
      <c r="K50" s="3">
        <f>'e - Sales'!K61</f>
        <v>0</v>
      </c>
      <c r="L50" s="3">
        <f>'e - Sales'!L61</f>
        <v>0</v>
      </c>
      <c r="M50" s="3">
        <f>'e - Sales'!M61</f>
        <v>0</v>
      </c>
      <c r="N50" s="3">
        <f>'e - Sales'!N61</f>
        <v>0</v>
      </c>
      <c r="O50" s="3">
        <f>'e - Sales'!O61</f>
        <v>0</v>
      </c>
      <c r="P50" s="3">
        <f>'e - Sales'!P61</f>
        <v>0</v>
      </c>
    </row>
    <row r="51" spans="1:16">
      <c r="B51" s="5" t="s">
        <v>957</v>
      </c>
      <c r="D51" s="3">
        <f>D42+D31+D20</f>
        <v>0</v>
      </c>
      <c r="E51" s="3">
        <f t="shared" ref="E51:P51" si="35">E42+E31+E20</f>
        <v>0</v>
      </c>
      <c r="F51" s="3">
        <f t="shared" si="35"/>
        <v>0</v>
      </c>
      <c r="G51" s="3">
        <f t="shared" si="35"/>
        <v>0</v>
      </c>
      <c r="H51" s="3">
        <f t="shared" si="35"/>
        <v>0</v>
      </c>
      <c r="I51" s="3">
        <f t="shared" si="35"/>
        <v>0</v>
      </c>
      <c r="J51" s="3">
        <f t="shared" si="35"/>
        <v>0</v>
      </c>
      <c r="K51" s="3">
        <f t="shared" si="35"/>
        <v>0</v>
      </c>
      <c r="L51" s="3">
        <f t="shared" si="35"/>
        <v>0</v>
      </c>
      <c r="M51" s="3">
        <f t="shared" si="35"/>
        <v>0</v>
      </c>
      <c r="N51" s="3">
        <f t="shared" si="35"/>
        <v>0</v>
      </c>
      <c r="O51" s="3">
        <f t="shared" si="35"/>
        <v>0</v>
      </c>
      <c r="P51" s="3">
        <f t="shared" si="35"/>
        <v>0</v>
      </c>
    </row>
    <row r="53" spans="1:16">
      <c r="B53" s="5" t="s">
        <v>958</v>
      </c>
      <c r="D53" s="221">
        <f>'k - Exp'!D11</f>
        <v>0</v>
      </c>
      <c r="E53" s="221">
        <f>'k - Exp'!E11</f>
        <v>0</v>
      </c>
      <c r="F53" s="221">
        <f>'k - Exp'!F11</f>
        <v>0</v>
      </c>
      <c r="G53" s="221">
        <f>'k - Exp'!G11</f>
        <v>0</v>
      </c>
      <c r="H53" s="221">
        <f>'k - Exp'!H11</f>
        <v>0</v>
      </c>
      <c r="I53" s="221">
        <f>'k - Exp'!I11</f>
        <v>0</v>
      </c>
      <c r="J53" s="221">
        <f>'k - Exp'!J11</f>
        <v>0</v>
      </c>
      <c r="K53" s="221">
        <f>'k - Exp'!K11</f>
        <v>0</v>
      </c>
      <c r="L53" s="221">
        <f>'k - Exp'!L11</f>
        <v>0</v>
      </c>
      <c r="M53" s="221">
        <f>'k - Exp'!M11</f>
        <v>0</v>
      </c>
      <c r="N53" s="221">
        <f>'k - Exp'!N11</f>
        <v>0</v>
      </c>
      <c r="O53" s="221">
        <f>'k - Exp'!O11</f>
        <v>0</v>
      </c>
      <c r="P53" s="221">
        <f>'k - Exp'!P11</f>
        <v>0</v>
      </c>
    </row>
    <row r="54" spans="1:16">
      <c r="B54" s="5" t="s">
        <v>959</v>
      </c>
      <c r="D54" s="221">
        <f>D46+D35+D24</f>
        <v>0</v>
      </c>
      <c r="E54" s="221">
        <f t="shared" ref="E54:P54" si="36">E46+E35+E24</f>
        <v>0</v>
      </c>
      <c r="F54" s="221">
        <f t="shared" si="36"/>
        <v>0</v>
      </c>
      <c r="G54" s="221">
        <f t="shared" si="36"/>
        <v>0</v>
      </c>
      <c r="H54" s="221">
        <f t="shared" si="36"/>
        <v>0</v>
      </c>
      <c r="I54" s="221">
        <f t="shared" si="36"/>
        <v>0</v>
      </c>
      <c r="J54" s="221">
        <f t="shared" si="36"/>
        <v>0</v>
      </c>
      <c r="K54" s="221">
        <f t="shared" si="36"/>
        <v>0</v>
      </c>
      <c r="L54" s="221">
        <f t="shared" si="36"/>
        <v>0</v>
      </c>
      <c r="M54" s="221">
        <f t="shared" si="36"/>
        <v>0</v>
      </c>
      <c r="N54" s="221">
        <f t="shared" si="36"/>
        <v>0</v>
      </c>
      <c r="O54" s="221">
        <f t="shared" si="36"/>
        <v>0</v>
      </c>
      <c r="P54" s="221">
        <f t="shared" si="36"/>
        <v>0</v>
      </c>
    </row>
  </sheetData>
  <mergeCells count="1">
    <mergeCell ref="A2:P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dimension ref="A1"/>
  <sheetViews>
    <sheetView topLeftCell="A5" workbookViewId="0"/>
  </sheetViews>
  <sheetFormatPr defaultRowHeight="12.5"/>
  <cols>
    <col min="1" max="1" width="10.26953125" customWidth="1"/>
  </cols>
  <sheetData/>
  <phoneticPr fontId="0" type="noConvers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A1:DV94"/>
  <sheetViews>
    <sheetView zoomScale="111" zoomScaleNormal="111" workbookViewId="0">
      <pane xSplit="3" ySplit="6" topLeftCell="D7" activePane="bottomRight" state="frozen"/>
      <selection pane="topRight" activeCell="D1" sqref="D1"/>
      <selection pane="bottomLeft" activeCell="A7" sqref="A7"/>
      <selection pane="bottomRight" activeCell="D7" sqref="D7"/>
    </sheetView>
  </sheetViews>
  <sheetFormatPr defaultRowHeight="12.5"/>
  <cols>
    <col min="1" max="1" width="4.54296875" customWidth="1"/>
    <col min="2" max="2" width="6.26953125" customWidth="1"/>
    <col min="3" max="3" width="6.453125" customWidth="1"/>
    <col min="4" max="4" width="12.7265625" bestFit="1" customWidth="1"/>
    <col min="5" max="5" width="11.54296875" bestFit="1" customWidth="1"/>
    <col min="6" max="6" width="13.54296875" bestFit="1" customWidth="1"/>
    <col min="7" max="7" width="15" bestFit="1" customWidth="1"/>
    <col min="8" max="8" width="11.54296875" bestFit="1" customWidth="1"/>
    <col min="9" max="9" width="12.7265625" bestFit="1" customWidth="1"/>
    <col min="10" max="11" width="11.7265625" bestFit="1" customWidth="1"/>
    <col min="12" max="12" width="11.453125" bestFit="1" customWidth="1"/>
    <col min="13" max="13" width="12.7265625" bestFit="1" customWidth="1"/>
    <col min="14" max="14" width="15.453125" bestFit="1" customWidth="1"/>
    <col min="15" max="15" width="12.7265625" bestFit="1" customWidth="1"/>
    <col min="16" max="16" width="14.54296875" bestFit="1" customWidth="1"/>
    <col min="17" max="17" width="12.7265625" bestFit="1" customWidth="1"/>
    <col min="18" max="18" width="14.453125" bestFit="1" customWidth="1"/>
    <col min="19" max="19" width="14.1796875" bestFit="1" customWidth="1"/>
    <col min="20" max="20" width="11.7265625" bestFit="1" customWidth="1"/>
    <col min="21" max="21" width="11.453125" bestFit="1" customWidth="1"/>
    <col min="22" max="22" width="14.54296875" bestFit="1" customWidth="1"/>
    <col min="23" max="23" width="16.7265625" bestFit="1" customWidth="1"/>
    <col min="24" max="24" width="14.7265625" bestFit="1" customWidth="1"/>
    <col min="25" max="25" width="12.7265625" bestFit="1" customWidth="1"/>
    <col min="26" max="26" width="12.81640625" bestFit="1" customWidth="1"/>
    <col min="27" max="27" width="13.1796875" bestFit="1" customWidth="1"/>
    <col min="28" max="28" width="11.7265625" bestFit="1" customWidth="1"/>
    <col min="29" max="29" width="11.453125" bestFit="1" customWidth="1"/>
    <col min="30" max="30" width="11.81640625" bestFit="1" customWidth="1"/>
    <col min="31" max="31" width="13" bestFit="1" customWidth="1"/>
    <col min="32" max="32" width="18.26953125" bestFit="1" customWidth="1"/>
    <col min="33" max="33" width="13" bestFit="1" customWidth="1"/>
    <col min="34" max="34" width="11.453125" bestFit="1" customWidth="1"/>
    <col min="35" max="35" width="13.1796875" bestFit="1" customWidth="1"/>
    <col min="36" max="36" width="14.453125" bestFit="1" customWidth="1"/>
    <col min="37" max="37" width="11.81640625" bestFit="1" customWidth="1"/>
    <col min="38" max="38" width="11.54296875" bestFit="1" customWidth="1"/>
    <col min="39" max="39" width="25" bestFit="1" customWidth="1"/>
    <col min="40" max="40" width="9.81640625" bestFit="1" customWidth="1"/>
    <col min="41" max="41" width="14.7265625" bestFit="1" customWidth="1"/>
    <col min="42" max="42" width="9.81640625" bestFit="1" customWidth="1"/>
    <col min="43" max="43" width="16.1796875" bestFit="1" customWidth="1"/>
    <col min="44" max="44" width="11" bestFit="1" customWidth="1"/>
    <col min="45" max="45" width="12.81640625" bestFit="1" customWidth="1"/>
    <col min="46" max="46" width="12.453125" bestFit="1" customWidth="1"/>
    <col min="47" max="47" width="13.26953125" bestFit="1" customWidth="1"/>
    <col min="48" max="48" width="11.81640625" bestFit="1" customWidth="1"/>
    <col min="49" max="49" width="14.453125" bestFit="1" customWidth="1"/>
    <col min="50" max="50" width="11.7265625" bestFit="1" customWidth="1"/>
    <col min="51" max="52" width="13.26953125" bestFit="1" customWidth="1"/>
    <col min="53" max="53" width="11.453125" bestFit="1" customWidth="1"/>
    <col min="54" max="54" width="11.54296875" customWidth="1"/>
    <col min="55" max="55" width="13" bestFit="1" customWidth="1"/>
    <col min="56" max="56" width="13.1796875" bestFit="1" customWidth="1"/>
    <col min="57" max="57" width="11.7265625" bestFit="1" customWidth="1"/>
    <col min="58" max="59" width="13.26953125" bestFit="1" customWidth="1"/>
    <col min="60" max="60" width="12.26953125" customWidth="1"/>
    <col min="61" max="61" width="11.7265625" customWidth="1"/>
    <col min="62" max="62" width="13" bestFit="1" customWidth="1"/>
    <col min="63" max="63" width="12.1796875" bestFit="1" customWidth="1"/>
    <col min="64" max="64" width="11.7265625" bestFit="1" customWidth="1"/>
    <col min="65" max="66" width="13.26953125" bestFit="1" customWidth="1"/>
    <col min="67" max="67" width="11.453125" bestFit="1" customWidth="1"/>
    <col min="68" max="68" width="10" bestFit="1" customWidth="1"/>
    <col min="69" max="69" width="13" bestFit="1" customWidth="1"/>
    <col min="70" max="70" width="24.7265625" bestFit="1" customWidth="1"/>
    <col min="71" max="71" width="11.81640625" bestFit="1" customWidth="1"/>
    <col min="72" max="72" width="18.26953125" bestFit="1" customWidth="1"/>
    <col min="73" max="73" width="12.81640625" bestFit="1" customWidth="1"/>
    <col min="74" max="74" width="14.54296875" bestFit="1" customWidth="1"/>
    <col min="75" max="75" width="12.26953125" bestFit="1" customWidth="1"/>
    <col min="76" max="76" width="14.81640625" bestFit="1" customWidth="1"/>
    <col min="77" max="78" width="13.1796875" bestFit="1" customWidth="1"/>
    <col min="79" max="79" width="12.54296875" bestFit="1" customWidth="1"/>
    <col min="80" max="80" width="12.7265625" bestFit="1" customWidth="1"/>
    <col min="81" max="81" width="15" bestFit="1" customWidth="1"/>
    <col min="82" max="82" width="14.81640625" bestFit="1" customWidth="1"/>
    <col min="83" max="83" width="14.26953125" bestFit="1" customWidth="1"/>
    <col min="84" max="84" width="14.54296875" bestFit="1" customWidth="1"/>
    <col min="85" max="85" width="15.26953125" bestFit="1" customWidth="1"/>
    <col min="86" max="86" width="14.26953125" bestFit="1" customWidth="1"/>
    <col min="87" max="87" width="10.54296875" bestFit="1" customWidth="1"/>
    <col min="88" max="88" width="10.453125" bestFit="1" customWidth="1"/>
    <col min="89" max="89" width="11.54296875" bestFit="1" customWidth="1"/>
    <col min="90" max="92" width="13.1796875" bestFit="1" customWidth="1"/>
    <col min="93" max="93" width="11.26953125" bestFit="1" customWidth="1"/>
    <col min="94" max="95" width="10" bestFit="1" customWidth="1"/>
    <col min="96" max="96" width="10.54296875" bestFit="1" customWidth="1"/>
    <col min="97" max="97" width="9" customWidth="1"/>
    <col min="98" max="98" width="10.7265625" bestFit="1" customWidth="1"/>
    <col min="99" max="99" width="14.1796875" bestFit="1" customWidth="1"/>
    <col min="100" max="102" width="9" customWidth="1"/>
    <col min="103" max="103" width="12.54296875" bestFit="1" customWidth="1"/>
    <col min="104" max="104" width="14.1796875" bestFit="1" customWidth="1"/>
    <col min="105" max="105" width="11.54296875" bestFit="1" customWidth="1"/>
    <col min="106" max="107" width="13.1796875" bestFit="1" customWidth="1"/>
    <col min="108" max="108" width="11.26953125" bestFit="1" customWidth="1"/>
    <col min="109" max="110" width="14.54296875" bestFit="1" customWidth="1"/>
    <col min="111" max="111" width="10.7265625" bestFit="1" customWidth="1"/>
    <col min="112" max="112" width="10" bestFit="1" customWidth="1"/>
    <col min="113" max="113" width="15.453125" bestFit="1" customWidth="1"/>
    <col min="114" max="114" width="14.453125" bestFit="1" customWidth="1"/>
    <col min="115" max="115" width="10.54296875" bestFit="1" customWidth="1"/>
    <col min="116" max="116" width="16.7265625" bestFit="1" customWidth="1"/>
    <col min="117" max="117" width="11.81640625" bestFit="1" customWidth="1"/>
    <col min="118" max="118" width="12" bestFit="1" customWidth="1"/>
    <col min="119" max="119" width="12.26953125" bestFit="1" customWidth="1"/>
    <col min="120" max="120" width="13.81640625" customWidth="1"/>
    <col min="121" max="121" width="18.1796875" customWidth="1"/>
    <col min="122" max="122" width="14.1796875" customWidth="1"/>
    <col min="123" max="123" width="12" customWidth="1"/>
    <col min="125" max="125" width="11.453125" customWidth="1"/>
  </cols>
  <sheetData>
    <row r="1" spans="1:126" ht="15.5">
      <c r="A1" s="1" t="s">
        <v>364</v>
      </c>
      <c r="B1" s="64"/>
      <c r="C1" s="64"/>
      <c r="D1" s="113" t="str">
        <f>Input!D2</f>
        <v>RURAL ELECTRIC COOPERATIVE, INC.</v>
      </c>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50" t="s">
        <v>778</v>
      </c>
      <c r="AY1" s="50" t="s">
        <v>778</v>
      </c>
      <c r="AZ1" s="50" t="s">
        <v>778</v>
      </c>
      <c r="BA1" s="50" t="s">
        <v>778</v>
      </c>
      <c r="BB1" s="50" t="s">
        <v>778</v>
      </c>
      <c r="BC1" s="50" t="s">
        <v>778</v>
      </c>
      <c r="BD1" s="50" t="s">
        <v>778</v>
      </c>
      <c r="BE1" s="2" t="s">
        <v>779</v>
      </c>
      <c r="BF1" s="2" t="s">
        <v>779</v>
      </c>
      <c r="BG1" s="2" t="s">
        <v>779</v>
      </c>
      <c r="BH1" s="2" t="s">
        <v>779</v>
      </c>
      <c r="BI1" s="2" t="s">
        <v>779</v>
      </c>
      <c r="BJ1" s="2" t="s">
        <v>779</v>
      </c>
      <c r="BK1" s="2" t="s">
        <v>779</v>
      </c>
      <c r="BL1" s="50" t="s">
        <v>365</v>
      </c>
      <c r="BM1" s="50" t="s">
        <v>365</v>
      </c>
      <c r="BN1" s="50" t="s">
        <v>365</v>
      </c>
      <c r="BO1" s="50" t="s">
        <v>365</v>
      </c>
      <c r="BP1" s="50" t="s">
        <v>365</v>
      </c>
      <c r="BQ1" s="50" t="s">
        <v>365</v>
      </c>
      <c r="BR1" s="50" t="s">
        <v>365</v>
      </c>
      <c r="BS1" s="50"/>
      <c r="BT1" s="50"/>
      <c r="BU1" s="64"/>
      <c r="BV1" s="64"/>
      <c r="BW1" s="64"/>
      <c r="BX1" s="64"/>
      <c r="BY1" s="64"/>
      <c r="BZ1" s="64"/>
      <c r="CA1" s="64"/>
      <c r="CB1" s="64"/>
      <c r="CC1" s="64"/>
      <c r="CD1" s="64"/>
      <c r="CE1" s="64"/>
      <c r="CF1" s="64"/>
      <c r="CG1" s="64"/>
      <c r="CH1" s="64"/>
      <c r="CK1" s="2" t="s">
        <v>365</v>
      </c>
      <c r="CL1" s="2" t="s">
        <v>365</v>
      </c>
      <c r="CM1" s="2" t="s">
        <v>365</v>
      </c>
      <c r="CN1" s="2" t="s">
        <v>365</v>
      </c>
      <c r="CO1" s="2" t="s">
        <v>365</v>
      </c>
      <c r="CP1" s="2" t="s">
        <v>366</v>
      </c>
      <c r="CQ1" s="2" t="s">
        <v>366</v>
      </c>
      <c r="CT1" s="2" t="s">
        <v>367</v>
      </c>
      <c r="DA1" s="2" t="s">
        <v>368</v>
      </c>
      <c r="DB1" s="2" t="s">
        <v>368</v>
      </c>
      <c r="DC1" s="2" t="s">
        <v>368</v>
      </c>
      <c r="DD1" s="2" t="s">
        <v>368</v>
      </c>
      <c r="DE1" s="2" t="s">
        <v>368</v>
      </c>
      <c r="DF1" s="2" t="s">
        <v>369</v>
      </c>
      <c r="DO1" s="2" t="s">
        <v>370</v>
      </c>
      <c r="DP1" s="2" t="s">
        <v>897</v>
      </c>
      <c r="DQ1" t="s">
        <v>902</v>
      </c>
      <c r="DR1" s="2" t="s">
        <v>904</v>
      </c>
      <c r="DS1" s="2" t="s">
        <v>904</v>
      </c>
      <c r="DT1" s="2" t="s">
        <v>908</v>
      </c>
      <c r="DU1" s="2" t="s">
        <v>908</v>
      </c>
      <c r="DV1" s="2" t="s">
        <v>908</v>
      </c>
    </row>
    <row r="2" spans="1:126">
      <c r="A2" s="50" t="s">
        <v>64</v>
      </c>
      <c r="B2" s="50" t="s">
        <v>64</v>
      </c>
      <c r="C2" s="50" t="s">
        <v>64</v>
      </c>
      <c r="D2" s="50" t="s">
        <v>64</v>
      </c>
      <c r="E2" s="50" t="s">
        <v>371</v>
      </c>
      <c r="F2" s="50" t="s">
        <v>64</v>
      </c>
      <c r="G2" s="50" t="s">
        <v>372</v>
      </c>
      <c r="H2" s="50" t="s">
        <v>371</v>
      </c>
      <c r="I2" s="50" t="s">
        <v>64</v>
      </c>
      <c r="J2" s="50" t="s">
        <v>64</v>
      </c>
      <c r="K2" s="50" t="s">
        <v>64</v>
      </c>
      <c r="L2" s="50" t="s">
        <v>64</v>
      </c>
      <c r="M2" s="50" t="s">
        <v>374</v>
      </c>
      <c r="N2" s="50" t="s">
        <v>64</v>
      </c>
      <c r="O2" s="50" t="s">
        <v>375</v>
      </c>
      <c r="P2" s="50" t="s">
        <v>376</v>
      </c>
      <c r="Q2" s="50" t="s">
        <v>377</v>
      </c>
      <c r="R2" s="50" t="s">
        <v>378</v>
      </c>
      <c r="S2" s="50" t="s">
        <v>371</v>
      </c>
      <c r="T2" s="50" t="s">
        <v>379</v>
      </c>
      <c r="U2" s="50" t="s">
        <v>64</v>
      </c>
      <c r="V2" s="50" t="s">
        <v>375</v>
      </c>
      <c r="W2" s="50" t="s">
        <v>64</v>
      </c>
      <c r="X2" s="50" t="s">
        <v>381</v>
      </c>
      <c r="Y2" s="50" t="s">
        <v>64</v>
      </c>
      <c r="Z2" s="50" t="s">
        <v>64</v>
      </c>
      <c r="AA2" s="50" t="s">
        <v>64</v>
      </c>
      <c r="AB2" s="50" t="s">
        <v>382</v>
      </c>
      <c r="AC2" s="50" t="s">
        <v>379</v>
      </c>
      <c r="AD2" s="50" t="s">
        <v>64</v>
      </c>
      <c r="AE2" s="50" t="s">
        <v>375</v>
      </c>
      <c r="AF2" s="50" t="s">
        <v>383</v>
      </c>
      <c r="AG2" s="50" t="s">
        <v>375</v>
      </c>
      <c r="AH2" s="50" t="s">
        <v>64</v>
      </c>
      <c r="AI2" s="50" t="s">
        <v>384</v>
      </c>
      <c r="AJ2" s="50" t="s">
        <v>384</v>
      </c>
      <c r="AK2" s="50" t="s">
        <v>385</v>
      </c>
      <c r="AL2" s="50" t="s">
        <v>386</v>
      </c>
      <c r="AM2" s="50" t="s">
        <v>387</v>
      </c>
      <c r="AN2" s="50" t="s">
        <v>64</v>
      </c>
      <c r="AO2" s="50" t="s">
        <v>388</v>
      </c>
      <c r="AP2" s="50" t="s">
        <v>64</v>
      </c>
      <c r="AQ2" s="50" t="s">
        <v>64</v>
      </c>
      <c r="AR2" s="50" t="s">
        <v>64</v>
      </c>
      <c r="AS2" s="50" t="s">
        <v>389</v>
      </c>
      <c r="AT2" s="50" t="s">
        <v>64</v>
      </c>
      <c r="AU2" s="50" t="s">
        <v>390</v>
      </c>
      <c r="AV2" s="50" t="s">
        <v>371</v>
      </c>
      <c r="AW2" s="50" t="s">
        <v>64</v>
      </c>
      <c r="AX2" s="50" t="s">
        <v>391</v>
      </c>
      <c r="AY2" s="50" t="s">
        <v>392</v>
      </c>
      <c r="AZ2" s="50" t="s">
        <v>392</v>
      </c>
      <c r="BA2" s="50" t="s">
        <v>64</v>
      </c>
      <c r="BB2" s="50" t="s">
        <v>371</v>
      </c>
      <c r="BC2" s="50" t="s">
        <v>64</v>
      </c>
      <c r="BD2" s="50" t="s">
        <v>64</v>
      </c>
      <c r="BE2" s="50" t="s">
        <v>391</v>
      </c>
      <c r="BF2" s="50" t="s">
        <v>392</v>
      </c>
      <c r="BG2" s="50" t="s">
        <v>392</v>
      </c>
      <c r="BH2" s="50" t="s">
        <v>64</v>
      </c>
      <c r="BI2" s="50" t="s">
        <v>371</v>
      </c>
      <c r="BJ2" s="50" t="s">
        <v>64</v>
      </c>
      <c r="BK2" s="50" t="s">
        <v>64</v>
      </c>
      <c r="BL2" s="50" t="s">
        <v>391</v>
      </c>
      <c r="BM2" s="50" t="s">
        <v>392</v>
      </c>
      <c r="BN2" s="50" t="s">
        <v>392</v>
      </c>
      <c r="BO2" s="50" t="s">
        <v>64</v>
      </c>
      <c r="BP2" s="50" t="s">
        <v>371</v>
      </c>
      <c r="BQ2" s="50" t="s">
        <v>64</v>
      </c>
      <c r="BR2" s="50" t="s">
        <v>393</v>
      </c>
      <c r="BS2" s="50" t="s">
        <v>371</v>
      </c>
      <c r="BT2" s="50" t="s">
        <v>64</v>
      </c>
      <c r="BU2" s="50" t="s">
        <v>64</v>
      </c>
      <c r="BV2" s="50" t="s">
        <v>64</v>
      </c>
      <c r="BW2" s="50" t="s">
        <v>394</v>
      </c>
      <c r="BX2" s="50" t="s">
        <v>395</v>
      </c>
      <c r="BY2" s="50" t="s">
        <v>64</v>
      </c>
      <c r="BZ2" s="50" t="s">
        <v>64</v>
      </c>
      <c r="CA2" s="50" t="s">
        <v>64</v>
      </c>
      <c r="CB2" s="50" t="s">
        <v>64</v>
      </c>
      <c r="CC2" s="50" t="s">
        <v>396</v>
      </c>
      <c r="CD2" s="50" t="s">
        <v>397</v>
      </c>
      <c r="CE2" s="50" t="s">
        <v>398</v>
      </c>
      <c r="CF2" s="50" t="s">
        <v>398</v>
      </c>
      <c r="CG2" s="50" t="s">
        <v>399</v>
      </c>
      <c r="CH2" s="50" t="s">
        <v>400</v>
      </c>
      <c r="CI2" s="2" t="s">
        <v>370</v>
      </c>
      <c r="CJ2" s="2" t="s">
        <v>401</v>
      </c>
      <c r="CK2" s="2" t="s">
        <v>402</v>
      </c>
      <c r="CL2" s="2" t="s">
        <v>402</v>
      </c>
      <c r="CM2" s="2" t="s">
        <v>402</v>
      </c>
      <c r="CN2" s="2" t="s">
        <v>402</v>
      </c>
      <c r="CO2" s="2" t="s">
        <v>402</v>
      </c>
      <c r="CP2" s="2" t="s">
        <v>403</v>
      </c>
      <c r="CQ2" s="2" t="s">
        <v>403</v>
      </c>
      <c r="CR2" s="2" t="s">
        <v>366</v>
      </c>
      <c r="CS2" s="2" t="s">
        <v>366</v>
      </c>
      <c r="CT2" s="2" t="s">
        <v>404</v>
      </c>
      <c r="DA2" s="2" t="s">
        <v>405</v>
      </c>
      <c r="DB2" s="2" t="s">
        <v>405</v>
      </c>
      <c r="DC2" s="2" t="s">
        <v>405</v>
      </c>
      <c r="DD2" s="2" t="s">
        <v>405</v>
      </c>
      <c r="DE2" s="2" t="s">
        <v>405</v>
      </c>
      <c r="DF2" s="2" t="s">
        <v>405</v>
      </c>
      <c r="DG2" s="2" t="s">
        <v>406</v>
      </c>
      <c r="DH2" s="2" t="s">
        <v>369</v>
      </c>
      <c r="DI2" s="2" t="s">
        <v>407</v>
      </c>
      <c r="DJ2" s="2" t="s">
        <v>407</v>
      </c>
      <c r="DK2" s="2" t="s">
        <v>408</v>
      </c>
      <c r="DL2" s="2" t="s">
        <v>409</v>
      </c>
      <c r="DM2" s="2" t="s">
        <v>410</v>
      </c>
      <c r="DN2" s="2" t="s">
        <v>367</v>
      </c>
      <c r="DO2" s="2" t="s">
        <v>411</v>
      </c>
      <c r="DP2" s="2" t="s">
        <v>898</v>
      </c>
      <c r="DQ2" s="2" t="s">
        <v>903</v>
      </c>
      <c r="DR2" s="2" t="s">
        <v>905</v>
      </c>
      <c r="DS2" s="2" t="s">
        <v>905</v>
      </c>
      <c r="DT2" s="2" t="s">
        <v>909</v>
      </c>
      <c r="DU2" s="2" t="s">
        <v>909</v>
      </c>
      <c r="DV2" s="2" t="s">
        <v>365</v>
      </c>
    </row>
    <row r="3" spans="1:126">
      <c r="A3" s="50" t="s">
        <v>64</v>
      </c>
      <c r="B3" s="50" t="s">
        <v>64</v>
      </c>
      <c r="C3" s="50" t="s">
        <v>64</v>
      </c>
      <c r="D3" s="50" t="s">
        <v>412</v>
      </c>
      <c r="E3" s="50" t="s">
        <v>413</v>
      </c>
      <c r="F3" s="50" t="s">
        <v>414</v>
      </c>
      <c r="G3" s="50" t="s">
        <v>415</v>
      </c>
      <c r="H3" s="50" t="s">
        <v>416</v>
      </c>
      <c r="I3" s="50" t="s">
        <v>417</v>
      </c>
      <c r="J3" s="50" t="s">
        <v>419</v>
      </c>
      <c r="K3" s="50" t="s">
        <v>420</v>
      </c>
      <c r="L3" s="50" t="s">
        <v>421</v>
      </c>
      <c r="M3" s="50" t="s">
        <v>422</v>
      </c>
      <c r="N3" s="50" t="s">
        <v>423</v>
      </c>
      <c r="O3" s="50" t="s">
        <v>374</v>
      </c>
      <c r="P3" s="50" t="s">
        <v>424</v>
      </c>
      <c r="Q3" s="50" t="s">
        <v>374</v>
      </c>
      <c r="R3" s="50" t="s">
        <v>425</v>
      </c>
      <c r="S3" s="50" t="s">
        <v>426</v>
      </c>
      <c r="T3" s="50" t="s">
        <v>427</v>
      </c>
      <c r="U3" s="50" t="s">
        <v>428</v>
      </c>
      <c r="V3" s="50" t="s">
        <v>373</v>
      </c>
      <c r="W3" s="50" t="s">
        <v>64</v>
      </c>
      <c r="X3" s="50" t="s">
        <v>429</v>
      </c>
      <c r="Y3" s="50" t="s">
        <v>375</v>
      </c>
      <c r="Z3" s="50" t="s">
        <v>430</v>
      </c>
      <c r="AA3" s="50" t="s">
        <v>431</v>
      </c>
      <c r="AB3" s="50" t="s">
        <v>432</v>
      </c>
      <c r="AC3" s="50" t="s">
        <v>427</v>
      </c>
      <c r="AD3" s="50" t="s">
        <v>428</v>
      </c>
      <c r="AE3" s="50" t="s">
        <v>380</v>
      </c>
      <c r="AF3" s="50" t="s">
        <v>381</v>
      </c>
      <c r="AG3" s="50" t="s">
        <v>432</v>
      </c>
      <c r="AH3" s="50" t="s">
        <v>433</v>
      </c>
      <c r="AI3" s="50" t="s">
        <v>434</v>
      </c>
      <c r="AJ3" s="50" t="s">
        <v>434</v>
      </c>
      <c r="AK3" s="50" t="s">
        <v>435</v>
      </c>
      <c r="AL3" s="50" t="s">
        <v>436</v>
      </c>
      <c r="AM3" s="50" t="s">
        <v>437</v>
      </c>
      <c r="AN3" s="50" t="s">
        <v>438</v>
      </c>
      <c r="AO3" s="50" t="s">
        <v>439</v>
      </c>
      <c r="AP3" s="50" t="s">
        <v>440</v>
      </c>
      <c r="AQ3" s="50" t="s">
        <v>374</v>
      </c>
      <c r="AR3" s="50" t="s">
        <v>441</v>
      </c>
      <c r="AS3" s="50" t="s">
        <v>442</v>
      </c>
      <c r="AT3" s="50" t="s">
        <v>443</v>
      </c>
      <c r="AU3" s="50" t="s">
        <v>444</v>
      </c>
      <c r="AV3" s="50" t="s">
        <v>445</v>
      </c>
      <c r="AW3" s="50" t="s">
        <v>446</v>
      </c>
      <c r="AX3" s="50" t="s">
        <v>447</v>
      </c>
      <c r="AY3" s="50" t="s">
        <v>448</v>
      </c>
      <c r="AZ3" s="50" t="s">
        <v>448</v>
      </c>
      <c r="BA3" s="50" t="s">
        <v>64</v>
      </c>
      <c r="BB3" s="50" t="s">
        <v>449</v>
      </c>
      <c r="BC3" s="50" t="s">
        <v>450</v>
      </c>
      <c r="BD3" s="50" t="s">
        <v>375</v>
      </c>
      <c r="BE3" s="50" t="s">
        <v>447</v>
      </c>
      <c r="BF3" s="50" t="s">
        <v>448</v>
      </c>
      <c r="BG3" s="50" t="s">
        <v>448</v>
      </c>
      <c r="BH3" s="50" t="s">
        <v>64</v>
      </c>
      <c r="BI3" s="50" t="s">
        <v>449</v>
      </c>
      <c r="BJ3" s="50" t="s">
        <v>450</v>
      </c>
      <c r="BK3" s="50" t="s">
        <v>64</v>
      </c>
      <c r="BL3" s="50" t="s">
        <v>447</v>
      </c>
      <c r="BM3" s="50" t="s">
        <v>448</v>
      </c>
      <c r="BN3" s="50" t="s">
        <v>448</v>
      </c>
      <c r="BO3" s="50" t="s">
        <v>64</v>
      </c>
      <c r="BP3" s="50" t="s">
        <v>449</v>
      </c>
      <c r="BQ3" s="50" t="s">
        <v>450</v>
      </c>
      <c r="BR3" s="50" t="s">
        <v>451</v>
      </c>
      <c r="BS3" s="50" t="s">
        <v>432</v>
      </c>
      <c r="BT3" s="50" t="s">
        <v>375</v>
      </c>
      <c r="BU3" s="50" t="s">
        <v>452</v>
      </c>
      <c r="BV3" s="50" t="s">
        <v>453</v>
      </c>
      <c r="BW3" s="50" t="s">
        <v>454</v>
      </c>
      <c r="BX3" s="50" t="s">
        <v>454</v>
      </c>
      <c r="BY3" s="50" t="s">
        <v>455</v>
      </c>
      <c r="BZ3" s="50" t="s">
        <v>455</v>
      </c>
      <c r="CA3" s="50" t="s">
        <v>456</v>
      </c>
      <c r="CB3" s="50" t="s">
        <v>457</v>
      </c>
      <c r="CC3" s="50" t="s">
        <v>455</v>
      </c>
      <c r="CD3" s="50" t="s">
        <v>419</v>
      </c>
      <c r="CE3" s="50" t="s">
        <v>418</v>
      </c>
      <c r="CF3" s="50" t="s">
        <v>418</v>
      </c>
      <c r="CG3" s="50" t="s">
        <v>458</v>
      </c>
      <c r="CH3" s="50" t="s">
        <v>459</v>
      </c>
      <c r="CI3" s="2" t="s">
        <v>411</v>
      </c>
      <c r="CJ3" s="2" t="s">
        <v>460</v>
      </c>
      <c r="CK3" s="2" t="s">
        <v>391</v>
      </c>
      <c r="CL3" s="2" t="s">
        <v>392</v>
      </c>
      <c r="CM3" s="2" t="s">
        <v>392</v>
      </c>
      <c r="CN3" s="2" t="s">
        <v>392</v>
      </c>
      <c r="CO3" s="2" t="s">
        <v>48</v>
      </c>
      <c r="CP3" s="2" t="s">
        <v>461</v>
      </c>
      <c r="CQ3" s="2" t="s">
        <v>462</v>
      </c>
      <c r="CR3" s="2" t="s">
        <v>463</v>
      </c>
      <c r="CS3" s="2" t="s">
        <v>464</v>
      </c>
      <c r="CT3" s="2" t="s">
        <v>465</v>
      </c>
      <c r="CU3" s="2" t="s">
        <v>466</v>
      </c>
      <c r="CV3" s="2" t="s">
        <v>467</v>
      </c>
      <c r="CW3" s="2" t="s">
        <v>468</v>
      </c>
      <c r="CX3" s="2" t="s">
        <v>466</v>
      </c>
      <c r="CY3" s="2" t="s">
        <v>469</v>
      </c>
      <c r="CZ3" s="2" t="s">
        <v>470</v>
      </c>
      <c r="DA3" s="2" t="s">
        <v>391</v>
      </c>
      <c r="DB3" s="2" t="s">
        <v>392</v>
      </c>
      <c r="DC3" s="2" t="s">
        <v>392</v>
      </c>
      <c r="DD3" s="2" t="s">
        <v>48</v>
      </c>
      <c r="DE3" s="2" t="s">
        <v>392</v>
      </c>
      <c r="DF3" s="2" t="s">
        <v>392</v>
      </c>
      <c r="DG3" s="2" t="s">
        <v>471</v>
      </c>
      <c r="DH3" s="2" t="s">
        <v>472</v>
      </c>
      <c r="DI3" s="2" t="s">
        <v>473</v>
      </c>
      <c r="DJ3" s="2" t="s">
        <v>473</v>
      </c>
      <c r="DK3" s="2" t="s">
        <v>474</v>
      </c>
      <c r="DL3" s="2" t="s">
        <v>637</v>
      </c>
      <c r="DM3" s="2" t="s">
        <v>475</v>
      </c>
      <c r="DN3" s="2" t="s">
        <v>404</v>
      </c>
      <c r="DO3" s="2" t="s">
        <v>408</v>
      </c>
      <c r="DP3" s="2" t="s">
        <v>899</v>
      </c>
      <c r="DQ3" s="2" t="s">
        <v>899</v>
      </c>
      <c r="DR3" s="2" t="s">
        <v>906</v>
      </c>
      <c r="DS3" s="2" t="s">
        <v>906</v>
      </c>
      <c r="DT3" s="2" t="s">
        <v>910</v>
      </c>
      <c r="DU3" s="2" t="s">
        <v>910</v>
      </c>
      <c r="DV3" s="2" t="s">
        <v>910</v>
      </c>
    </row>
    <row r="4" spans="1:126">
      <c r="A4" s="50" t="s">
        <v>64</v>
      </c>
      <c r="B4" s="50" t="s">
        <v>64</v>
      </c>
      <c r="C4" s="50" t="s">
        <v>64</v>
      </c>
      <c r="D4" s="50" t="s">
        <v>476</v>
      </c>
      <c r="E4" s="50" t="s">
        <v>476</v>
      </c>
      <c r="F4" s="50" t="s">
        <v>64</v>
      </c>
      <c r="G4" s="50" t="s">
        <v>477</v>
      </c>
      <c r="H4" s="50" t="s">
        <v>64</v>
      </c>
      <c r="I4" s="50" t="s">
        <v>478</v>
      </c>
      <c r="J4" s="50" t="s">
        <v>480</v>
      </c>
      <c r="K4" s="50" t="s">
        <v>480</v>
      </c>
      <c r="L4" s="50" t="s">
        <v>479</v>
      </c>
      <c r="M4" s="50" t="s">
        <v>418</v>
      </c>
      <c r="N4" s="50" t="s">
        <v>482</v>
      </c>
      <c r="O4" s="50" t="s">
        <v>483</v>
      </c>
      <c r="P4" s="50" t="s">
        <v>484</v>
      </c>
      <c r="Q4" s="50" t="s">
        <v>483</v>
      </c>
      <c r="R4" s="50" t="s">
        <v>485</v>
      </c>
      <c r="S4" s="50" t="s">
        <v>486</v>
      </c>
      <c r="T4" s="50" t="s">
        <v>487</v>
      </c>
      <c r="U4" s="50" t="s">
        <v>481</v>
      </c>
      <c r="V4" s="50" t="s">
        <v>488</v>
      </c>
      <c r="W4" s="50" t="s">
        <v>490</v>
      </c>
      <c r="X4" s="50" t="s">
        <v>491</v>
      </c>
      <c r="Y4" s="50" t="s">
        <v>492</v>
      </c>
      <c r="Z4" s="50" t="s">
        <v>493</v>
      </c>
      <c r="AA4" s="50" t="s">
        <v>494</v>
      </c>
      <c r="AB4" s="50" t="s">
        <v>495</v>
      </c>
      <c r="AC4" s="50" t="s">
        <v>380</v>
      </c>
      <c r="AD4" s="50" t="s">
        <v>489</v>
      </c>
      <c r="AE4" s="50" t="s">
        <v>496</v>
      </c>
      <c r="AF4" s="50" t="s">
        <v>497</v>
      </c>
      <c r="AG4" s="50" t="s">
        <v>498</v>
      </c>
      <c r="AH4" s="50" t="s">
        <v>499</v>
      </c>
      <c r="AI4" s="50" t="s">
        <v>500</v>
      </c>
      <c r="AJ4" s="50" t="s">
        <v>501</v>
      </c>
      <c r="AK4" s="50" t="s">
        <v>502</v>
      </c>
      <c r="AL4" s="50" t="s">
        <v>503</v>
      </c>
      <c r="AM4" s="50" t="s">
        <v>502</v>
      </c>
      <c r="AN4" s="50" t="s">
        <v>502</v>
      </c>
      <c r="AO4" s="50" t="s">
        <v>502</v>
      </c>
      <c r="AP4" s="50" t="s">
        <v>502</v>
      </c>
      <c r="AQ4" s="50" t="s">
        <v>504</v>
      </c>
      <c r="AR4" s="50" t="s">
        <v>505</v>
      </c>
      <c r="AS4" s="50" t="s">
        <v>489</v>
      </c>
      <c r="AT4" s="50" t="s">
        <v>489</v>
      </c>
      <c r="AU4" s="50" t="s">
        <v>506</v>
      </c>
      <c r="AV4" s="50" t="s">
        <v>507</v>
      </c>
      <c r="AW4" s="50" t="s">
        <v>508</v>
      </c>
      <c r="AX4" s="50" t="s">
        <v>509</v>
      </c>
      <c r="AY4" s="50" t="s">
        <v>510</v>
      </c>
      <c r="AZ4" s="50" t="s">
        <v>511</v>
      </c>
      <c r="BA4" s="50" t="s">
        <v>48</v>
      </c>
      <c r="BB4" s="50" t="s">
        <v>418</v>
      </c>
      <c r="BC4" s="50" t="s">
        <v>512</v>
      </c>
      <c r="BD4" s="50" t="s">
        <v>455</v>
      </c>
      <c r="BE4" s="50" t="s">
        <v>509</v>
      </c>
      <c r="BF4" s="50" t="s">
        <v>510</v>
      </c>
      <c r="BG4" s="50" t="s">
        <v>511</v>
      </c>
      <c r="BH4" s="50" t="s">
        <v>48</v>
      </c>
      <c r="BI4" s="50" t="s">
        <v>418</v>
      </c>
      <c r="BJ4" s="50" t="s">
        <v>512</v>
      </c>
      <c r="BK4" s="50" t="s">
        <v>513</v>
      </c>
      <c r="BL4" s="50" t="s">
        <v>509</v>
      </c>
      <c r="BM4" s="50" t="s">
        <v>510</v>
      </c>
      <c r="BN4" s="50" t="s">
        <v>511</v>
      </c>
      <c r="BO4" s="50" t="s">
        <v>48</v>
      </c>
      <c r="BP4" s="50" t="s">
        <v>418</v>
      </c>
      <c r="BQ4" s="50" t="s">
        <v>512</v>
      </c>
      <c r="BR4" s="50" t="s">
        <v>514</v>
      </c>
      <c r="BS4" s="50" t="s">
        <v>515</v>
      </c>
      <c r="BT4" s="50" t="s">
        <v>516</v>
      </c>
      <c r="BU4" s="50" t="s">
        <v>517</v>
      </c>
      <c r="BV4" s="50" t="s">
        <v>518</v>
      </c>
      <c r="BW4" s="50" t="s">
        <v>518</v>
      </c>
      <c r="BX4" s="50" t="s">
        <v>518</v>
      </c>
      <c r="BY4" s="50" t="s">
        <v>519</v>
      </c>
      <c r="BZ4" s="50" t="s">
        <v>520</v>
      </c>
      <c r="CA4" s="50" t="s">
        <v>521</v>
      </c>
      <c r="CB4" s="50" t="s">
        <v>522</v>
      </c>
      <c r="CC4" s="50" t="s">
        <v>523</v>
      </c>
      <c r="CD4" s="50" t="s">
        <v>524</v>
      </c>
      <c r="CE4" s="50" t="s">
        <v>525</v>
      </c>
      <c r="CF4" s="50" t="s">
        <v>526</v>
      </c>
      <c r="CG4" s="50" t="s">
        <v>371</v>
      </c>
      <c r="CH4" s="50" t="s">
        <v>527</v>
      </c>
      <c r="CI4" s="2" t="s">
        <v>408</v>
      </c>
      <c r="CJ4" s="2" t="s">
        <v>528</v>
      </c>
      <c r="CK4" s="2" t="s">
        <v>447</v>
      </c>
      <c r="CL4" s="2" t="s">
        <v>448</v>
      </c>
      <c r="CM4" s="2" t="s">
        <v>448</v>
      </c>
      <c r="CN4" s="2" t="s">
        <v>448</v>
      </c>
      <c r="CP4" s="2" t="s">
        <v>529</v>
      </c>
      <c r="CQ4" s="2" t="s">
        <v>530</v>
      </c>
      <c r="CR4" s="2" t="s">
        <v>530</v>
      </c>
      <c r="CS4" s="2" t="s">
        <v>530</v>
      </c>
      <c r="CT4" s="2" t="s">
        <v>405</v>
      </c>
      <c r="CU4" s="2" t="s">
        <v>405</v>
      </c>
      <c r="CV4" s="2" t="s">
        <v>530</v>
      </c>
      <c r="CW4" s="2" t="s">
        <v>530</v>
      </c>
      <c r="CX4" s="2" t="s">
        <v>530</v>
      </c>
      <c r="CY4" s="2" t="s">
        <v>460</v>
      </c>
      <c r="CZ4" s="2" t="s">
        <v>531</v>
      </c>
      <c r="DA4" s="2" t="s">
        <v>447</v>
      </c>
      <c r="DB4" s="2" t="s">
        <v>448</v>
      </c>
      <c r="DC4" s="2" t="s">
        <v>448</v>
      </c>
      <c r="DE4" s="2" t="s">
        <v>448</v>
      </c>
      <c r="DF4" s="2" t="s">
        <v>448</v>
      </c>
      <c r="DG4" s="2" t="s">
        <v>532</v>
      </c>
      <c r="DH4" s="2" t="s">
        <v>533</v>
      </c>
      <c r="DJ4" s="2" t="s">
        <v>534</v>
      </c>
      <c r="DK4" s="2" t="s">
        <v>535</v>
      </c>
      <c r="DL4" s="2" t="s">
        <v>638</v>
      </c>
      <c r="DM4" s="2" t="s">
        <v>536</v>
      </c>
      <c r="DN4" s="2" t="s">
        <v>537</v>
      </c>
      <c r="DO4" s="2" t="s">
        <v>538</v>
      </c>
      <c r="DP4" s="2" t="s">
        <v>900</v>
      </c>
      <c r="DQ4" s="2" t="s">
        <v>900</v>
      </c>
      <c r="DR4" s="2"/>
      <c r="DS4" s="2" t="s">
        <v>907</v>
      </c>
      <c r="DU4" s="2" t="s">
        <v>911</v>
      </c>
    </row>
    <row r="5" spans="1:126">
      <c r="A5" s="50" t="s">
        <v>539</v>
      </c>
      <c r="B5" s="50" t="s">
        <v>540</v>
      </c>
      <c r="C5" s="50" t="s">
        <v>541</v>
      </c>
      <c r="D5" s="50" t="s">
        <v>542</v>
      </c>
      <c r="E5" s="50" t="s">
        <v>543</v>
      </c>
      <c r="F5" s="50" t="s">
        <v>544</v>
      </c>
      <c r="G5" s="50" t="s">
        <v>545</v>
      </c>
      <c r="H5" s="50" t="s">
        <v>546</v>
      </c>
      <c r="I5" s="50" t="s">
        <v>547</v>
      </c>
      <c r="J5" s="50" t="s">
        <v>548</v>
      </c>
      <c r="K5" s="50" t="s">
        <v>549</v>
      </c>
      <c r="L5" s="50" t="s">
        <v>550</v>
      </c>
      <c r="M5" s="50" t="s">
        <v>551</v>
      </c>
      <c r="N5" s="50" t="s">
        <v>552</v>
      </c>
      <c r="O5" s="50" t="s">
        <v>553</v>
      </c>
      <c r="P5" s="50" t="s">
        <v>554</v>
      </c>
      <c r="Q5" s="50" t="s">
        <v>555</v>
      </c>
      <c r="R5" s="50" t="s">
        <v>556</v>
      </c>
      <c r="S5" s="50" t="s">
        <v>557</v>
      </c>
      <c r="T5" s="50" t="s">
        <v>558</v>
      </c>
      <c r="U5" s="50" t="s">
        <v>559</v>
      </c>
      <c r="V5" s="50" t="s">
        <v>560</v>
      </c>
      <c r="W5" s="50" t="s">
        <v>561</v>
      </c>
      <c r="X5" s="50" t="s">
        <v>562</v>
      </c>
      <c r="Y5" s="50" t="s">
        <v>563</v>
      </c>
      <c r="Z5" s="50" t="s">
        <v>564</v>
      </c>
      <c r="AA5" s="50" t="s">
        <v>565</v>
      </c>
      <c r="AB5" s="50" t="s">
        <v>566</v>
      </c>
      <c r="AC5" s="50" t="s">
        <v>567</v>
      </c>
      <c r="AD5" s="50" t="s">
        <v>568</v>
      </c>
      <c r="AE5" s="50" t="s">
        <v>569</v>
      </c>
      <c r="AF5" s="50" t="s">
        <v>570</v>
      </c>
      <c r="AG5" s="50" t="s">
        <v>571</v>
      </c>
      <c r="AH5" s="50" t="s">
        <v>572</v>
      </c>
      <c r="AI5" s="50" t="s">
        <v>573</v>
      </c>
      <c r="AJ5" s="50" t="s">
        <v>574</v>
      </c>
      <c r="AK5" s="50" t="s">
        <v>575</v>
      </c>
      <c r="AL5" s="50" t="s">
        <v>576</v>
      </c>
      <c r="AM5" s="50" t="s">
        <v>577</v>
      </c>
      <c r="AN5" s="50" t="s">
        <v>578</v>
      </c>
      <c r="AO5" s="50" t="s">
        <v>579</v>
      </c>
      <c r="AP5" s="50" t="s">
        <v>580</v>
      </c>
      <c r="AQ5" s="50" t="s">
        <v>581</v>
      </c>
      <c r="AR5" s="50" t="s">
        <v>582</v>
      </c>
      <c r="AS5" s="50" t="s">
        <v>583</v>
      </c>
      <c r="AT5" s="50" t="s">
        <v>584</v>
      </c>
      <c r="AU5" s="50" t="s">
        <v>585</v>
      </c>
      <c r="AV5" s="50" t="s">
        <v>586</v>
      </c>
      <c r="AW5" s="50" t="s">
        <v>587</v>
      </c>
      <c r="AX5" s="50" t="s">
        <v>588</v>
      </c>
      <c r="AY5" s="50" t="s">
        <v>589</v>
      </c>
      <c r="AZ5" s="50" t="s">
        <v>590</v>
      </c>
      <c r="BA5" s="50" t="s">
        <v>591</v>
      </c>
      <c r="BB5" s="50" t="s">
        <v>592</v>
      </c>
      <c r="BC5" s="50" t="s">
        <v>593</v>
      </c>
      <c r="BD5" s="50" t="s">
        <v>594</v>
      </c>
      <c r="BE5" s="50" t="s">
        <v>595</v>
      </c>
      <c r="BF5" s="50" t="s">
        <v>596</v>
      </c>
      <c r="BG5" s="50" t="s">
        <v>597</v>
      </c>
      <c r="BH5" s="50" t="s">
        <v>598</v>
      </c>
      <c r="BI5" s="50" t="s">
        <v>599</v>
      </c>
      <c r="BJ5" s="50" t="s">
        <v>600</v>
      </c>
      <c r="BK5" s="50" t="s">
        <v>601</v>
      </c>
      <c r="BL5" s="50" t="s">
        <v>602</v>
      </c>
      <c r="BM5" s="50" t="s">
        <v>603</v>
      </c>
      <c r="BN5" s="50" t="s">
        <v>604</v>
      </c>
      <c r="BO5" s="50" t="s">
        <v>605</v>
      </c>
      <c r="BP5" s="50" t="s">
        <v>606</v>
      </c>
      <c r="BQ5" s="50" t="s">
        <v>607</v>
      </c>
      <c r="BR5" s="50" t="s">
        <v>608</v>
      </c>
      <c r="BS5" s="50" t="s">
        <v>609</v>
      </c>
      <c r="BT5" s="50" t="s">
        <v>610</v>
      </c>
      <c r="BU5" s="50" t="s">
        <v>611</v>
      </c>
      <c r="BV5" s="50" t="s">
        <v>612</v>
      </c>
      <c r="BW5" s="50" t="s">
        <v>613</v>
      </c>
      <c r="BX5" s="50" t="s">
        <v>614</v>
      </c>
      <c r="BY5" s="50" t="s">
        <v>615</v>
      </c>
      <c r="BZ5" s="50" t="s">
        <v>616</v>
      </c>
      <c r="CA5" s="50" t="s">
        <v>617</v>
      </c>
      <c r="CB5" s="50" t="s">
        <v>618</v>
      </c>
      <c r="CC5" s="50" t="s">
        <v>619</v>
      </c>
      <c r="CD5" s="50" t="s">
        <v>620</v>
      </c>
      <c r="CE5" s="50" t="s">
        <v>621</v>
      </c>
      <c r="CF5" s="50" t="s">
        <v>622</v>
      </c>
      <c r="CG5" s="50" t="s">
        <v>623</v>
      </c>
      <c r="CH5" s="50" t="s">
        <v>624</v>
      </c>
      <c r="CK5" s="2" t="s">
        <v>509</v>
      </c>
      <c r="CL5" s="2" t="s">
        <v>510</v>
      </c>
      <c r="CM5" s="2" t="s">
        <v>511</v>
      </c>
      <c r="CN5" s="2" t="s">
        <v>625</v>
      </c>
      <c r="CY5" s="2" t="s">
        <v>626</v>
      </c>
      <c r="DA5" s="2" t="s">
        <v>509</v>
      </c>
      <c r="DB5" s="2" t="s">
        <v>510</v>
      </c>
      <c r="DC5" s="2" t="s">
        <v>511</v>
      </c>
      <c r="DE5" s="2" t="s">
        <v>627</v>
      </c>
      <c r="DF5" s="2" t="s">
        <v>627</v>
      </c>
      <c r="DJ5" s="2" t="s">
        <v>628</v>
      </c>
      <c r="DM5" s="2" t="s">
        <v>629</v>
      </c>
      <c r="DP5" s="2" t="s">
        <v>901</v>
      </c>
      <c r="DQ5" s="2" t="s">
        <v>901</v>
      </c>
      <c r="DU5" s="2" t="s">
        <v>408</v>
      </c>
    </row>
    <row r="6" spans="1:126" ht="15.5">
      <c r="A6" s="64"/>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row>
    <row r="7" spans="1:126" ht="13">
      <c r="A7" s="114"/>
      <c r="B7" s="114"/>
      <c r="C7" s="114">
        <v>1971</v>
      </c>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6"/>
      <c r="AN7" s="236"/>
      <c r="AO7" s="236"/>
      <c r="AP7" s="236"/>
      <c r="AQ7" s="236"/>
      <c r="AR7" s="236"/>
      <c r="AS7" s="236"/>
      <c r="AT7" s="236"/>
      <c r="AU7" s="236"/>
      <c r="AV7" s="236"/>
      <c r="AW7" s="236"/>
      <c r="AX7" s="236"/>
      <c r="AY7" s="236"/>
      <c r="AZ7" s="236"/>
      <c r="BA7" s="236"/>
      <c r="BB7" s="236"/>
      <c r="BC7" s="236"/>
      <c r="BD7" s="236"/>
      <c r="BE7" s="236"/>
      <c r="BF7" s="236"/>
      <c r="BG7" s="236"/>
      <c r="BH7" s="236"/>
      <c r="BI7" s="236"/>
      <c r="BJ7" s="236"/>
      <c r="BK7" s="236"/>
      <c r="BL7" s="236"/>
      <c r="BM7" s="236"/>
      <c r="BN7" s="236"/>
      <c r="BO7" s="236"/>
      <c r="BP7" s="236"/>
      <c r="BQ7" s="236"/>
      <c r="BR7" s="236"/>
      <c r="BS7" s="236"/>
      <c r="BT7" s="236"/>
      <c r="BU7" s="236"/>
      <c r="BV7" s="236"/>
      <c r="BW7" s="236"/>
      <c r="BX7" s="236"/>
      <c r="BY7" s="236"/>
      <c r="BZ7" s="238"/>
      <c r="CA7" s="236"/>
      <c r="CB7" s="236"/>
      <c r="CC7" s="236"/>
      <c r="CD7" s="238"/>
      <c r="CE7" s="238"/>
      <c r="CF7" s="238"/>
      <c r="CG7" s="238"/>
      <c r="CH7" s="238"/>
      <c r="CI7" s="230">
        <f t="shared" ref="CI7:CI35" si="0">AF7-AH7</f>
        <v>0</v>
      </c>
      <c r="CJ7" s="232" t="e">
        <f t="shared" ref="CJ7:CJ33" si="1">BY7/BU7</f>
        <v>#DIV/0!</v>
      </c>
      <c r="CK7" s="232" t="e">
        <f t="shared" ref="CK7:CK69" si="2">BL7/BE7</f>
        <v>#DIV/0!</v>
      </c>
      <c r="CL7" s="232" t="e">
        <f t="shared" ref="CL7:CL69" si="3">BM7/BF7</f>
        <v>#DIV/0!</v>
      </c>
      <c r="CM7" s="232" t="e">
        <f t="shared" ref="CM7:CM69" si="4">BN7/BG7</f>
        <v>#DIV/0!</v>
      </c>
      <c r="CN7" s="232" t="e">
        <f t="shared" ref="CN7:CN69" si="5">(BM7+BN7)/(BF7+BG7)</f>
        <v>#DIV/0!</v>
      </c>
      <c r="CO7" s="232" t="e">
        <f t="shared" ref="CO7:CO69" si="6">BO7/BH7</f>
        <v>#DIV/0!</v>
      </c>
      <c r="CP7" s="232">
        <f t="shared" ref="CP7:CP30" si="7">AI7+AJ7</f>
        <v>0</v>
      </c>
      <c r="CQ7" s="232" t="e">
        <f t="shared" ref="CQ7:CQ69" si="8">AI7/O7</f>
        <v>#DIV/0!</v>
      </c>
      <c r="CR7" s="232" t="e">
        <f t="shared" ref="CR7:CR69" si="9">AJ7/O7</f>
        <v>#DIV/0!</v>
      </c>
      <c r="CS7" s="232" t="e">
        <f t="shared" ref="CS7:CS37" si="10">(AI7+AJ7)/O7</f>
        <v>#DIV/0!</v>
      </c>
      <c r="CT7" s="232" t="e">
        <f t="shared" ref="CT7:CT37" si="11">(AK7+AL7+AN7)/BY7</f>
        <v>#DIV/0!</v>
      </c>
      <c r="CU7" s="232" t="e">
        <f t="shared" ref="CU7:CU69" si="12">AM7/BY7</f>
        <v>#DIV/0!</v>
      </c>
      <c r="CV7" s="232" t="e">
        <f t="shared" ref="CV7:CV69" si="13">AO7/O7</f>
        <v>#DIV/0!</v>
      </c>
      <c r="CW7" s="232" t="e">
        <f t="shared" ref="CW7:CW36" si="14">AP7/O7</f>
        <v>#DIV/0!</v>
      </c>
      <c r="CX7" s="232" t="e">
        <f t="shared" ref="CX7:CX36" si="15">AM7/O7</f>
        <v>#DIV/0!</v>
      </c>
      <c r="CY7" s="232" t="e">
        <f t="shared" ref="CY7:CY30" si="16">AU7/AF7</f>
        <v>#DIV/0!</v>
      </c>
      <c r="CZ7" s="232"/>
      <c r="DA7" s="232" t="e">
        <f t="shared" ref="DA7:DA69" si="17">BE7/AX7*1000/12</f>
        <v>#DIV/0!</v>
      </c>
      <c r="DB7" s="232" t="e">
        <f t="shared" ref="DB7:DB69" si="18">BF7/AY7*1000/12</f>
        <v>#DIV/0!</v>
      </c>
      <c r="DC7" s="232" t="e">
        <f t="shared" ref="DC7:DC69" si="19">BG7/AZ7*1000/12</f>
        <v>#DIV/0!</v>
      </c>
      <c r="DD7" s="232" t="e">
        <f t="shared" ref="DD7:DD69" si="20">BH7/BA7*1000/12</f>
        <v>#DIV/0!</v>
      </c>
      <c r="DE7" s="232" t="e">
        <f t="shared" ref="DE7:DE69" si="21">(BF7+BG7)/(AY7+AZ7)*1000/12</f>
        <v>#DIV/0!</v>
      </c>
      <c r="DF7" s="232">
        <f t="shared" ref="DF7:DF30" si="22">(BF7+BG7)</f>
        <v>0</v>
      </c>
      <c r="DG7" s="232">
        <f t="shared" ref="DG7:DG30" si="23">Z7+AA7</f>
        <v>0</v>
      </c>
      <c r="DH7" s="232">
        <f t="shared" ref="DH7:DH30" si="24">BI7+BJ7</f>
        <v>0</v>
      </c>
      <c r="DI7" s="232" t="e">
        <f t="shared" ref="DI7:DI69" si="25">O7/BK7</f>
        <v>#DIV/0!</v>
      </c>
      <c r="DJ7" s="232" t="e">
        <f t="shared" ref="DJ7:DJ37" si="26">O7/(BK7-BJ7)</f>
        <v>#DIV/0!</v>
      </c>
      <c r="DK7" s="232" t="e">
        <f t="shared" ref="DK7:DK69" si="27">AH7/CB7</f>
        <v>#DIV/0!</v>
      </c>
      <c r="DL7" s="232" t="e">
        <f>+P7/O7</f>
        <v>#DIV/0!</v>
      </c>
      <c r="DM7" s="232" t="e">
        <f t="shared" ref="DM7:DM69" si="28">1-(BK7/CB7)</f>
        <v>#DIV/0!</v>
      </c>
      <c r="DN7" s="232">
        <f t="shared" ref="DN7:DN30" si="29">AK7+AL7+AN7</f>
        <v>0</v>
      </c>
      <c r="DO7" s="232" t="e">
        <f t="shared" ref="DO7:DO69" si="30">CI7/BK7</f>
        <v>#DIV/0!</v>
      </c>
      <c r="DP7" s="232">
        <f>AW7+AO7+AU7</f>
        <v>0</v>
      </c>
      <c r="DQ7" s="232">
        <f>AQ7+AO7</f>
        <v>0</v>
      </c>
      <c r="DR7" s="232" t="e">
        <f>DP7/Y7*100</f>
        <v>#DIV/0!</v>
      </c>
      <c r="DS7" s="232" t="e">
        <f>DQ7/Y7*100</f>
        <v>#DIV/0!</v>
      </c>
      <c r="DT7" s="232" t="e">
        <f>AF7/O7</f>
        <v>#DIV/0!</v>
      </c>
      <c r="DU7" s="232" t="e">
        <f>(AF7-AH7)/O7</f>
        <v>#DIV/0!</v>
      </c>
      <c r="DV7" s="232" t="e">
        <f>O7/(AF7-AH7)</f>
        <v>#DIV/0!</v>
      </c>
    </row>
    <row r="8" spans="1:126" ht="13">
      <c r="A8" s="115">
        <f t="shared" ref="A8:A35" si="31">A7</f>
        <v>0</v>
      </c>
      <c r="B8" s="115">
        <f t="shared" ref="B8:B35" si="32">B7</f>
        <v>0</v>
      </c>
      <c r="C8" s="114">
        <v>72</v>
      </c>
      <c r="D8" s="236"/>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36"/>
      <c r="BK8" s="236"/>
      <c r="BL8" s="236"/>
      <c r="BM8" s="236"/>
      <c r="BN8" s="236"/>
      <c r="BO8" s="236"/>
      <c r="BP8" s="236"/>
      <c r="BQ8" s="236"/>
      <c r="BR8" s="236"/>
      <c r="BS8" s="236"/>
      <c r="BT8" s="236"/>
      <c r="BU8" s="236"/>
      <c r="BV8" s="236"/>
      <c r="BW8" s="236"/>
      <c r="BX8" s="236"/>
      <c r="BY8" s="236"/>
      <c r="BZ8" s="238"/>
      <c r="CA8" s="236"/>
      <c r="CB8" s="236"/>
      <c r="CC8" s="236"/>
      <c r="CD8" s="238"/>
      <c r="CE8" s="238"/>
      <c r="CF8" s="238"/>
      <c r="CG8" s="238"/>
      <c r="CH8" s="238"/>
      <c r="CI8" s="230">
        <f t="shared" si="0"/>
        <v>0</v>
      </c>
      <c r="CJ8" s="232" t="e">
        <f t="shared" si="1"/>
        <v>#DIV/0!</v>
      </c>
      <c r="CK8" s="232" t="e">
        <f t="shared" si="2"/>
        <v>#DIV/0!</v>
      </c>
      <c r="CL8" s="232" t="e">
        <f t="shared" si="3"/>
        <v>#DIV/0!</v>
      </c>
      <c r="CM8" s="232" t="e">
        <f t="shared" si="4"/>
        <v>#DIV/0!</v>
      </c>
      <c r="CN8" s="232" t="e">
        <f t="shared" si="5"/>
        <v>#DIV/0!</v>
      </c>
      <c r="CO8" s="232" t="e">
        <f t="shared" si="6"/>
        <v>#DIV/0!</v>
      </c>
      <c r="CP8" s="232">
        <f t="shared" si="7"/>
        <v>0</v>
      </c>
      <c r="CQ8" s="232" t="e">
        <f t="shared" si="8"/>
        <v>#DIV/0!</v>
      </c>
      <c r="CR8" s="232" t="e">
        <f t="shared" si="9"/>
        <v>#DIV/0!</v>
      </c>
      <c r="CS8" s="232" t="e">
        <f t="shared" si="10"/>
        <v>#DIV/0!</v>
      </c>
      <c r="CT8" s="232" t="e">
        <f t="shared" si="11"/>
        <v>#DIV/0!</v>
      </c>
      <c r="CU8" s="232" t="e">
        <f t="shared" si="12"/>
        <v>#DIV/0!</v>
      </c>
      <c r="CV8" s="232" t="e">
        <f t="shared" si="13"/>
        <v>#DIV/0!</v>
      </c>
      <c r="CW8" s="232" t="e">
        <f t="shared" si="14"/>
        <v>#DIV/0!</v>
      </c>
      <c r="CX8" s="232" t="e">
        <f t="shared" si="15"/>
        <v>#DIV/0!</v>
      </c>
      <c r="CY8" s="232" t="e">
        <f t="shared" si="16"/>
        <v>#DIV/0!</v>
      </c>
      <c r="CZ8" s="232">
        <f t="shared" ref="CZ8:CZ30" si="33">(O8-O7)</f>
        <v>0</v>
      </c>
      <c r="DA8" s="232" t="e">
        <f t="shared" si="17"/>
        <v>#DIV/0!</v>
      </c>
      <c r="DB8" s="232" t="e">
        <f t="shared" si="18"/>
        <v>#DIV/0!</v>
      </c>
      <c r="DC8" s="232" t="e">
        <f t="shared" si="19"/>
        <v>#DIV/0!</v>
      </c>
      <c r="DD8" s="232" t="e">
        <f t="shared" si="20"/>
        <v>#DIV/0!</v>
      </c>
      <c r="DE8" s="232" t="e">
        <f t="shared" si="21"/>
        <v>#DIV/0!</v>
      </c>
      <c r="DF8" s="232">
        <f t="shared" si="22"/>
        <v>0</v>
      </c>
      <c r="DG8" s="232">
        <f t="shared" si="23"/>
        <v>0</v>
      </c>
      <c r="DH8" s="232">
        <f t="shared" si="24"/>
        <v>0</v>
      </c>
      <c r="DI8" s="232" t="e">
        <f t="shared" si="25"/>
        <v>#DIV/0!</v>
      </c>
      <c r="DJ8" s="232" t="e">
        <f t="shared" si="26"/>
        <v>#DIV/0!</v>
      </c>
      <c r="DK8" s="232" t="e">
        <f t="shared" si="27"/>
        <v>#DIV/0!</v>
      </c>
      <c r="DL8" s="232" t="e">
        <f t="shared" ref="DL8:DL33" si="34">+P8/O8</f>
        <v>#DIV/0!</v>
      </c>
      <c r="DM8" s="232" t="e">
        <f t="shared" si="28"/>
        <v>#DIV/0!</v>
      </c>
      <c r="DN8" s="232">
        <f t="shared" si="29"/>
        <v>0</v>
      </c>
      <c r="DO8" s="232" t="e">
        <f t="shared" si="30"/>
        <v>#DIV/0!</v>
      </c>
      <c r="DP8" s="232">
        <f t="shared" ref="DP8:DP69" si="35">AW8+AO8+AU8</f>
        <v>0</v>
      </c>
      <c r="DQ8" s="232">
        <f t="shared" ref="DQ8:DQ69" si="36">AQ8+AO8</f>
        <v>0</v>
      </c>
      <c r="DR8" s="232" t="e">
        <f t="shared" ref="DR8:DR69" si="37">DP8/Y8*100</f>
        <v>#DIV/0!</v>
      </c>
      <c r="DS8" s="232" t="e">
        <f t="shared" ref="DS8:DS69" si="38">DQ8/Y8*100</f>
        <v>#DIV/0!</v>
      </c>
      <c r="DT8" s="232" t="e">
        <f t="shared" ref="DT8:DT69" si="39">AF8/O8</f>
        <v>#DIV/0!</v>
      </c>
      <c r="DU8" s="232" t="e">
        <f t="shared" ref="DU8:DU69" si="40">(AF8-AH8)/O8</f>
        <v>#DIV/0!</v>
      </c>
      <c r="DV8" s="232" t="e">
        <f t="shared" ref="DV8:DV69" si="41">O8/(AF8-AH8)</f>
        <v>#DIV/0!</v>
      </c>
    </row>
    <row r="9" spans="1:126" ht="13">
      <c r="A9" s="115">
        <f t="shared" si="31"/>
        <v>0</v>
      </c>
      <c r="B9" s="115">
        <f t="shared" si="32"/>
        <v>0</v>
      </c>
      <c r="C9" s="114">
        <f t="shared" ref="C9:C35" si="42">+C8+1</f>
        <v>73</v>
      </c>
      <c r="D9" s="236"/>
      <c r="E9" s="236"/>
      <c r="F9" s="236"/>
      <c r="G9" s="236"/>
      <c r="H9" s="236"/>
      <c r="I9" s="236"/>
      <c r="J9" s="236"/>
      <c r="K9" s="236"/>
      <c r="L9" s="236"/>
      <c r="M9" s="236"/>
      <c r="N9" s="236"/>
      <c r="O9" s="236"/>
      <c r="P9" s="236"/>
      <c r="Q9" s="236"/>
      <c r="R9" s="236"/>
      <c r="S9" s="236"/>
      <c r="T9" s="236"/>
      <c r="U9" s="236"/>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6"/>
      <c r="AU9" s="236"/>
      <c r="AV9" s="236"/>
      <c r="AW9" s="236"/>
      <c r="AX9" s="236"/>
      <c r="AY9" s="236"/>
      <c r="AZ9" s="236"/>
      <c r="BA9" s="236"/>
      <c r="BB9" s="236"/>
      <c r="BC9" s="236"/>
      <c r="BD9" s="236"/>
      <c r="BE9" s="236"/>
      <c r="BF9" s="236"/>
      <c r="BG9" s="236"/>
      <c r="BH9" s="236"/>
      <c r="BI9" s="236"/>
      <c r="BJ9" s="236"/>
      <c r="BK9" s="236"/>
      <c r="BL9" s="236"/>
      <c r="BM9" s="236"/>
      <c r="BN9" s="236"/>
      <c r="BO9" s="236"/>
      <c r="BP9" s="236"/>
      <c r="BQ9" s="236"/>
      <c r="BR9" s="236"/>
      <c r="BS9" s="236"/>
      <c r="BT9" s="236"/>
      <c r="BU9" s="236"/>
      <c r="BV9" s="236"/>
      <c r="BW9" s="236"/>
      <c r="BX9" s="236"/>
      <c r="BY9" s="236"/>
      <c r="BZ9" s="238"/>
      <c r="CA9" s="236"/>
      <c r="CB9" s="236"/>
      <c r="CC9" s="236"/>
      <c r="CD9" s="238"/>
      <c r="CE9" s="238"/>
      <c r="CF9" s="238"/>
      <c r="CG9" s="238"/>
      <c r="CH9" s="238"/>
      <c r="CI9" s="230">
        <f t="shared" si="0"/>
        <v>0</v>
      </c>
      <c r="CJ9" s="232" t="e">
        <f t="shared" si="1"/>
        <v>#DIV/0!</v>
      </c>
      <c r="CK9" s="232" t="e">
        <f t="shared" si="2"/>
        <v>#DIV/0!</v>
      </c>
      <c r="CL9" s="232" t="e">
        <f t="shared" si="3"/>
        <v>#DIV/0!</v>
      </c>
      <c r="CM9" s="232" t="e">
        <f t="shared" si="4"/>
        <v>#DIV/0!</v>
      </c>
      <c r="CN9" s="232" t="e">
        <f t="shared" si="5"/>
        <v>#DIV/0!</v>
      </c>
      <c r="CO9" s="232" t="e">
        <f t="shared" si="6"/>
        <v>#DIV/0!</v>
      </c>
      <c r="CP9" s="232">
        <f t="shared" si="7"/>
        <v>0</v>
      </c>
      <c r="CQ9" s="232" t="e">
        <f t="shared" si="8"/>
        <v>#DIV/0!</v>
      </c>
      <c r="CR9" s="232" t="e">
        <f t="shared" si="9"/>
        <v>#DIV/0!</v>
      </c>
      <c r="CS9" s="232" t="e">
        <f t="shared" si="10"/>
        <v>#DIV/0!</v>
      </c>
      <c r="CT9" s="232" t="e">
        <f t="shared" si="11"/>
        <v>#DIV/0!</v>
      </c>
      <c r="CU9" s="232" t="e">
        <f t="shared" si="12"/>
        <v>#DIV/0!</v>
      </c>
      <c r="CV9" s="232" t="e">
        <f t="shared" si="13"/>
        <v>#DIV/0!</v>
      </c>
      <c r="CW9" s="232" t="e">
        <f t="shared" si="14"/>
        <v>#DIV/0!</v>
      </c>
      <c r="CX9" s="232" t="e">
        <f t="shared" si="15"/>
        <v>#DIV/0!</v>
      </c>
      <c r="CY9" s="232" t="e">
        <f t="shared" si="16"/>
        <v>#DIV/0!</v>
      </c>
      <c r="CZ9" s="232">
        <f t="shared" si="33"/>
        <v>0</v>
      </c>
      <c r="DA9" s="232" t="e">
        <f t="shared" si="17"/>
        <v>#DIV/0!</v>
      </c>
      <c r="DB9" s="232" t="e">
        <f t="shared" si="18"/>
        <v>#DIV/0!</v>
      </c>
      <c r="DC9" s="232" t="e">
        <f t="shared" si="19"/>
        <v>#DIV/0!</v>
      </c>
      <c r="DD9" s="232" t="e">
        <f t="shared" si="20"/>
        <v>#DIV/0!</v>
      </c>
      <c r="DE9" s="232" t="e">
        <f t="shared" si="21"/>
        <v>#DIV/0!</v>
      </c>
      <c r="DF9" s="232">
        <f t="shared" si="22"/>
        <v>0</v>
      </c>
      <c r="DG9" s="232">
        <f t="shared" si="23"/>
        <v>0</v>
      </c>
      <c r="DH9" s="232">
        <f t="shared" si="24"/>
        <v>0</v>
      </c>
      <c r="DI9" s="232" t="e">
        <f t="shared" si="25"/>
        <v>#DIV/0!</v>
      </c>
      <c r="DJ9" s="232" t="e">
        <f t="shared" si="26"/>
        <v>#DIV/0!</v>
      </c>
      <c r="DK9" s="232" t="e">
        <f t="shared" si="27"/>
        <v>#DIV/0!</v>
      </c>
      <c r="DL9" s="232" t="e">
        <f t="shared" si="34"/>
        <v>#DIV/0!</v>
      </c>
      <c r="DM9" s="232" t="e">
        <f t="shared" si="28"/>
        <v>#DIV/0!</v>
      </c>
      <c r="DN9" s="232">
        <f t="shared" si="29"/>
        <v>0</v>
      </c>
      <c r="DO9" s="232" t="e">
        <f t="shared" si="30"/>
        <v>#DIV/0!</v>
      </c>
      <c r="DP9" s="232">
        <f t="shared" si="35"/>
        <v>0</v>
      </c>
      <c r="DQ9" s="232">
        <f t="shared" si="36"/>
        <v>0</v>
      </c>
      <c r="DR9" s="232" t="e">
        <f t="shared" si="37"/>
        <v>#DIV/0!</v>
      </c>
      <c r="DS9" s="232" t="e">
        <f t="shared" si="38"/>
        <v>#DIV/0!</v>
      </c>
      <c r="DT9" s="232" t="e">
        <f t="shared" si="39"/>
        <v>#DIV/0!</v>
      </c>
      <c r="DU9" s="232" t="e">
        <f t="shared" si="40"/>
        <v>#DIV/0!</v>
      </c>
      <c r="DV9" s="232" t="e">
        <f t="shared" si="41"/>
        <v>#DIV/0!</v>
      </c>
    </row>
    <row r="10" spans="1:126" ht="13">
      <c r="A10" s="115">
        <f t="shared" si="31"/>
        <v>0</v>
      </c>
      <c r="B10" s="115">
        <f t="shared" si="32"/>
        <v>0</v>
      </c>
      <c r="C10" s="114">
        <f t="shared" si="42"/>
        <v>74</v>
      </c>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6"/>
      <c r="AY10" s="236"/>
      <c r="AZ10" s="236"/>
      <c r="BA10" s="236"/>
      <c r="BB10" s="236"/>
      <c r="BC10" s="236"/>
      <c r="BD10" s="236"/>
      <c r="BE10" s="236"/>
      <c r="BF10" s="236"/>
      <c r="BG10" s="236"/>
      <c r="BH10" s="236"/>
      <c r="BI10" s="236"/>
      <c r="BJ10" s="236"/>
      <c r="BK10" s="236"/>
      <c r="BL10" s="236"/>
      <c r="BM10" s="236"/>
      <c r="BN10" s="236"/>
      <c r="BO10" s="236"/>
      <c r="BP10" s="236"/>
      <c r="BQ10" s="236"/>
      <c r="BR10" s="236"/>
      <c r="BS10" s="236"/>
      <c r="BT10" s="236"/>
      <c r="BU10" s="236"/>
      <c r="BV10" s="236"/>
      <c r="BW10" s="236"/>
      <c r="BX10" s="236"/>
      <c r="BY10" s="236"/>
      <c r="BZ10" s="238"/>
      <c r="CA10" s="236"/>
      <c r="CB10" s="236"/>
      <c r="CC10" s="236"/>
      <c r="CD10" s="238"/>
      <c r="CE10" s="238"/>
      <c r="CF10" s="238"/>
      <c r="CG10" s="238"/>
      <c r="CH10" s="238"/>
      <c r="CI10" s="230">
        <f t="shared" si="0"/>
        <v>0</v>
      </c>
      <c r="CJ10" s="232" t="e">
        <f t="shared" si="1"/>
        <v>#DIV/0!</v>
      </c>
      <c r="CK10" s="232" t="e">
        <f t="shared" si="2"/>
        <v>#DIV/0!</v>
      </c>
      <c r="CL10" s="232" t="e">
        <f t="shared" si="3"/>
        <v>#DIV/0!</v>
      </c>
      <c r="CM10" s="232" t="e">
        <f t="shared" si="4"/>
        <v>#DIV/0!</v>
      </c>
      <c r="CN10" s="232" t="e">
        <f t="shared" si="5"/>
        <v>#DIV/0!</v>
      </c>
      <c r="CO10" s="232" t="e">
        <f t="shared" si="6"/>
        <v>#DIV/0!</v>
      </c>
      <c r="CP10" s="232">
        <f t="shared" si="7"/>
        <v>0</v>
      </c>
      <c r="CQ10" s="232" t="e">
        <f t="shared" si="8"/>
        <v>#DIV/0!</v>
      </c>
      <c r="CR10" s="232" t="e">
        <f t="shared" si="9"/>
        <v>#DIV/0!</v>
      </c>
      <c r="CS10" s="232" t="e">
        <f t="shared" si="10"/>
        <v>#DIV/0!</v>
      </c>
      <c r="CT10" s="232" t="e">
        <f t="shared" si="11"/>
        <v>#DIV/0!</v>
      </c>
      <c r="CU10" s="232" t="e">
        <f t="shared" si="12"/>
        <v>#DIV/0!</v>
      </c>
      <c r="CV10" s="232" t="e">
        <f t="shared" si="13"/>
        <v>#DIV/0!</v>
      </c>
      <c r="CW10" s="232" t="e">
        <f t="shared" si="14"/>
        <v>#DIV/0!</v>
      </c>
      <c r="CX10" s="232" t="e">
        <f t="shared" si="15"/>
        <v>#DIV/0!</v>
      </c>
      <c r="CY10" s="232" t="e">
        <f t="shared" si="16"/>
        <v>#DIV/0!</v>
      </c>
      <c r="CZ10" s="232">
        <f t="shared" si="33"/>
        <v>0</v>
      </c>
      <c r="DA10" s="232" t="e">
        <f t="shared" si="17"/>
        <v>#DIV/0!</v>
      </c>
      <c r="DB10" s="232" t="e">
        <f t="shared" si="18"/>
        <v>#DIV/0!</v>
      </c>
      <c r="DC10" s="232" t="e">
        <f t="shared" si="19"/>
        <v>#DIV/0!</v>
      </c>
      <c r="DD10" s="232" t="e">
        <f t="shared" si="20"/>
        <v>#DIV/0!</v>
      </c>
      <c r="DE10" s="232" t="e">
        <f t="shared" si="21"/>
        <v>#DIV/0!</v>
      </c>
      <c r="DF10" s="232">
        <f t="shared" si="22"/>
        <v>0</v>
      </c>
      <c r="DG10" s="232">
        <f t="shared" si="23"/>
        <v>0</v>
      </c>
      <c r="DH10" s="232">
        <f t="shared" si="24"/>
        <v>0</v>
      </c>
      <c r="DI10" s="232" t="e">
        <f t="shared" si="25"/>
        <v>#DIV/0!</v>
      </c>
      <c r="DJ10" s="232" t="e">
        <f t="shared" si="26"/>
        <v>#DIV/0!</v>
      </c>
      <c r="DK10" s="232" t="e">
        <f t="shared" si="27"/>
        <v>#DIV/0!</v>
      </c>
      <c r="DL10" s="232" t="e">
        <f t="shared" si="34"/>
        <v>#DIV/0!</v>
      </c>
      <c r="DM10" s="232" t="e">
        <f t="shared" si="28"/>
        <v>#DIV/0!</v>
      </c>
      <c r="DN10" s="232">
        <f t="shared" si="29"/>
        <v>0</v>
      </c>
      <c r="DO10" s="232" t="e">
        <f t="shared" si="30"/>
        <v>#DIV/0!</v>
      </c>
      <c r="DP10" s="232">
        <f t="shared" si="35"/>
        <v>0</v>
      </c>
      <c r="DQ10" s="232">
        <f t="shared" si="36"/>
        <v>0</v>
      </c>
      <c r="DR10" s="232" t="e">
        <f t="shared" si="37"/>
        <v>#DIV/0!</v>
      </c>
      <c r="DS10" s="232" t="e">
        <f t="shared" si="38"/>
        <v>#DIV/0!</v>
      </c>
      <c r="DT10" s="232" t="e">
        <f t="shared" si="39"/>
        <v>#DIV/0!</v>
      </c>
      <c r="DU10" s="232" t="e">
        <f t="shared" si="40"/>
        <v>#DIV/0!</v>
      </c>
      <c r="DV10" s="232" t="e">
        <f t="shared" si="41"/>
        <v>#DIV/0!</v>
      </c>
    </row>
    <row r="11" spans="1:126" ht="13">
      <c r="A11" s="115">
        <f t="shared" si="31"/>
        <v>0</v>
      </c>
      <c r="B11" s="115">
        <f t="shared" si="32"/>
        <v>0</v>
      </c>
      <c r="C11" s="114">
        <f t="shared" si="42"/>
        <v>75</v>
      </c>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6"/>
      <c r="AP11" s="236"/>
      <c r="AQ11" s="236"/>
      <c r="AR11" s="236"/>
      <c r="AS11" s="236"/>
      <c r="AT11" s="236"/>
      <c r="AU11" s="236"/>
      <c r="AV11" s="236"/>
      <c r="AW11" s="236"/>
      <c r="AX11" s="236"/>
      <c r="AY11" s="236"/>
      <c r="AZ11" s="236"/>
      <c r="BA11" s="236"/>
      <c r="BB11" s="236"/>
      <c r="BC11" s="236"/>
      <c r="BD11" s="236"/>
      <c r="BE11" s="236"/>
      <c r="BF11" s="236"/>
      <c r="BG11" s="236"/>
      <c r="BH11" s="236"/>
      <c r="BI11" s="236"/>
      <c r="BJ11" s="236"/>
      <c r="BK11" s="236"/>
      <c r="BL11" s="236"/>
      <c r="BM11" s="236"/>
      <c r="BN11" s="236"/>
      <c r="BO11" s="236"/>
      <c r="BP11" s="236"/>
      <c r="BQ11" s="236"/>
      <c r="BR11" s="236"/>
      <c r="BS11" s="236"/>
      <c r="BT11" s="236"/>
      <c r="BU11" s="236"/>
      <c r="BV11" s="236"/>
      <c r="BW11" s="236"/>
      <c r="BX11" s="236"/>
      <c r="BY11" s="236"/>
      <c r="BZ11" s="238"/>
      <c r="CA11" s="236"/>
      <c r="CB11" s="236"/>
      <c r="CC11" s="236"/>
      <c r="CD11" s="238"/>
      <c r="CE11" s="238"/>
      <c r="CF11" s="238"/>
      <c r="CG11" s="238"/>
      <c r="CH11" s="238"/>
      <c r="CI11" s="230">
        <f t="shared" si="0"/>
        <v>0</v>
      </c>
      <c r="CJ11" s="232" t="e">
        <f t="shared" si="1"/>
        <v>#DIV/0!</v>
      </c>
      <c r="CK11" s="232" t="e">
        <f t="shared" si="2"/>
        <v>#DIV/0!</v>
      </c>
      <c r="CL11" s="232" t="e">
        <f t="shared" si="3"/>
        <v>#DIV/0!</v>
      </c>
      <c r="CM11" s="232" t="e">
        <f t="shared" si="4"/>
        <v>#DIV/0!</v>
      </c>
      <c r="CN11" s="232" t="e">
        <f t="shared" si="5"/>
        <v>#DIV/0!</v>
      </c>
      <c r="CO11" s="232" t="e">
        <f t="shared" si="6"/>
        <v>#DIV/0!</v>
      </c>
      <c r="CP11" s="232">
        <f t="shared" si="7"/>
        <v>0</v>
      </c>
      <c r="CQ11" s="232" t="e">
        <f t="shared" si="8"/>
        <v>#DIV/0!</v>
      </c>
      <c r="CR11" s="232" t="e">
        <f t="shared" si="9"/>
        <v>#DIV/0!</v>
      </c>
      <c r="CS11" s="232" t="e">
        <f t="shared" si="10"/>
        <v>#DIV/0!</v>
      </c>
      <c r="CT11" s="232" t="e">
        <f t="shared" si="11"/>
        <v>#DIV/0!</v>
      </c>
      <c r="CU11" s="232" t="e">
        <f t="shared" si="12"/>
        <v>#DIV/0!</v>
      </c>
      <c r="CV11" s="232" t="e">
        <f t="shared" si="13"/>
        <v>#DIV/0!</v>
      </c>
      <c r="CW11" s="232" t="e">
        <f t="shared" si="14"/>
        <v>#DIV/0!</v>
      </c>
      <c r="CX11" s="232" t="e">
        <f t="shared" si="15"/>
        <v>#DIV/0!</v>
      </c>
      <c r="CY11" s="232" t="e">
        <f t="shared" si="16"/>
        <v>#DIV/0!</v>
      </c>
      <c r="CZ11" s="232">
        <f t="shared" si="33"/>
        <v>0</v>
      </c>
      <c r="DA11" s="232" t="e">
        <f t="shared" si="17"/>
        <v>#DIV/0!</v>
      </c>
      <c r="DB11" s="232" t="e">
        <f t="shared" si="18"/>
        <v>#DIV/0!</v>
      </c>
      <c r="DC11" s="232" t="e">
        <f t="shared" si="19"/>
        <v>#DIV/0!</v>
      </c>
      <c r="DD11" s="232" t="e">
        <f t="shared" si="20"/>
        <v>#DIV/0!</v>
      </c>
      <c r="DE11" s="232" t="e">
        <f t="shared" si="21"/>
        <v>#DIV/0!</v>
      </c>
      <c r="DF11" s="232">
        <f t="shared" si="22"/>
        <v>0</v>
      </c>
      <c r="DG11" s="232">
        <f t="shared" si="23"/>
        <v>0</v>
      </c>
      <c r="DH11" s="232">
        <f t="shared" si="24"/>
        <v>0</v>
      </c>
      <c r="DI11" s="232" t="e">
        <f t="shared" si="25"/>
        <v>#DIV/0!</v>
      </c>
      <c r="DJ11" s="232" t="e">
        <f t="shared" si="26"/>
        <v>#DIV/0!</v>
      </c>
      <c r="DK11" s="232" t="e">
        <f t="shared" si="27"/>
        <v>#DIV/0!</v>
      </c>
      <c r="DL11" s="232" t="e">
        <f t="shared" si="34"/>
        <v>#DIV/0!</v>
      </c>
      <c r="DM11" s="232" t="e">
        <f t="shared" si="28"/>
        <v>#DIV/0!</v>
      </c>
      <c r="DN11" s="232">
        <f t="shared" si="29"/>
        <v>0</v>
      </c>
      <c r="DO11" s="232" t="e">
        <f t="shared" si="30"/>
        <v>#DIV/0!</v>
      </c>
      <c r="DP11" s="232">
        <f t="shared" si="35"/>
        <v>0</v>
      </c>
      <c r="DQ11" s="232">
        <f t="shared" si="36"/>
        <v>0</v>
      </c>
      <c r="DR11" s="232" t="e">
        <f t="shared" si="37"/>
        <v>#DIV/0!</v>
      </c>
      <c r="DS11" s="232" t="e">
        <f t="shared" si="38"/>
        <v>#DIV/0!</v>
      </c>
      <c r="DT11" s="232" t="e">
        <f t="shared" si="39"/>
        <v>#DIV/0!</v>
      </c>
      <c r="DU11" s="232" t="e">
        <f t="shared" si="40"/>
        <v>#DIV/0!</v>
      </c>
      <c r="DV11" s="232" t="e">
        <f t="shared" si="41"/>
        <v>#DIV/0!</v>
      </c>
    </row>
    <row r="12" spans="1:126" ht="13">
      <c r="A12" s="115">
        <f t="shared" si="31"/>
        <v>0</v>
      </c>
      <c r="B12" s="115">
        <f t="shared" si="32"/>
        <v>0</v>
      </c>
      <c r="C12" s="114">
        <f t="shared" si="42"/>
        <v>76</v>
      </c>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6"/>
      <c r="AQ12" s="236"/>
      <c r="AR12" s="236"/>
      <c r="AS12" s="236"/>
      <c r="AT12" s="236"/>
      <c r="AU12" s="236"/>
      <c r="AV12" s="236"/>
      <c r="AW12" s="236"/>
      <c r="AX12" s="236"/>
      <c r="AY12" s="236"/>
      <c r="AZ12" s="236"/>
      <c r="BA12" s="236"/>
      <c r="BB12" s="236"/>
      <c r="BC12" s="236"/>
      <c r="BD12" s="236"/>
      <c r="BE12" s="236"/>
      <c r="BF12" s="236"/>
      <c r="BG12" s="236"/>
      <c r="BH12" s="236"/>
      <c r="BI12" s="236"/>
      <c r="BJ12" s="236"/>
      <c r="BK12" s="236"/>
      <c r="BL12" s="236"/>
      <c r="BM12" s="236"/>
      <c r="BN12" s="236"/>
      <c r="BO12" s="236"/>
      <c r="BP12" s="236"/>
      <c r="BQ12" s="236"/>
      <c r="BR12" s="236"/>
      <c r="BS12" s="236"/>
      <c r="BT12" s="236"/>
      <c r="BU12" s="236"/>
      <c r="BV12" s="236"/>
      <c r="BW12" s="236"/>
      <c r="BX12" s="236"/>
      <c r="BY12" s="236"/>
      <c r="BZ12" s="238"/>
      <c r="CA12" s="236"/>
      <c r="CB12" s="236"/>
      <c r="CC12" s="236"/>
      <c r="CD12" s="238"/>
      <c r="CE12" s="238"/>
      <c r="CF12" s="238"/>
      <c r="CG12" s="238"/>
      <c r="CH12" s="238"/>
      <c r="CI12" s="230">
        <f t="shared" si="0"/>
        <v>0</v>
      </c>
      <c r="CJ12" s="232" t="e">
        <f t="shared" si="1"/>
        <v>#DIV/0!</v>
      </c>
      <c r="CK12" s="232" t="e">
        <f t="shared" si="2"/>
        <v>#DIV/0!</v>
      </c>
      <c r="CL12" s="232" t="e">
        <f t="shared" si="3"/>
        <v>#DIV/0!</v>
      </c>
      <c r="CM12" s="232" t="e">
        <f t="shared" si="4"/>
        <v>#DIV/0!</v>
      </c>
      <c r="CN12" s="232" t="e">
        <f t="shared" si="5"/>
        <v>#DIV/0!</v>
      </c>
      <c r="CO12" s="232" t="e">
        <f t="shared" si="6"/>
        <v>#DIV/0!</v>
      </c>
      <c r="CP12" s="232">
        <f t="shared" si="7"/>
        <v>0</v>
      </c>
      <c r="CQ12" s="232" t="e">
        <f t="shared" si="8"/>
        <v>#DIV/0!</v>
      </c>
      <c r="CR12" s="232" t="e">
        <f t="shared" si="9"/>
        <v>#DIV/0!</v>
      </c>
      <c r="CS12" s="232" t="e">
        <f t="shared" si="10"/>
        <v>#DIV/0!</v>
      </c>
      <c r="CT12" s="232" t="e">
        <f t="shared" si="11"/>
        <v>#DIV/0!</v>
      </c>
      <c r="CU12" s="232" t="e">
        <f t="shared" si="12"/>
        <v>#DIV/0!</v>
      </c>
      <c r="CV12" s="232" t="e">
        <f t="shared" si="13"/>
        <v>#DIV/0!</v>
      </c>
      <c r="CW12" s="232" t="e">
        <f t="shared" si="14"/>
        <v>#DIV/0!</v>
      </c>
      <c r="CX12" s="232" t="e">
        <f t="shared" si="15"/>
        <v>#DIV/0!</v>
      </c>
      <c r="CY12" s="232" t="e">
        <f t="shared" si="16"/>
        <v>#DIV/0!</v>
      </c>
      <c r="CZ12" s="232">
        <f t="shared" si="33"/>
        <v>0</v>
      </c>
      <c r="DA12" s="232" t="e">
        <f t="shared" si="17"/>
        <v>#DIV/0!</v>
      </c>
      <c r="DB12" s="232" t="e">
        <f t="shared" si="18"/>
        <v>#DIV/0!</v>
      </c>
      <c r="DC12" s="232" t="e">
        <f t="shared" si="19"/>
        <v>#DIV/0!</v>
      </c>
      <c r="DD12" s="232" t="e">
        <f t="shared" si="20"/>
        <v>#DIV/0!</v>
      </c>
      <c r="DE12" s="232" t="e">
        <f t="shared" si="21"/>
        <v>#DIV/0!</v>
      </c>
      <c r="DF12" s="232">
        <f t="shared" si="22"/>
        <v>0</v>
      </c>
      <c r="DG12" s="232">
        <f t="shared" si="23"/>
        <v>0</v>
      </c>
      <c r="DH12" s="232">
        <f t="shared" si="24"/>
        <v>0</v>
      </c>
      <c r="DI12" s="232" t="e">
        <f t="shared" si="25"/>
        <v>#DIV/0!</v>
      </c>
      <c r="DJ12" s="232" t="e">
        <f t="shared" si="26"/>
        <v>#DIV/0!</v>
      </c>
      <c r="DK12" s="232" t="e">
        <f t="shared" si="27"/>
        <v>#DIV/0!</v>
      </c>
      <c r="DL12" s="232" t="e">
        <f t="shared" si="34"/>
        <v>#DIV/0!</v>
      </c>
      <c r="DM12" s="232" t="e">
        <f t="shared" si="28"/>
        <v>#DIV/0!</v>
      </c>
      <c r="DN12" s="232">
        <f t="shared" si="29"/>
        <v>0</v>
      </c>
      <c r="DO12" s="232" t="e">
        <f t="shared" si="30"/>
        <v>#DIV/0!</v>
      </c>
      <c r="DP12" s="232">
        <f t="shared" si="35"/>
        <v>0</v>
      </c>
      <c r="DQ12" s="232">
        <f t="shared" si="36"/>
        <v>0</v>
      </c>
      <c r="DR12" s="232" t="e">
        <f t="shared" si="37"/>
        <v>#DIV/0!</v>
      </c>
      <c r="DS12" s="232" t="e">
        <f t="shared" si="38"/>
        <v>#DIV/0!</v>
      </c>
      <c r="DT12" s="232" t="e">
        <f t="shared" si="39"/>
        <v>#DIV/0!</v>
      </c>
      <c r="DU12" s="232" t="e">
        <f t="shared" si="40"/>
        <v>#DIV/0!</v>
      </c>
      <c r="DV12" s="232" t="e">
        <f t="shared" si="41"/>
        <v>#DIV/0!</v>
      </c>
    </row>
    <row r="13" spans="1:126" ht="13">
      <c r="A13" s="115">
        <f t="shared" si="31"/>
        <v>0</v>
      </c>
      <c r="B13" s="115">
        <f t="shared" si="32"/>
        <v>0</v>
      </c>
      <c r="C13" s="114">
        <f t="shared" si="42"/>
        <v>77</v>
      </c>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236"/>
      <c r="AT13" s="236"/>
      <c r="AU13" s="236"/>
      <c r="AV13" s="236"/>
      <c r="AW13" s="236"/>
      <c r="AX13" s="236"/>
      <c r="AY13" s="236"/>
      <c r="AZ13" s="236"/>
      <c r="BA13" s="236"/>
      <c r="BB13" s="236"/>
      <c r="BC13" s="236"/>
      <c r="BD13" s="236"/>
      <c r="BE13" s="236"/>
      <c r="BF13" s="236"/>
      <c r="BG13" s="236"/>
      <c r="BH13" s="236"/>
      <c r="BI13" s="236"/>
      <c r="BJ13" s="236"/>
      <c r="BK13" s="236"/>
      <c r="BL13" s="236"/>
      <c r="BM13" s="236"/>
      <c r="BN13" s="236"/>
      <c r="BO13" s="236"/>
      <c r="BP13" s="236"/>
      <c r="BQ13" s="236"/>
      <c r="BR13" s="236"/>
      <c r="BS13" s="236"/>
      <c r="BT13" s="236"/>
      <c r="BU13" s="236"/>
      <c r="BV13" s="236"/>
      <c r="BW13" s="236"/>
      <c r="BX13" s="236"/>
      <c r="BY13" s="236"/>
      <c r="BZ13" s="238"/>
      <c r="CA13" s="236"/>
      <c r="CB13" s="236"/>
      <c r="CC13" s="236"/>
      <c r="CD13" s="238"/>
      <c r="CE13" s="238"/>
      <c r="CF13" s="238"/>
      <c r="CG13" s="238"/>
      <c r="CH13" s="238"/>
      <c r="CI13" s="230">
        <f t="shared" si="0"/>
        <v>0</v>
      </c>
      <c r="CJ13" s="232" t="e">
        <f t="shared" si="1"/>
        <v>#DIV/0!</v>
      </c>
      <c r="CK13" s="232" t="e">
        <f t="shared" si="2"/>
        <v>#DIV/0!</v>
      </c>
      <c r="CL13" s="232" t="e">
        <f t="shared" si="3"/>
        <v>#DIV/0!</v>
      </c>
      <c r="CM13" s="232" t="e">
        <f t="shared" si="4"/>
        <v>#DIV/0!</v>
      </c>
      <c r="CN13" s="232" t="e">
        <f t="shared" si="5"/>
        <v>#DIV/0!</v>
      </c>
      <c r="CO13" s="232" t="e">
        <f t="shared" si="6"/>
        <v>#DIV/0!</v>
      </c>
      <c r="CP13" s="232">
        <f t="shared" si="7"/>
        <v>0</v>
      </c>
      <c r="CQ13" s="232" t="e">
        <f t="shared" si="8"/>
        <v>#DIV/0!</v>
      </c>
      <c r="CR13" s="232" t="e">
        <f t="shared" si="9"/>
        <v>#DIV/0!</v>
      </c>
      <c r="CS13" s="232" t="e">
        <f t="shared" si="10"/>
        <v>#DIV/0!</v>
      </c>
      <c r="CT13" s="232" t="e">
        <f t="shared" si="11"/>
        <v>#DIV/0!</v>
      </c>
      <c r="CU13" s="232" t="e">
        <f t="shared" si="12"/>
        <v>#DIV/0!</v>
      </c>
      <c r="CV13" s="232" t="e">
        <f t="shared" si="13"/>
        <v>#DIV/0!</v>
      </c>
      <c r="CW13" s="232" t="e">
        <f t="shared" si="14"/>
        <v>#DIV/0!</v>
      </c>
      <c r="CX13" s="232" t="e">
        <f t="shared" si="15"/>
        <v>#DIV/0!</v>
      </c>
      <c r="CY13" s="232" t="e">
        <f t="shared" si="16"/>
        <v>#DIV/0!</v>
      </c>
      <c r="CZ13" s="232">
        <f t="shared" si="33"/>
        <v>0</v>
      </c>
      <c r="DA13" s="232" t="e">
        <f t="shared" si="17"/>
        <v>#DIV/0!</v>
      </c>
      <c r="DB13" s="232" t="e">
        <f t="shared" si="18"/>
        <v>#DIV/0!</v>
      </c>
      <c r="DC13" s="232" t="e">
        <f t="shared" si="19"/>
        <v>#DIV/0!</v>
      </c>
      <c r="DD13" s="232" t="e">
        <f t="shared" si="20"/>
        <v>#DIV/0!</v>
      </c>
      <c r="DE13" s="232" t="e">
        <f t="shared" si="21"/>
        <v>#DIV/0!</v>
      </c>
      <c r="DF13" s="232">
        <f t="shared" si="22"/>
        <v>0</v>
      </c>
      <c r="DG13" s="232">
        <f t="shared" si="23"/>
        <v>0</v>
      </c>
      <c r="DH13" s="232">
        <f t="shared" si="24"/>
        <v>0</v>
      </c>
      <c r="DI13" s="232" t="e">
        <f t="shared" si="25"/>
        <v>#DIV/0!</v>
      </c>
      <c r="DJ13" s="232" t="e">
        <f t="shared" si="26"/>
        <v>#DIV/0!</v>
      </c>
      <c r="DK13" s="232" t="e">
        <f t="shared" si="27"/>
        <v>#DIV/0!</v>
      </c>
      <c r="DL13" s="232" t="e">
        <f t="shared" si="34"/>
        <v>#DIV/0!</v>
      </c>
      <c r="DM13" s="232" t="e">
        <f t="shared" si="28"/>
        <v>#DIV/0!</v>
      </c>
      <c r="DN13" s="232">
        <f t="shared" si="29"/>
        <v>0</v>
      </c>
      <c r="DO13" s="232" t="e">
        <f t="shared" si="30"/>
        <v>#DIV/0!</v>
      </c>
      <c r="DP13" s="232">
        <f t="shared" si="35"/>
        <v>0</v>
      </c>
      <c r="DQ13" s="232">
        <f t="shared" si="36"/>
        <v>0</v>
      </c>
      <c r="DR13" s="232" t="e">
        <f t="shared" si="37"/>
        <v>#DIV/0!</v>
      </c>
      <c r="DS13" s="232" t="e">
        <f t="shared" si="38"/>
        <v>#DIV/0!</v>
      </c>
      <c r="DT13" s="232" t="e">
        <f t="shared" si="39"/>
        <v>#DIV/0!</v>
      </c>
      <c r="DU13" s="232" t="e">
        <f t="shared" si="40"/>
        <v>#DIV/0!</v>
      </c>
      <c r="DV13" s="232" t="e">
        <f t="shared" si="41"/>
        <v>#DIV/0!</v>
      </c>
    </row>
    <row r="14" spans="1:126" ht="13">
      <c r="A14" s="115">
        <f t="shared" si="31"/>
        <v>0</v>
      </c>
      <c r="B14" s="115">
        <f t="shared" si="32"/>
        <v>0</v>
      </c>
      <c r="C14" s="114">
        <f t="shared" si="42"/>
        <v>78</v>
      </c>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c r="AR14" s="236"/>
      <c r="AS14" s="236"/>
      <c r="AT14" s="236"/>
      <c r="AU14" s="236"/>
      <c r="AV14" s="236"/>
      <c r="AW14" s="236"/>
      <c r="AX14" s="236"/>
      <c r="AY14" s="236"/>
      <c r="AZ14" s="236"/>
      <c r="BA14" s="236"/>
      <c r="BB14" s="236"/>
      <c r="BC14" s="236"/>
      <c r="BD14" s="236"/>
      <c r="BE14" s="236"/>
      <c r="BF14" s="236"/>
      <c r="BG14" s="236"/>
      <c r="BH14" s="236"/>
      <c r="BI14" s="236"/>
      <c r="BJ14" s="236"/>
      <c r="BK14" s="236"/>
      <c r="BL14" s="236"/>
      <c r="BM14" s="236"/>
      <c r="BN14" s="236"/>
      <c r="BO14" s="236"/>
      <c r="BP14" s="236"/>
      <c r="BQ14" s="236"/>
      <c r="BR14" s="236"/>
      <c r="BS14" s="236"/>
      <c r="BT14" s="236"/>
      <c r="BU14" s="236"/>
      <c r="BV14" s="236"/>
      <c r="BW14" s="236"/>
      <c r="BX14" s="236"/>
      <c r="BY14" s="236"/>
      <c r="BZ14" s="238"/>
      <c r="CA14" s="236"/>
      <c r="CB14" s="236"/>
      <c r="CC14" s="236"/>
      <c r="CD14" s="238"/>
      <c r="CE14" s="238"/>
      <c r="CF14" s="238"/>
      <c r="CG14" s="238"/>
      <c r="CH14" s="238"/>
      <c r="CI14" s="230">
        <f t="shared" si="0"/>
        <v>0</v>
      </c>
      <c r="CJ14" s="232" t="e">
        <f t="shared" si="1"/>
        <v>#DIV/0!</v>
      </c>
      <c r="CK14" s="232" t="e">
        <f t="shared" si="2"/>
        <v>#DIV/0!</v>
      </c>
      <c r="CL14" s="232" t="e">
        <f t="shared" si="3"/>
        <v>#DIV/0!</v>
      </c>
      <c r="CM14" s="232" t="e">
        <f t="shared" si="4"/>
        <v>#DIV/0!</v>
      </c>
      <c r="CN14" s="232" t="e">
        <f t="shared" si="5"/>
        <v>#DIV/0!</v>
      </c>
      <c r="CO14" s="232" t="e">
        <f t="shared" si="6"/>
        <v>#DIV/0!</v>
      </c>
      <c r="CP14" s="232">
        <f t="shared" si="7"/>
        <v>0</v>
      </c>
      <c r="CQ14" s="232" t="e">
        <f t="shared" si="8"/>
        <v>#DIV/0!</v>
      </c>
      <c r="CR14" s="232" t="e">
        <f t="shared" si="9"/>
        <v>#DIV/0!</v>
      </c>
      <c r="CS14" s="232" t="e">
        <f t="shared" si="10"/>
        <v>#DIV/0!</v>
      </c>
      <c r="CT14" s="232" t="e">
        <f t="shared" si="11"/>
        <v>#DIV/0!</v>
      </c>
      <c r="CU14" s="232" t="e">
        <f t="shared" si="12"/>
        <v>#DIV/0!</v>
      </c>
      <c r="CV14" s="232" t="e">
        <f t="shared" si="13"/>
        <v>#DIV/0!</v>
      </c>
      <c r="CW14" s="232" t="e">
        <f t="shared" si="14"/>
        <v>#DIV/0!</v>
      </c>
      <c r="CX14" s="232" t="e">
        <f t="shared" si="15"/>
        <v>#DIV/0!</v>
      </c>
      <c r="CY14" s="232" t="e">
        <f t="shared" si="16"/>
        <v>#DIV/0!</v>
      </c>
      <c r="CZ14" s="232">
        <f t="shared" si="33"/>
        <v>0</v>
      </c>
      <c r="DA14" s="232" t="e">
        <f t="shared" si="17"/>
        <v>#DIV/0!</v>
      </c>
      <c r="DB14" s="232" t="e">
        <f t="shared" si="18"/>
        <v>#DIV/0!</v>
      </c>
      <c r="DC14" s="232" t="e">
        <f t="shared" si="19"/>
        <v>#DIV/0!</v>
      </c>
      <c r="DD14" s="232" t="e">
        <f t="shared" si="20"/>
        <v>#DIV/0!</v>
      </c>
      <c r="DE14" s="232" t="e">
        <f t="shared" si="21"/>
        <v>#DIV/0!</v>
      </c>
      <c r="DF14" s="232">
        <f t="shared" si="22"/>
        <v>0</v>
      </c>
      <c r="DG14" s="232">
        <f t="shared" si="23"/>
        <v>0</v>
      </c>
      <c r="DH14" s="232">
        <f t="shared" si="24"/>
        <v>0</v>
      </c>
      <c r="DI14" s="232" t="e">
        <f t="shared" si="25"/>
        <v>#DIV/0!</v>
      </c>
      <c r="DJ14" s="232" t="e">
        <f t="shared" si="26"/>
        <v>#DIV/0!</v>
      </c>
      <c r="DK14" s="232" t="e">
        <f t="shared" si="27"/>
        <v>#DIV/0!</v>
      </c>
      <c r="DL14" s="232" t="e">
        <f t="shared" si="34"/>
        <v>#DIV/0!</v>
      </c>
      <c r="DM14" s="232" t="e">
        <f t="shared" si="28"/>
        <v>#DIV/0!</v>
      </c>
      <c r="DN14" s="232">
        <f t="shared" si="29"/>
        <v>0</v>
      </c>
      <c r="DO14" s="232" t="e">
        <f t="shared" si="30"/>
        <v>#DIV/0!</v>
      </c>
      <c r="DP14" s="232">
        <f t="shared" si="35"/>
        <v>0</v>
      </c>
      <c r="DQ14" s="232">
        <f t="shared" si="36"/>
        <v>0</v>
      </c>
      <c r="DR14" s="232" t="e">
        <f t="shared" si="37"/>
        <v>#DIV/0!</v>
      </c>
      <c r="DS14" s="232" t="e">
        <f t="shared" si="38"/>
        <v>#DIV/0!</v>
      </c>
      <c r="DT14" s="232" t="e">
        <f t="shared" si="39"/>
        <v>#DIV/0!</v>
      </c>
      <c r="DU14" s="232" t="e">
        <f t="shared" si="40"/>
        <v>#DIV/0!</v>
      </c>
      <c r="DV14" s="232" t="e">
        <f t="shared" si="41"/>
        <v>#DIV/0!</v>
      </c>
    </row>
    <row r="15" spans="1:126" ht="13">
      <c r="A15" s="115">
        <f t="shared" si="31"/>
        <v>0</v>
      </c>
      <c r="B15" s="115">
        <f t="shared" si="32"/>
        <v>0</v>
      </c>
      <c r="C15" s="114">
        <f t="shared" si="42"/>
        <v>79</v>
      </c>
      <c r="D15" s="236"/>
      <c r="E15" s="236"/>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6"/>
      <c r="AN15" s="236"/>
      <c r="AO15" s="236"/>
      <c r="AP15" s="236"/>
      <c r="AQ15" s="236"/>
      <c r="AR15" s="236"/>
      <c r="AS15" s="236"/>
      <c r="AT15" s="236"/>
      <c r="AU15" s="236"/>
      <c r="AV15" s="236"/>
      <c r="AW15" s="236"/>
      <c r="AX15" s="236"/>
      <c r="AY15" s="236"/>
      <c r="AZ15" s="236"/>
      <c r="BA15" s="236"/>
      <c r="BB15" s="236"/>
      <c r="BC15" s="236"/>
      <c r="BD15" s="236"/>
      <c r="BE15" s="236"/>
      <c r="BF15" s="236"/>
      <c r="BG15" s="236"/>
      <c r="BH15" s="236"/>
      <c r="BI15" s="236"/>
      <c r="BJ15" s="236"/>
      <c r="BK15" s="236"/>
      <c r="BL15" s="236"/>
      <c r="BM15" s="236"/>
      <c r="BN15" s="236"/>
      <c r="BO15" s="236"/>
      <c r="BP15" s="236"/>
      <c r="BQ15" s="236"/>
      <c r="BR15" s="236"/>
      <c r="BS15" s="236"/>
      <c r="BT15" s="236"/>
      <c r="BU15" s="236"/>
      <c r="BV15" s="236"/>
      <c r="BW15" s="236"/>
      <c r="BX15" s="236"/>
      <c r="BY15" s="236"/>
      <c r="BZ15" s="238"/>
      <c r="CA15" s="236"/>
      <c r="CB15" s="236"/>
      <c r="CC15" s="236"/>
      <c r="CD15" s="238"/>
      <c r="CE15" s="238"/>
      <c r="CF15" s="238"/>
      <c r="CG15" s="238"/>
      <c r="CH15" s="238"/>
      <c r="CI15" s="230">
        <f t="shared" si="0"/>
        <v>0</v>
      </c>
      <c r="CJ15" s="232" t="e">
        <f t="shared" si="1"/>
        <v>#DIV/0!</v>
      </c>
      <c r="CK15" s="232" t="e">
        <f t="shared" si="2"/>
        <v>#DIV/0!</v>
      </c>
      <c r="CL15" s="232" t="e">
        <f t="shared" si="3"/>
        <v>#DIV/0!</v>
      </c>
      <c r="CM15" s="232" t="e">
        <f t="shared" si="4"/>
        <v>#DIV/0!</v>
      </c>
      <c r="CN15" s="232" t="e">
        <f t="shared" si="5"/>
        <v>#DIV/0!</v>
      </c>
      <c r="CO15" s="232" t="e">
        <f t="shared" si="6"/>
        <v>#DIV/0!</v>
      </c>
      <c r="CP15" s="232">
        <f t="shared" si="7"/>
        <v>0</v>
      </c>
      <c r="CQ15" s="232" t="e">
        <f t="shared" si="8"/>
        <v>#DIV/0!</v>
      </c>
      <c r="CR15" s="232" t="e">
        <f t="shared" si="9"/>
        <v>#DIV/0!</v>
      </c>
      <c r="CS15" s="232" t="e">
        <f t="shared" si="10"/>
        <v>#DIV/0!</v>
      </c>
      <c r="CT15" s="232" t="e">
        <f t="shared" si="11"/>
        <v>#DIV/0!</v>
      </c>
      <c r="CU15" s="232" t="e">
        <f t="shared" si="12"/>
        <v>#DIV/0!</v>
      </c>
      <c r="CV15" s="232" t="e">
        <f t="shared" si="13"/>
        <v>#DIV/0!</v>
      </c>
      <c r="CW15" s="232" t="e">
        <f t="shared" si="14"/>
        <v>#DIV/0!</v>
      </c>
      <c r="CX15" s="232" t="e">
        <f t="shared" si="15"/>
        <v>#DIV/0!</v>
      </c>
      <c r="CY15" s="232" t="e">
        <f t="shared" si="16"/>
        <v>#DIV/0!</v>
      </c>
      <c r="CZ15" s="232">
        <f t="shared" si="33"/>
        <v>0</v>
      </c>
      <c r="DA15" s="232" t="e">
        <f t="shared" si="17"/>
        <v>#DIV/0!</v>
      </c>
      <c r="DB15" s="232" t="e">
        <f t="shared" si="18"/>
        <v>#DIV/0!</v>
      </c>
      <c r="DC15" s="232" t="e">
        <f t="shared" si="19"/>
        <v>#DIV/0!</v>
      </c>
      <c r="DD15" s="232" t="e">
        <f t="shared" si="20"/>
        <v>#DIV/0!</v>
      </c>
      <c r="DE15" s="232" t="e">
        <f t="shared" si="21"/>
        <v>#DIV/0!</v>
      </c>
      <c r="DF15" s="232">
        <f t="shared" si="22"/>
        <v>0</v>
      </c>
      <c r="DG15" s="232">
        <f t="shared" si="23"/>
        <v>0</v>
      </c>
      <c r="DH15" s="232">
        <f t="shared" si="24"/>
        <v>0</v>
      </c>
      <c r="DI15" s="232" t="e">
        <f t="shared" si="25"/>
        <v>#DIV/0!</v>
      </c>
      <c r="DJ15" s="232" t="e">
        <f t="shared" si="26"/>
        <v>#DIV/0!</v>
      </c>
      <c r="DK15" s="232" t="e">
        <f t="shared" si="27"/>
        <v>#DIV/0!</v>
      </c>
      <c r="DL15" s="232" t="e">
        <f t="shared" si="34"/>
        <v>#DIV/0!</v>
      </c>
      <c r="DM15" s="232" t="e">
        <f t="shared" si="28"/>
        <v>#DIV/0!</v>
      </c>
      <c r="DN15" s="232">
        <f t="shared" si="29"/>
        <v>0</v>
      </c>
      <c r="DO15" s="232" t="e">
        <f t="shared" si="30"/>
        <v>#DIV/0!</v>
      </c>
      <c r="DP15" s="232">
        <f t="shared" si="35"/>
        <v>0</v>
      </c>
      <c r="DQ15" s="232">
        <f t="shared" si="36"/>
        <v>0</v>
      </c>
      <c r="DR15" s="232" t="e">
        <f t="shared" si="37"/>
        <v>#DIV/0!</v>
      </c>
      <c r="DS15" s="232" t="e">
        <f t="shared" si="38"/>
        <v>#DIV/0!</v>
      </c>
      <c r="DT15" s="232" t="e">
        <f t="shared" si="39"/>
        <v>#DIV/0!</v>
      </c>
      <c r="DU15" s="232" t="e">
        <f t="shared" si="40"/>
        <v>#DIV/0!</v>
      </c>
      <c r="DV15" s="232" t="e">
        <f t="shared" si="41"/>
        <v>#DIV/0!</v>
      </c>
    </row>
    <row r="16" spans="1:126" ht="13">
      <c r="A16" s="115">
        <f t="shared" si="31"/>
        <v>0</v>
      </c>
      <c r="B16" s="115">
        <f t="shared" si="32"/>
        <v>0</v>
      </c>
      <c r="C16" s="114">
        <f t="shared" si="42"/>
        <v>80</v>
      </c>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6"/>
      <c r="AZ16" s="236"/>
      <c r="BA16" s="236"/>
      <c r="BB16" s="236"/>
      <c r="BC16" s="236"/>
      <c r="BD16" s="236"/>
      <c r="BE16" s="236"/>
      <c r="BF16" s="236"/>
      <c r="BG16" s="236"/>
      <c r="BH16" s="236"/>
      <c r="BI16" s="236"/>
      <c r="BJ16" s="236"/>
      <c r="BK16" s="236"/>
      <c r="BL16" s="236"/>
      <c r="BM16" s="236"/>
      <c r="BN16" s="236"/>
      <c r="BO16" s="236"/>
      <c r="BP16" s="236"/>
      <c r="BQ16" s="236"/>
      <c r="BR16" s="236"/>
      <c r="BS16" s="236"/>
      <c r="BT16" s="236"/>
      <c r="BU16" s="236"/>
      <c r="BV16" s="236"/>
      <c r="BW16" s="236"/>
      <c r="BX16" s="236"/>
      <c r="BY16" s="236"/>
      <c r="BZ16" s="238"/>
      <c r="CA16" s="236"/>
      <c r="CB16" s="236"/>
      <c r="CC16" s="236"/>
      <c r="CD16" s="238"/>
      <c r="CE16" s="238"/>
      <c r="CF16" s="238"/>
      <c r="CG16" s="238"/>
      <c r="CH16" s="238"/>
      <c r="CI16" s="230">
        <f t="shared" si="0"/>
        <v>0</v>
      </c>
      <c r="CJ16" s="232" t="e">
        <f t="shared" si="1"/>
        <v>#DIV/0!</v>
      </c>
      <c r="CK16" s="232" t="e">
        <f t="shared" si="2"/>
        <v>#DIV/0!</v>
      </c>
      <c r="CL16" s="232" t="e">
        <f t="shared" si="3"/>
        <v>#DIV/0!</v>
      </c>
      <c r="CM16" s="232" t="e">
        <f t="shared" si="4"/>
        <v>#DIV/0!</v>
      </c>
      <c r="CN16" s="232" t="e">
        <f t="shared" si="5"/>
        <v>#DIV/0!</v>
      </c>
      <c r="CO16" s="232" t="e">
        <f t="shared" si="6"/>
        <v>#DIV/0!</v>
      </c>
      <c r="CP16" s="232">
        <f t="shared" si="7"/>
        <v>0</v>
      </c>
      <c r="CQ16" s="232" t="e">
        <f t="shared" si="8"/>
        <v>#DIV/0!</v>
      </c>
      <c r="CR16" s="232" t="e">
        <f t="shared" si="9"/>
        <v>#DIV/0!</v>
      </c>
      <c r="CS16" s="232" t="e">
        <f t="shared" si="10"/>
        <v>#DIV/0!</v>
      </c>
      <c r="CT16" s="232" t="e">
        <f t="shared" si="11"/>
        <v>#DIV/0!</v>
      </c>
      <c r="CU16" s="232" t="e">
        <f t="shared" si="12"/>
        <v>#DIV/0!</v>
      </c>
      <c r="CV16" s="232" t="e">
        <f t="shared" si="13"/>
        <v>#DIV/0!</v>
      </c>
      <c r="CW16" s="232" t="e">
        <f t="shared" si="14"/>
        <v>#DIV/0!</v>
      </c>
      <c r="CX16" s="232" t="e">
        <f t="shared" si="15"/>
        <v>#DIV/0!</v>
      </c>
      <c r="CY16" s="232" t="e">
        <f t="shared" si="16"/>
        <v>#DIV/0!</v>
      </c>
      <c r="CZ16" s="232">
        <f t="shared" si="33"/>
        <v>0</v>
      </c>
      <c r="DA16" s="232" t="e">
        <f t="shared" si="17"/>
        <v>#DIV/0!</v>
      </c>
      <c r="DB16" s="232" t="e">
        <f t="shared" si="18"/>
        <v>#DIV/0!</v>
      </c>
      <c r="DC16" s="232" t="e">
        <f t="shared" si="19"/>
        <v>#DIV/0!</v>
      </c>
      <c r="DD16" s="232" t="e">
        <f t="shared" si="20"/>
        <v>#DIV/0!</v>
      </c>
      <c r="DE16" s="232" t="e">
        <f t="shared" si="21"/>
        <v>#DIV/0!</v>
      </c>
      <c r="DF16" s="232">
        <f t="shared" si="22"/>
        <v>0</v>
      </c>
      <c r="DG16" s="232">
        <f t="shared" si="23"/>
        <v>0</v>
      </c>
      <c r="DH16" s="232">
        <f t="shared" si="24"/>
        <v>0</v>
      </c>
      <c r="DI16" s="232" t="e">
        <f t="shared" si="25"/>
        <v>#DIV/0!</v>
      </c>
      <c r="DJ16" s="232" t="e">
        <f t="shared" si="26"/>
        <v>#DIV/0!</v>
      </c>
      <c r="DK16" s="232" t="e">
        <f t="shared" si="27"/>
        <v>#DIV/0!</v>
      </c>
      <c r="DL16" s="232" t="e">
        <f t="shared" si="34"/>
        <v>#DIV/0!</v>
      </c>
      <c r="DM16" s="232" t="e">
        <f t="shared" si="28"/>
        <v>#DIV/0!</v>
      </c>
      <c r="DN16" s="232">
        <f t="shared" si="29"/>
        <v>0</v>
      </c>
      <c r="DO16" s="232" t="e">
        <f t="shared" si="30"/>
        <v>#DIV/0!</v>
      </c>
      <c r="DP16" s="232">
        <f t="shared" si="35"/>
        <v>0</v>
      </c>
      <c r="DQ16" s="232">
        <f t="shared" si="36"/>
        <v>0</v>
      </c>
      <c r="DR16" s="232" t="e">
        <f t="shared" si="37"/>
        <v>#DIV/0!</v>
      </c>
      <c r="DS16" s="232" t="e">
        <f t="shared" si="38"/>
        <v>#DIV/0!</v>
      </c>
      <c r="DT16" s="232" t="e">
        <f t="shared" si="39"/>
        <v>#DIV/0!</v>
      </c>
      <c r="DU16" s="232" t="e">
        <f t="shared" si="40"/>
        <v>#DIV/0!</v>
      </c>
      <c r="DV16" s="232" t="e">
        <f t="shared" si="41"/>
        <v>#DIV/0!</v>
      </c>
    </row>
    <row r="17" spans="1:126" ht="13">
      <c r="A17" s="115">
        <f t="shared" si="31"/>
        <v>0</v>
      </c>
      <c r="B17" s="115">
        <f t="shared" si="32"/>
        <v>0</v>
      </c>
      <c r="C17" s="114">
        <f t="shared" si="42"/>
        <v>81</v>
      </c>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6"/>
      <c r="AV17" s="236"/>
      <c r="AW17" s="236"/>
      <c r="AX17" s="236"/>
      <c r="AY17" s="236"/>
      <c r="AZ17" s="236"/>
      <c r="BA17" s="236"/>
      <c r="BB17" s="236"/>
      <c r="BC17" s="236"/>
      <c r="BD17" s="236"/>
      <c r="BE17" s="236"/>
      <c r="BF17" s="236"/>
      <c r="BG17" s="236"/>
      <c r="BH17" s="236"/>
      <c r="BI17" s="236"/>
      <c r="BJ17" s="236"/>
      <c r="BK17" s="236"/>
      <c r="BL17" s="236"/>
      <c r="BM17" s="236"/>
      <c r="BN17" s="236"/>
      <c r="BO17" s="236"/>
      <c r="BP17" s="236"/>
      <c r="BQ17" s="236"/>
      <c r="BR17" s="236"/>
      <c r="BS17" s="236"/>
      <c r="BT17" s="236"/>
      <c r="BU17" s="236"/>
      <c r="BV17" s="236"/>
      <c r="BW17" s="236"/>
      <c r="BX17" s="236"/>
      <c r="BY17" s="236"/>
      <c r="BZ17" s="238"/>
      <c r="CA17" s="236"/>
      <c r="CB17" s="236"/>
      <c r="CC17" s="236"/>
      <c r="CD17" s="238"/>
      <c r="CE17" s="238"/>
      <c r="CF17" s="238"/>
      <c r="CG17" s="238"/>
      <c r="CH17" s="238"/>
      <c r="CI17" s="230">
        <f t="shared" si="0"/>
        <v>0</v>
      </c>
      <c r="CJ17" s="232" t="e">
        <f t="shared" si="1"/>
        <v>#DIV/0!</v>
      </c>
      <c r="CK17" s="232" t="e">
        <f t="shared" si="2"/>
        <v>#DIV/0!</v>
      </c>
      <c r="CL17" s="232" t="e">
        <f t="shared" si="3"/>
        <v>#DIV/0!</v>
      </c>
      <c r="CM17" s="232" t="e">
        <f t="shared" si="4"/>
        <v>#DIV/0!</v>
      </c>
      <c r="CN17" s="232" t="e">
        <f t="shared" si="5"/>
        <v>#DIV/0!</v>
      </c>
      <c r="CO17" s="232" t="e">
        <f t="shared" si="6"/>
        <v>#DIV/0!</v>
      </c>
      <c r="CP17" s="232">
        <f t="shared" si="7"/>
        <v>0</v>
      </c>
      <c r="CQ17" s="232" t="e">
        <f t="shared" si="8"/>
        <v>#DIV/0!</v>
      </c>
      <c r="CR17" s="232" t="e">
        <f t="shared" si="9"/>
        <v>#DIV/0!</v>
      </c>
      <c r="CS17" s="232" t="e">
        <f t="shared" si="10"/>
        <v>#DIV/0!</v>
      </c>
      <c r="CT17" s="232" t="e">
        <f t="shared" si="11"/>
        <v>#DIV/0!</v>
      </c>
      <c r="CU17" s="232" t="e">
        <f t="shared" si="12"/>
        <v>#DIV/0!</v>
      </c>
      <c r="CV17" s="232" t="e">
        <f t="shared" si="13"/>
        <v>#DIV/0!</v>
      </c>
      <c r="CW17" s="232" t="e">
        <f t="shared" si="14"/>
        <v>#DIV/0!</v>
      </c>
      <c r="CX17" s="232" t="e">
        <f t="shared" si="15"/>
        <v>#DIV/0!</v>
      </c>
      <c r="CY17" s="232" t="e">
        <f t="shared" si="16"/>
        <v>#DIV/0!</v>
      </c>
      <c r="CZ17" s="232">
        <f t="shared" si="33"/>
        <v>0</v>
      </c>
      <c r="DA17" s="232" t="e">
        <f t="shared" si="17"/>
        <v>#DIV/0!</v>
      </c>
      <c r="DB17" s="232" t="e">
        <f t="shared" si="18"/>
        <v>#DIV/0!</v>
      </c>
      <c r="DC17" s="232" t="e">
        <f t="shared" si="19"/>
        <v>#DIV/0!</v>
      </c>
      <c r="DD17" s="232" t="e">
        <f t="shared" si="20"/>
        <v>#DIV/0!</v>
      </c>
      <c r="DE17" s="232" t="e">
        <f t="shared" si="21"/>
        <v>#DIV/0!</v>
      </c>
      <c r="DF17" s="232">
        <f t="shared" si="22"/>
        <v>0</v>
      </c>
      <c r="DG17" s="232">
        <f t="shared" si="23"/>
        <v>0</v>
      </c>
      <c r="DH17" s="232">
        <f t="shared" si="24"/>
        <v>0</v>
      </c>
      <c r="DI17" s="232" t="e">
        <f t="shared" si="25"/>
        <v>#DIV/0!</v>
      </c>
      <c r="DJ17" s="232" t="e">
        <f t="shared" si="26"/>
        <v>#DIV/0!</v>
      </c>
      <c r="DK17" s="232" t="e">
        <f t="shared" si="27"/>
        <v>#DIV/0!</v>
      </c>
      <c r="DL17" s="232" t="e">
        <f t="shared" si="34"/>
        <v>#DIV/0!</v>
      </c>
      <c r="DM17" s="232" t="e">
        <f t="shared" si="28"/>
        <v>#DIV/0!</v>
      </c>
      <c r="DN17" s="232">
        <f t="shared" si="29"/>
        <v>0</v>
      </c>
      <c r="DO17" s="232" t="e">
        <f t="shared" si="30"/>
        <v>#DIV/0!</v>
      </c>
      <c r="DP17" s="232">
        <f t="shared" si="35"/>
        <v>0</v>
      </c>
      <c r="DQ17" s="232">
        <f t="shared" si="36"/>
        <v>0</v>
      </c>
      <c r="DR17" s="232" t="e">
        <f t="shared" si="37"/>
        <v>#DIV/0!</v>
      </c>
      <c r="DS17" s="232" t="e">
        <f t="shared" si="38"/>
        <v>#DIV/0!</v>
      </c>
      <c r="DT17" s="232" t="e">
        <f t="shared" si="39"/>
        <v>#DIV/0!</v>
      </c>
      <c r="DU17" s="232" t="e">
        <f t="shared" si="40"/>
        <v>#DIV/0!</v>
      </c>
      <c r="DV17" s="232" t="e">
        <f t="shared" si="41"/>
        <v>#DIV/0!</v>
      </c>
    </row>
    <row r="18" spans="1:126" ht="13">
      <c r="A18" s="115">
        <f t="shared" si="31"/>
        <v>0</v>
      </c>
      <c r="B18" s="115">
        <f t="shared" si="32"/>
        <v>0</v>
      </c>
      <c r="C18" s="114">
        <f t="shared" si="42"/>
        <v>82</v>
      </c>
      <c r="D18" s="236"/>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6"/>
      <c r="BM18" s="236"/>
      <c r="BN18" s="236"/>
      <c r="BO18" s="236"/>
      <c r="BP18" s="236"/>
      <c r="BQ18" s="236"/>
      <c r="BR18" s="236"/>
      <c r="BS18" s="236"/>
      <c r="BT18" s="236"/>
      <c r="BU18" s="236"/>
      <c r="BV18" s="236"/>
      <c r="BW18" s="236"/>
      <c r="BX18" s="236"/>
      <c r="BY18" s="236"/>
      <c r="BZ18" s="238"/>
      <c r="CA18" s="236"/>
      <c r="CB18" s="236"/>
      <c r="CC18" s="236"/>
      <c r="CD18" s="238"/>
      <c r="CE18" s="238"/>
      <c r="CF18" s="238"/>
      <c r="CG18" s="238"/>
      <c r="CH18" s="238"/>
      <c r="CI18" s="230">
        <f t="shared" si="0"/>
        <v>0</v>
      </c>
      <c r="CJ18" s="232" t="e">
        <f t="shared" si="1"/>
        <v>#DIV/0!</v>
      </c>
      <c r="CK18" s="232" t="e">
        <f t="shared" si="2"/>
        <v>#DIV/0!</v>
      </c>
      <c r="CL18" s="232" t="e">
        <f t="shared" si="3"/>
        <v>#DIV/0!</v>
      </c>
      <c r="CM18" s="232" t="e">
        <f t="shared" si="4"/>
        <v>#DIV/0!</v>
      </c>
      <c r="CN18" s="232" t="e">
        <f t="shared" si="5"/>
        <v>#DIV/0!</v>
      </c>
      <c r="CO18" s="232" t="e">
        <f t="shared" si="6"/>
        <v>#DIV/0!</v>
      </c>
      <c r="CP18" s="232">
        <f t="shared" si="7"/>
        <v>0</v>
      </c>
      <c r="CQ18" s="232" t="e">
        <f t="shared" si="8"/>
        <v>#DIV/0!</v>
      </c>
      <c r="CR18" s="232" t="e">
        <f t="shared" si="9"/>
        <v>#DIV/0!</v>
      </c>
      <c r="CS18" s="232" t="e">
        <f t="shared" si="10"/>
        <v>#DIV/0!</v>
      </c>
      <c r="CT18" s="232" t="e">
        <f t="shared" si="11"/>
        <v>#DIV/0!</v>
      </c>
      <c r="CU18" s="232" t="e">
        <f t="shared" si="12"/>
        <v>#DIV/0!</v>
      </c>
      <c r="CV18" s="232" t="e">
        <f t="shared" si="13"/>
        <v>#DIV/0!</v>
      </c>
      <c r="CW18" s="232" t="e">
        <f t="shared" si="14"/>
        <v>#DIV/0!</v>
      </c>
      <c r="CX18" s="232" t="e">
        <f t="shared" si="15"/>
        <v>#DIV/0!</v>
      </c>
      <c r="CY18" s="232" t="e">
        <f t="shared" si="16"/>
        <v>#DIV/0!</v>
      </c>
      <c r="CZ18" s="232">
        <f t="shared" si="33"/>
        <v>0</v>
      </c>
      <c r="DA18" s="232" t="e">
        <f t="shared" si="17"/>
        <v>#DIV/0!</v>
      </c>
      <c r="DB18" s="232" t="e">
        <f t="shared" si="18"/>
        <v>#DIV/0!</v>
      </c>
      <c r="DC18" s="232" t="e">
        <f t="shared" si="19"/>
        <v>#DIV/0!</v>
      </c>
      <c r="DD18" s="232" t="e">
        <f t="shared" si="20"/>
        <v>#DIV/0!</v>
      </c>
      <c r="DE18" s="232" t="e">
        <f t="shared" si="21"/>
        <v>#DIV/0!</v>
      </c>
      <c r="DF18" s="232">
        <f t="shared" si="22"/>
        <v>0</v>
      </c>
      <c r="DG18" s="232">
        <f t="shared" si="23"/>
        <v>0</v>
      </c>
      <c r="DH18" s="232">
        <f t="shared" si="24"/>
        <v>0</v>
      </c>
      <c r="DI18" s="232" t="e">
        <f t="shared" si="25"/>
        <v>#DIV/0!</v>
      </c>
      <c r="DJ18" s="232" t="e">
        <f t="shared" si="26"/>
        <v>#DIV/0!</v>
      </c>
      <c r="DK18" s="232" t="e">
        <f t="shared" si="27"/>
        <v>#DIV/0!</v>
      </c>
      <c r="DL18" s="232" t="e">
        <f t="shared" si="34"/>
        <v>#DIV/0!</v>
      </c>
      <c r="DM18" s="232" t="e">
        <f t="shared" si="28"/>
        <v>#DIV/0!</v>
      </c>
      <c r="DN18" s="232">
        <f t="shared" si="29"/>
        <v>0</v>
      </c>
      <c r="DO18" s="232" t="e">
        <f t="shared" si="30"/>
        <v>#DIV/0!</v>
      </c>
      <c r="DP18" s="232">
        <f t="shared" si="35"/>
        <v>0</v>
      </c>
      <c r="DQ18" s="232">
        <f t="shared" si="36"/>
        <v>0</v>
      </c>
      <c r="DR18" s="232" t="e">
        <f t="shared" si="37"/>
        <v>#DIV/0!</v>
      </c>
      <c r="DS18" s="232" t="e">
        <f t="shared" si="38"/>
        <v>#DIV/0!</v>
      </c>
      <c r="DT18" s="232" t="e">
        <f t="shared" si="39"/>
        <v>#DIV/0!</v>
      </c>
      <c r="DU18" s="232" t="e">
        <f t="shared" si="40"/>
        <v>#DIV/0!</v>
      </c>
      <c r="DV18" s="232" t="e">
        <f t="shared" si="41"/>
        <v>#DIV/0!</v>
      </c>
    </row>
    <row r="19" spans="1:126" ht="13">
      <c r="A19" s="115">
        <f t="shared" si="31"/>
        <v>0</v>
      </c>
      <c r="B19" s="115">
        <f t="shared" si="32"/>
        <v>0</v>
      </c>
      <c r="C19" s="114">
        <f t="shared" si="42"/>
        <v>83</v>
      </c>
      <c r="D19" s="236"/>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6"/>
      <c r="AZ19" s="236"/>
      <c r="BA19" s="236"/>
      <c r="BB19" s="236"/>
      <c r="BC19" s="236"/>
      <c r="BD19" s="236"/>
      <c r="BE19" s="236"/>
      <c r="BF19" s="236"/>
      <c r="BG19" s="236"/>
      <c r="BH19" s="236"/>
      <c r="BI19" s="236"/>
      <c r="BJ19" s="236"/>
      <c r="BK19" s="236"/>
      <c r="BL19" s="236"/>
      <c r="BM19" s="236"/>
      <c r="BN19" s="236"/>
      <c r="BO19" s="236"/>
      <c r="BP19" s="236"/>
      <c r="BQ19" s="236"/>
      <c r="BR19" s="236"/>
      <c r="BS19" s="236"/>
      <c r="BT19" s="236"/>
      <c r="BU19" s="236"/>
      <c r="BV19" s="236"/>
      <c r="BW19" s="236"/>
      <c r="BX19" s="236"/>
      <c r="BY19" s="236"/>
      <c r="BZ19" s="238"/>
      <c r="CA19" s="236"/>
      <c r="CB19" s="236"/>
      <c r="CC19" s="236"/>
      <c r="CD19" s="238"/>
      <c r="CE19" s="238"/>
      <c r="CF19" s="238"/>
      <c r="CG19" s="238"/>
      <c r="CH19" s="238"/>
      <c r="CI19" s="230">
        <f t="shared" si="0"/>
        <v>0</v>
      </c>
      <c r="CJ19" s="232" t="e">
        <f t="shared" si="1"/>
        <v>#DIV/0!</v>
      </c>
      <c r="CK19" s="232" t="e">
        <f t="shared" si="2"/>
        <v>#DIV/0!</v>
      </c>
      <c r="CL19" s="232" t="e">
        <f t="shared" si="3"/>
        <v>#DIV/0!</v>
      </c>
      <c r="CM19" s="232" t="e">
        <f t="shared" si="4"/>
        <v>#DIV/0!</v>
      </c>
      <c r="CN19" s="232" t="e">
        <f t="shared" si="5"/>
        <v>#DIV/0!</v>
      </c>
      <c r="CO19" s="232" t="e">
        <f t="shared" si="6"/>
        <v>#DIV/0!</v>
      </c>
      <c r="CP19" s="232">
        <f t="shared" si="7"/>
        <v>0</v>
      </c>
      <c r="CQ19" s="232" t="e">
        <f t="shared" si="8"/>
        <v>#DIV/0!</v>
      </c>
      <c r="CR19" s="232" t="e">
        <f t="shared" si="9"/>
        <v>#DIV/0!</v>
      </c>
      <c r="CS19" s="232" t="e">
        <f t="shared" si="10"/>
        <v>#DIV/0!</v>
      </c>
      <c r="CT19" s="232" t="e">
        <f t="shared" si="11"/>
        <v>#DIV/0!</v>
      </c>
      <c r="CU19" s="232" t="e">
        <f t="shared" si="12"/>
        <v>#DIV/0!</v>
      </c>
      <c r="CV19" s="232" t="e">
        <f t="shared" si="13"/>
        <v>#DIV/0!</v>
      </c>
      <c r="CW19" s="232" t="e">
        <f t="shared" si="14"/>
        <v>#DIV/0!</v>
      </c>
      <c r="CX19" s="232" t="e">
        <f t="shared" si="15"/>
        <v>#DIV/0!</v>
      </c>
      <c r="CY19" s="232" t="e">
        <f t="shared" si="16"/>
        <v>#DIV/0!</v>
      </c>
      <c r="CZ19" s="232">
        <f t="shared" si="33"/>
        <v>0</v>
      </c>
      <c r="DA19" s="232" t="e">
        <f t="shared" si="17"/>
        <v>#DIV/0!</v>
      </c>
      <c r="DB19" s="232" t="e">
        <f t="shared" si="18"/>
        <v>#DIV/0!</v>
      </c>
      <c r="DC19" s="232" t="e">
        <f t="shared" si="19"/>
        <v>#DIV/0!</v>
      </c>
      <c r="DD19" s="232" t="e">
        <f t="shared" si="20"/>
        <v>#DIV/0!</v>
      </c>
      <c r="DE19" s="232" t="e">
        <f t="shared" si="21"/>
        <v>#DIV/0!</v>
      </c>
      <c r="DF19" s="232">
        <f t="shared" si="22"/>
        <v>0</v>
      </c>
      <c r="DG19" s="232">
        <f t="shared" si="23"/>
        <v>0</v>
      </c>
      <c r="DH19" s="232">
        <f t="shared" si="24"/>
        <v>0</v>
      </c>
      <c r="DI19" s="232" t="e">
        <f t="shared" si="25"/>
        <v>#DIV/0!</v>
      </c>
      <c r="DJ19" s="232" t="e">
        <f t="shared" si="26"/>
        <v>#DIV/0!</v>
      </c>
      <c r="DK19" s="232" t="e">
        <f t="shared" si="27"/>
        <v>#DIV/0!</v>
      </c>
      <c r="DL19" s="232" t="e">
        <f t="shared" si="34"/>
        <v>#DIV/0!</v>
      </c>
      <c r="DM19" s="232" t="e">
        <f t="shared" si="28"/>
        <v>#DIV/0!</v>
      </c>
      <c r="DN19" s="232">
        <f t="shared" si="29"/>
        <v>0</v>
      </c>
      <c r="DO19" s="232" t="e">
        <f t="shared" si="30"/>
        <v>#DIV/0!</v>
      </c>
      <c r="DP19" s="232">
        <f t="shared" si="35"/>
        <v>0</v>
      </c>
      <c r="DQ19" s="232">
        <f t="shared" si="36"/>
        <v>0</v>
      </c>
      <c r="DR19" s="232" t="e">
        <f t="shared" si="37"/>
        <v>#DIV/0!</v>
      </c>
      <c r="DS19" s="232" t="e">
        <f t="shared" si="38"/>
        <v>#DIV/0!</v>
      </c>
      <c r="DT19" s="232" t="e">
        <f t="shared" si="39"/>
        <v>#DIV/0!</v>
      </c>
      <c r="DU19" s="232" t="e">
        <f t="shared" si="40"/>
        <v>#DIV/0!</v>
      </c>
      <c r="DV19" s="232" t="e">
        <f t="shared" si="41"/>
        <v>#DIV/0!</v>
      </c>
    </row>
    <row r="20" spans="1:126" ht="13">
      <c r="A20" s="115">
        <f t="shared" si="31"/>
        <v>0</v>
      </c>
      <c r="B20" s="115">
        <f t="shared" si="32"/>
        <v>0</v>
      </c>
      <c r="C20" s="114">
        <f t="shared" si="42"/>
        <v>84</v>
      </c>
      <c r="D20" s="236"/>
      <c r="E20" s="236"/>
      <c r="F20" s="236"/>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6"/>
      <c r="AU20" s="236"/>
      <c r="AV20" s="236"/>
      <c r="AW20" s="236"/>
      <c r="AX20" s="236"/>
      <c r="AY20" s="236"/>
      <c r="AZ20" s="236"/>
      <c r="BA20" s="236"/>
      <c r="BB20" s="236"/>
      <c r="BC20" s="236"/>
      <c r="BD20" s="236"/>
      <c r="BE20" s="236"/>
      <c r="BF20" s="236"/>
      <c r="BG20" s="236"/>
      <c r="BH20" s="236"/>
      <c r="BI20" s="236"/>
      <c r="BJ20" s="236"/>
      <c r="BK20" s="236"/>
      <c r="BL20" s="236"/>
      <c r="BM20" s="236"/>
      <c r="BN20" s="236"/>
      <c r="BO20" s="236"/>
      <c r="BP20" s="236"/>
      <c r="BQ20" s="236"/>
      <c r="BR20" s="236"/>
      <c r="BS20" s="236"/>
      <c r="BT20" s="236"/>
      <c r="BU20" s="236"/>
      <c r="BV20" s="236"/>
      <c r="BW20" s="236"/>
      <c r="BX20" s="236"/>
      <c r="BY20" s="236"/>
      <c r="BZ20" s="238"/>
      <c r="CA20" s="236"/>
      <c r="CB20" s="236"/>
      <c r="CC20" s="236"/>
      <c r="CD20" s="238"/>
      <c r="CE20" s="238"/>
      <c r="CF20" s="238"/>
      <c r="CG20" s="238"/>
      <c r="CH20" s="238"/>
      <c r="CI20" s="230">
        <f t="shared" si="0"/>
        <v>0</v>
      </c>
      <c r="CJ20" s="232" t="e">
        <f t="shared" si="1"/>
        <v>#DIV/0!</v>
      </c>
      <c r="CK20" s="232" t="e">
        <f t="shared" si="2"/>
        <v>#DIV/0!</v>
      </c>
      <c r="CL20" s="232" t="e">
        <f t="shared" si="3"/>
        <v>#DIV/0!</v>
      </c>
      <c r="CM20" s="232" t="e">
        <f t="shared" si="4"/>
        <v>#DIV/0!</v>
      </c>
      <c r="CN20" s="232" t="e">
        <f t="shared" si="5"/>
        <v>#DIV/0!</v>
      </c>
      <c r="CO20" s="232" t="e">
        <f t="shared" si="6"/>
        <v>#DIV/0!</v>
      </c>
      <c r="CP20" s="232">
        <f t="shared" si="7"/>
        <v>0</v>
      </c>
      <c r="CQ20" s="232" t="e">
        <f t="shared" si="8"/>
        <v>#DIV/0!</v>
      </c>
      <c r="CR20" s="232" t="e">
        <f t="shared" si="9"/>
        <v>#DIV/0!</v>
      </c>
      <c r="CS20" s="232" t="e">
        <f t="shared" si="10"/>
        <v>#DIV/0!</v>
      </c>
      <c r="CT20" s="232" t="e">
        <f t="shared" si="11"/>
        <v>#DIV/0!</v>
      </c>
      <c r="CU20" s="232" t="e">
        <f t="shared" si="12"/>
        <v>#DIV/0!</v>
      </c>
      <c r="CV20" s="232" t="e">
        <f t="shared" si="13"/>
        <v>#DIV/0!</v>
      </c>
      <c r="CW20" s="232" t="e">
        <f t="shared" si="14"/>
        <v>#DIV/0!</v>
      </c>
      <c r="CX20" s="232" t="e">
        <f t="shared" si="15"/>
        <v>#DIV/0!</v>
      </c>
      <c r="CY20" s="232" t="e">
        <f t="shared" si="16"/>
        <v>#DIV/0!</v>
      </c>
      <c r="CZ20" s="232">
        <f t="shared" si="33"/>
        <v>0</v>
      </c>
      <c r="DA20" s="232" t="e">
        <f t="shared" si="17"/>
        <v>#DIV/0!</v>
      </c>
      <c r="DB20" s="232" t="e">
        <f t="shared" si="18"/>
        <v>#DIV/0!</v>
      </c>
      <c r="DC20" s="232" t="e">
        <f t="shared" si="19"/>
        <v>#DIV/0!</v>
      </c>
      <c r="DD20" s="232" t="e">
        <f t="shared" si="20"/>
        <v>#DIV/0!</v>
      </c>
      <c r="DE20" s="232" t="e">
        <f t="shared" si="21"/>
        <v>#DIV/0!</v>
      </c>
      <c r="DF20" s="232">
        <f t="shared" si="22"/>
        <v>0</v>
      </c>
      <c r="DG20" s="232">
        <f t="shared" si="23"/>
        <v>0</v>
      </c>
      <c r="DH20" s="232">
        <f t="shared" si="24"/>
        <v>0</v>
      </c>
      <c r="DI20" s="232" t="e">
        <f t="shared" si="25"/>
        <v>#DIV/0!</v>
      </c>
      <c r="DJ20" s="232" t="e">
        <f t="shared" si="26"/>
        <v>#DIV/0!</v>
      </c>
      <c r="DK20" s="232" t="e">
        <f t="shared" si="27"/>
        <v>#DIV/0!</v>
      </c>
      <c r="DL20" s="232" t="e">
        <f t="shared" si="34"/>
        <v>#DIV/0!</v>
      </c>
      <c r="DM20" s="232" t="e">
        <f t="shared" si="28"/>
        <v>#DIV/0!</v>
      </c>
      <c r="DN20" s="232">
        <f t="shared" si="29"/>
        <v>0</v>
      </c>
      <c r="DO20" s="232" t="e">
        <f t="shared" si="30"/>
        <v>#DIV/0!</v>
      </c>
      <c r="DP20" s="232">
        <f t="shared" si="35"/>
        <v>0</v>
      </c>
      <c r="DQ20" s="232">
        <f t="shared" si="36"/>
        <v>0</v>
      </c>
      <c r="DR20" s="232" t="e">
        <f t="shared" si="37"/>
        <v>#DIV/0!</v>
      </c>
      <c r="DS20" s="232" t="e">
        <f t="shared" si="38"/>
        <v>#DIV/0!</v>
      </c>
      <c r="DT20" s="232" t="e">
        <f t="shared" si="39"/>
        <v>#DIV/0!</v>
      </c>
      <c r="DU20" s="232" t="e">
        <f t="shared" si="40"/>
        <v>#DIV/0!</v>
      </c>
      <c r="DV20" s="232" t="e">
        <f t="shared" si="41"/>
        <v>#DIV/0!</v>
      </c>
    </row>
    <row r="21" spans="1:126" ht="13">
      <c r="A21" s="115">
        <f t="shared" si="31"/>
        <v>0</v>
      </c>
      <c r="B21" s="115">
        <f t="shared" si="32"/>
        <v>0</v>
      </c>
      <c r="C21" s="114">
        <f t="shared" si="42"/>
        <v>85</v>
      </c>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6"/>
      <c r="BA21" s="236"/>
      <c r="BB21" s="236"/>
      <c r="BC21" s="236"/>
      <c r="BD21" s="236"/>
      <c r="BE21" s="236"/>
      <c r="BF21" s="236"/>
      <c r="BG21" s="236"/>
      <c r="BH21" s="236"/>
      <c r="BI21" s="236"/>
      <c r="BJ21" s="236"/>
      <c r="BK21" s="236"/>
      <c r="BL21" s="236"/>
      <c r="BM21" s="236"/>
      <c r="BN21" s="236"/>
      <c r="BO21" s="236"/>
      <c r="BP21" s="236"/>
      <c r="BQ21" s="236"/>
      <c r="BR21" s="236"/>
      <c r="BS21" s="236"/>
      <c r="BT21" s="236"/>
      <c r="BU21" s="236"/>
      <c r="BV21" s="236"/>
      <c r="BW21" s="236"/>
      <c r="BX21" s="236"/>
      <c r="BY21" s="236"/>
      <c r="BZ21" s="238"/>
      <c r="CA21" s="236"/>
      <c r="CB21" s="236"/>
      <c r="CC21" s="236"/>
      <c r="CD21" s="238"/>
      <c r="CE21" s="238"/>
      <c r="CF21" s="238"/>
      <c r="CG21" s="238"/>
      <c r="CH21" s="238"/>
      <c r="CI21" s="230">
        <f t="shared" si="0"/>
        <v>0</v>
      </c>
      <c r="CJ21" s="232" t="e">
        <f t="shared" si="1"/>
        <v>#DIV/0!</v>
      </c>
      <c r="CK21" s="232" t="e">
        <f t="shared" si="2"/>
        <v>#DIV/0!</v>
      </c>
      <c r="CL21" s="232" t="e">
        <f t="shared" si="3"/>
        <v>#DIV/0!</v>
      </c>
      <c r="CM21" s="232" t="e">
        <f t="shared" si="4"/>
        <v>#DIV/0!</v>
      </c>
      <c r="CN21" s="232" t="e">
        <f t="shared" si="5"/>
        <v>#DIV/0!</v>
      </c>
      <c r="CO21" s="232" t="e">
        <f t="shared" si="6"/>
        <v>#DIV/0!</v>
      </c>
      <c r="CP21" s="232">
        <f t="shared" si="7"/>
        <v>0</v>
      </c>
      <c r="CQ21" s="232" t="e">
        <f t="shared" si="8"/>
        <v>#DIV/0!</v>
      </c>
      <c r="CR21" s="232" t="e">
        <f t="shared" si="9"/>
        <v>#DIV/0!</v>
      </c>
      <c r="CS21" s="232" t="e">
        <f t="shared" si="10"/>
        <v>#DIV/0!</v>
      </c>
      <c r="CT21" s="232" t="e">
        <f t="shared" si="11"/>
        <v>#DIV/0!</v>
      </c>
      <c r="CU21" s="232" t="e">
        <f t="shared" si="12"/>
        <v>#DIV/0!</v>
      </c>
      <c r="CV21" s="232" t="e">
        <f t="shared" si="13"/>
        <v>#DIV/0!</v>
      </c>
      <c r="CW21" s="232" t="e">
        <f t="shared" si="14"/>
        <v>#DIV/0!</v>
      </c>
      <c r="CX21" s="232" t="e">
        <f t="shared" si="15"/>
        <v>#DIV/0!</v>
      </c>
      <c r="CY21" s="232" t="e">
        <f t="shared" si="16"/>
        <v>#DIV/0!</v>
      </c>
      <c r="CZ21" s="232">
        <f t="shared" si="33"/>
        <v>0</v>
      </c>
      <c r="DA21" s="232" t="e">
        <f t="shared" si="17"/>
        <v>#DIV/0!</v>
      </c>
      <c r="DB21" s="232" t="e">
        <f t="shared" si="18"/>
        <v>#DIV/0!</v>
      </c>
      <c r="DC21" s="232" t="e">
        <f t="shared" si="19"/>
        <v>#DIV/0!</v>
      </c>
      <c r="DD21" s="232" t="e">
        <f t="shared" si="20"/>
        <v>#DIV/0!</v>
      </c>
      <c r="DE21" s="232" t="e">
        <f t="shared" si="21"/>
        <v>#DIV/0!</v>
      </c>
      <c r="DF21" s="232">
        <f t="shared" si="22"/>
        <v>0</v>
      </c>
      <c r="DG21" s="232">
        <f t="shared" si="23"/>
        <v>0</v>
      </c>
      <c r="DH21" s="232">
        <f t="shared" si="24"/>
        <v>0</v>
      </c>
      <c r="DI21" s="232" t="e">
        <f t="shared" si="25"/>
        <v>#DIV/0!</v>
      </c>
      <c r="DJ21" s="232" t="e">
        <f t="shared" si="26"/>
        <v>#DIV/0!</v>
      </c>
      <c r="DK21" s="232" t="e">
        <f t="shared" si="27"/>
        <v>#DIV/0!</v>
      </c>
      <c r="DL21" s="232" t="e">
        <f t="shared" si="34"/>
        <v>#DIV/0!</v>
      </c>
      <c r="DM21" s="232" t="e">
        <f t="shared" si="28"/>
        <v>#DIV/0!</v>
      </c>
      <c r="DN21" s="232">
        <f t="shared" si="29"/>
        <v>0</v>
      </c>
      <c r="DO21" s="232" t="e">
        <f t="shared" si="30"/>
        <v>#DIV/0!</v>
      </c>
      <c r="DP21" s="232">
        <f t="shared" si="35"/>
        <v>0</v>
      </c>
      <c r="DQ21" s="232">
        <f t="shared" si="36"/>
        <v>0</v>
      </c>
      <c r="DR21" s="232" t="e">
        <f t="shared" si="37"/>
        <v>#DIV/0!</v>
      </c>
      <c r="DS21" s="232" t="e">
        <f t="shared" si="38"/>
        <v>#DIV/0!</v>
      </c>
      <c r="DT21" s="232" t="e">
        <f t="shared" si="39"/>
        <v>#DIV/0!</v>
      </c>
      <c r="DU21" s="232" t="e">
        <f t="shared" si="40"/>
        <v>#DIV/0!</v>
      </c>
      <c r="DV21" s="232" t="e">
        <f t="shared" si="41"/>
        <v>#DIV/0!</v>
      </c>
    </row>
    <row r="22" spans="1:126" ht="13">
      <c r="A22" s="115">
        <f t="shared" si="31"/>
        <v>0</v>
      </c>
      <c r="B22" s="115">
        <f t="shared" si="32"/>
        <v>0</v>
      </c>
      <c r="C22" s="114">
        <f t="shared" si="42"/>
        <v>86</v>
      </c>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c r="AR22" s="236"/>
      <c r="AS22" s="236"/>
      <c r="AT22" s="236"/>
      <c r="AU22" s="236"/>
      <c r="AV22" s="236"/>
      <c r="AW22" s="236"/>
      <c r="AX22" s="236"/>
      <c r="AY22" s="236"/>
      <c r="AZ22" s="236"/>
      <c r="BA22" s="236"/>
      <c r="BB22" s="236"/>
      <c r="BC22" s="236"/>
      <c r="BD22" s="236"/>
      <c r="BE22" s="236"/>
      <c r="BF22" s="236"/>
      <c r="BG22" s="236"/>
      <c r="BH22" s="236"/>
      <c r="BI22" s="236"/>
      <c r="BJ22" s="236"/>
      <c r="BK22" s="236"/>
      <c r="BL22" s="236"/>
      <c r="BM22" s="236"/>
      <c r="BN22" s="236"/>
      <c r="BO22" s="236"/>
      <c r="BP22" s="236"/>
      <c r="BQ22" s="236"/>
      <c r="BR22" s="236"/>
      <c r="BS22" s="236"/>
      <c r="BT22" s="236"/>
      <c r="BU22" s="236"/>
      <c r="BV22" s="236"/>
      <c r="BW22" s="236"/>
      <c r="BX22" s="236"/>
      <c r="BY22" s="236"/>
      <c r="BZ22" s="238"/>
      <c r="CA22" s="236"/>
      <c r="CB22" s="236"/>
      <c r="CC22" s="236"/>
      <c r="CD22" s="238"/>
      <c r="CE22" s="238"/>
      <c r="CF22" s="238"/>
      <c r="CG22" s="238"/>
      <c r="CH22" s="238"/>
      <c r="CI22" s="230">
        <f t="shared" si="0"/>
        <v>0</v>
      </c>
      <c r="CJ22" s="233" t="e">
        <f>BY22/BU22</f>
        <v>#DIV/0!</v>
      </c>
      <c r="CK22" s="233" t="e">
        <f t="shared" si="2"/>
        <v>#DIV/0!</v>
      </c>
      <c r="CL22" s="233" t="e">
        <f t="shared" si="3"/>
        <v>#DIV/0!</v>
      </c>
      <c r="CM22" s="233" t="e">
        <f t="shared" si="4"/>
        <v>#DIV/0!</v>
      </c>
      <c r="CN22" s="233" t="e">
        <f t="shared" si="5"/>
        <v>#DIV/0!</v>
      </c>
      <c r="CO22" s="233" t="e">
        <f t="shared" si="6"/>
        <v>#DIV/0!</v>
      </c>
      <c r="CP22" s="233">
        <f>AI22+AJ22</f>
        <v>0</v>
      </c>
      <c r="CQ22" s="233" t="e">
        <f t="shared" si="8"/>
        <v>#DIV/0!</v>
      </c>
      <c r="CR22" s="233" t="e">
        <f t="shared" si="9"/>
        <v>#DIV/0!</v>
      </c>
      <c r="CS22" s="233" t="e">
        <f t="shared" si="10"/>
        <v>#DIV/0!</v>
      </c>
      <c r="CT22" s="233" t="e">
        <f t="shared" si="11"/>
        <v>#DIV/0!</v>
      </c>
      <c r="CU22" s="233" t="e">
        <f t="shared" si="12"/>
        <v>#DIV/0!</v>
      </c>
      <c r="CV22" s="233" t="e">
        <f t="shared" si="13"/>
        <v>#DIV/0!</v>
      </c>
      <c r="CW22" s="233" t="e">
        <f t="shared" si="14"/>
        <v>#DIV/0!</v>
      </c>
      <c r="CX22" s="233" t="e">
        <f t="shared" si="15"/>
        <v>#DIV/0!</v>
      </c>
      <c r="CY22" s="233" t="e">
        <f>AU22/AF22</f>
        <v>#DIV/0!</v>
      </c>
      <c r="CZ22" s="233">
        <f>(O22-O21)</f>
        <v>0</v>
      </c>
      <c r="DA22" s="233" t="e">
        <f t="shared" si="17"/>
        <v>#DIV/0!</v>
      </c>
      <c r="DB22" s="233" t="e">
        <f t="shared" si="18"/>
        <v>#DIV/0!</v>
      </c>
      <c r="DC22" s="233" t="e">
        <f t="shared" si="19"/>
        <v>#DIV/0!</v>
      </c>
      <c r="DD22" s="233" t="e">
        <f t="shared" si="20"/>
        <v>#DIV/0!</v>
      </c>
      <c r="DE22" s="233" t="e">
        <f t="shared" si="21"/>
        <v>#DIV/0!</v>
      </c>
      <c r="DF22" s="233">
        <f>(BF22+BG22)</f>
        <v>0</v>
      </c>
      <c r="DG22" s="233">
        <f>Z22+AA22</f>
        <v>0</v>
      </c>
      <c r="DH22" s="233">
        <f>BI22+BJ22</f>
        <v>0</v>
      </c>
      <c r="DI22" s="233" t="e">
        <f t="shared" si="25"/>
        <v>#DIV/0!</v>
      </c>
      <c r="DJ22" s="233" t="e">
        <f t="shared" si="26"/>
        <v>#DIV/0!</v>
      </c>
      <c r="DK22" s="233" t="e">
        <f t="shared" si="27"/>
        <v>#DIV/0!</v>
      </c>
      <c r="DL22" s="232" t="e">
        <f t="shared" si="34"/>
        <v>#DIV/0!</v>
      </c>
      <c r="DM22" s="233" t="e">
        <f t="shared" si="28"/>
        <v>#DIV/0!</v>
      </c>
      <c r="DN22" s="233">
        <f>AK22+AL22+AN22</f>
        <v>0</v>
      </c>
      <c r="DO22" s="233" t="e">
        <f t="shared" si="30"/>
        <v>#DIV/0!</v>
      </c>
      <c r="DP22" s="232">
        <f t="shared" si="35"/>
        <v>0</v>
      </c>
      <c r="DQ22" s="232">
        <f t="shared" si="36"/>
        <v>0</v>
      </c>
      <c r="DR22" s="232" t="e">
        <f t="shared" si="37"/>
        <v>#DIV/0!</v>
      </c>
      <c r="DS22" s="232" t="e">
        <f t="shared" si="38"/>
        <v>#DIV/0!</v>
      </c>
      <c r="DT22" s="232" t="e">
        <f t="shared" si="39"/>
        <v>#DIV/0!</v>
      </c>
      <c r="DU22" s="232" t="e">
        <f t="shared" si="40"/>
        <v>#DIV/0!</v>
      </c>
      <c r="DV22" s="232" t="e">
        <f t="shared" si="41"/>
        <v>#DIV/0!</v>
      </c>
    </row>
    <row r="23" spans="1:126" ht="13">
      <c r="A23" s="115">
        <f t="shared" si="31"/>
        <v>0</v>
      </c>
      <c r="B23" s="115">
        <f t="shared" si="32"/>
        <v>0</v>
      </c>
      <c r="C23" s="114">
        <f t="shared" si="42"/>
        <v>87</v>
      </c>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c r="AO23" s="236"/>
      <c r="AP23" s="236"/>
      <c r="AQ23" s="236"/>
      <c r="AR23" s="236"/>
      <c r="AS23" s="236"/>
      <c r="AT23" s="236"/>
      <c r="AU23" s="236"/>
      <c r="AV23" s="236"/>
      <c r="AW23" s="236"/>
      <c r="AX23" s="236"/>
      <c r="AY23" s="236"/>
      <c r="AZ23" s="236"/>
      <c r="BA23" s="236"/>
      <c r="BB23" s="236"/>
      <c r="BC23" s="236"/>
      <c r="BD23" s="236"/>
      <c r="BE23" s="236"/>
      <c r="BF23" s="236"/>
      <c r="BG23" s="236"/>
      <c r="BH23" s="236"/>
      <c r="BI23" s="236"/>
      <c r="BJ23" s="236"/>
      <c r="BK23" s="236"/>
      <c r="BL23" s="236"/>
      <c r="BM23" s="236"/>
      <c r="BN23" s="236"/>
      <c r="BO23" s="236"/>
      <c r="BP23" s="236"/>
      <c r="BQ23" s="236"/>
      <c r="BR23" s="236"/>
      <c r="BS23" s="236"/>
      <c r="BT23" s="236"/>
      <c r="BU23" s="236"/>
      <c r="BV23" s="236"/>
      <c r="BW23" s="236"/>
      <c r="BX23" s="236"/>
      <c r="BY23" s="236"/>
      <c r="BZ23" s="238"/>
      <c r="CA23" s="236"/>
      <c r="CB23" s="236"/>
      <c r="CC23" s="236"/>
      <c r="CD23" s="238"/>
      <c r="CE23" s="238"/>
      <c r="CF23" s="238"/>
      <c r="CG23" s="238"/>
      <c r="CH23" s="238"/>
      <c r="CI23" s="230">
        <f t="shared" si="0"/>
        <v>0</v>
      </c>
      <c r="CJ23" s="232" t="e">
        <f t="shared" si="1"/>
        <v>#DIV/0!</v>
      </c>
      <c r="CK23" s="232" t="e">
        <f t="shared" si="2"/>
        <v>#DIV/0!</v>
      </c>
      <c r="CL23" s="232" t="e">
        <f t="shared" si="3"/>
        <v>#DIV/0!</v>
      </c>
      <c r="CM23" s="232" t="e">
        <f t="shared" si="4"/>
        <v>#DIV/0!</v>
      </c>
      <c r="CN23" s="232" t="e">
        <f t="shared" si="5"/>
        <v>#DIV/0!</v>
      </c>
      <c r="CO23" s="232" t="e">
        <f t="shared" si="6"/>
        <v>#DIV/0!</v>
      </c>
      <c r="CP23" s="232">
        <f t="shared" si="7"/>
        <v>0</v>
      </c>
      <c r="CQ23" s="232" t="e">
        <f t="shared" si="8"/>
        <v>#DIV/0!</v>
      </c>
      <c r="CR23" s="232" t="e">
        <f t="shared" si="9"/>
        <v>#DIV/0!</v>
      </c>
      <c r="CS23" s="232" t="e">
        <f t="shared" si="10"/>
        <v>#DIV/0!</v>
      </c>
      <c r="CT23" s="232" t="e">
        <f t="shared" si="11"/>
        <v>#DIV/0!</v>
      </c>
      <c r="CU23" s="232" t="e">
        <f t="shared" si="12"/>
        <v>#DIV/0!</v>
      </c>
      <c r="CV23" s="232" t="e">
        <f t="shared" si="13"/>
        <v>#DIV/0!</v>
      </c>
      <c r="CW23" s="232" t="e">
        <f t="shared" si="14"/>
        <v>#DIV/0!</v>
      </c>
      <c r="CX23" s="232" t="e">
        <f t="shared" si="15"/>
        <v>#DIV/0!</v>
      </c>
      <c r="CY23" s="232" t="e">
        <f t="shared" si="16"/>
        <v>#DIV/0!</v>
      </c>
      <c r="CZ23" s="232">
        <f t="shared" si="33"/>
        <v>0</v>
      </c>
      <c r="DA23" s="232" t="e">
        <f t="shared" si="17"/>
        <v>#DIV/0!</v>
      </c>
      <c r="DB23" s="232" t="e">
        <f t="shared" si="18"/>
        <v>#DIV/0!</v>
      </c>
      <c r="DC23" s="232" t="e">
        <f t="shared" si="19"/>
        <v>#DIV/0!</v>
      </c>
      <c r="DD23" s="232" t="e">
        <f t="shared" si="20"/>
        <v>#DIV/0!</v>
      </c>
      <c r="DE23" s="232" t="e">
        <f t="shared" si="21"/>
        <v>#DIV/0!</v>
      </c>
      <c r="DF23" s="232">
        <f t="shared" si="22"/>
        <v>0</v>
      </c>
      <c r="DG23" s="232">
        <f t="shared" si="23"/>
        <v>0</v>
      </c>
      <c r="DH23" s="232">
        <f t="shared" si="24"/>
        <v>0</v>
      </c>
      <c r="DI23" s="232" t="e">
        <f t="shared" si="25"/>
        <v>#DIV/0!</v>
      </c>
      <c r="DJ23" s="232" t="e">
        <f t="shared" si="26"/>
        <v>#DIV/0!</v>
      </c>
      <c r="DK23" s="232" t="e">
        <f t="shared" si="27"/>
        <v>#DIV/0!</v>
      </c>
      <c r="DL23" s="232" t="e">
        <f t="shared" si="34"/>
        <v>#DIV/0!</v>
      </c>
      <c r="DM23" s="232" t="e">
        <f t="shared" si="28"/>
        <v>#DIV/0!</v>
      </c>
      <c r="DN23" s="232">
        <f t="shared" si="29"/>
        <v>0</v>
      </c>
      <c r="DO23" s="232" t="e">
        <f t="shared" si="30"/>
        <v>#DIV/0!</v>
      </c>
      <c r="DP23" s="232">
        <f t="shared" si="35"/>
        <v>0</v>
      </c>
      <c r="DQ23" s="232">
        <f t="shared" si="36"/>
        <v>0</v>
      </c>
      <c r="DR23" s="232" t="e">
        <f t="shared" si="37"/>
        <v>#DIV/0!</v>
      </c>
      <c r="DS23" s="232" t="e">
        <f t="shared" si="38"/>
        <v>#DIV/0!</v>
      </c>
      <c r="DT23" s="232" t="e">
        <f t="shared" si="39"/>
        <v>#DIV/0!</v>
      </c>
      <c r="DU23" s="232" t="e">
        <f t="shared" si="40"/>
        <v>#DIV/0!</v>
      </c>
      <c r="DV23" s="232" t="e">
        <f t="shared" si="41"/>
        <v>#DIV/0!</v>
      </c>
    </row>
    <row r="24" spans="1:126" ht="13">
      <c r="A24" s="115">
        <f t="shared" si="31"/>
        <v>0</v>
      </c>
      <c r="B24" s="115">
        <f t="shared" si="32"/>
        <v>0</v>
      </c>
      <c r="C24" s="114">
        <f t="shared" si="42"/>
        <v>88</v>
      </c>
      <c r="D24" s="236"/>
      <c r="E24" s="236"/>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6"/>
      <c r="BC24" s="236"/>
      <c r="BD24" s="236"/>
      <c r="BE24" s="236"/>
      <c r="BF24" s="236"/>
      <c r="BG24" s="236"/>
      <c r="BH24" s="236"/>
      <c r="BI24" s="236"/>
      <c r="BJ24" s="236"/>
      <c r="BK24" s="236"/>
      <c r="BL24" s="236"/>
      <c r="BM24" s="236"/>
      <c r="BN24" s="236"/>
      <c r="BO24" s="236"/>
      <c r="BP24" s="236"/>
      <c r="BQ24" s="236"/>
      <c r="BR24" s="236"/>
      <c r="BS24" s="236"/>
      <c r="BT24" s="236"/>
      <c r="BU24" s="236"/>
      <c r="BV24" s="236"/>
      <c r="BW24" s="236"/>
      <c r="BX24" s="236"/>
      <c r="BY24" s="236"/>
      <c r="BZ24" s="238"/>
      <c r="CA24" s="236"/>
      <c r="CB24" s="236"/>
      <c r="CC24" s="236"/>
      <c r="CD24" s="238"/>
      <c r="CE24" s="238"/>
      <c r="CF24" s="238"/>
      <c r="CG24" s="238"/>
      <c r="CH24" s="238"/>
      <c r="CI24" s="230">
        <f t="shared" si="0"/>
        <v>0</v>
      </c>
      <c r="CJ24" s="232" t="e">
        <f t="shared" si="1"/>
        <v>#DIV/0!</v>
      </c>
      <c r="CK24" s="232" t="e">
        <f t="shared" si="2"/>
        <v>#DIV/0!</v>
      </c>
      <c r="CL24" s="232" t="e">
        <f t="shared" si="3"/>
        <v>#DIV/0!</v>
      </c>
      <c r="CM24" s="232" t="e">
        <f t="shared" si="4"/>
        <v>#DIV/0!</v>
      </c>
      <c r="CN24" s="232" t="e">
        <f t="shared" si="5"/>
        <v>#DIV/0!</v>
      </c>
      <c r="CO24" s="232" t="e">
        <f t="shared" si="6"/>
        <v>#DIV/0!</v>
      </c>
      <c r="CP24" s="232">
        <f t="shared" si="7"/>
        <v>0</v>
      </c>
      <c r="CQ24" s="232" t="e">
        <f t="shared" si="8"/>
        <v>#DIV/0!</v>
      </c>
      <c r="CR24" s="232" t="e">
        <f t="shared" si="9"/>
        <v>#DIV/0!</v>
      </c>
      <c r="CS24" s="232" t="e">
        <f t="shared" si="10"/>
        <v>#DIV/0!</v>
      </c>
      <c r="CT24" s="232" t="e">
        <f t="shared" si="11"/>
        <v>#DIV/0!</v>
      </c>
      <c r="CU24" s="232" t="e">
        <f t="shared" si="12"/>
        <v>#DIV/0!</v>
      </c>
      <c r="CV24" s="232" t="e">
        <f t="shared" si="13"/>
        <v>#DIV/0!</v>
      </c>
      <c r="CW24" s="232" t="e">
        <f t="shared" si="14"/>
        <v>#DIV/0!</v>
      </c>
      <c r="CX24" s="232" t="e">
        <f t="shared" si="15"/>
        <v>#DIV/0!</v>
      </c>
      <c r="CY24" s="232" t="e">
        <f t="shared" si="16"/>
        <v>#DIV/0!</v>
      </c>
      <c r="CZ24" s="232">
        <f t="shared" si="33"/>
        <v>0</v>
      </c>
      <c r="DA24" s="232" t="e">
        <f t="shared" si="17"/>
        <v>#DIV/0!</v>
      </c>
      <c r="DB24" s="232" t="e">
        <f t="shared" si="18"/>
        <v>#DIV/0!</v>
      </c>
      <c r="DC24" s="232" t="e">
        <f t="shared" si="19"/>
        <v>#DIV/0!</v>
      </c>
      <c r="DD24" s="232" t="e">
        <f t="shared" si="20"/>
        <v>#DIV/0!</v>
      </c>
      <c r="DE24" s="232" t="e">
        <f t="shared" si="21"/>
        <v>#DIV/0!</v>
      </c>
      <c r="DF24" s="232">
        <f t="shared" si="22"/>
        <v>0</v>
      </c>
      <c r="DG24" s="232">
        <f t="shared" si="23"/>
        <v>0</v>
      </c>
      <c r="DH24" s="232">
        <f t="shared" si="24"/>
        <v>0</v>
      </c>
      <c r="DI24" s="232" t="e">
        <f t="shared" si="25"/>
        <v>#DIV/0!</v>
      </c>
      <c r="DJ24" s="232" t="e">
        <f t="shared" si="26"/>
        <v>#DIV/0!</v>
      </c>
      <c r="DK24" s="232" t="e">
        <f t="shared" si="27"/>
        <v>#DIV/0!</v>
      </c>
      <c r="DL24" s="232" t="e">
        <f t="shared" si="34"/>
        <v>#DIV/0!</v>
      </c>
      <c r="DM24" s="232" t="e">
        <f t="shared" si="28"/>
        <v>#DIV/0!</v>
      </c>
      <c r="DN24" s="232">
        <f t="shared" si="29"/>
        <v>0</v>
      </c>
      <c r="DO24" s="232" t="e">
        <f t="shared" si="30"/>
        <v>#DIV/0!</v>
      </c>
      <c r="DP24" s="232">
        <f t="shared" si="35"/>
        <v>0</v>
      </c>
      <c r="DQ24" s="232">
        <f t="shared" si="36"/>
        <v>0</v>
      </c>
      <c r="DR24" s="232" t="e">
        <f t="shared" si="37"/>
        <v>#DIV/0!</v>
      </c>
      <c r="DS24" s="232" t="e">
        <f t="shared" si="38"/>
        <v>#DIV/0!</v>
      </c>
      <c r="DT24" s="232" t="e">
        <f t="shared" si="39"/>
        <v>#DIV/0!</v>
      </c>
      <c r="DU24" s="232" t="e">
        <f t="shared" si="40"/>
        <v>#DIV/0!</v>
      </c>
      <c r="DV24" s="232" t="e">
        <f t="shared" si="41"/>
        <v>#DIV/0!</v>
      </c>
    </row>
    <row r="25" spans="1:126" ht="13">
      <c r="A25" s="115">
        <f t="shared" si="31"/>
        <v>0</v>
      </c>
      <c r="B25" s="115">
        <f t="shared" si="32"/>
        <v>0</v>
      </c>
      <c r="C25" s="114">
        <f t="shared" si="42"/>
        <v>89</v>
      </c>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6"/>
      <c r="AY25" s="236"/>
      <c r="AZ25" s="236"/>
      <c r="BA25" s="236"/>
      <c r="BB25" s="236"/>
      <c r="BC25" s="236"/>
      <c r="BD25" s="236"/>
      <c r="BE25" s="236"/>
      <c r="BF25" s="236"/>
      <c r="BG25" s="236"/>
      <c r="BH25" s="236"/>
      <c r="BI25" s="236"/>
      <c r="BJ25" s="236"/>
      <c r="BK25" s="236"/>
      <c r="BL25" s="236"/>
      <c r="BM25" s="236"/>
      <c r="BN25" s="236"/>
      <c r="BO25" s="236"/>
      <c r="BP25" s="236"/>
      <c r="BQ25" s="236"/>
      <c r="BR25" s="236"/>
      <c r="BS25" s="236"/>
      <c r="BT25" s="236"/>
      <c r="BU25" s="236"/>
      <c r="BV25" s="236"/>
      <c r="BW25" s="236"/>
      <c r="BX25" s="236"/>
      <c r="BY25" s="236"/>
      <c r="BZ25" s="238"/>
      <c r="CA25" s="236"/>
      <c r="CB25" s="236"/>
      <c r="CC25" s="236"/>
      <c r="CD25" s="238"/>
      <c r="CE25" s="238"/>
      <c r="CF25" s="238"/>
      <c r="CG25" s="238"/>
      <c r="CH25" s="238"/>
      <c r="CI25" s="230">
        <f t="shared" si="0"/>
        <v>0</v>
      </c>
      <c r="CJ25" s="232" t="e">
        <f t="shared" si="1"/>
        <v>#DIV/0!</v>
      </c>
      <c r="CK25" s="232" t="e">
        <f t="shared" si="2"/>
        <v>#DIV/0!</v>
      </c>
      <c r="CL25" s="232" t="e">
        <f t="shared" si="3"/>
        <v>#DIV/0!</v>
      </c>
      <c r="CM25" s="232" t="e">
        <f t="shared" si="4"/>
        <v>#DIV/0!</v>
      </c>
      <c r="CN25" s="232" t="e">
        <f t="shared" si="5"/>
        <v>#DIV/0!</v>
      </c>
      <c r="CO25" s="232" t="e">
        <f t="shared" si="6"/>
        <v>#DIV/0!</v>
      </c>
      <c r="CP25" s="232">
        <f t="shared" si="7"/>
        <v>0</v>
      </c>
      <c r="CQ25" s="232" t="e">
        <f t="shared" si="8"/>
        <v>#DIV/0!</v>
      </c>
      <c r="CR25" s="232" t="e">
        <f t="shared" si="9"/>
        <v>#DIV/0!</v>
      </c>
      <c r="CS25" s="232" t="e">
        <f t="shared" si="10"/>
        <v>#DIV/0!</v>
      </c>
      <c r="CT25" s="232" t="e">
        <f t="shared" si="11"/>
        <v>#DIV/0!</v>
      </c>
      <c r="CU25" s="232" t="e">
        <f t="shared" si="12"/>
        <v>#DIV/0!</v>
      </c>
      <c r="CV25" s="232" t="e">
        <f t="shared" si="13"/>
        <v>#DIV/0!</v>
      </c>
      <c r="CW25" s="232" t="e">
        <f t="shared" si="14"/>
        <v>#DIV/0!</v>
      </c>
      <c r="CX25" s="232" t="e">
        <f t="shared" si="15"/>
        <v>#DIV/0!</v>
      </c>
      <c r="CY25" s="232" t="e">
        <f t="shared" si="16"/>
        <v>#DIV/0!</v>
      </c>
      <c r="CZ25" s="232">
        <f t="shared" si="33"/>
        <v>0</v>
      </c>
      <c r="DA25" s="232" t="e">
        <f t="shared" si="17"/>
        <v>#DIV/0!</v>
      </c>
      <c r="DB25" s="232" t="e">
        <f t="shared" si="18"/>
        <v>#DIV/0!</v>
      </c>
      <c r="DC25" s="232" t="e">
        <f t="shared" si="19"/>
        <v>#DIV/0!</v>
      </c>
      <c r="DD25" s="232" t="e">
        <f t="shared" si="20"/>
        <v>#DIV/0!</v>
      </c>
      <c r="DE25" s="232" t="e">
        <f t="shared" si="21"/>
        <v>#DIV/0!</v>
      </c>
      <c r="DF25" s="232">
        <f t="shared" si="22"/>
        <v>0</v>
      </c>
      <c r="DG25" s="232">
        <f t="shared" si="23"/>
        <v>0</v>
      </c>
      <c r="DH25" s="232">
        <f t="shared" si="24"/>
        <v>0</v>
      </c>
      <c r="DI25" s="232" t="e">
        <f t="shared" si="25"/>
        <v>#DIV/0!</v>
      </c>
      <c r="DJ25" s="232" t="e">
        <f t="shared" si="26"/>
        <v>#DIV/0!</v>
      </c>
      <c r="DK25" s="232" t="e">
        <f t="shared" si="27"/>
        <v>#DIV/0!</v>
      </c>
      <c r="DL25" s="232" t="e">
        <f t="shared" si="34"/>
        <v>#DIV/0!</v>
      </c>
      <c r="DM25" s="232" t="e">
        <f t="shared" si="28"/>
        <v>#DIV/0!</v>
      </c>
      <c r="DN25" s="232">
        <f t="shared" si="29"/>
        <v>0</v>
      </c>
      <c r="DO25" s="232" t="e">
        <f t="shared" si="30"/>
        <v>#DIV/0!</v>
      </c>
      <c r="DP25" s="232">
        <f t="shared" si="35"/>
        <v>0</v>
      </c>
      <c r="DQ25" s="232">
        <f t="shared" si="36"/>
        <v>0</v>
      </c>
      <c r="DR25" s="232" t="e">
        <f t="shared" si="37"/>
        <v>#DIV/0!</v>
      </c>
      <c r="DS25" s="232" t="e">
        <f t="shared" si="38"/>
        <v>#DIV/0!</v>
      </c>
      <c r="DT25" s="232" t="e">
        <f t="shared" si="39"/>
        <v>#DIV/0!</v>
      </c>
      <c r="DU25" s="232" t="e">
        <f t="shared" si="40"/>
        <v>#DIV/0!</v>
      </c>
      <c r="DV25" s="232" t="e">
        <f t="shared" si="41"/>
        <v>#DIV/0!</v>
      </c>
    </row>
    <row r="26" spans="1:126" ht="13">
      <c r="A26" s="115">
        <f t="shared" si="31"/>
        <v>0</v>
      </c>
      <c r="B26" s="115">
        <f t="shared" si="32"/>
        <v>0</v>
      </c>
      <c r="C26" s="114">
        <f t="shared" si="42"/>
        <v>90</v>
      </c>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6"/>
      <c r="AZ26" s="236"/>
      <c r="BA26" s="236"/>
      <c r="BB26" s="236"/>
      <c r="BC26" s="236"/>
      <c r="BD26" s="236"/>
      <c r="BE26" s="236"/>
      <c r="BF26" s="236"/>
      <c r="BG26" s="236"/>
      <c r="BH26" s="236"/>
      <c r="BI26" s="236"/>
      <c r="BJ26" s="236"/>
      <c r="BK26" s="236"/>
      <c r="BL26" s="236"/>
      <c r="BM26" s="236"/>
      <c r="BN26" s="236"/>
      <c r="BO26" s="236"/>
      <c r="BP26" s="236"/>
      <c r="BQ26" s="236"/>
      <c r="BR26" s="236"/>
      <c r="BS26" s="236"/>
      <c r="BT26" s="236"/>
      <c r="BU26" s="236"/>
      <c r="BV26" s="236"/>
      <c r="BW26" s="236"/>
      <c r="BX26" s="236"/>
      <c r="BY26" s="236"/>
      <c r="BZ26" s="238"/>
      <c r="CA26" s="236"/>
      <c r="CB26" s="236"/>
      <c r="CC26" s="236"/>
      <c r="CD26" s="238"/>
      <c r="CE26" s="238"/>
      <c r="CF26" s="238"/>
      <c r="CG26" s="238"/>
      <c r="CH26" s="238"/>
      <c r="CI26" s="230">
        <f t="shared" si="0"/>
        <v>0</v>
      </c>
      <c r="CJ26" s="232" t="e">
        <f t="shared" si="1"/>
        <v>#DIV/0!</v>
      </c>
      <c r="CK26" s="232" t="e">
        <f t="shared" si="2"/>
        <v>#DIV/0!</v>
      </c>
      <c r="CL26" s="232" t="e">
        <f t="shared" si="3"/>
        <v>#DIV/0!</v>
      </c>
      <c r="CM26" s="232" t="e">
        <f t="shared" si="4"/>
        <v>#DIV/0!</v>
      </c>
      <c r="CN26" s="232" t="e">
        <f t="shared" si="5"/>
        <v>#DIV/0!</v>
      </c>
      <c r="CO26" s="232" t="e">
        <f t="shared" si="6"/>
        <v>#DIV/0!</v>
      </c>
      <c r="CP26" s="232">
        <f t="shared" si="7"/>
        <v>0</v>
      </c>
      <c r="CQ26" s="232" t="e">
        <f t="shared" si="8"/>
        <v>#DIV/0!</v>
      </c>
      <c r="CR26" s="232" t="e">
        <f t="shared" si="9"/>
        <v>#DIV/0!</v>
      </c>
      <c r="CS26" s="232" t="e">
        <f t="shared" si="10"/>
        <v>#DIV/0!</v>
      </c>
      <c r="CT26" s="232" t="e">
        <f t="shared" si="11"/>
        <v>#DIV/0!</v>
      </c>
      <c r="CU26" s="232" t="e">
        <f t="shared" si="12"/>
        <v>#DIV/0!</v>
      </c>
      <c r="CV26" s="232" t="e">
        <f t="shared" si="13"/>
        <v>#DIV/0!</v>
      </c>
      <c r="CW26" s="232" t="e">
        <f t="shared" si="14"/>
        <v>#DIV/0!</v>
      </c>
      <c r="CX26" s="232" t="e">
        <f t="shared" si="15"/>
        <v>#DIV/0!</v>
      </c>
      <c r="CY26" s="232" t="e">
        <f t="shared" si="16"/>
        <v>#DIV/0!</v>
      </c>
      <c r="CZ26" s="232">
        <f t="shared" si="33"/>
        <v>0</v>
      </c>
      <c r="DA26" s="232" t="e">
        <f t="shared" si="17"/>
        <v>#DIV/0!</v>
      </c>
      <c r="DB26" s="232" t="e">
        <f t="shared" si="18"/>
        <v>#DIV/0!</v>
      </c>
      <c r="DC26" s="232" t="e">
        <f t="shared" si="19"/>
        <v>#DIV/0!</v>
      </c>
      <c r="DD26" s="232" t="e">
        <f t="shared" si="20"/>
        <v>#DIV/0!</v>
      </c>
      <c r="DE26" s="232" t="e">
        <f t="shared" si="21"/>
        <v>#DIV/0!</v>
      </c>
      <c r="DF26" s="232">
        <f t="shared" si="22"/>
        <v>0</v>
      </c>
      <c r="DG26" s="232">
        <f t="shared" si="23"/>
        <v>0</v>
      </c>
      <c r="DH26" s="232">
        <f t="shared" si="24"/>
        <v>0</v>
      </c>
      <c r="DI26" s="232" t="e">
        <f t="shared" si="25"/>
        <v>#DIV/0!</v>
      </c>
      <c r="DJ26" s="232" t="e">
        <f t="shared" si="26"/>
        <v>#DIV/0!</v>
      </c>
      <c r="DK26" s="232" t="e">
        <f t="shared" si="27"/>
        <v>#DIV/0!</v>
      </c>
      <c r="DL26" s="232" t="e">
        <f t="shared" si="34"/>
        <v>#DIV/0!</v>
      </c>
      <c r="DM26" s="232" t="e">
        <f t="shared" si="28"/>
        <v>#DIV/0!</v>
      </c>
      <c r="DN26" s="232">
        <f t="shared" si="29"/>
        <v>0</v>
      </c>
      <c r="DO26" s="232" t="e">
        <f t="shared" si="30"/>
        <v>#DIV/0!</v>
      </c>
      <c r="DP26" s="232">
        <f t="shared" si="35"/>
        <v>0</v>
      </c>
      <c r="DQ26" s="232">
        <f t="shared" si="36"/>
        <v>0</v>
      </c>
      <c r="DR26" s="232" t="e">
        <f t="shared" si="37"/>
        <v>#DIV/0!</v>
      </c>
      <c r="DS26" s="232" t="e">
        <f t="shared" si="38"/>
        <v>#DIV/0!</v>
      </c>
      <c r="DT26" s="232" t="e">
        <f t="shared" si="39"/>
        <v>#DIV/0!</v>
      </c>
      <c r="DU26" s="232" t="e">
        <f t="shared" si="40"/>
        <v>#DIV/0!</v>
      </c>
      <c r="DV26" s="232" t="e">
        <f t="shared" si="41"/>
        <v>#DIV/0!</v>
      </c>
    </row>
    <row r="27" spans="1:126" ht="13">
      <c r="A27" s="115">
        <f t="shared" si="31"/>
        <v>0</v>
      </c>
      <c r="B27" s="115">
        <f t="shared" si="32"/>
        <v>0</v>
      </c>
      <c r="C27" s="114">
        <f t="shared" si="42"/>
        <v>91</v>
      </c>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6"/>
      <c r="BD27" s="236"/>
      <c r="BE27" s="236"/>
      <c r="BF27" s="236"/>
      <c r="BG27" s="236"/>
      <c r="BH27" s="236"/>
      <c r="BI27" s="236"/>
      <c r="BJ27" s="236"/>
      <c r="BK27" s="236"/>
      <c r="BL27" s="236"/>
      <c r="BM27" s="236"/>
      <c r="BN27" s="236"/>
      <c r="BO27" s="236"/>
      <c r="BP27" s="236"/>
      <c r="BQ27" s="236"/>
      <c r="BR27" s="236"/>
      <c r="BS27" s="236"/>
      <c r="BT27" s="236"/>
      <c r="BU27" s="236"/>
      <c r="BV27" s="236"/>
      <c r="BW27" s="236"/>
      <c r="BX27" s="236"/>
      <c r="BY27" s="236"/>
      <c r="BZ27" s="238"/>
      <c r="CA27" s="236"/>
      <c r="CB27" s="236"/>
      <c r="CC27" s="236"/>
      <c r="CD27" s="238"/>
      <c r="CE27" s="238"/>
      <c r="CF27" s="238"/>
      <c r="CG27" s="238"/>
      <c r="CH27" s="238"/>
      <c r="CI27" s="230">
        <f t="shared" si="0"/>
        <v>0</v>
      </c>
      <c r="CJ27" s="232" t="e">
        <f t="shared" si="1"/>
        <v>#DIV/0!</v>
      </c>
      <c r="CK27" s="232" t="e">
        <f t="shared" si="2"/>
        <v>#DIV/0!</v>
      </c>
      <c r="CL27" s="232" t="e">
        <f t="shared" si="3"/>
        <v>#DIV/0!</v>
      </c>
      <c r="CM27" s="232" t="e">
        <f t="shared" si="4"/>
        <v>#DIV/0!</v>
      </c>
      <c r="CN27" s="232" t="e">
        <f t="shared" si="5"/>
        <v>#DIV/0!</v>
      </c>
      <c r="CO27" s="232" t="e">
        <f t="shared" si="6"/>
        <v>#DIV/0!</v>
      </c>
      <c r="CP27" s="232">
        <f t="shared" si="7"/>
        <v>0</v>
      </c>
      <c r="CQ27" s="232" t="e">
        <f t="shared" si="8"/>
        <v>#DIV/0!</v>
      </c>
      <c r="CR27" s="232" t="e">
        <f t="shared" si="9"/>
        <v>#DIV/0!</v>
      </c>
      <c r="CS27" s="232" t="e">
        <f t="shared" si="10"/>
        <v>#DIV/0!</v>
      </c>
      <c r="CT27" s="232" t="e">
        <f t="shared" si="11"/>
        <v>#DIV/0!</v>
      </c>
      <c r="CU27" s="232" t="e">
        <f t="shared" si="12"/>
        <v>#DIV/0!</v>
      </c>
      <c r="CV27" s="232" t="e">
        <f t="shared" si="13"/>
        <v>#DIV/0!</v>
      </c>
      <c r="CW27" s="232" t="e">
        <f t="shared" si="14"/>
        <v>#DIV/0!</v>
      </c>
      <c r="CX27" s="232" t="e">
        <f t="shared" si="15"/>
        <v>#DIV/0!</v>
      </c>
      <c r="CY27" s="232" t="e">
        <f t="shared" si="16"/>
        <v>#DIV/0!</v>
      </c>
      <c r="CZ27" s="232">
        <f t="shared" si="33"/>
        <v>0</v>
      </c>
      <c r="DA27" s="232" t="e">
        <f t="shared" si="17"/>
        <v>#DIV/0!</v>
      </c>
      <c r="DB27" s="232" t="e">
        <f t="shared" si="18"/>
        <v>#DIV/0!</v>
      </c>
      <c r="DC27" s="232" t="e">
        <f t="shared" si="19"/>
        <v>#DIV/0!</v>
      </c>
      <c r="DD27" s="232" t="e">
        <f t="shared" si="20"/>
        <v>#DIV/0!</v>
      </c>
      <c r="DE27" s="232" t="e">
        <f t="shared" si="21"/>
        <v>#DIV/0!</v>
      </c>
      <c r="DF27" s="232">
        <f t="shared" si="22"/>
        <v>0</v>
      </c>
      <c r="DG27" s="232">
        <f t="shared" si="23"/>
        <v>0</v>
      </c>
      <c r="DH27" s="232">
        <f t="shared" si="24"/>
        <v>0</v>
      </c>
      <c r="DI27" s="232" t="e">
        <f t="shared" si="25"/>
        <v>#DIV/0!</v>
      </c>
      <c r="DJ27" s="232" t="e">
        <f t="shared" si="26"/>
        <v>#DIV/0!</v>
      </c>
      <c r="DK27" s="232" t="e">
        <f t="shared" si="27"/>
        <v>#DIV/0!</v>
      </c>
      <c r="DL27" s="232" t="e">
        <f t="shared" si="34"/>
        <v>#DIV/0!</v>
      </c>
      <c r="DM27" s="232" t="e">
        <f t="shared" si="28"/>
        <v>#DIV/0!</v>
      </c>
      <c r="DN27" s="232">
        <f t="shared" si="29"/>
        <v>0</v>
      </c>
      <c r="DO27" s="232" t="e">
        <f t="shared" si="30"/>
        <v>#DIV/0!</v>
      </c>
      <c r="DP27" s="232">
        <f t="shared" si="35"/>
        <v>0</v>
      </c>
      <c r="DQ27" s="232">
        <f t="shared" si="36"/>
        <v>0</v>
      </c>
      <c r="DR27" s="232" t="e">
        <f t="shared" si="37"/>
        <v>#DIV/0!</v>
      </c>
      <c r="DS27" s="232" t="e">
        <f t="shared" si="38"/>
        <v>#DIV/0!</v>
      </c>
      <c r="DT27" s="232" t="e">
        <f t="shared" si="39"/>
        <v>#DIV/0!</v>
      </c>
      <c r="DU27" s="232" t="e">
        <f t="shared" si="40"/>
        <v>#DIV/0!</v>
      </c>
      <c r="DV27" s="232" t="e">
        <f t="shared" si="41"/>
        <v>#DIV/0!</v>
      </c>
    </row>
    <row r="28" spans="1:126" ht="13">
      <c r="A28" s="115">
        <f t="shared" si="31"/>
        <v>0</v>
      </c>
      <c r="B28" s="115">
        <f t="shared" si="32"/>
        <v>0</v>
      </c>
      <c r="C28" s="114">
        <f t="shared" si="42"/>
        <v>92</v>
      </c>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6"/>
      <c r="AQ28" s="236"/>
      <c r="AR28" s="236"/>
      <c r="AS28" s="236"/>
      <c r="AT28" s="236"/>
      <c r="AU28" s="236"/>
      <c r="AV28" s="236"/>
      <c r="AW28" s="236"/>
      <c r="AX28" s="236"/>
      <c r="AY28" s="236"/>
      <c r="AZ28" s="236"/>
      <c r="BA28" s="236"/>
      <c r="BB28" s="236"/>
      <c r="BC28" s="236"/>
      <c r="BD28" s="236"/>
      <c r="BE28" s="236"/>
      <c r="BF28" s="236"/>
      <c r="BG28" s="236"/>
      <c r="BH28" s="236"/>
      <c r="BI28" s="236"/>
      <c r="BJ28" s="236"/>
      <c r="BK28" s="236"/>
      <c r="BL28" s="236"/>
      <c r="BM28" s="236"/>
      <c r="BN28" s="236"/>
      <c r="BO28" s="236"/>
      <c r="BP28" s="236"/>
      <c r="BQ28" s="236"/>
      <c r="BR28" s="236"/>
      <c r="BS28" s="236"/>
      <c r="BT28" s="236"/>
      <c r="BU28" s="236"/>
      <c r="BV28" s="236"/>
      <c r="BW28" s="236"/>
      <c r="BX28" s="236"/>
      <c r="BY28" s="236"/>
      <c r="BZ28" s="238"/>
      <c r="CA28" s="236"/>
      <c r="CB28" s="236"/>
      <c r="CC28" s="236"/>
      <c r="CD28" s="238"/>
      <c r="CE28" s="238"/>
      <c r="CF28" s="238"/>
      <c r="CG28" s="238"/>
      <c r="CH28" s="238"/>
      <c r="CI28" s="230">
        <f t="shared" si="0"/>
        <v>0</v>
      </c>
      <c r="CJ28" s="232" t="e">
        <f t="shared" si="1"/>
        <v>#DIV/0!</v>
      </c>
      <c r="CK28" s="232" t="e">
        <f t="shared" si="2"/>
        <v>#DIV/0!</v>
      </c>
      <c r="CL28" s="232" t="e">
        <f t="shared" si="3"/>
        <v>#DIV/0!</v>
      </c>
      <c r="CM28" s="232" t="e">
        <f t="shared" si="4"/>
        <v>#DIV/0!</v>
      </c>
      <c r="CN28" s="232" t="e">
        <f t="shared" si="5"/>
        <v>#DIV/0!</v>
      </c>
      <c r="CO28" s="232" t="e">
        <f t="shared" si="6"/>
        <v>#DIV/0!</v>
      </c>
      <c r="CP28" s="232">
        <f t="shared" si="7"/>
        <v>0</v>
      </c>
      <c r="CQ28" s="232" t="e">
        <f t="shared" si="8"/>
        <v>#DIV/0!</v>
      </c>
      <c r="CR28" s="232" t="e">
        <f t="shared" si="9"/>
        <v>#DIV/0!</v>
      </c>
      <c r="CS28" s="232" t="e">
        <f t="shared" si="10"/>
        <v>#DIV/0!</v>
      </c>
      <c r="CT28" s="232" t="e">
        <f t="shared" si="11"/>
        <v>#DIV/0!</v>
      </c>
      <c r="CU28" s="232" t="e">
        <f t="shared" si="12"/>
        <v>#DIV/0!</v>
      </c>
      <c r="CV28" s="232" t="e">
        <f t="shared" si="13"/>
        <v>#DIV/0!</v>
      </c>
      <c r="CW28" s="232" t="e">
        <f t="shared" si="14"/>
        <v>#DIV/0!</v>
      </c>
      <c r="CX28" s="232" t="e">
        <f t="shared" si="15"/>
        <v>#DIV/0!</v>
      </c>
      <c r="CY28" s="232" t="e">
        <f t="shared" si="16"/>
        <v>#DIV/0!</v>
      </c>
      <c r="CZ28" s="232">
        <f t="shared" si="33"/>
        <v>0</v>
      </c>
      <c r="DA28" s="232" t="e">
        <f t="shared" si="17"/>
        <v>#DIV/0!</v>
      </c>
      <c r="DB28" s="232" t="e">
        <f t="shared" si="18"/>
        <v>#DIV/0!</v>
      </c>
      <c r="DC28" s="232" t="e">
        <f t="shared" si="19"/>
        <v>#DIV/0!</v>
      </c>
      <c r="DD28" s="232" t="e">
        <f t="shared" si="20"/>
        <v>#DIV/0!</v>
      </c>
      <c r="DE28" s="232" t="e">
        <f t="shared" si="21"/>
        <v>#DIV/0!</v>
      </c>
      <c r="DF28" s="232">
        <f t="shared" si="22"/>
        <v>0</v>
      </c>
      <c r="DG28" s="232">
        <f t="shared" si="23"/>
        <v>0</v>
      </c>
      <c r="DH28" s="232">
        <f t="shared" si="24"/>
        <v>0</v>
      </c>
      <c r="DI28" s="232" t="e">
        <f t="shared" si="25"/>
        <v>#DIV/0!</v>
      </c>
      <c r="DJ28" s="232" t="e">
        <f t="shared" si="26"/>
        <v>#DIV/0!</v>
      </c>
      <c r="DK28" s="232" t="e">
        <f t="shared" si="27"/>
        <v>#DIV/0!</v>
      </c>
      <c r="DL28" s="232" t="e">
        <f t="shared" si="34"/>
        <v>#DIV/0!</v>
      </c>
      <c r="DM28" s="232" t="e">
        <f t="shared" si="28"/>
        <v>#DIV/0!</v>
      </c>
      <c r="DN28" s="232">
        <f t="shared" si="29"/>
        <v>0</v>
      </c>
      <c r="DO28" s="232" t="e">
        <f t="shared" si="30"/>
        <v>#DIV/0!</v>
      </c>
      <c r="DP28" s="232">
        <f t="shared" si="35"/>
        <v>0</v>
      </c>
      <c r="DQ28" s="232">
        <f t="shared" si="36"/>
        <v>0</v>
      </c>
      <c r="DR28" s="232" t="e">
        <f t="shared" si="37"/>
        <v>#DIV/0!</v>
      </c>
      <c r="DS28" s="232" t="e">
        <f t="shared" si="38"/>
        <v>#DIV/0!</v>
      </c>
      <c r="DT28" s="232" t="e">
        <f t="shared" si="39"/>
        <v>#DIV/0!</v>
      </c>
      <c r="DU28" s="232" t="e">
        <f t="shared" si="40"/>
        <v>#DIV/0!</v>
      </c>
      <c r="DV28" s="232" t="e">
        <f t="shared" si="41"/>
        <v>#DIV/0!</v>
      </c>
    </row>
    <row r="29" spans="1:126" ht="13">
      <c r="A29" s="115">
        <f t="shared" si="31"/>
        <v>0</v>
      </c>
      <c r="B29" s="115">
        <f t="shared" si="32"/>
        <v>0</v>
      </c>
      <c r="C29" s="114">
        <f t="shared" si="42"/>
        <v>93</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6"/>
      <c r="AW29" s="236"/>
      <c r="AX29" s="236"/>
      <c r="AY29" s="236"/>
      <c r="AZ29" s="236"/>
      <c r="BA29" s="236"/>
      <c r="BB29" s="236"/>
      <c r="BC29" s="236"/>
      <c r="BD29" s="236"/>
      <c r="BE29" s="236"/>
      <c r="BF29" s="236"/>
      <c r="BG29" s="236"/>
      <c r="BH29" s="236"/>
      <c r="BI29" s="236"/>
      <c r="BJ29" s="236"/>
      <c r="BK29" s="236"/>
      <c r="BL29" s="236"/>
      <c r="BM29" s="236"/>
      <c r="BN29" s="236"/>
      <c r="BO29" s="236"/>
      <c r="BP29" s="236"/>
      <c r="BQ29" s="236"/>
      <c r="BR29" s="236"/>
      <c r="BS29" s="236"/>
      <c r="BT29" s="236"/>
      <c r="BU29" s="236"/>
      <c r="BV29" s="236"/>
      <c r="BW29" s="236"/>
      <c r="BX29" s="236"/>
      <c r="BY29" s="236"/>
      <c r="BZ29" s="238"/>
      <c r="CA29" s="236"/>
      <c r="CB29" s="236"/>
      <c r="CC29" s="236"/>
      <c r="CD29" s="238"/>
      <c r="CE29" s="238"/>
      <c r="CF29" s="238"/>
      <c r="CG29" s="238"/>
      <c r="CH29" s="238"/>
      <c r="CI29" s="230">
        <f t="shared" si="0"/>
        <v>0</v>
      </c>
      <c r="CJ29" s="232" t="e">
        <f t="shared" si="1"/>
        <v>#DIV/0!</v>
      </c>
      <c r="CK29" s="232" t="e">
        <f t="shared" si="2"/>
        <v>#DIV/0!</v>
      </c>
      <c r="CL29" s="232" t="e">
        <f t="shared" si="3"/>
        <v>#DIV/0!</v>
      </c>
      <c r="CM29" s="232" t="e">
        <f t="shared" si="4"/>
        <v>#DIV/0!</v>
      </c>
      <c r="CN29" s="232" t="e">
        <f t="shared" si="5"/>
        <v>#DIV/0!</v>
      </c>
      <c r="CO29" s="232" t="e">
        <f t="shared" si="6"/>
        <v>#DIV/0!</v>
      </c>
      <c r="CP29" s="232">
        <f t="shared" si="7"/>
        <v>0</v>
      </c>
      <c r="CQ29" s="232" t="e">
        <f t="shared" si="8"/>
        <v>#DIV/0!</v>
      </c>
      <c r="CR29" s="232" t="e">
        <f t="shared" si="9"/>
        <v>#DIV/0!</v>
      </c>
      <c r="CS29" s="232" t="e">
        <f t="shared" si="10"/>
        <v>#DIV/0!</v>
      </c>
      <c r="CT29" s="232" t="e">
        <f t="shared" si="11"/>
        <v>#DIV/0!</v>
      </c>
      <c r="CU29" s="232" t="e">
        <f t="shared" si="12"/>
        <v>#DIV/0!</v>
      </c>
      <c r="CV29" s="232" t="e">
        <f t="shared" si="13"/>
        <v>#DIV/0!</v>
      </c>
      <c r="CW29" s="232" t="e">
        <f t="shared" si="14"/>
        <v>#DIV/0!</v>
      </c>
      <c r="CX29" s="232" t="e">
        <f t="shared" si="15"/>
        <v>#DIV/0!</v>
      </c>
      <c r="CY29" s="232" t="e">
        <f t="shared" si="16"/>
        <v>#DIV/0!</v>
      </c>
      <c r="CZ29" s="232">
        <f t="shared" si="33"/>
        <v>0</v>
      </c>
      <c r="DA29" s="232" t="e">
        <f t="shared" si="17"/>
        <v>#DIV/0!</v>
      </c>
      <c r="DB29" s="232" t="e">
        <f t="shared" si="18"/>
        <v>#DIV/0!</v>
      </c>
      <c r="DC29" s="232" t="e">
        <f t="shared" si="19"/>
        <v>#DIV/0!</v>
      </c>
      <c r="DD29" s="232" t="e">
        <f t="shared" si="20"/>
        <v>#DIV/0!</v>
      </c>
      <c r="DE29" s="232" t="e">
        <f t="shared" si="21"/>
        <v>#DIV/0!</v>
      </c>
      <c r="DF29" s="232">
        <f t="shared" si="22"/>
        <v>0</v>
      </c>
      <c r="DG29" s="232">
        <f t="shared" si="23"/>
        <v>0</v>
      </c>
      <c r="DH29" s="232">
        <f t="shared" si="24"/>
        <v>0</v>
      </c>
      <c r="DI29" s="232" t="e">
        <f t="shared" si="25"/>
        <v>#DIV/0!</v>
      </c>
      <c r="DJ29" s="232" t="e">
        <f t="shared" si="26"/>
        <v>#DIV/0!</v>
      </c>
      <c r="DK29" s="232" t="e">
        <f t="shared" si="27"/>
        <v>#DIV/0!</v>
      </c>
      <c r="DL29" s="232" t="e">
        <f t="shared" si="34"/>
        <v>#DIV/0!</v>
      </c>
      <c r="DM29" s="232" t="e">
        <f t="shared" si="28"/>
        <v>#DIV/0!</v>
      </c>
      <c r="DN29" s="232">
        <f t="shared" si="29"/>
        <v>0</v>
      </c>
      <c r="DO29" s="232" t="e">
        <f t="shared" si="30"/>
        <v>#DIV/0!</v>
      </c>
      <c r="DP29" s="232">
        <f t="shared" si="35"/>
        <v>0</v>
      </c>
      <c r="DQ29" s="232">
        <f t="shared" si="36"/>
        <v>0</v>
      </c>
      <c r="DR29" s="232" t="e">
        <f t="shared" si="37"/>
        <v>#DIV/0!</v>
      </c>
      <c r="DS29" s="232" t="e">
        <f t="shared" si="38"/>
        <v>#DIV/0!</v>
      </c>
      <c r="DT29" s="232" t="e">
        <f t="shared" si="39"/>
        <v>#DIV/0!</v>
      </c>
      <c r="DU29" s="232" t="e">
        <f t="shared" si="40"/>
        <v>#DIV/0!</v>
      </c>
      <c r="DV29" s="232" t="e">
        <f t="shared" si="41"/>
        <v>#DIV/0!</v>
      </c>
    </row>
    <row r="30" spans="1:126" ht="13">
      <c r="A30" s="115">
        <f t="shared" si="31"/>
        <v>0</v>
      </c>
      <c r="B30" s="115">
        <f t="shared" si="32"/>
        <v>0</v>
      </c>
      <c r="C30" s="114">
        <f t="shared" si="42"/>
        <v>94</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c r="BG30" s="236"/>
      <c r="BH30" s="236"/>
      <c r="BI30" s="236"/>
      <c r="BJ30" s="236"/>
      <c r="BK30" s="236"/>
      <c r="BL30" s="236"/>
      <c r="BM30" s="236"/>
      <c r="BN30" s="236"/>
      <c r="BO30" s="236"/>
      <c r="BP30" s="236"/>
      <c r="BQ30" s="236"/>
      <c r="BR30" s="236"/>
      <c r="BS30" s="236"/>
      <c r="BT30" s="236"/>
      <c r="BU30" s="236"/>
      <c r="BV30" s="236"/>
      <c r="BW30" s="236"/>
      <c r="BX30" s="236"/>
      <c r="BY30" s="236"/>
      <c r="BZ30" s="238"/>
      <c r="CA30" s="236"/>
      <c r="CB30" s="236"/>
      <c r="CC30" s="236"/>
      <c r="CD30" s="238"/>
      <c r="CE30" s="238"/>
      <c r="CF30" s="238"/>
      <c r="CG30" s="238"/>
      <c r="CH30" s="238"/>
      <c r="CI30" s="230">
        <f t="shared" si="0"/>
        <v>0</v>
      </c>
      <c r="CJ30" s="232" t="e">
        <f t="shared" si="1"/>
        <v>#DIV/0!</v>
      </c>
      <c r="CK30" s="232" t="e">
        <f t="shared" si="2"/>
        <v>#DIV/0!</v>
      </c>
      <c r="CL30" s="232" t="e">
        <f t="shared" si="3"/>
        <v>#DIV/0!</v>
      </c>
      <c r="CM30" s="232" t="e">
        <f t="shared" si="4"/>
        <v>#DIV/0!</v>
      </c>
      <c r="CN30" s="232" t="e">
        <f t="shared" si="5"/>
        <v>#DIV/0!</v>
      </c>
      <c r="CO30" s="232" t="e">
        <f t="shared" si="6"/>
        <v>#DIV/0!</v>
      </c>
      <c r="CP30" s="232">
        <f t="shared" si="7"/>
        <v>0</v>
      </c>
      <c r="CQ30" s="232" t="e">
        <f t="shared" si="8"/>
        <v>#DIV/0!</v>
      </c>
      <c r="CR30" s="232" t="e">
        <f t="shared" si="9"/>
        <v>#DIV/0!</v>
      </c>
      <c r="CS30" s="232" t="e">
        <f t="shared" si="10"/>
        <v>#DIV/0!</v>
      </c>
      <c r="CT30" s="232" t="e">
        <f t="shared" si="11"/>
        <v>#DIV/0!</v>
      </c>
      <c r="CU30" s="232" t="e">
        <f t="shared" si="12"/>
        <v>#DIV/0!</v>
      </c>
      <c r="CV30" s="232" t="e">
        <f t="shared" si="13"/>
        <v>#DIV/0!</v>
      </c>
      <c r="CW30" s="232" t="e">
        <f t="shared" si="14"/>
        <v>#DIV/0!</v>
      </c>
      <c r="CX30" s="232" t="e">
        <f t="shared" si="15"/>
        <v>#DIV/0!</v>
      </c>
      <c r="CY30" s="232" t="e">
        <f t="shared" si="16"/>
        <v>#DIV/0!</v>
      </c>
      <c r="CZ30" s="232">
        <f t="shared" si="33"/>
        <v>0</v>
      </c>
      <c r="DA30" s="232" t="e">
        <f t="shared" si="17"/>
        <v>#DIV/0!</v>
      </c>
      <c r="DB30" s="232" t="e">
        <f t="shared" si="18"/>
        <v>#DIV/0!</v>
      </c>
      <c r="DC30" s="232" t="e">
        <f t="shared" si="19"/>
        <v>#DIV/0!</v>
      </c>
      <c r="DD30" s="232" t="e">
        <f t="shared" si="20"/>
        <v>#DIV/0!</v>
      </c>
      <c r="DE30" s="232" t="e">
        <f t="shared" si="21"/>
        <v>#DIV/0!</v>
      </c>
      <c r="DF30" s="232">
        <f t="shared" si="22"/>
        <v>0</v>
      </c>
      <c r="DG30" s="232">
        <f t="shared" si="23"/>
        <v>0</v>
      </c>
      <c r="DH30" s="232">
        <f t="shared" si="24"/>
        <v>0</v>
      </c>
      <c r="DI30" s="232" t="e">
        <f t="shared" si="25"/>
        <v>#DIV/0!</v>
      </c>
      <c r="DJ30" s="232" t="e">
        <f t="shared" si="26"/>
        <v>#DIV/0!</v>
      </c>
      <c r="DK30" s="232" t="e">
        <f t="shared" si="27"/>
        <v>#DIV/0!</v>
      </c>
      <c r="DL30" s="232" t="e">
        <f t="shared" si="34"/>
        <v>#DIV/0!</v>
      </c>
      <c r="DM30" s="232" t="e">
        <f t="shared" si="28"/>
        <v>#DIV/0!</v>
      </c>
      <c r="DN30" s="232">
        <f t="shared" si="29"/>
        <v>0</v>
      </c>
      <c r="DO30" s="232" t="e">
        <f t="shared" si="30"/>
        <v>#DIV/0!</v>
      </c>
      <c r="DP30" s="232">
        <f t="shared" si="35"/>
        <v>0</v>
      </c>
      <c r="DQ30" s="232">
        <f t="shared" si="36"/>
        <v>0</v>
      </c>
      <c r="DR30" s="232" t="e">
        <f t="shared" si="37"/>
        <v>#DIV/0!</v>
      </c>
      <c r="DS30" s="232" t="e">
        <f t="shared" si="38"/>
        <v>#DIV/0!</v>
      </c>
      <c r="DT30" s="232" t="e">
        <f t="shared" si="39"/>
        <v>#DIV/0!</v>
      </c>
      <c r="DU30" s="232" t="e">
        <f t="shared" si="40"/>
        <v>#DIV/0!</v>
      </c>
      <c r="DV30" s="232" t="e">
        <f t="shared" si="41"/>
        <v>#DIV/0!</v>
      </c>
    </row>
    <row r="31" spans="1:126" ht="13">
      <c r="A31" s="115">
        <f t="shared" si="31"/>
        <v>0</v>
      </c>
      <c r="B31" s="115">
        <f t="shared" si="32"/>
        <v>0</v>
      </c>
      <c r="C31" s="114">
        <f t="shared" si="42"/>
        <v>95</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6"/>
      <c r="BH31" s="236"/>
      <c r="BI31" s="236"/>
      <c r="BJ31" s="236"/>
      <c r="BK31" s="236"/>
      <c r="BL31" s="236"/>
      <c r="BM31" s="236"/>
      <c r="BN31" s="236"/>
      <c r="BO31" s="236"/>
      <c r="BP31" s="236"/>
      <c r="BQ31" s="236"/>
      <c r="BR31" s="236"/>
      <c r="BS31" s="236"/>
      <c r="BT31" s="236"/>
      <c r="BU31" s="236"/>
      <c r="BV31" s="236"/>
      <c r="BW31" s="236"/>
      <c r="BX31" s="236"/>
      <c r="BY31" s="236"/>
      <c r="BZ31" s="238"/>
      <c r="CA31" s="236"/>
      <c r="CB31" s="236"/>
      <c r="CC31" s="236"/>
      <c r="CD31" s="238"/>
      <c r="CE31" s="238"/>
      <c r="CF31" s="238"/>
      <c r="CG31" s="238"/>
      <c r="CH31" s="238"/>
      <c r="CI31" s="230">
        <f t="shared" si="0"/>
        <v>0</v>
      </c>
      <c r="CJ31" s="233" t="e">
        <f t="shared" si="1"/>
        <v>#DIV/0!</v>
      </c>
      <c r="CK31" s="233" t="e">
        <f t="shared" si="2"/>
        <v>#DIV/0!</v>
      </c>
      <c r="CL31" s="233" t="e">
        <f t="shared" si="3"/>
        <v>#DIV/0!</v>
      </c>
      <c r="CM31" s="233" t="e">
        <f t="shared" si="4"/>
        <v>#DIV/0!</v>
      </c>
      <c r="CN31" s="233" t="e">
        <f t="shared" si="5"/>
        <v>#DIV/0!</v>
      </c>
      <c r="CO31" s="233" t="e">
        <f t="shared" si="6"/>
        <v>#DIV/0!</v>
      </c>
      <c r="CP31" s="233">
        <f t="shared" ref="CP31:CP37" si="43">AI31+AJ31</f>
        <v>0</v>
      </c>
      <c r="CQ31" s="233" t="e">
        <f t="shared" si="8"/>
        <v>#DIV/0!</v>
      </c>
      <c r="CR31" s="233" t="e">
        <f t="shared" si="9"/>
        <v>#DIV/0!</v>
      </c>
      <c r="CS31" s="233" t="e">
        <f t="shared" si="10"/>
        <v>#DIV/0!</v>
      </c>
      <c r="CT31" s="233" t="e">
        <f t="shared" si="11"/>
        <v>#DIV/0!</v>
      </c>
      <c r="CU31" s="233" t="e">
        <f t="shared" si="12"/>
        <v>#DIV/0!</v>
      </c>
      <c r="CV31" s="233" t="e">
        <f t="shared" si="13"/>
        <v>#DIV/0!</v>
      </c>
      <c r="CW31" s="233" t="e">
        <f t="shared" si="14"/>
        <v>#DIV/0!</v>
      </c>
      <c r="CX31" s="233" t="e">
        <f t="shared" si="15"/>
        <v>#DIV/0!</v>
      </c>
      <c r="CY31" s="233" t="e">
        <f t="shared" ref="CY31:CY36" si="44">AU31/AF31</f>
        <v>#DIV/0!</v>
      </c>
      <c r="CZ31" s="233">
        <f t="shared" ref="CZ31:CZ37" si="45">(O31-O30)</f>
        <v>0</v>
      </c>
      <c r="DA31" s="233" t="e">
        <f t="shared" si="17"/>
        <v>#DIV/0!</v>
      </c>
      <c r="DB31" s="233" t="e">
        <f t="shared" si="18"/>
        <v>#DIV/0!</v>
      </c>
      <c r="DC31" s="233" t="e">
        <f t="shared" si="19"/>
        <v>#DIV/0!</v>
      </c>
      <c r="DD31" s="233" t="e">
        <f t="shared" si="20"/>
        <v>#DIV/0!</v>
      </c>
      <c r="DE31" s="233" t="e">
        <f t="shared" si="21"/>
        <v>#DIV/0!</v>
      </c>
      <c r="DF31" s="233">
        <f t="shared" ref="DF31:DF68" si="46">(BF31+BG31)</f>
        <v>0</v>
      </c>
      <c r="DG31" s="233">
        <f t="shared" ref="DG31:DG68" si="47">Z31+AA31</f>
        <v>0</v>
      </c>
      <c r="DH31" s="233">
        <f t="shared" ref="DH31:DH36" si="48">BI31+BJ31</f>
        <v>0</v>
      </c>
      <c r="DI31" s="233" t="e">
        <f t="shared" si="25"/>
        <v>#DIV/0!</v>
      </c>
      <c r="DJ31" s="233" t="e">
        <f t="shared" si="26"/>
        <v>#DIV/0!</v>
      </c>
      <c r="DK31" s="233" t="e">
        <f t="shared" si="27"/>
        <v>#DIV/0!</v>
      </c>
      <c r="DL31" s="232" t="e">
        <f t="shared" si="34"/>
        <v>#DIV/0!</v>
      </c>
      <c r="DM31" s="233" t="e">
        <f t="shared" si="28"/>
        <v>#DIV/0!</v>
      </c>
      <c r="DN31" s="233">
        <f t="shared" ref="DN31:DN37" si="49">AK31+AL31+AN31</f>
        <v>0</v>
      </c>
      <c r="DO31" s="233" t="e">
        <f t="shared" si="30"/>
        <v>#DIV/0!</v>
      </c>
      <c r="DP31" s="232">
        <f t="shared" si="35"/>
        <v>0</v>
      </c>
      <c r="DQ31" s="232">
        <f t="shared" si="36"/>
        <v>0</v>
      </c>
      <c r="DR31" s="232" t="e">
        <f t="shared" si="37"/>
        <v>#DIV/0!</v>
      </c>
      <c r="DS31" s="232" t="e">
        <f t="shared" si="38"/>
        <v>#DIV/0!</v>
      </c>
      <c r="DT31" s="232" t="e">
        <f t="shared" si="39"/>
        <v>#DIV/0!</v>
      </c>
      <c r="DU31" s="232" t="e">
        <f t="shared" si="40"/>
        <v>#DIV/0!</v>
      </c>
      <c r="DV31" s="232" t="e">
        <f t="shared" si="41"/>
        <v>#DIV/0!</v>
      </c>
    </row>
    <row r="32" spans="1:126" ht="13">
      <c r="A32" s="115">
        <f t="shared" si="31"/>
        <v>0</v>
      </c>
      <c r="B32" s="115">
        <f t="shared" si="32"/>
        <v>0</v>
      </c>
      <c r="C32" s="114">
        <f t="shared" si="42"/>
        <v>96</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6"/>
      <c r="AY32" s="236"/>
      <c r="AZ32" s="236"/>
      <c r="BA32" s="236"/>
      <c r="BB32" s="236"/>
      <c r="BC32" s="236"/>
      <c r="BD32" s="236"/>
      <c r="BE32" s="236"/>
      <c r="BF32" s="236"/>
      <c r="BG32" s="236"/>
      <c r="BH32" s="236"/>
      <c r="BI32" s="236"/>
      <c r="BJ32" s="236"/>
      <c r="BK32" s="236"/>
      <c r="BL32" s="236"/>
      <c r="BM32" s="236"/>
      <c r="BN32" s="236"/>
      <c r="BO32" s="236"/>
      <c r="BP32" s="236"/>
      <c r="BQ32" s="236"/>
      <c r="BR32" s="236"/>
      <c r="BS32" s="236"/>
      <c r="BT32" s="236"/>
      <c r="BU32" s="236"/>
      <c r="BV32" s="236"/>
      <c r="BW32" s="236"/>
      <c r="BX32" s="236"/>
      <c r="BY32" s="236"/>
      <c r="BZ32" s="238"/>
      <c r="CA32" s="236"/>
      <c r="CB32" s="236"/>
      <c r="CC32" s="236"/>
      <c r="CD32" s="238"/>
      <c r="CE32" s="238"/>
      <c r="CF32" s="238"/>
      <c r="CG32" s="238"/>
      <c r="CH32" s="238"/>
      <c r="CI32" s="230">
        <f t="shared" si="0"/>
        <v>0</v>
      </c>
      <c r="CJ32" s="233" t="e">
        <f t="shared" si="1"/>
        <v>#DIV/0!</v>
      </c>
      <c r="CK32" s="233" t="e">
        <f t="shared" si="2"/>
        <v>#DIV/0!</v>
      </c>
      <c r="CL32" s="233" t="e">
        <f t="shared" si="3"/>
        <v>#DIV/0!</v>
      </c>
      <c r="CM32" s="233" t="e">
        <f t="shared" si="4"/>
        <v>#DIV/0!</v>
      </c>
      <c r="CN32" s="233" t="e">
        <f t="shared" si="5"/>
        <v>#DIV/0!</v>
      </c>
      <c r="CO32" s="233" t="e">
        <f t="shared" si="6"/>
        <v>#DIV/0!</v>
      </c>
      <c r="CP32" s="233">
        <f t="shared" si="43"/>
        <v>0</v>
      </c>
      <c r="CQ32" s="233" t="e">
        <f t="shared" si="8"/>
        <v>#DIV/0!</v>
      </c>
      <c r="CR32" s="233" t="e">
        <f t="shared" si="9"/>
        <v>#DIV/0!</v>
      </c>
      <c r="CS32" s="233" t="e">
        <f t="shared" si="10"/>
        <v>#DIV/0!</v>
      </c>
      <c r="CT32" s="233" t="e">
        <f t="shared" si="11"/>
        <v>#DIV/0!</v>
      </c>
      <c r="CU32" s="233" t="e">
        <f t="shared" si="12"/>
        <v>#DIV/0!</v>
      </c>
      <c r="CV32" s="233" t="e">
        <f t="shared" si="13"/>
        <v>#DIV/0!</v>
      </c>
      <c r="CW32" s="233" t="e">
        <f t="shared" si="14"/>
        <v>#DIV/0!</v>
      </c>
      <c r="CX32" s="233" t="e">
        <f t="shared" si="15"/>
        <v>#DIV/0!</v>
      </c>
      <c r="CY32" s="233" t="e">
        <f t="shared" si="44"/>
        <v>#DIV/0!</v>
      </c>
      <c r="CZ32" s="233">
        <f t="shared" si="45"/>
        <v>0</v>
      </c>
      <c r="DA32" s="233" t="e">
        <f t="shared" si="17"/>
        <v>#DIV/0!</v>
      </c>
      <c r="DB32" s="233" t="e">
        <f t="shared" si="18"/>
        <v>#DIV/0!</v>
      </c>
      <c r="DC32" s="233" t="e">
        <f t="shared" si="19"/>
        <v>#DIV/0!</v>
      </c>
      <c r="DD32" s="233" t="e">
        <f t="shared" si="20"/>
        <v>#DIV/0!</v>
      </c>
      <c r="DE32" s="233" t="e">
        <f t="shared" si="21"/>
        <v>#DIV/0!</v>
      </c>
      <c r="DF32" s="233">
        <f t="shared" si="46"/>
        <v>0</v>
      </c>
      <c r="DG32" s="233">
        <f t="shared" si="47"/>
        <v>0</v>
      </c>
      <c r="DH32" s="233">
        <f t="shared" si="48"/>
        <v>0</v>
      </c>
      <c r="DI32" s="233" t="e">
        <f t="shared" si="25"/>
        <v>#DIV/0!</v>
      </c>
      <c r="DJ32" s="233" t="e">
        <f t="shared" si="26"/>
        <v>#DIV/0!</v>
      </c>
      <c r="DK32" s="233" t="e">
        <f t="shared" si="27"/>
        <v>#DIV/0!</v>
      </c>
      <c r="DL32" s="232" t="e">
        <f t="shared" si="34"/>
        <v>#DIV/0!</v>
      </c>
      <c r="DM32" s="233" t="e">
        <f t="shared" si="28"/>
        <v>#DIV/0!</v>
      </c>
      <c r="DN32" s="233">
        <f t="shared" si="49"/>
        <v>0</v>
      </c>
      <c r="DO32" s="233" t="e">
        <f t="shared" si="30"/>
        <v>#DIV/0!</v>
      </c>
      <c r="DP32" s="232">
        <f t="shared" si="35"/>
        <v>0</v>
      </c>
      <c r="DQ32" s="232">
        <f t="shared" si="36"/>
        <v>0</v>
      </c>
      <c r="DR32" s="232" t="e">
        <f t="shared" si="37"/>
        <v>#DIV/0!</v>
      </c>
      <c r="DS32" s="232" t="e">
        <f t="shared" si="38"/>
        <v>#DIV/0!</v>
      </c>
      <c r="DT32" s="232" t="e">
        <f t="shared" si="39"/>
        <v>#DIV/0!</v>
      </c>
      <c r="DU32" s="232" t="e">
        <f t="shared" si="40"/>
        <v>#DIV/0!</v>
      </c>
      <c r="DV32" s="232" t="e">
        <f t="shared" si="41"/>
        <v>#DIV/0!</v>
      </c>
    </row>
    <row r="33" spans="1:126" ht="13">
      <c r="A33" s="115">
        <f t="shared" si="31"/>
        <v>0</v>
      </c>
      <c r="B33" s="115">
        <f t="shared" si="32"/>
        <v>0</v>
      </c>
      <c r="C33" s="114">
        <f t="shared" si="42"/>
        <v>97</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6"/>
      <c r="AY33" s="236"/>
      <c r="AZ33" s="236"/>
      <c r="BA33" s="236"/>
      <c r="BB33" s="236"/>
      <c r="BC33" s="236"/>
      <c r="BD33" s="236"/>
      <c r="BE33" s="236"/>
      <c r="BF33" s="236"/>
      <c r="BG33" s="236"/>
      <c r="BH33" s="236"/>
      <c r="BI33" s="236"/>
      <c r="BJ33" s="236"/>
      <c r="BK33" s="236"/>
      <c r="BL33" s="236"/>
      <c r="BM33" s="236"/>
      <c r="BN33" s="236"/>
      <c r="BO33" s="236"/>
      <c r="BP33" s="236"/>
      <c r="BQ33" s="236"/>
      <c r="BR33" s="236"/>
      <c r="BS33" s="236"/>
      <c r="BT33" s="236"/>
      <c r="BU33" s="236"/>
      <c r="BV33" s="236"/>
      <c r="BW33" s="236"/>
      <c r="BX33" s="236"/>
      <c r="BY33" s="236"/>
      <c r="BZ33" s="238"/>
      <c r="CA33" s="236"/>
      <c r="CB33" s="236"/>
      <c r="CC33" s="236"/>
      <c r="CD33" s="238"/>
      <c r="CE33" s="238"/>
      <c r="CF33" s="238"/>
      <c r="CG33" s="238"/>
      <c r="CH33" s="238"/>
      <c r="CI33" s="230">
        <f t="shared" si="0"/>
        <v>0</v>
      </c>
      <c r="CJ33" s="233" t="e">
        <f t="shared" si="1"/>
        <v>#DIV/0!</v>
      </c>
      <c r="CK33" s="233" t="e">
        <f t="shared" si="2"/>
        <v>#DIV/0!</v>
      </c>
      <c r="CL33" s="233" t="e">
        <f t="shared" si="3"/>
        <v>#DIV/0!</v>
      </c>
      <c r="CM33" s="233" t="e">
        <f t="shared" si="4"/>
        <v>#DIV/0!</v>
      </c>
      <c r="CN33" s="233" t="e">
        <f t="shared" si="5"/>
        <v>#DIV/0!</v>
      </c>
      <c r="CO33" s="233" t="e">
        <f t="shared" si="6"/>
        <v>#DIV/0!</v>
      </c>
      <c r="CP33" s="233">
        <f t="shared" si="43"/>
        <v>0</v>
      </c>
      <c r="CQ33" s="233" t="e">
        <f t="shared" si="8"/>
        <v>#DIV/0!</v>
      </c>
      <c r="CR33" s="233" t="e">
        <f t="shared" si="9"/>
        <v>#DIV/0!</v>
      </c>
      <c r="CS33" s="233" t="e">
        <f t="shared" si="10"/>
        <v>#DIV/0!</v>
      </c>
      <c r="CT33" s="233" t="e">
        <f t="shared" si="11"/>
        <v>#DIV/0!</v>
      </c>
      <c r="CU33" s="233" t="e">
        <f t="shared" si="12"/>
        <v>#DIV/0!</v>
      </c>
      <c r="CV33" s="233" t="e">
        <f t="shared" si="13"/>
        <v>#DIV/0!</v>
      </c>
      <c r="CW33" s="233" t="e">
        <f t="shared" si="14"/>
        <v>#DIV/0!</v>
      </c>
      <c r="CX33" s="233" t="e">
        <f t="shared" si="15"/>
        <v>#DIV/0!</v>
      </c>
      <c r="CY33" s="233" t="e">
        <f t="shared" si="44"/>
        <v>#DIV/0!</v>
      </c>
      <c r="CZ33" s="233">
        <f t="shared" si="45"/>
        <v>0</v>
      </c>
      <c r="DA33" s="233" t="e">
        <f t="shared" si="17"/>
        <v>#DIV/0!</v>
      </c>
      <c r="DB33" s="233" t="e">
        <f t="shared" si="18"/>
        <v>#DIV/0!</v>
      </c>
      <c r="DC33" s="233" t="e">
        <f t="shared" si="19"/>
        <v>#DIV/0!</v>
      </c>
      <c r="DD33" s="233" t="e">
        <f t="shared" si="20"/>
        <v>#DIV/0!</v>
      </c>
      <c r="DE33" s="233" t="e">
        <f t="shared" si="21"/>
        <v>#DIV/0!</v>
      </c>
      <c r="DF33" s="233">
        <f t="shared" si="46"/>
        <v>0</v>
      </c>
      <c r="DG33" s="233">
        <f t="shared" si="47"/>
        <v>0</v>
      </c>
      <c r="DH33" s="233">
        <f t="shared" si="48"/>
        <v>0</v>
      </c>
      <c r="DI33" s="233" t="e">
        <f t="shared" si="25"/>
        <v>#DIV/0!</v>
      </c>
      <c r="DJ33" s="233" t="e">
        <f t="shared" si="26"/>
        <v>#DIV/0!</v>
      </c>
      <c r="DK33" s="233" t="e">
        <f t="shared" si="27"/>
        <v>#DIV/0!</v>
      </c>
      <c r="DL33" s="232" t="e">
        <f t="shared" si="34"/>
        <v>#DIV/0!</v>
      </c>
      <c r="DM33" s="233" t="e">
        <f t="shared" si="28"/>
        <v>#DIV/0!</v>
      </c>
      <c r="DN33" s="233">
        <f t="shared" si="49"/>
        <v>0</v>
      </c>
      <c r="DO33" s="233" t="e">
        <f t="shared" si="30"/>
        <v>#DIV/0!</v>
      </c>
      <c r="DP33" s="232">
        <f t="shared" si="35"/>
        <v>0</v>
      </c>
      <c r="DQ33" s="232">
        <f t="shared" si="36"/>
        <v>0</v>
      </c>
      <c r="DR33" s="232" t="e">
        <f t="shared" si="37"/>
        <v>#DIV/0!</v>
      </c>
      <c r="DS33" s="232" t="e">
        <f t="shared" si="38"/>
        <v>#DIV/0!</v>
      </c>
      <c r="DT33" s="232" t="e">
        <f t="shared" si="39"/>
        <v>#DIV/0!</v>
      </c>
      <c r="DU33" s="232" t="e">
        <f t="shared" si="40"/>
        <v>#DIV/0!</v>
      </c>
      <c r="DV33" s="232" t="e">
        <f t="shared" si="41"/>
        <v>#DIV/0!</v>
      </c>
    </row>
    <row r="34" spans="1:126" ht="13">
      <c r="A34" s="115">
        <f t="shared" si="31"/>
        <v>0</v>
      </c>
      <c r="B34" s="115">
        <f t="shared" si="32"/>
        <v>0</v>
      </c>
      <c r="C34" s="114">
        <f t="shared" si="42"/>
        <v>98</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236"/>
      <c r="BN34" s="236"/>
      <c r="BO34" s="236"/>
      <c r="BP34" s="236"/>
      <c r="BQ34" s="236"/>
      <c r="BR34" s="236"/>
      <c r="BS34" s="236"/>
      <c r="BT34" s="236"/>
      <c r="BU34" s="236"/>
      <c r="BV34" s="236"/>
      <c r="BW34" s="236"/>
      <c r="BX34" s="236"/>
      <c r="BY34" s="236"/>
      <c r="BZ34" s="238"/>
      <c r="CA34" s="236"/>
      <c r="CB34" s="236"/>
      <c r="CC34" s="236"/>
      <c r="CD34" s="238"/>
      <c r="CE34" s="238"/>
      <c r="CF34" s="238"/>
      <c r="CG34" s="238"/>
      <c r="CH34" s="238"/>
      <c r="CI34" s="230">
        <f t="shared" si="0"/>
        <v>0</v>
      </c>
      <c r="CJ34" s="233" t="e">
        <f t="shared" ref="CJ34:CJ40" si="50">BY34/BU34</f>
        <v>#DIV/0!</v>
      </c>
      <c r="CK34" s="233" t="e">
        <f t="shared" si="2"/>
        <v>#DIV/0!</v>
      </c>
      <c r="CL34" s="233" t="e">
        <f t="shared" si="3"/>
        <v>#DIV/0!</v>
      </c>
      <c r="CM34" s="233" t="e">
        <f t="shared" si="4"/>
        <v>#DIV/0!</v>
      </c>
      <c r="CN34" s="233" t="e">
        <f t="shared" si="5"/>
        <v>#DIV/0!</v>
      </c>
      <c r="CO34" s="233" t="e">
        <f t="shared" si="6"/>
        <v>#DIV/0!</v>
      </c>
      <c r="CP34" s="233">
        <f t="shared" si="43"/>
        <v>0</v>
      </c>
      <c r="CQ34" s="233" t="e">
        <f t="shared" si="8"/>
        <v>#DIV/0!</v>
      </c>
      <c r="CR34" s="233" t="e">
        <f t="shared" si="9"/>
        <v>#DIV/0!</v>
      </c>
      <c r="CS34" s="233" t="e">
        <f t="shared" si="10"/>
        <v>#DIV/0!</v>
      </c>
      <c r="CT34" s="233" t="e">
        <f t="shared" si="11"/>
        <v>#DIV/0!</v>
      </c>
      <c r="CU34" s="233" t="e">
        <f t="shared" si="12"/>
        <v>#DIV/0!</v>
      </c>
      <c r="CV34" s="233" t="e">
        <f t="shared" si="13"/>
        <v>#DIV/0!</v>
      </c>
      <c r="CW34" s="233" t="e">
        <f t="shared" si="14"/>
        <v>#DIV/0!</v>
      </c>
      <c r="CX34" s="233" t="e">
        <f t="shared" si="15"/>
        <v>#DIV/0!</v>
      </c>
      <c r="CY34" s="233" t="e">
        <f t="shared" si="44"/>
        <v>#DIV/0!</v>
      </c>
      <c r="CZ34" s="233">
        <f t="shared" si="45"/>
        <v>0</v>
      </c>
      <c r="DA34" s="233" t="e">
        <f t="shared" si="17"/>
        <v>#DIV/0!</v>
      </c>
      <c r="DB34" s="233" t="e">
        <f t="shared" si="18"/>
        <v>#DIV/0!</v>
      </c>
      <c r="DC34" s="233" t="e">
        <f t="shared" si="19"/>
        <v>#DIV/0!</v>
      </c>
      <c r="DD34" s="233" t="e">
        <f t="shared" si="20"/>
        <v>#DIV/0!</v>
      </c>
      <c r="DE34" s="233" t="e">
        <f t="shared" si="21"/>
        <v>#DIV/0!</v>
      </c>
      <c r="DF34" s="233">
        <f t="shared" ref="DF34:DF40" si="51">(BF34+BG34)</f>
        <v>0</v>
      </c>
      <c r="DG34" s="233">
        <f t="shared" ref="DG34:DG40" si="52">Z34+AA34</f>
        <v>0</v>
      </c>
      <c r="DH34" s="233">
        <f t="shared" si="48"/>
        <v>0</v>
      </c>
      <c r="DI34" s="233" t="e">
        <f t="shared" si="25"/>
        <v>#DIV/0!</v>
      </c>
      <c r="DJ34" s="233" t="e">
        <f t="shared" si="26"/>
        <v>#DIV/0!</v>
      </c>
      <c r="DK34" s="233" t="e">
        <f t="shared" si="27"/>
        <v>#DIV/0!</v>
      </c>
      <c r="DL34" s="232" t="e">
        <f t="shared" ref="DL34:DL40" si="53">+P34/O34</f>
        <v>#DIV/0!</v>
      </c>
      <c r="DM34" s="233" t="e">
        <f t="shared" si="28"/>
        <v>#DIV/0!</v>
      </c>
      <c r="DN34" s="233">
        <f t="shared" si="49"/>
        <v>0</v>
      </c>
      <c r="DO34" s="233" t="e">
        <f t="shared" si="30"/>
        <v>#DIV/0!</v>
      </c>
      <c r="DP34" s="232">
        <f t="shared" si="35"/>
        <v>0</v>
      </c>
      <c r="DQ34" s="232">
        <f t="shared" si="36"/>
        <v>0</v>
      </c>
      <c r="DR34" s="232" t="e">
        <f t="shared" si="37"/>
        <v>#DIV/0!</v>
      </c>
      <c r="DS34" s="232" t="e">
        <f t="shared" si="38"/>
        <v>#DIV/0!</v>
      </c>
      <c r="DT34" s="232" t="e">
        <f t="shared" si="39"/>
        <v>#DIV/0!</v>
      </c>
      <c r="DU34" s="232" t="e">
        <f t="shared" si="40"/>
        <v>#DIV/0!</v>
      </c>
      <c r="DV34" s="232" t="e">
        <f t="shared" si="41"/>
        <v>#DIV/0!</v>
      </c>
    </row>
    <row r="35" spans="1:126" ht="13">
      <c r="A35" s="115">
        <f t="shared" si="31"/>
        <v>0</v>
      </c>
      <c r="B35" s="115">
        <f t="shared" si="32"/>
        <v>0</v>
      </c>
      <c r="C35" s="114">
        <f t="shared" si="42"/>
        <v>99</v>
      </c>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6"/>
      <c r="BR35" s="236"/>
      <c r="BS35" s="236"/>
      <c r="BT35" s="236"/>
      <c r="BU35" s="236"/>
      <c r="BV35" s="236"/>
      <c r="BW35" s="236"/>
      <c r="BX35" s="236"/>
      <c r="BY35" s="236"/>
      <c r="BZ35" s="238"/>
      <c r="CA35" s="236"/>
      <c r="CB35" s="236"/>
      <c r="CC35" s="236"/>
      <c r="CD35" s="238"/>
      <c r="CE35" s="238"/>
      <c r="CF35" s="238"/>
      <c r="CG35" s="238"/>
      <c r="CH35" s="238"/>
      <c r="CI35" s="230">
        <f t="shared" si="0"/>
        <v>0</v>
      </c>
      <c r="CJ35" s="233" t="e">
        <f t="shared" si="50"/>
        <v>#DIV/0!</v>
      </c>
      <c r="CK35" s="233" t="e">
        <f t="shared" si="2"/>
        <v>#DIV/0!</v>
      </c>
      <c r="CL35" s="233" t="e">
        <f t="shared" si="3"/>
        <v>#DIV/0!</v>
      </c>
      <c r="CM35" s="233" t="e">
        <f t="shared" si="4"/>
        <v>#DIV/0!</v>
      </c>
      <c r="CN35" s="233" t="e">
        <f t="shared" si="5"/>
        <v>#DIV/0!</v>
      </c>
      <c r="CO35" s="233" t="e">
        <f t="shared" si="6"/>
        <v>#DIV/0!</v>
      </c>
      <c r="CP35" s="233">
        <f t="shared" si="43"/>
        <v>0</v>
      </c>
      <c r="CQ35" s="233" t="e">
        <f t="shared" si="8"/>
        <v>#DIV/0!</v>
      </c>
      <c r="CR35" s="233" t="e">
        <f t="shared" si="9"/>
        <v>#DIV/0!</v>
      </c>
      <c r="CS35" s="233" t="e">
        <f t="shared" si="10"/>
        <v>#DIV/0!</v>
      </c>
      <c r="CT35" s="233" t="e">
        <f t="shared" si="11"/>
        <v>#DIV/0!</v>
      </c>
      <c r="CU35" s="233" t="e">
        <f t="shared" si="12"/>
        <v>#DIV/0!</v>
      </c>
      <c r="CV35" s="233" t="e">
        <f t="shared" si="13"/>
        <v>#DIV/0!</v>
      </c>
      <c r="CW35" s="233" t="e">
        <f t="shared" si="14"/>
        <v>#DIV/0!</v>
      </c>
      <c r="CX35" s="233" t="e">
        <f t="shared" si="15"/>
        <v>#DIV/0!</v>
      </c>
      <c r="CY35" s="233" t="e">
        <f t="shared" si="44"/>
        <v>#DIV/0!</v>
      </c>
      <c r="CZ35" s="233">
        <f t="shared" si="45"/>
        <v>0</v>
      </c>
      <c r="DA35" s="233" t="e">
        <f t="shared" si="17"/>
        <v>#DIV/0!</v>
      </c>
      <c r="DB35" s="233" t="e">
        <f t="shared" si="18"/>
        <v>#DIV/0!</v>
      </c>
      <c r="DC35" s="233" t="e">
        <f t="shared" si="19"/>
        <v>#DIV/0!</v>
      </c>
      <c r="DD35" s="233" t="e">
        <f t="shared" si="20"/>
        <v>#DIV/0!</v>
      </c>
      <c r="DE35" s="233" t="e">
        <f t="shared" si="21"/>
        <v>#DIV/0!</v>
      </c>
      <c r="DF35" s="233">
        <f t="shared" si="51"/>
        <v>0</v>
      </c>
      <c r="DG35" s="233">
        <f t="shared" si="52"/>
        <v>0</v>
      </c>
      <c r="DH35" s="233">
        <f t="shared" si="48"/>
        <v>0</v>
      </c>
      <c r="DI35" s="233" t="e">
        <f t="shared" si="25"/>
        <v>#DIV/0!</v>
      </c>
      <c r="DJ35" s="233" t="e">
        <f t="shared" si="26"/>
        <v>#DIV/0!</v>
      </c>
      <c r="DK35" s="233" t="e">
        <f t="shared" si="27"/>
        <v>#DIV/0!</v>
      </c>
      <c r="DL35" s="232" t="e">
        <f t="shared" si="53"/>
        <v>#DIV/0!</v>
      </c>
      <c r="DM35" s="233" t="e">
        <f t="shared" si="28"/>
        <v>#DIV/0!</v>
      </c>
      <c r="DN35" s="233">
        <f t="shared" si="49"/>
        <v>0</v>
      </c>
      <c r="DO35" s="233" t="e">
        <f t="shared" si="30"/>
        <v>#DIV/0!</v>
      </c>
      <c r="DP35" s="232">
        <f t="shared" si="35"/>
        <v>0</v>
      </c>
      <c r="DQ35" s="232">
        <f t="shared" si="36"/>
        <v>0</v>
      </c>
      <c r="DR35" s="232" t="e">
        <f t="shared" si="37"/>
        <v>#DIV/0!</v>
      </c>
      <c r="DS35" s="232" t="e">
        <f t="shared" si="38"/>
        <v>#DIV/0!</v>
      </c>
      <c r="DT35" s="232" t="e">
        <f t="shared" si="39"/>
        <v>#DIV/0!</v>
      </c>
      <c r="DU35" s="232" t="e">
        <f t="shared" si="40"/>
        <v>#DIV/0!</v>
      </c>
      <c r="DV35" s="232" t="e">
        <f t="shared" si="41"/>
        <v>#DIV/0!</v>
      </c>
    </row>
    <row r="36" spans="1:126" ht="13">
      <c r="A36" s="115">
        <f t="shared" ref="A36:B38" si="54">A35</f>
        <v>0</v>
      </c>
      <c r="B36" s="115">
        <f t="shared" si="54"/>
        <v>0</v>
      </c>
      <c r="C36" s="126" t="s">
        <v>766</v>
      </c>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6"/>
      <c r="BR36" s="236"/>
      <c r="BS36" s="236"/>
      <c r="BT36" s="236"/>
      <c r="BU36" s="236"/>
      <c r="BV36" s="236"/>
      <c r="BW36" s="236"/>
      <c r="BX36" s="236"/>
      <c r="BY36" s="236"/>
      <c r="BZ36" s="238"/>
      <c r="CA36" s="236"/>
      <c r="CB36" s="236"/>
      <c r="CC36" s="236"/>
      <c r="CD36" s="238"/>
      <c r="CE36" s="238"/>
      <c r="CF36" s="238"/>
      <c r="CG36" s="238"/>
      <c r="CH36" s="238"/>
      <c r="CI36" s="230">
        <f t="shared" ref="CI36:CI40" si="55">AF36-AH36</f>
        <v>0</v>
      </c>
      <c r="CJ36" s="233" t="e">
        <f t="shared" si="50"/>
        <v>#DIV/0!</v>
      </c>
      <c r="CK36" s="233" t="e">
        <f t="shared" si="2"/>
        <v>#DIV/0!</v>
      </c>
      <c r="CL36" s="233" t="e">
        <f t="shared" si="3"/>
        <v>#DIV/0!</v>
      </c>
      <c r="CM36" s="233" t="e">
        <f t="shared" si="4"/>
        <v>#DIV/0!</v>
      </c>
      <c r="CN36" s="233" t="e">
        <f t="shared" si="5"/>
        <v>#DIV/0!</v>
      </c>
      <c r="CO36" s="233" t="e">
        <f t="shared" si="6"/>
        <v>#DIV/0!</v>
      </c>
      <c r="CP36" s="233">
        <f t="shared" si="43"/>
        <v>0</v>
      </c>
      <c r="CQ36" s="233" t="e">
        <f t="shared" si="8"/>
        <v>#DIV/0!</v>
      </c>
      <c r="CR36" s="233" t="e">
        <f t="shared" si="9"/>
        <v>#DIV/0!</v>
      </c>
      <c r="CS36" s="233" t="e">
        <f t="shared" si="10"/>
        <v>#DIV/0!</v>
      </c>
      <c r="CT36" s="233" t="e">
        <f t="shared" si="11"/>
        <v>#DIV/0!</v>
      </c>
      <c r="CU36" s="233" t="e">
        <f t="shared" si="12"/>
        <v>#DIV/0!</v>
      </c>
      <c r="CV36" s="233" t="e">
        <f t="shared" si="13"/>
        <v>#DIV/0!</v>
      </c>
      <c r="CW36" s="233" t="e">
        <f t="shared" si="14"/>
        <v>#DIV/0!</v>
      </c>
      <c r="CX36" s="233" t="e">
        <f t="shared" si="15"/>
        <v>#DIV/0!</v>
      </c>
      <c r="CY36" s="233" t="e">
        <f t="shared" si="44"/>
        <v>#DIV/0!</v>
      </c>
      <c r="CZ36" s="233">
        <f t="shared" si="45"/>
        <v>0</v>
      </c>
      <c r="DA36" s="233" t="e">
        <f t="shared" si="17"/>
        <v>#DIV/0!</v>
      </c>
      <c r="DB36" s="233" t="e">
        <f t="shared" si="18"/>
        <v>#DIV/0!</v>
      </c>
      <c r="DC36" s="233" t="e">
        <f t="shared" si="19"/>
        <v>#DIV/0!</v>
      </c>
      <c r="DD36" s="233" t="e">
        <f t="shared" si="20"/>
        <v>#DIV/0!</v>
      </c>
      <c r="DE36" s="233" t="e">
        <f t="shared" si="21"/>
        <v>#DIV/0!</v>
      </c>
      <c r="DF36" s="233">
        <f t="shared" si="51"/>
        <v>0</v>
      </c>
      <c r="DG36" s="233">
        <f t="shared" si="52"/>
        <v>0</v>
      </c>
      <c r="DH36" s="233">
        <f t="shared" si="48"/>
        <v>0</v>
      </c>
      <c r="DI36" s="233" t="e">
        <f t="shared" si="25"/>
        <v>#DIV/0!</v>
      </c>
      <c r="DJ36" s="233" t="e">
        <f t="shared" si="26"/>
        <v>#DIV/0!</v>
      </c>
      <c r="DK36" s="233" t="e">
        <f t="shared" si="27"/>
        <v>#DIV/0!</v>
      </c>
      <c r="DL36" s="232" t="e">
        <f t="shared" si="53"/>
        <v>#DIV/0!</v>
      </c>
      <c r="DM36" s="233" t="e">
        <f t="shared" si="28"/>
        <v>#DIV/0!</v>
      </c>
      <c r="DN36" s="233">
        <f t="shared" si="49"/>
        <v>0</v>
      </c>
      <c r="DO36" s="233" t="e">
        <f t="shared" si="30"/>
        <v>#DIV/0!</v>
      </c>
      <c r="DP36" s="232">
        <f t="shared" si="35"/>
        <v>0</v>
      </c>
      <c r="DQ36" s="232">
        <f t="shared" si="36"/>
        <v>0</v>
      </c>
      <c r="DR36" s="232" t="e">
        <f t="shared" si="37"/>
        <v>#DIV/0!</v>
      </c>
      <c r="DS36" s="232" t="e">
        <f t="shared" si="38"/>
        <v>#DIV/0!</v>
      </c>
      <c r="DT36" s="232" t="e">
        <f t="shared" si="39"/>
        <v>#DIV/0!</v>
      </c>
      <c r="DU36" s="232" t="e">
        <f t="shared" si="40"/>
        <v>#DIV/0!</v>
      </c>
      <c r="DV36" s="232" t="e">
        <f t="shared" si="41"/>
        <v>#DIV/0!</v>
      </c>
    </row>
    <row r="37" spans="1:126" ht="13">
      <c r="A37" s="115">
        <f t="shared" si="54"/>
        <v>0</v>
      </c>
      <c r="B37" s="115">
        <f t="shared" si="54"/>
        <v>0</v>
      </c>
      <c r="C37" s="126">
        <f>+C36+1</f>
        <v>1</v>
      </c>
      <c r="D37" s="236"/>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6"/>
      <c r="BR37" s="236"/>
      <c r="BS37" s="236"/>
      <c r="BT37" s="236"/>
      <c r="BU37" s="236"/>
      <c r="BV37" s="236"/>
      <c r="BW37" s="236"/>
      <c r="BX37" s="236"/>
      <c r="BY37" s="236"/>
      <c r="BZ37" s="238"/>
      <c r="CA37" s="236"/>
      <c r="CB37" s="236"/>
      <c r="CC37" s="236"/>
      <c r="CD37" s="238"/>
      <c r="CE37" s="238"/>
      <c r="CF37" s="238"/>
      <c r="CG37" s="238"/>
      <c r="CH37" s="238"/>
      <c r="CI37" s="230">
        <f t="shared" si="55"/>
        <v>0</v>
      </c>
      <c r="CJ37" s="230" t="e">
        <f t="shared" si="50"/>
        <v>#DIV/0!</v>
      </c>
      <c r="CK37" s="230" t="e">
        <f t="shared" si="2"/>
        <v>#DIV/0!</v>
      </c>
      <c r="CL37" s="230" t="e">
        <f t="shared" si="3"/>
        <v>#DIV/0!</v>
      </c>
      <c r="CM37" s="230" t="e">
        <f t="shared" si="4"/>
        <v>#DIV/0!</v>
      </c>
      <c r="CN37" s="230" t="e">
        <f t="shared" si="5"/>
        <v>#DIV/0!</v>
      </c>
      <c r="CO37" s="230" t="e">
        <f t="shared" si="6"/>
        <v>#DIV/0!</v>
      </c>
      <c r="CP37" s="232">
        <f t="shared" si="43"/>
        <v>0</v>
      </c>
      <c r="CQ37" s="230" t="e">
        <f t="shared" si="8"/>
        <v>#DIV/0!</v>
      </c>
      <c r="CR37" s="230" t="e">
        <f t="shared" si="9"/>
        <v>#DIV/0!</v>
      </c>
      <c r="CS37" s="233" t="e">
        <f t="shared" si="10"/>
        <v>#DIV/0!</v>
      </c>
      <c r="CT37" s="232" t="e">
        <f t="shared" si="11"/>
        <v>#DIV/0!</v>
      </c>
      <c r="CU37" s="230" t="e">
        <f t="shared" si="12"/>
        <v>#DIV/0!</v>
      </c>
      <c r="CV37" s="230" t="e">
        <f t="shared" si="13"/>
        <v>#DIV/0!</v>
      </c>
      <c r="CW37" s="230" t="e">
        <f t="shared" ref="CW37:CW69" si="56">+AP37/O37</f>
        <v>#DIV/0!</v>
      </c>
      <c r="CX37" s="230" t="e">
        <f t="shared" ref="CX37:CX69" si="57">+AM37/O37</f>
        <v>#DIV/0!</v>
      </c>
      <c r="CY37" s="230" t="e">
        <f t="shared" ref="CY37:CY40" si="58">+AU37/AF37</f>
        <v>#DIV/0!</v>
      </c>
      <c r="CZ37" s="232">
        <f t="shared" si="45"/>
        <v>0</v>
      </c>
      <c r="DA37" s="230" t="e">
        <f t="shared" si="17"/>
        <v>#DIV/0!</v>
      </c>
      <c r="DB37" s="230" t="e">
        <f t="shared" si="18"/>
        <v>#DIV/0!</v>
      </c>
      <c r="DC37" s="230" t="e">
        <f t="shared" si="19"/>
        <v>#DIV/0!</v>
      </c>
      <c r="DD37" s="230" t="e">
        <f t="shared" si="20"/>
        <v>#DIV/0!</v>
      </c>
      <c r="DE37" s="230" t="e">
        <f t="shared" si="21"/>
        <v>#DIV/0!</v>
      </c>
      <c r="DF37" s="230">
        <f t="shared" si="51"/>
        <v>0</v>
      </c>
      <c r="DG37" s="230">
        <f t="shared" si="52"/>
        <v>0</v>
      </c>
      <c r="DH37" s="230">
        <f t="shared" ref="DH37:DH43" si="59">BI37+BJ37</f>
        <v>0</v>
      </c>
      <c r="DI37" s="230" t="e">
        <f t="shared" si="25"/>
        <v>#DIV/0!</v>
      </c>
      <c r="DJ37" s="230" t="e">
        <f t="shared" si="26"/>
        <v>#DIV/0!</v>
      </c>
      <c r="DK37" s="230" t="e">
        <f t="shared" si="27"/>
        <v>#DIV/0!</v>
      </c>
      <c r="DL37" s="230" t="e">
        <f t="shared" si="53"/>
        <v>#DIV/0!</v>
      </c>
      <c r="DM37" s="230" t="e">
        <f t="shared" si="28"/>
        <v>#DIV/0!</v>
      </c>
      <c r="DN37" s="233">
        <f t="shared" si="49"/>
        <v>0</v>
      </c>
      <c r="DO37" s="230" t="e">
        <f t="shared" si="30"/>
        <v>#DIV/0!</v>
      </c>
      <c r="DP37" s="232">
        <f t="shared" si="35"/>
        <v>0</v>
      </c>
      <c r="DQ37" s="232">
        <f t="shared" si="36"/>
        <v>0</v>
      </c>
      <c r="DR37" s="232" t="e">
        <f t="shared" si="37"/>
        <v>#DIV/0!</v>
      </c>
      <c r="DS37" s="232" t="e">
        <f t="shared" si="38"/>
        <v>#DIV/0!</v>
      </c>
      <c r="DT37" s="232" t="e">
        <f t="shared" si="39"/>
        <v>#DIV/0!</v>
      </c>
      <c r="DU37" s="232" t="e">
        <f t="shared" si="40"/>
        <v>#DIV/0!</v>
      </c>
      <c r="DV37" s="232" t="e">
        <f t="shared" si="41"/>
        <v>#DIV/0!</v>
      </c>
    </row>
    <row r="38" spans="1:126" ht="13">
      <c r="A38" s="115">
        <f t="shared" si="54"/>
        <v>0</v>
      </c>
      <c r="B38" s="115">
        <f t="shared" si="54"/>
        <v>0</v>
      </c>
      <c r="C38" s="126">
        <f>+C37+1</f>
        <v>2</v>
      </c>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6"/>
      <c r="BR38" s="236"/>
      <c r="BS38" s="236"/>
      <c r="BT38" s="236"/>
      <c r="BU38" s="236"/>
      <c r="BV38" s="236"/>
      <c r="BW38" s="236"/>
      <c r="BX38" s="236"/>
      <c r="BY38" s="236"/>
      <c r="BZ38" s="238"/>
      <c r="CA38" s="236"/>
      <c r="CB38" s="236"/>
      <c r="CC38" s="236"/>
      <c r="CD38" s="238"/>
      <c r="CE38" s="238"/>
      <c r="CF38" s="238"/>
      <c r="CG38" s="238"/>
      <c r="CH38" s="238"/>
      <c r="CI38" s="230">
        <f t="shared" si="55"/>
        <v>0</v>
      </c>
      <c r="CJ38" s="230" t="e">
        <f t="shared" si="50"/>
        <v>#DIV/0!</v>
      </c>
      <c r="CK38" s="230" t="e">
        <f t="shared" ref="CK38:CM42" si="60">BL38/BE38</f>
        <v>#DIV/0!</v>
      </c>
      <c r="CL38" s="230" t="e">
        <f t="shared" si="60"/>
        <v>#DIV/0!</v>
      </c>
      <c r="CM38" s="230" t="e">
        <f t="shared" si="60"/>
        <v>#DIV/0!</v>
      </c>
      <c r="CN38" s="230" t="e">
        <f t="shared" ref="CN38:CN42" si="61">(BM38+BN38)/(BF38+BG38)</f>
        <v>#DIV/0!</v>
      </c>
      <c r="CO38" s="230" t="e">
        <f t="shared" ref="CO38:CO42" si="62">BO38/BH38</f>
        <v>#DIV/0!</v>
      </c>
      <c r="CP38" s="232">
        <f t="shared" ref="CP38:CP42" si="63">AI38+AJ38</f>
        <v>0</v>
      </c>
      <c r="CQ38" s="230" t="e">
        <f t="shared" ref="CQ38:CQ42" si="64">AI38/O38</f>
        <v>#DIV/0!</v>
      </c>
      <c r="CR38" s="230" t="e">
        <f t="shared" ref="CR38:CR42" si="65">AJ38/O38</f>
        <v>#DIV/0!</v>
      </c>
      <c r="CS38" s="233" t="e">
        <f t="shared" ref="CS38:CS41" si="66">(AI38+AJ38)/O38</f>
        <v>#DIV/0!</v>
      </c>
      <c r="CT38" s="232" t="e">
        <f t="shared" ref="CT38:CT41" si="67">(AK38+AL38+AN38)/BY38</f>
        <v>#DIV/0!</v>
      </c>
      <c r="CU38" s="230" t="e">
        <f t="shared" ref="CU38:CU42" si="68">AM38/BY38</f>
        <v>#DIV/0!</v>
      </c>
      <c r="CV38" s="230" t="e">
        <f t="shared" ref="CV38:CV42" si="69">AO38/O38</f>
        <v>#DIV/0!</v>
      </c>
      <c r="CW38" s="230" t="e">
        <f t="shared" ref="CW38:CW42" si="70">+AP38/O38</f>
        <v>#DIV/0!</v>
      </c>
      <c r="CX38" s="230" t="e">
        <f t="shared" ref="CX38:CX42" si="71">+AM38/O38</f>
        <v>#DIV/0!</v>
      </c>
      <c r="CY38" s="230" t="e">
        <f t="shared" si="58"/>
        <v>#DIV/0!</v>
      </c>
      <c r="CZ38" s="232">
        <f t="shared" ref="CZ38:CZ41" si="72">(O38-O37)</f>
        <v>0</v>
      </c>
      <c r="DA38" s="230" t="e">
        <f t="shared" ref="DA38:DD42" si="73">BE38/AX38*1000/12</f>
        <v>#DIV/0!</v>
      </c>
      <c r="DB38" s="230" t="e">
        <f t="shared" si="73"/>
        <v>#DIV/0!</v>
      </c>
      <c r="DC38" s="230" t="e">
        <f t="shared" si="73"/>
        <v>#DIV/0!</v>
      </c>
      <c r="DD38" s="230" t="e">
        <f t="shared" si="73"/>
        <v>#DIV/0!</v>
      </c>
      <c r="DE38" s="230" t="e">
        <f t="shared" ref="DE38:DE42" si="74">(BF38+BG38)/(AY38+AZ38)*1000/12</f>
        <v>#DIV/0!</v>
      </c>
      <c r="DF38" s="230">
        <f t="shared" si="51"/>
        <v>0</v>
      </c>
      <c r="DG38" s="230">
        <f t="shared" si="52"/>
        <v>0</v>
      </c>
      <c r="DH38" s="230">
        <f t="shared" si="59"/>
        <v>0</v>
      </c>
      <c r="DI38" s="230" t="e">
        <f t="shared" ref="DI38:DI42" si="75">O38/BK38</f>
        <v>#DIV/0!</v>
      </c>
      <c r="DJ38" s="230" t="e">
        <f t="shared" ref="DJ38:DJ42" si="76">O38/(BK38-BJ38)</f>
        <v>#DIV/0!</v>
      </c>
      <c r="DK38" s="230" t="e">
        <f t="shared" ref="DK38:DK42" si="77">AH38/CB38</f>
        <v>#DIV/0!</v>
      </c>
      <c r="DL38" s="230" t="e">
        <f t="shared" si="53"/>
        <v>#DIV/0!</v>
      </c>
      <c r="DM38" s="230" t="e">
        <f t="shared" ref="DM38:DM42" si="78">1-(BK38/CB38)</f>
        <v>#DIV/0!</v>
      </c>
      <c r="DN38" s="233">
        <f t="shared" ref="DN38:DN42" si="79">AK38+AL38+AN38</f>
        <v>0</v>
      </c>
      <c r="DO38" s="230" t="e">
        <f t="shared" ref="DO38:DO42" si="80">CI38/BK38</f>
        <v>#DIV/0!</v>
      </c>
      <c r="DP38" s="232">
        <f t="shared" si="35"/>
        <v>0</v>
      </c>
      <c r="DQ38" s="232">
        <f t="shared" si="36"/>
        <v>0</v>
      </c>
      <c r="DR38" s="232" t="e">
        <f t="shared" si="37"/>
        <v>#DIV/0!</v>
      </c>
      <c r="DS38" s="232" t="e">
        <f t="shared" si="38"/>
        <v>#DIV/0!</v>
      </c>
      <c r="DT38" s="232" t="e">
        <f t="shared" si="39"/>
        <v>#DIV/0!</v>
      </c>
      <c r="DU38" s="232" t="e">
        <f t="shared" si="40"/>
        <v>#DIV/0!</v>
      </c>
      <c r="DV38" s="232" t="e">
        <f t="shared" si="41"/>
        <v>#DIV/0!</v>
      </c>
    </row>
    <row r="39" spans="1:126" ht="13">
      <c r="A39" s="115">
        <f t="shared" ref="A39:B39" si="81">A38</f>
        <v>0</v>
      </c>
      <c r="B39" s="115">
        <f t="shared" si="81"/>
        <v>0</v>
      </c>
      <c r="C39" s="126">
        <f t="shared" ref="C39:C49" si="82">+C38+1</f>
        <v>3</v>
      </c>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6"/>
      <c r="BR39" s="236"/>
      <c r="BS39" s="236"/>
      <c r="BT39" s="236"/>
      <c r="BU39" s="236"/>
      <c r="BV39" s="236"/>
      <c r="BW39" s="236"/>
      <c r="BX39" s="236"/>
      <c r="BY39" s="236"/>
      <c r="BZ39" s="238"/>
      <c r="CA39" s="236"/>
      <c r="CB39" s="236"/>
      <c r="CC39" s="236"/>
      <c r="CD39" s="238"/>
      <c r="CE39" s="238"/>
      <c r="CF39" s="238"/>
      <c r="CG39" s="238"/>
      <c r="CH39" s="238"/>
      <c r="CI39" s="230">
        <f t="shared" si="55"/>
        <v>0</v>
      </c>
      <c r="CJ39" s="230" t="e">
        <f t="shared" si="50"/>
        <v>#DIV/0!</v>
      </c>
      <c r="CK39" s="230" t="e">
        <f t="shared" si="60"/>
        <v>#DIV/0!</v>
      </c>
      <c r="CL39" s="230" t="e">
        <f t="shared" si="60"/>
        <v>#DIV/0!</v>
      </c>
      <c r="CM39" s="230" t="e">
        <f t="shared" si="60"/>
        <v>#DIV/0!</v>
      </c>
      <c r="CN39" s="230" t="e">
        <f t="shared" si="61"/>
        <v>#DIV/0!</v>
      </c>
      <c r="CO39" s="230" t="e">
        <f t="shared" si="62"/>
        <v>#DIV/0!</v>
      </c>
      <c r="CP39" s="232">
        <f t="shared" si="63"/>
        <v>0</v>
      </c>
      <c r="CQ39" s="230" t="e">
        <f t="shared" si="64"/>
        <v>#DIV/0!</v>
      </c>
      <c r="CR39" s="230" t="e">
        <f t="shared" si="65"/>
        <v>#DIV/0!</v>
      </c>
      <c r="CS39" s="233" t="e">
        <f t="shared" si="66"/>
        <v>#DIV/0!</v>
      </c>
      <c r="CT39" s="232" t="e">
        <f t="shared" si="67"/>
        <v>#DIV/0!</v>
      </c>
      <c r="CU39" s="230" t="e">
        <f t="shared" si="68"/>
        <v>#DIV/0!</v>
      </c>
      <c r="CV39" s="230" t="e">
        <f t="shared" si="69"/>
        <v>#DIV/0!</v>
      </c>
      <c r="CW39" s="230" t="e">
        <f t="shared" si="70"/>
        <v>#DIV/0!</v>
      </c>
      <c r="CX39" s="230" t="e">
        <f t="shared" si="71"/>
        <v>#DIV/0!</v>
      </c>
      <c r="CY39" s="230" t="e">
        <f t="shared" si="58"/>
        <v>#DIV/0!</v>
      </c>
      <c r="CZ39" s="232">
        <f t="shared" si="72"/>
        <v>0</v>
      </c>
      <c r="DA39" s="230" t="e">
        <f t="shared" si="73"/>
        <v>#DIV/0!</v>
      </c>
      <c r="DB39" s="230" t="e">
        <f t="shared" si="73"/>
        <v>#DIV/0!</v>
      </c>
      <c r="DC39" s="230" t="e">
        <f t="shared" si="73"/>
        <v>#DIV/0!</v>
      </c>
      <c r="DD39" s="230" t="e">
        <f t="shared" si="73"/>
        <v>#DIV/0!</v>
      </c>
      <c r="DE39" s="230" t="e">
        <f t="shared" si="74"/>
        <v>#DIV/0!</v>
      </c>
      <c r="DF39" s="230">
        <f t="shared" si="51"/>
        <v>0</v>
      </c>
      <c r="DG39" s="230">
        <f t="shared" si="52"/>
        <v>0</v>
      </c>
      <c r="DH39" s="230">
        <f t="shared" si="59"/>
        <v>0</v>
      </c>
      <c r="DI39" s="230" t="e">
        <f t="shared" si="75"/>
        <v>#DIV/0!</v>
      </c>
      <c r="DJ39" s="230" t="e">
        <f t="shared" si="76"/>
        <v>#DIV/0!</v>
      </c>
      <c r="DK39" s="230" t="e">
        <f t="shared" si="77"/>
        <v>#DIV/0!</v>
      </c>
      <c r="DL39" s="230" t="e">
        <f t="shared" si="53"/>
        <v>#DIV/0!</v>
      </c>
      <c r="DM39" s="230" t="e">
        <f t="shared" si="78"/>
        <v>#DIV/0!</v>
      </c>
      <c r="DN39" s="233">
        <f t="shared" si="79"/>
        <v>0</v>
      </c>
      <c r="DO39" s="230" t="e">
        <f t="shared" si="80"/>
        <v>#DIV/0!</v>
      </c>
      <c r="DP39" s="232">
        <f t="shared" si="35"/>
        <v>0</v>
      </c>
      <c r="DQ39" s="232">
        <f t="shared" si="36"/>
        <v>0</v>
      </c>
      <c r="DR39" s="232" t="e">
        <f t="shared" si="37"/>
        <v>#DIV/0!</v>
      </c>
      <c r="DS39" s="232" t="e">
        <f t="shared" si="38"/>
        <v>#DIV/0!</v>
      </c>
      <c r="DT39" s="232" t="e">
        <f t="shared" si="39"/>
        <v>#DIV/0!</v>
      </c>
      <c r="DU39" s="232" t="e">
        <f t="shared" si="40"/>
        <v>#DIV/0!</v>
      </c>
      <c r="DV39" s="232" t="e">
        <f t="shared" si="41"/>
        <v>#DIV/0!</v>
      </c>
    </row>
    <row r="40" spans="1:126" ht="13">
      <c r="A40" s="115">
        <f t="shared" ref="A40:B40" si="83">A39</f>
        <v>0</v>
      </c>
      <c r="B40" s="115">
        <f t="shared" si="83"/>
        <v>0</v>
      </c>
      <c r="C40" s="126">
        <f t="shared" si="82"/>
        <v>4</v>
      </c>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6"/>
      <c r="BR40" s="236"/>
      <c r="BS40" s="236"/>
      <c r="BT40" s="236"/>
      <c r="BU40" s="236"/>
      <c r="BV40" s="236"/>
      <c r="BW40" s="236"/>
      <c r="BX40" s="236"/>
      <c r="BY40" s="236"/>
      <c r="BZ40" s="238"/>
      <c r="CA40" s="236"/>
      <c r="CB40" s="236"/>
      <c r="CC40" s="236"/>
      <c r="CD40" s="238"/>
      <c r="CE40" s="238"/>
      <c r="CF40" s="238"/>
      <c r="CG40" s="238"/>
      <c r="CH40" s="238"/>
      <c r="CI40" s="230">
        <f t="shared" si="55"/>
        <v>0</v>
      </c>
      <c r="CJ40" s="230" t="e">
        <f t="shared" si="50"/>
        <v>#DIV/0!</v>
      </c>
      <c r="CK40" s="230" t="e">
        <f t="shared" si="60"/>
        <v>#DIV/0!</v>
      </c>
      <c r="CL40" s="230" t="e">
        <f t="shared" si="60"/>
        <v>#DIV/0!</v>
      </c>
      <c r="CM40" s="230" t="e">
        <f t="shared" si="60"/>
        <v>#DIV/0!</v>
      </c>
      <c r="CN40" s="230" t="e">
        <f t="shared" si="61"/>
        <v>#DIV/0!</v>
      </c>
      <c r="CO40" s="230" t="e">
        <f t="shared" si="62"/>
        <v>#DIV/0!</v>
      </c>
      <c r="CP40" s="232">
        <f t="shared" si="63"/>
        <v>0</v>
      </c>
      <c r="CQ40" s="230" t="e">
        <f t="shared" si="64"/>
        <v>#DIV/0!</v>
      </c>
      <c r="CR40" s="230" t="e">
        <f t="shared" si="65"/>
        <v>#DIV/0!</v>
      </c>
      <c r="CS40" s="233" t="e">
        <f t="shared" si="66"/>
        <v>#DIV/0!</v>
      </c>
      <c r="CT40" s="232" t="e">
        <f t="shared" si="67"/>
        <v>#DIV/0!</v>
      </c>
      <c r="CU40" s="230" t="e">
        <f t="shared" si="68"/>
        <v>#DIV/0!</v>
      </c>
      <c r="CV40" s="230" t="e">
        <f t="shared" si="69"/>
        <v>#DIV/0!</v>
      </c>
      <c r="CW40" s="230" t="e">
        <f t="shared" si="70"/>
        <v>#DIV/0!</v>
      </c>
      <c r="CX40" s="230" t="e">
        <f t="shared" si="71"/>
        <v>#DIV/0!</v>
      </c>
      <c r="CY40" s="230" t="e">
        <f t="shared" si="58"/>
        <v>#DIV/0!</v>
      </c>
      <c r="CZ40" s="232">
        <f t="shared" si="72"/>
        <v>0</v>
      </c>
      <c r="DA40" s="230" t="e">
        <f t="shared" si="73"/>
        <v>#DIV/0!</v>
      </c>
      <c r="DB40" s="230" t="e">
        <f t="shared" si="73"/>
        <v>#DIV/0!</v>
      </c>
      <c r="DC40" s="230" t="e">
        <f t="shared" si="73"/>
        <v>#DIV/0!</v>
      </c>
      <c r="DD40" s="230" t="e">
        <f t="shared" si="73"/>
        <v>#DIV/0!</v>
      </c>
      <c r="DE40" s="230" t="e">
        <f t="shared" si="74"/>
        <v>#DIV/0!</v>
      </c>
      <c r="DF40" s="230">
        <f t="shared" si="51"/>
        <v>0</v>
      </c>
      <c r="DG40" s="230">
        <f t="shared" si="52"/>
        <v>0</v>
      </c>
      <c r="DH40" s="230">
        <f t="shared" si="59"/>
        <v>0</v>
      </c>
      <c r="DI40" s="230" t="e">
        <f t="shared" si="75"/>
        <v>#DIV/0!</v>
      </c>
      <c r="DJ40" s="230" t="e">
        <f t="shared" si="76"/>
        <v>#DIV/0!</v>
      </c>
      <c r="DK40" s="230" t="e">
        <f t="shared" si="77"/>
        <v>#DIV/0!</v>
      </c>
      <c r="DL40" s="230" t="e">
        <f t="shared" si="53"/>
        <v>#DIV/0!</v>
      </c>
      <c r="DM40" s="230" t="e">
        <f t="shared" si="78"/>
        <v>#DIV/0!</v>
      </c>
      <c r="DN40" s="233">
        <f t="shared" si="79"/>
        <v>0</v>
      </c>
      <c r="DO40" s="230" t="e">
        <f t="shared" si="80"/>
        <v>#DIV/0!</v>
      </c>
      <c r="DP40" s="232">
        <f t="shared" si="35"/>
        <v>0</v>
      </c>
      <c r="DQ40" s="232">
        <f t="shared" si="36"/>
        <v>0</v>
      </c>
      <c r="DR40" s="232" t="e">
        <f t="shared" si="37"/>
        <v>#DIV/0!</v>
      </c>
      <c r="DS40" s="232" t="e">
        <f t="shared" si="38"/>
        <v>#DIV/0!</v>
      </c>
      <c r="DT40" s="232" t="e">
        <f t="shared" si="39"/>
        <v>#DIV/0!</v>
      </c>
      <c r="DU40" s="232" t="e">
        <f t="shared" si="40"/>
        <v>#DIV/0!</v>
      </c>
      <c r="DV40" s="232" t="e">
        <f t="shared" si="41"/>
        <v>#DIV/0!</v>
      </c>
    </row>
    <row r="41" spans="1:126" ht="13">
      <c r="A41" s="115">
        <f t="shared" ref="A41:B41" si="84">A40</f>
        <v>0</v>
      </c>
      <c r="B41" s="115">
        <f t="shared" si="84"/>
        <v>0</v>
      </c>
      <c r="C41" s="126">
        <f t="shared" si="82"/>
        <v>5</v>
      </c>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c r="BX41" s="236"/>
      <c r="BY41" s="236"/>
      <c r="BZ41" s="238"/>
      <c r="CA41" s="236"/>
      <c r="CB41" s="236"/>
      <c r="CC41" s="236"/>
      <c r="CD41" s="238"/>
      <c r="CE41" s="238"/>
      <c r="CF41" s="238"/>
      <c r="CG41" s="238"/>
      <c r="CH41" s="238"/>
      <c r="CI41" s="230">
        <f>AF41-AH41</f>
        <v>0</v>
      </c>
      <c r="CJ41" s="230" t="e">
        <f>BY41/BU41</f>
        <v>#DIV/0!</v>
      </c>
      <c r="CK41" s="230" t="e">
        <f t="shared" si="60"/>
        <v>#DIV/0!</v>
      </c>
      <c r="CL41" s="230" t="e">
        <f t="shared" si="60"/>
        <v>#DIV/0!</v>
      </c>
      <c r="CM41" s="230" t="e">
        <f t="shared" si="60"/>
        <v>#DIV/0!</v>
      </c>
      <c r="CN41" s="230" t="e">
        <f t="shared" si="61"/>
        <v>#DIV/0!</v>
      </c>
      <c r="CO41" s="230" t="e">
        <f t="shared" si="62"/>
        <v>#DIV/0!</v>
      </c>
      <c r="CP41" s="232">
        <f t="shared" si="63"/>
        <v>0</v>
      </c>
      <c r="CQ41" s="230" t="e">
        <f t="shared" si="64"/>
        <v>#DIV/0!</v>
      </c>
      <c r="CR41" s="230" t="e">
        <f t="shared" si="65"/>
        <v>#DIV/0!</v>
      </c>
      <c r="CS41" s="233" t="e">
        <f t="shared" si="66"/>
        <v>#DIV/0!</v>
      </c>
      <c r="CT41" s="232" t="e">
        <f t="shared" si="67"/>
        <v>#DIV/0!</v>
      </c>
      <c r="CU41" s="230" t="e">
        <f t="shared" si="68"/>
        <v>#DIV/0!</v>
      </c>
      <c r="CV41" s="230" t="e">
        <f t="shared" si="69"/>
        <v>#DIV/0!</v>
      </c>
      <c r="CW41" s="230" t="e">
        <f t="shared" si="70"/>
        <v>#DIV/0!</v>
      </c>
      <c r="CX41" s="230" t="e">
        <f t="shared" si="71"/>
        <v>#DIV/0!</v>
      </c>
      <c r="CY41" s="230" t="e">
        <f>+AU41/AF41</f>
        <v>#DIV/0!</v>
      </c>
      <c r="CZ41" s="232">
        <f t="shared" si="72"/>
        <v>0</v>
      </c>
      <c r="DA41" s="230" t="e">
        <f t="shared" si="73"/>
        <v>#DIV/0!</v>
      </c>
      <c r="DB41" s="230" t="e">
        <f t="shared" si="73"/>
        <v>#DIV/0!</v>
      </c>
      <c r="DC41" s="230" t="e">
        <f t="shared" si="73"/>
        <v>#DIV/0!</v>
      </c>
      <c r="DD41" s="230" t="e">
        <f t="shared" si="73"/>
        <v>#DIV/0!</v>
      </c>
      <c r="DE41" s="230" t="e">
        <f t="shared" si="74"/>
        <v>#DIV/0!</v>
      </c>
      <c r="DF41" s="230">
        <f>(BF41+BG41)</f>
        <v>0</v>
      </c>
      <c r="DG41" s="230">
        <f>Z41+AA41</f>
        <v>0</v>
      </c>
      <c r="DH41" s="230">
        <f t="shared" si="59"/>
        <v>0</v>
      </c>
      <c r="DI41" s="230" t="e">
        <f t="shared" si="75"/>
        <v>#DIV/0!</v>
      </c>
      <c r="DJ41" s="230" t="e">
        <f t="shared" si="76"/>
        <v>#DIV/0!</v>
      </c>
      <c r="DK41" s="230" t="e">
        <f t="shared" si="77"/>
        <v>#DIV/0!</v>
      </c>
      <c r="DL41" s="230" t="e">
        <f>+P41/O41</f>
        <v>#DIV/0!</v>
      </c>
      <c r="DM41" s="230" t="e">
        <f t="shared" si="78"/>
        <v>#DIV/0!</v>
      </c>
      <c r="DN41" s="233">
        <f t="shared" si="79"/>
        <v>0</v>
      </c>
      <c r="DO41" s="230" t="e">
        <f t="shared" si="80"/>
        <v>#DIV/0!</v>
      </c>
      <c r="DP41" s="232">
        <f t="shared" ref="DP41:DP42" si="85">AW41+AO41+AU41</f>
        <v>0</v>
      </c>
      <c r="DQ41" s="232">
        <f t="shared" ref="DQ41:DQ42" si="86">AQ41+AO41</f>
        <v>0</v>
      </c>
      <c r="DR41" s="232" t="e">
        <f t="shared" ref="DR41:DR42" si="87">DP41/Y41*100</f>
        <v>#DIV/0!</v>
      </c>
      <c r="DS41" s="232" t="e">
        <f t="shared" ref="DS41:DS42" si="88">DQ41/Y41*100</f>
        <v>#DIV/0!</v>
      </c>
      <c r="DT41" s="232" t="e">
        <f t="shared" ref="DT41:DT42" si="89">AF41/O41</f>
        <v>#DIV/0!</v>
      </c>
      <c r="DU41" s="232" t="e">
        <f t="shared" ref="DU41:DU42" si="90">(AF41-AH41)/O41</f>
        <v>#DIV/0!</v>
      </c>
      <c r="DV41" s="232" t="e">
        <f t="shared" ref="DV41:DV42" si="91">O41/(AF41-AH41)</f>
        <v>#DIV/0!</v>
      </c>
    </row>
    <row r="42" spans="1:126" ht="13">
      <c r="A42" s="115">
        <f t="shared" ref="A42:B42" si="92">A41</f>
        <v>0</v>
      </c>
      <c r="B42" s="115">
        <f t="shared" si="92"/>
        <v>0</v>
      </c>
      <c r="C42" s="126">
        <f t="shared" si="82"/>
        <v>6</v>
      </c>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6"/>
      <c r="BU42" s="236"/>
      <c r="BV42" s="236"/>
      <c r="BW42" s="236"/>
      <c r="BX42" s="236"/>
      <c r="BY42" s="236"/>
      <c r="BZ42" s="238"/>
      <c r="CA42" s="236"/>
      <c r="CB42" s="236"/>
      <c r="CC42" s="236"/>
      <c r="CD42" s="238"/>
      <c r="CE42" s="238"/>
      <c r="CF42" s="238"/>
      <c r="CG42" s="238"/>
      <c r="CH42" s="238"/>
      <c r="CI42" s="230">
        <f>AF42-AH42</f>
        <v>0</v>
      </c>
      <c r="CJ42" s="230" t="e">
        <f>BY42/BU42</f>
        <v>#DIV/0!</v>
      </c>
      <c r="CK42" s="230" t="e">
        <f t="shared" si="60"/>
        <v>#DIV/0!</v>
      </c>
      <c r="CL42" s="230" t="e">
        <f t="shared" si="60"/>
        <v>#DIV/0!</v>
      </c>
      <c r="CM42" s="230" t="e">
        <f t="shared" si="60"/>
        <v>#DIV/0!</v>
      </c>
      <c r="CN42" s="230" t="e">
        <f t="shared" si="61"/>
        <v>#DIV/0!</v>
      </c>
      <c r="CO42" s="230" t="e">
        <f t="shared" si="62"/>
        <v>#DIV/0!</v>
      </c>
      <c r="CP42" s="232">
        <f t="shared" si="63"/>
        <v>0</v>
      </c>
      <c r="CQ42" s="230" t="e">
        <f t="shared" si="64"/>
        <v>#DIV/0!</v>
      </c>
      <c r="CR42" s="230" t="e">
        <f t="shared" si="65"/>
        <v>#DIV/0!</v>
      </c>
      <c r="CS42" s="230" t="e">
        <f>(AI42+AJ42)/O42</f>
        <v>#DIV/0!</v>
      </c>
      <c r="CT42" s="230" t="e">
        <f>(AK42+AL42+AN42)/BY42</f>
        <v>#DIV/0!</v>
      </c>
      <c r="CU42" s="230" t="e">
        <f t="shared" si="68"/>
        <v>#DIV/0!</v>
      </c>
      <c r="CV42" s="230" t="e">
        <f t="shared" si="69"/>
        <v>#DIV/0!</v>
      </c>
      <c r="CW42" s="230" t="e">
        <f t="shared" si="70"/>
        <v>#DIV/0!</v>
      </c>
      <c r="CX42" s="230" t="e">
        <f t="shared" si="71"/>
        <v>#DIV/0!</v>
      </c>
      <c r="CY42" s="230" t="e">
        <f>+AU42/AF42</f>
        <v>#DIV/0!</v>
      </c>
      <c r="CZ42" s="230">
        <f>O42-O41</f>
        <v>0</v>
      </c>
      <c r="DA42" s="230" t="e">
        <f t="shared" si="73"/>
        <v>#DIV/0!</v>
      </c>
      <c r="DB42" s="230" t="e">
        <f t="shared" si="73"/>
        <v>#DIV/0!</v>
      </c>
      <c r="DC42" s="230" t="e">
        <f t="shared" si="73"/>
        <v>#DIV/0!</v>
      </c>
      <c r="DD42" s="230" t="e">
        <f t="shared" si="73"/>
        <v>#DIV/0!</v>
      </c>
      <c r="DE42" s="230" t="e">
        <f t="shared" si="74"/>
        <v>#DIV/0!</v>
      </c>
      <c r="DF42" s="230">
        <f>(BF42+BG42)</f>
        <v>0</v>
      </c>
      <c r="DG42" s="230">
        <f>Z42+AA42</f>
        <v>0</v>
      </c>
      <c r="DH42" s="230">
        <f t="shared" si="59"/>
        <v>0</v>
      </c>
      <c r="DI42" s="230" t="e">
        <f t="shared" si="75"/>
        <v>#DIV/0!</v>
      </c>
      <c r="DJ42" s="230" t="e">
        <f t="shared" si="76"/>
        <v>#DIV/0!</v>
      </c>
      <c r="DK42" s="230" t="e">
        <f t="shared" si="77"/>
        <v>#DIV/0!</v>
      </c>
      <c r="DL42" s="230" t="e">
        <f>+P42/O42</f>
        <v>#DIV/0!</v>
      </c>
      <c r="DM42" s="230" t="e">
        <f t="shared" si="78"/>
        <v>#DIV/0!</v>
      </c>
      <c r="DN42" s="233">
        <f t="shared" si="79"/>
        <v>0</v>
      </c>
      <c r="DO42" s="230" t="e">
        <f t="shared" si="80"/>
        <v>#DIV/0!</v>
      </c>
      <c r="DP42" s="232">
        <f t="shared" si="85"/>
        <v>0</v>
      </c>
      <c r="DQ42" s="232">
        <f t="shared" si="86"/>
        <v>0</v>
      </c>
      <c r="DR42" s="232" t="e">
        <f t="shared" si="87"/>
        <v>#DIV/0!</v>
      </c>
      <c r="DS42" s="232" t="e">
        <f t="shared" si="88"/>
        <v>#DIV/0!</v>
      </c>
      <c r="DT42" s="232" t="e">
        <f t="shared" si="89"/>
        <v>#DIV/0!</v>
      </c>
      <c r="DU42" s="232" t="e">
        <f t="shared" si="90"/>
        <v>#DIV/0!</v>
      </c>
      <c r="DV42" s="232" t="e">
        <f t="shared" si="91"/>
        <v>#DIV/0!</v>
      </c>
    </row>
    <row r="43" spans="1:126" ht="13">
      <c r="A43" s="115">
        <f t="shared" ref="A43:B43" si="93">A42</f>
        <v>0</v>
      </c>
      <c r="B43" s="115">
        <f t="shared" si="93"/>
        <v>0</v>
      </c>
      <c r="C43" s="126">
        <f t="shared" si="82"/>
        <v>7</v>
      </c>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236"/>
      <c r="BR43" s="236"/>
      <c r="BS43" s="236"/>
      <c r="BT43" s="236"/>
      <c r="BU43" s="236"/>
      <c r="BV43" s="236"/>
      <c r="BW43" s="236"/>
      <c r="BX43" s="236"/>
      <c r="BY43" s="236"/>
      <c r="BZ43" s="238"/>
      <c r="CA43" s="236"/>
      <c r="CB43" s="236"/>
      <c r="CC43" s="236"/>
      <c r="CD43" s="238"/>
      <c r="CE43" s="238"/>
      <c r="CF43" s="238"/>
      <c r="CG43" s="238"/>
      <c r="CH43" s="238"/>
      <c r="CI43" s="230">
        <f>AF43-AH43</f>
        <v>0</v>
      </c>
      <c r="CJ43" s="230" t="e">
        <f>BY43/BU43</f>
        <v>#DIV/0!</v>
      </c>
      <c r="CK43" s="230" t="e">
        <f t="shared" ref="CK43" si="94">BL43/BE43</f>
        <v>#DIV/0!</v>
      </c>
      <c r="CL43" s="230" t="e">
        <f t="shared" ref="CL43" si="95">BM43/BF43</f>
        <v>#DIV/0!</v>
      </c>
      <c r="CM43" s="230" t="e">
        <f t="shared" ref="CM43" si="96">BN43/BG43</f>
        <v>#DIV/0!</v>
      </c>
      <c r="CN43" s="230" t="e">
        <f t="shared" ref="CN43" si="97">(BM43+BN43)/(BF43+BG43)</f>
        <v>#DIV/0!</v>
      </c>
      <c r="CO43" s="230" t="e">
        <f t="shared" ref="CO43" si="98">BO43/BH43</f>
        <v>#DIV/0!</v>
      </c>
      <c r="CP43" s="232">
        <f t="shared" ref="CP43" si="99">AI43+AJ43</f>
        <v>0</v>
      </c>
      <c r="CQ43" s="230" t="e">
        <f t="shared" ref="CQ43" si="100">AI43/O43</f>
        <v>#DIV/0!</v>
      </c>
      <c r="CR43" s="230" t="e">
        <f t="shared" ref="CR43" si="101">AJ43/O43</f>
        <v>#DIV/0!</v>
      </c>
      <c r="CS43" s="230" t="e">
        <f>(AI43+AJ43)/O43</f>
        <v>#DIV/0!</v>
      </c>
      <c r="CT43" s="230" t="e">
        <f>(AK43+AL43+AN43)/BY43</f>
        <v>#DIV/0!</v>
      </c>
      <c r="CU43" s="230" t="e">
        <f t="shared" ref="CU43" si="102">AM43/BY43</f>
        <v>#DIV/0!</v>
      </c>
      <c r="CV43" s="230" t="e">
        <f t="shared" ref="CV43" si="103">AO43/O43</f>
        <v>#DIV/0!</v>
      </c>
      <c r="CW43" s="230" t="e">
        <f t="shared" ref="CW43" si="104">+AP43/O43</f>
        <v>#DIV/0!</v>
      </c>
      <c r="CX43" s="230" t="e">
        <f t="shared" ref="CX43" si="105">+AM43/O43</f>
        <v>#DIV/0!</v>
      </c>
      <c r="CY43" s="230" t="e">
        <f>+AU43/AF43</f>
        <v>#DIV/0!</v>
      </c>
      <c r="CZ43" s="230">
        <f>O43-O42</f>
        <v>0</v>
      </c>
      <c r="DA43" s="230" t="e">
        <f t="shared" ref="DA43" si="106">BE43/AX43*1000/12</f>
        <v>#DIV/0!</v>
      </c>
      <c r="DB43" s="230" t="e">
        <f t="shared" ref="DB43" si="107">BF43/AY43*1000/12</f>
        <v>#DIV/0!</v>
      </c>
      <c r="DC43" s="230" t="e">
        <f t="shared" ref="DC43" si="108">BG43/AZ43*1000/12</f>
        <v>#DIV/0!</v>
      </c>
      <c r="DD43" s="230" t="e">
        <f t="shared" ref="DD43" si="109">BH43/BA43*1000/12</f>
        <v>#DIV/0!</v>
      </c>
      <c r="DE43" s="230" t="e">
        <f t="shared" ref="DE43" si="110">(BF43+BG43)/(AY43+AZ43)*1000/12</f>
        <v>#DIV/0!</v>
      </c>
      <c r="DF43" s="230">
        <f>(BF43+BG43)</f>
        <v>0</v>
      </c>
      <c r="DG43" s="230">
        <f>Z43+AA43</f>
        <v>0</v>
      </c>
      <c r="DH43" s="230">
        <f t="shared" si="59"/>
        <v>0</v>
      </c>
      <c r="DI43" s="230" t="e">
        <f t="shared" ref="DI43" si="111">O43/BK43</f>
        <v>#DIV/0!</v>
      </c>
      <c r="DJ43" s="230" t="e">
        <f t="shared" ref="DJ43" si="112">O43/(BK43-BJ43)</f>
        <v>#DIV/0!</v>
      </c>
      <c r="DK43" s="230" t="e">
        <f t="shared" ref="DK43" si="113">AH43/CB43</f>
        <v>#DIV/0!</v>
      </c>
      <c r="DL43" s="230" t="e">
        <f>+P43/O43</f>
        <v>#DIV/0!</v>
      </c>
      <c r="DM43" s="230" t="e">
        <f t="shared" ref="DM43" si="114">1-(BK43/CB43)</f>
        <v>#DIV/0!</v>
      </c>
      <c r="DN43" s="233">
        <f t="shared" ref="DN43" si="115">AK43+AL43+AN43</f>
        <v>0</v>
      </c>
      <c r="DO43" s="230" t="e">
        <f t="shared" ref="DO43" si="116">CI43/BK43</f>
        <v>#DIV/0!</v>
      </c>
      <c r="DP43" s="232">
        <f t="shared" ref="DP43" si="117">AW43+AO43+AU43</f>
        <v>0</v>
      </c>
      <c r="DQ43" s="232">
        <f t="shared" ref="DQ43" si="118">AQ43+AO43</f>
        <v>0</v>
      </c>
      <c r="DR43" s="232" t="e">
        <f t="shared" ref="DR43" si="119">DP43/Y43*100</f>
        <v>#DIV/0!</v>
      </c>
      <c r="DS43" s="232" t="e">
        <f t="shared" ref="DS43" si="120">DQ43/Y43*100</f>
        <v>#DIV/0!</v>
      </c>
      <c r="DT43" s="232" t="e">
        <f t="shared" ref="DT43" si="121">AF43/O43</f>
        <v>#DIV/0!</v>
      </c>
      <c r="DU43" s="232" t="e">
        <f t="shared" ref="DU43" si="122">(AF43-AH43)/O43</f>
        <v>#DIV/0!</v>
      </c>
      <c r="DV43" s="232" t="e">
        <f t="shared" ref="DV43" si="123">O43/(AF43-AH43)</f>
        <v>#DIV/0!</v>
      </c>
    </row>
    <row r="44" spans="1:126" ht="13">
      <c r="A44" s="115">
        <f t="shared" ref="A44:B44" si="124">A43</f>
        <v>0</v>
      </c>
      <c r="B44" s="115">
        <f t="shared" si="124"/>
        <v>0</v>
      </c>
      <c r="C44" s="126">
        <f t="shared" si="82"/>
        <v>8</v>
      </c>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6"/>
      <c r="BR44" s="236"/>
      <c r="BS44" s="236"/>
      <c r="BT44" s="236"/>
      <c r="BU44" s="236"/>
      <c r="BV44" s="236"/>
      <c r="BW44" s="236"/>
      <c r="BX44" s="236"/>
      <c r="BY44" s="236"/>
      <c r="BZ44" s="238"/>
      <c r="CA44" s="236"/>
      <c r="CB44" s="236"/>
      <c r="CC44" s="236"/>
      <c r="CD44" s="238"/>
      <c r="CE44" s="238"/>
      <c r="CF44" s="238"/>
      <c r="CG44" s="238"/>
      <c r="CH44" s="238"/>
      <c r="CI44" s="230">
        <f>AF44-AH44</f>
        <v>0</v>
      </c>
      <c r="CJ44" s="230" t="e">
        <f>BY44/BU44</f>
        <v>#DIV/0!</v>
      </c>
      <c r="CK44" s="230" t="e">
        <f t="shared" ref="CK44" si="125">BL44/BE44</f>
        <v>#DIV/0!</v>
      </c>
      <c r="CL44" s="230" t="e">
        <f t="shared" ref="CL44" si="126">BM44/BF44</f>
        <v>#DIV/0!</v>
      </c>
      <c r="CM44" s="230" t="e">
        <f t="shared" ref="CM44" si="127">BN44/BG44</f>
        <v>#DIV/0!</v>
      </c>
      <c r="CN44" s="230" t="e">
        <f t="shared" ref="CN44" si="128">(BM44+BN44)/(BF44+BG44)</f>
        <v>#DIV/0!</v>
      </c>
      <c r="CO44" s="230" t="e">
        <f t="shared" ref="CO44" si="129">BO44/BH44</f>
        <v>#DIV/0!</v>
      </c>
      <c r="CP44" s="232">
        <f t="shared" ref="CP44" si="130">AI44+AJ44</f>
        <v>0</v>
      </c>
      <c r="CQ44" s="230" t="e">
        <f t="shared" ref="CQ44" si="131">AI44/O44</f>
        <v>#DIV/0!</v>
      </c>
      <c r="CR44" s="230" t="e">
        <f t="shared" ref="CR44" si="132">AJ44/O44</f>
        <v>#DIV/0!</v>
      </c>
      <c r="CS44" s="230" t="e">
        <f>(AI44+AJ44)/O44</f>
        <v>#DIV/0!</v>
      </c>
      <c r="CT44" s="230" t="e">
        <f>(AK44+AL44+AN44)/BY44</f>
        <v>#DIV/0!</v>
      </c>
      <c r="CU44" s="230" t="e">
        <f t="shared" ref="CU44" si="133">AM44/BY44</f>
        <v>#DIV/0!</v>
      </c>
      <c r="CV44" s="230" t="e">
        <f t="shared" ref="CV44" si="134">AO44/O44</f>
        <v>#DIV/0!</v>
      </c>
      <c r="CW44" s="230" t="e">
        <f t="shared" ref="CW44" si="135">+AP44/O44</f>
        <v>#DIV/0!</v>
      </c>
      <c r="CX44" s="230" t="e">
        <f t="shared" ref="CX44" si="136">+AM44/O44</f>
        <v>#DIV/0!</v>
      </c>
      <c r="CY44" s="230" t="e">
        <f>+AU44/AF44</f>
        <v>#DIV/0!</v>
      </c>
      <c r="CZ44" s="230">
        <f>O44-O43</f>
        <v>0</v>
      </c>
      <c r="DA44" s="230" t="e">
        <f t="shared" ref="DA44" si="137">BE44/AX44*1000/12</f>
        <v>#DIV/0!</v>
      </c>
      <c r="DB44" s="230" t="e">
        <f t="shared" ref="DB44" si="138">BF44/AY44*1000/12</f>
        <v>#DIV/0!</v>
      </c>
      <c r="DC44" s="230" t="e">
        <f t="shared" ref="DC44" si="139">BG44/AZ44*1000/12</f>
        <v>#DIV/0!</v>
      </c>
      <c r="DD44" s="230" t="e">
        <f t="shared" ref="DD44" si="140">BH44/BA44*1000/12</f>
        <v>#DIV/0!</v>
      </c>
      <c r="DE44" s="230" t="e">
        <f t="shared" ref="DE44" si="141">(BF44+BG44)/(AY44+AZ44)*1000/12</f>
        <v>#DIV/0!</v>
      </c>
      <c r="DF44" s="230">
        <f>(BF44+BG44)</f>
        <v>0</v>
      </c>
      <c r="DG44" s="230">
        <f>Z44+AA44</f>
        <v>0</v>
      </c>
      <c r="DH44" s="230">
        <f t="shared" ref="DH44" si="142">BI44+BJ44</f>
        <v>0</v>
      </c>
      <c r="DI44" s="230" t="e">
        <f t="shared" ref="DI44" si="143">O44/BK44</f>
        <v>#DIV/0!</v>
      </c>
      <c r="DJ44" s="230" t="e">
        <f t="shared" ref="DJ44" si="144">O44/(BK44-BJ44)</f>
        <v>#DIV/0!</v>
      </c>
      <c r="DK44" s="230" t="e">
        <f t="shared" ref="DK44" si="145">AH44/CB44</f>
        <v>#DIV/0!</v>
      </c>
      <c r="DL44" s="230" t="e">
        <f>+P44/O44</f>
        <v>#DIV/0!</v>
      </c>
      <c r="DM44" s="230" t="e">
        <f t="shared" ref="DM44" si="146">1-(BK44/CB44)</f>
        <v>#DIV/0!</v>
      </c>
      <c r="DN44" s="233">
        <f t="shared" ref="DN44" si="147">AK44+AL44+AN44</f>
        <v>0</v>
      </c>
      <c r="DO44" s="230" t="e">
        <f t="shared" ref="DO44" si="148">CI44/BK44</f>
        <v>#DIV/0!</v>
      </c>
      <c r="DP44" s="232">
        <f t="shared" ref="DP44" si="149">AW44+AO44+AU44</f>
        <v>0</v>
      </c>
      <c r="DQ44" s="232">
        <f t="shared" ref="DQ44" si="150">AQ44+AO44</f>
        <v>0</v>
      </c>
      <c r="DR44" s="232" t="e">
        <f t="shared" ref="DR44" si="151">DP44/Y44*100</f>
        <v>#DIV/0!</v>
      </c>
      <c r="DS44" s="232" t="e">
        <f t="shared" ref="DS44" si="152">DQ44/Y44*100</f>
        <v>#DIV/0!</v>
      </c>
      <c r="DT44" s="232" t="e">
        <f t="shared" ref="DT44" si="153">AF44/O44</f>
        <v>#DIV/0!</v>
      </c>
      <c r="DU44" s="232" t="e">
        <f t="shared" ref="DU44" si="154">(AF44-AH44)/O44</f>
        <v>#DIV/0!</v>
      </c>
      <c r="DV44" s="232" t="e">
        <f t="shared" ref="DV44" si="155">O44/(AF44-AH44)</f>
        <v>#DIV/0!</v>
      </c>
    </row>
    <row r="45" spans="1:126" ht="13">
      <c r="A45" s="115">
        <f t="shared" ref="A45:B45" si="156">A44</f>
        <v>0</v>
      </c>
      <c r="B45" s="115">
        <f t="shared" si="156"/>
        <v>0</v>
      </c>
      <c r="C45" s="126">
        <f t="shared" si="82"/>
        <v>9</v>
      </c>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6"/>
      <c r="BR45" s="236"/>
      <c r="BS45" s="236"/>
      <c r="BT45" s="236"/>
      <c r="BU45" s="236"/>
      <c r="BV45" s="236"/>
      <c r="BW45" s="236"/>
      <c r="BX45" s="236"/>
      <c r="BY45" s="236"/>
      <c r="BZ45" s="238"/>
      <c r="CA45" s="236"/>
      <c r="CB45" s="236"/>
      <c r="CC45" s="236"/>
      <c r="CD45" s="238"/>
      <c r="CE45" s="238"/>
      <c r="CF45" s="238"/>
      <c r="CG45" s="238"/>
      <c r="CH45" s="238"/>
      <c r="CI45" s="230">
        <f>AF45-AH45</f>
        <v>0</v>
      </c>
      <c r="CJ45" s="230" t="e">
        <f>BY45/BU45</f>
        <v>#DIV/0!</v>
      </c>
      <c r="CK45" s="230" t="e">
        <f t="shared" ref="CK45" si="157">BL45/BE45</f>
        <v>#DIV/0!</v>
      </c>
      <c r="CL45" s="230" t="e">
        <f t="shared" ref="CL45" si="158">BM45/BF45</f>
        <v>#DIV/0!</v>
      </c>
      <c r="CM45" s="230" t="e">
        <f t="shared" ref="CM45" si="159">BN45/BG45</f>
        <v>#DIV/0!</v>
      </c>
      <c r="CN45" s="230" t="e">
        <f t="shared" ref="CN45" si="160">(BM45+BN45)/(BF45+BG45)</f>
        <v>#DIV/0!</v>
      </c>
      <c r="CO45" s="230" t="e">
        <f t="shared" ref="CO45" si="161">BO45/BH45</f>
        <v>#DIV/0!</v>
      </c>
      <c r="CP45" s="232">
        <f t="shared" ref="CP45" si="162">AI45+AJ45</f>
        <v>0</v>
      </c>
      <c r="CQ45" s="230" t="e">
        <f t="shared" ref="CQ45" si="163">AI45/O45</f>
        <v>#DIV/0!</v>
      </c>
      <c r="CR45" s="230" t="e">
        <f t="shared" ref="CR45" si="164">AJ45/O45</f>
        <v>#DIV/0!</v>
      </c>
      <c r="CS45" s="230" t="e">
        <f>(AI45+AJ45)/O45</f>
        <v>#DIV/0!</v>
      </c>
      <c r="CT45" s="230" t="e">
        <f>(AK45+AL45+AN45)/BY45</f>
        <v>#DIV/0!</v>
      </c>
      <c r="CU45" s="230" t="e">
        <f t="shared" ref="CU45" si="165">AM45/BY45</f>
        <v>#DIV/0!</v>
      </c>
      <c r="CV45" s="230" t="e">
        <f t="shared" ref="CV45" si="166">AO45/O45</f>
        <v>#DIV/0!</v>
      </c>
      <c r="CW45" s="230" t="e">
        <f t="shared" ref="CW45" si="167">+AP45/O45</f>
        <v>#DIV/0!</v>
      </c>
      <c r="CX45" s="230" t="e">
        <f t="shared" ref="CX45" si="168">+AM45/O45</f>
        <v>#DIV/0!</v>
      </c>
      <c r="CY45" s="230" t="e">
        <f>+AU45/AF45</f>
        <v>#DIV/0!</v>
      </c>
      <c r="CZ45" s="230">
        <f>O45-O44</f>
        <v>0</v>
      </c>
      <c r="DA45" s="230" t="e">
        <f t="shared" ref="DA45" si="169">BE45/AX45*1000/12</f>
        <v>#DIV/0!</v>
      </c>
      <c r="DB45" s="230" t="e">
        <f t="shared" ref="DB45" si="170">BF45/AY45*1000/12</f>
        <v>#DIV/0!</v>
      </c>
      <c r="DC45" s="230" t="e">
        <f t="shared" ref="DC45" si="171">BG45/AZ45*1000/12</f>
        <v>#DIV/0!</v>
      </c>
      <c r="DD45" s="230" t="e">
        <f t="shared" ref="DD45" si="172">BH45/BA45*1000/12</f>
        <v>#DIV/0!</v>
      </c>
      <c r="DE45" s="230" t="e">
        <f t="shared" ref="DE45" si="173">(BF45+BG45)/(AY45+AZ45)*1000/12</f>
        <v>#DIV/0!</v>
      </c>
      <c r="DF45" s="230">
        <f>(BF45+BG45)</f>
        <v>0</v>
      </c>
      <c r="DG45" s="230">
        <f>Z45+AA45</f>
        <v>0</v>
      </c>
      <c r="DH45" s="230">
        <f t="shared" ref="DH45" si="174">BI45+BJ45</f>
        <v>0</v>
      </c>
      <c r="DI45" s="230" t="e">
        <f t="shared" ref="DI45" si="175">O45/BK45</f>
        <v>#DIV/0!</v>
      </c>
      <c r="DJ45" s="230" t="e">
        <f t="shared" ref="DJ45" si="176">O45/(BK45-BJ45)</f>
        <v>#DIV/0!</v>
      </c>
      <c r="DK45" s="230" t="e">
        <f t="shared" ref="DK45" si="177">AH45/CB45</f>
        <v>#DIV/0!</v>
      </c>
      <c r="DL45" s="230" t="e">
        <f>+P45/O45</f>
        <v>#DIV/0!</v>
      </c>
      <c r="DM45" s="230" t="e">
        <f t="shared" ref="DM45" si="178">1-(BK45/CB45)</f>
        <v>#DIV/0!</v>
      </c>
      <c r="DN45" s="233">
        <f t="shared" ref="DN45" si="179">AK45+AL45+AN45</f>
        <v>0</v>
      </c>
      <c r="DO45" s="230" t="e">
        <f t="shared" ref="DO45" si="180">CI45/BK45</f>
        <v>#DIV/0!</v>
      </c>
      <c r="DP45" s="232">
        <f t="shared" ref="DP45" si="181">AW45+AO45+AU45</f>
        <v>0</v>
      </c>
      <c r="DQ45" s="232">
        <f t="shared" ref="DQ45" si="182">AQ45+AO45</f>
        <v>0</v>
      </c>
      <c r="DR45" s="232" t="e">
        <f t="shared" ref="DR45" si="183">DP45/Y45*100</f>
        <v>#DIV/0!</v>
      </c>
      <c r="DS45" s="232" t="e">
        <f t="shared" ref="DS45" si="184">DQ45/Y45*100</f>
        <v>#DIV/0!</v>
      </c>
      <c r="DT45" s="232" t="e">
        <f t="shared" ref="DT45" si="185">AF45/O45</f>
        <v>#DIV/0!</v>
      </c>
      <c r="DU45" s="232" t="e">
        <f t="shared" ref="DU45" si="186">(AF45-AH45)/O45</f>
        <v>#DIV/0!</v>
      </c>
      <c r="DV45" s="232" t="e">
        <f t="shared" ref="DV45" si="187">O45/(AF45-AH45)</f>
        <v>#DIV/0!</v>
      </c>
    </row>
    <row r="46" spans="1:126" ht="13">
      <c r="A46" s="115">
        <f t="shared" ref="A46:B46" si="188">A45</f>
        <v>0</v>
      </c>
      <c r="B46" s="115">
        <f t="shared" si="188"/>
        <v>0</v>
      </c>
      <c r="C46" s="126">
        <f t="shared" si="82"/>
        <v>10</v>
      </c>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6"/>
      <c r="BR46" s="236"/>
      <c r="BS46" s="236"/>
      <c r="BT46" s="236"/>
      <c r="BU46" s="236"/>
      <c r="BV46" s="236"/>
      <c r="BW46" s="236"/>
      <c r="BX46" s="236"/>
      <c r="BY46" s="236"/>
      <c r="BZ46" s="238"/>
      <c r="CA46" s="236"/>
      <c r="CB46" s="236"/>
      <c r="CC46" s="236"/>
      <c r="CD46" s="238"/>
      <c r="CE46" s="238"/>
      <c r="CF46" s="238"/>
      <c r="CG46" s="238"/>
      <c r="CH46" s="238"/>
      <c r="CI46" s="230">
        <f t="shared" ref="CI46" si="189">AF46-AH46</f>
        <v>0</v>
      </c>
      <c r="CJ46" s="230" t="e">
        <f t="shared" ref="CJ46" si="190">BY46/BU46</f>
        <v>#DIV/0!</v>
      </c>
      <c r="CK46" s="230" t="e">
        <f t="shared" ref="CK46:CM47" si="191">BL46/BE46</f>
        <v>#DIV/0!</v>
      </c>
      <c r="CL46" s="230" t="e">
        <f t="shared" si="191"/>
        <v>#DIV/0!</v>
      </c>
      <c r="CM46" s="230" t="e">
        <f t="shared" si="191"/>
        <v>#DIV/0!</v>
      </c>
      <c r="CN46" s="230" t="e">
        <f t="shared" ref="CN46:CN51" si="192">(BM46+BN46)/(BF46+BG46)</f>
        <v>#DIV/0!</v>
      </c>
      <c r="CO46" s="230" t="e">
        <f t="shared" ref="CO46:CO51" si="193">BO46/BH46</f>
        <v>#DIV/0!</v>
      </c>
      <c r="CP46" s="232">
        <f t="shared" ref="CP46:CP51" si="194">AI46+AJ46</f>
        <v>0</v>
      </c>
      <c r="CQ46" s="230" t="e">
        <f t="shared" ref="CQ46:CQ51" si="195">AI46/O46</f>
        <v>#DIV/0!</v>
      </c>
      <c r="CR46" s="230" t="e">
        <f t="shared" ref="CR46:CR51" si="196">AJ46/O46</f>
        <v>#DIV/0!</v>
      </c>
      <c r="CS46" s="233" t="e">
        <f t="shared" ref="CS46:CS51" si="197">(AI46+AJ46)/O46</f>
        <v>#DIV/0!</v>
      </c>
      <c r="CT46" s="232" t="e">
        <f t="shared" ref="CT46:CT51" si="198">(AK46+AL46+AN46)/BY46</f>
        <v>#DIV/0!</v>
      </c>
      <c r="CU46" s="230" t="e">
        <f t="shared" ref="CU46:CU51" si="199">AM46/BY46</f>
        <v>#DIV/0!</v>
      </c>
      <c r="CV46" s="230" t="e">
        <f t="shared" ref="CV46:CV51" si="200">AO46/O46</f>
        <v>#DIV/0!</v>
      </c>
      <c r="CW46" s="230" t="e">
        <f t="shared" ref="CW46:CW51" si="201">+AP46/O46</f>
        <v>#DIV/0!</v>
      </c>
      <c r="CX46" s="230" t="e">
        <f t="shared" ref="CX46:CX51" si="202">+AM46/O46</f>
        <v>#DIV/0!</v>
      </c>
      <c r="CY46" s="230" t="e">
        <f t="shared" ref="CY46:CY48" si="203">+AU46/AF46</f>
        <v>#DIV/0!</v>
      </c>
      <c r="CZ46" s="232">
        <f t="shared" ref="CZ46:CZ51" si="204">(O46-O45)</f>
        <v>0</v>
      </c>
      <c r="DA46" s="230" t="e">
        <f t="shared" ref="DA46:DD47" si="205">BE46/AX46*1000/12</f>
        <v>#DIV/0!</v>
      </c>
      <c r="DB46" s="230" t="e">
        <f t="shared" si="205"/>
        <v>#DIV/0!</v>
      </c>
      <c r="DC46" s="230" t="e">
        <f t="shared" si="205"/>
        <v>#DIV/0!</v>
      </c>
      <c r="DD46" s="230" t="e">
        <f t="shared" si="205"/>
        <v>#DIV/0!</v>
      </c>
      <c r="DE46" s="230" t="e">
        <f t="shared" ref="DE46:DE51" si="206">(BF46+BG46)/(AY46+AZ46)*1000/12</f>
        <v>#DIV/0!</v>
      </c>
      <c r="DF46" s="230">
        <f t="shared" ref="DF46" si="207">(BF46+BG46)</f>
        <v>0</v>
      </c>
      <c r="DG46" s="230">
        <f t="shared" ref="DG46" si="208">Z46+AA46</f>
        <v>0</v>
      </c>
      <c r="DH46" s="230">
        <f t="shared" ref="DH46:DH48" si="209">BI46+BJ46</f>
        <v>0</v>
      </c>
      <c r="DI46" s="230" t="e">
        <f t="shared" ref="DI46:DI51" si="210">O46/BK46</f>
        <v>#DIV/0!</v>
      </c>
      <c r="DJ46" s="230" t="e">
        <f t="shared" ref="DJ46:DJ51" si="211">O46/(BK46-BJ46)</f>
        <v>#DIV/0!</v>
      </c>
      <c r="DK46" s="230" t="e">
        <f t="shared" ref="DK46:DK51" si="212">AH46/CB46</f>
        <v>#DIV/0!</v>
      </c>
      <c r="DL46" s="230" t="e">
        <f t="shared" ref="DL46" si="213">+P46/O46</f>
        <v>#DIV/0!</v>
      </c>
      <c r="DM46" s="230" t="e">
        <f t="shared" ref="DM46:DM51" si="214">1-(BK46/CB46)</f>
        <v>#DIV/0!</v>
      </c>
      <c r="DN46" s="233">
        <f t="shared" ref="DN46:DN51" si="215">AK46+AL46+AN46</f>
        <v>0</v>
      </c>
      <c r="DO46" s="230" t="e">
        <f t="shared" ref="DO46:DO51" si="216">CI46/BK46</f>
        <v>#DIV/0!</v>
      </c>
      <c r="DP46" s="232">
        <f t="shared" ref="DP46:DP47" si="217">AW46+AO46+AU46</f>
        <v>0</v>
      </c>
      <c r="DQ46" s="232">
        <f t="shared" ref="DQ46:DQ47" si="218">AQ46+AO46</f>
        <v>0</v>
      </c>
      <c r="DR46" s="232" t="e">
        <f t="shared" ref="DR46:DR48" si="219">DP46/Y46*100</f>
        <v>#DIV/0!</v>
      </c>
      <c r="DS46" s="232" t="e">
        <f t="shared" ref="DS46:DS48" si="220">DQ46/Y46*100</f>
        <v>#DIV/0!</v>
      </c>
      <c r="DT46" s="232" t="e">
        <f t="shared" ref="DT46:DT47" si="221">AF46/O46</f>
        <v>#DIV/0!</v>
      </c>
      <c r="DU46" s="232" t="e">
        <f t="shared" ref="DU46:DU47" si="222">(AF46-AH46)/O46</f>
        <v>#DIV/0!</v>
      </c>
      <c r="DV46" s="232" t="e">
        <f t="shared" ref="DV46:DV48" si="223">O46/(AF46-AH46)</f>
        <v>#DIV/0!</v>
      </c>
    </row>
    <row r="47" spans="1:126" ht="13">
      <c r="A47" s="115">
        <f t="shared" ref="A47:B47" si="224">A46</f>
        <v>0</v>
      </c>
      <c r="B47" s="115">
        <f t="shared" si="224"/>
        <v>0</v>
      </c>
      <c r="C47" s="126">
        <f t="shared" si="82"/>
        <v>11</v>
      </c>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236"/>
      <c r="BN47" s="236"/>
      <c r="BO47" s="236"/>
      <c r="BP47" s="236"/>
      <c r="BQ47" s="236"/>
      <c r="BR47" s="236"/>
      <c r="BS47" s="236"/>
      <c r="BT47" s="236"/>
      <c r="BU47" s="236"/>
      <c r="BV47" s="236"/>
      <c r="BW47" s="236"/>
      <c r="BX47" s="236"/>
      <c r="BY47" s="236"/>
      <c r="BZ47" s="238"/>
      <c r="CA47" s="236"/>
      <c r="CB47" s="236"/>
      <c r="CC47" s="236"/>
      <c r="CD47" s="238"/>
      <c r="CE47" s="238"/>
      <c r="CF47" s="238"/>
      <c r="CG47" s="238"/>
      <c r="CH47" s="238"/>
      <c r="CI47" s="230">
        <f t="shared" ref="CI47:CI52" si="225">AF47-AH47</f>
        <v>0</v>
      </c>
      <c r="CJ47" s="230" t="e">
        <f t="shared" ref="CJ47:CJ52" si="226">BY47/BU47</f>
        <v>#DIV/0!</v>
      </c>
      <c r="CK47" s="230" t="e">
        <f t="shared" si="191"/>
        <v>#DIV/0!</v>
      </c>
      <c r="CL47" s="230" t="e">
        <f t="shared" si="191"/>
        <v>#DIV/0!</v>
      </c>
      <c r="CM47" s="230" t="e">
        <f t="shared" si="191"/>
        <v>#DIV/0!</v>
      </c>
      <c r="CN47" s="230" t="e">
        <f t="shared" si="192"/>
        <v>#DIV/0!</v>
      </c>
      <c r="CO47" s="230" t="e">
        <f t="shared" si="193"/>
        <v>#DIV/0!</v>
      </c>
      <c r="CP47" s="232">
        <f t="shared" si="194"/>
        <v>0</v>
      </c>
      <c r="CQ47" s="230" t="e">
        <f t="shared" si="195"/>
        <v>#DIV/0!</v>
      </c>
      <c r="CR47" s="230" t="e">
        <f t="shared" si="196"/>
        <v>#DIV/0!</v>
      </c>
      <c r="CS47" s="233" t="e">
        <f t="shared" si="197"/>
        <v>#DIV/0!</v>
      </c>
      <c r="CT47" s="232" t="e">
        <f t="shared" si="198"/>
        <v>#DIV/0!</v>
      </c>
      <c r="CU47" s="230" t="e">
        <f t="shared" si="199"/>
        <v>#DIV/0!</v>
      </c>
      <c r="CV47" s="230" t="e">
        <f t="shared" si="200"/>
        <v>#DIV/0!</v>
      </c>
      <c r="CW47" s="230" t="e">
        <f t="shared" si="201"/>
        <v>#DIV/0!</v>
      </c>
      <c r="CX47" s="230" t="e">
        <f t="shared" si="202"/>
        <v>#DIV/0!</v>
      </c>
      <c r="CY47" s="230" t="e">
        <f t="shared" si="203"/>
        <v>#DIV/0!</v>
      </c>
      <c r="CZ47" s="232">
        <f t="shared" si="204"/>
        <v>0</v>
      </c>
      <c r="DA47" s="230" t="e">
        <f t="shared" si="205"/>
        <v>#DIV/0!</v>
      </c>
      <c r="DB47" s="230" t="e">
        <f t="shared" si="205"/>
        <v>#DIV/0!</v>
      </c>
      <c r="DC47" s="230" t="e">
        <f t="shared" si="205"/>
        <v>#DIV/0!</v>
      </c>
      <c r="DD47" s="230" t="e">
        <f t="shared" si="205"/>
        <v>#DIV/0!</v>
      </c>
      <c r="DE47" s="230" t="e">
        <f t="shared" si="206"/>
        <v>#DIV/0!</v>
      </c>
      <c r="DF47" s="230">
        <f t="shared" ref="DF47:DF52" si="227">(BF47+BG47)</f>
        <v>0</v>
      </c>
      <c r="DG47" s="230">
        <f t="shared" ref="DG47:DG52" si="228">Z47+AA47</f>
        <v>0</v>
      </c>
      <c r="DH47" s="230">
        <f t="shared" si="209"/>
        <v>0</v>
      </c>
      <c r="DI47" s="230" t="e">
        <f t="shared" si="210"/>
        <v>#DIV/0!</v>
      </c>
      <c r="DJ47" s="230" t="e">
        <f t="shared" si="211"/>
        <v>#DIV/0!</v>
      </c>
      <c r="DK47" s="230" t="e">
        <f t="shared" si="212"/>
        <v>#DIV/0!</v>
      </c>
      <c r="DL47" s="230" t="e">
        <f t="shared" ref="DL47:DL52" si="229">+P47/O47</f>
        <v>#DIV/0!</v>
      </c>
      <c r="DM47" s="230" t="e">
        <f t="shared" si="214"/>
        <v>#DIV/0!</v>
      </c>
      <c r="DN47" s="233">
        <f t="shared" si="215"/>
        <v>0</v>
      </c>
      <c r="DO47" s="230" t="e">
        <f t="shared" si="216"/>
        <v>#DIV/0!</v>
      </c>
      <c r="DP47" s="232">
        <f t="shared" si="217"/>
        <v>0</v>
      </c>
      <c r="DQ47" s="232">
        <f t="shared" si="218"/>
        <v>0</v>
      </c>
      <c r="DR47" s="232" t="e">
        <f t="shared" si="219"/>
        <v>#DIV/0!</v>
      </c>
      <c r="DS47" s="232" t="e">
        <f t="shared" si="220"/>
        <v>#DIV/0!</v>
      </c>
      <c r="DT47" s="232" t="e">
        <f t="shared" si="221"/>
        <v>#DIV/0!</v>
      </c>
      <c r="DU47" s="232" t="e">
        <f t="shared" si="222"/>
        <v>#DIV/0!</v>
      </c>
      <c r="DV47" s="232" t="e">
        <f t="shared" si="223"/>
        <v>#DIV/0!</v>
      </c>
    </row>
    <row r="48" spans="1:126" ht="13">
      <c r="A48" s="115">
        <f t="shared" ref="A48:B48" si="230">A47</f>
        <v>0</v>
      </c>
      <c r="B48" s="115">
        <f t="shared" si="230"/>
        <v>0</v>
      </c>
      <c r="C48" s="126">
        <f t="shared" si="82"/>
        <v>12</v>
      </c>
      <c r="D48" s="236"/>
      <c r="E48" s="236"/>
      <c r="F48" s="236"/>
      <c r="G48" s="236"/>
      <c r="H48" s="236"/>
      <c r="I48" s="236"/>
      <c r="J48" s="239"/>
      <c r="K48" s="239"/>
      <c r="L48" s="239"/>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0"/>
      <c r="BR48" s="240"/>
      <c r="BS48" s="240"/>
      <c r="BT48" s="240"/>
      <c r="BU48" s="240"/>
      <c r="BV48" s="240"/>
      <c r="BW48" s="240"/>
      <c r="BX48" s="240"/>
      <c r="BY48" s="240"/>
      <c r="BZ48" s="241"/>
      <c r="CA48" s="240"/>
      <c r="CB48" s="240"/>
      <c r="CC48" s="240"/>
      <c r="CD48" s="241"/>
      <c r="CE48" s="241"/>
      <c r="CF48" s="241"/>
      <c r="CG48" s="241"/>
      <c r="CH48" s="242"/>
      <c r="CI48" s="230">
        <f t="shared" si="225"/>
        <v>0</v>
      </c>
      <c r="CJ48" s="230" t="e">
        <f t="shared" si="226"/>
        <v>#DIV/0!</v>
      </c>
      <c r="CK48" s="230" t="e">
        <f t="shared" ref="CK48:CM49" si="231">BL48/BE48</f>
        <v>#DIV/0!</v>
      </c>
      <c r="CL48" s="230" t="e">
        <f t="shared" si="231"/>
        <v>#DIV/0!</v>
      </c>
      <c r="CM48" s="230" t="e">
        <f t="shared" si="231"/>
        <v>#DIV/0!</v>
      </c>
      <c r="CN48" s="230" t="e">
        <f t="shared" si="192"/>
        <v>#DIV/0!</v>
      </c>
      <c r="CO48" s="230" t="e">
        <f t="shared" si="193"/>
        <v>#DIV/0!</v>
      </c>
      <c r="CP48" s="232">
        <f t="shared" si="194"/>
        <v>0</v>
      </c>
      <c r="CQ48" s="230" t="e">
        <f t="shared" si="195"/>
        <v>#DIV/0!</v>
      </c>
      <c r="CR48" s="230" t="e">
        <f t="shared" si="196"/>
        <v>#DIV/0!</v>
      </c>
      <c r="CS48" s="233" t="e">
        <f t="shared" si="197"/>
        <v>#DIV/0!</v>
      </c>
      <c r="CT48" s="232" t="e">
        <f t="shared" si="198"/>
        <v>#DIV/0!</v>
      </c>
      <c r="CU48" s="230" t="e">
        <f t="shared" si="199"/>
        <v>#DIV/0!</v>
      </c>
      <c r="CV48" s="230" t="e">
        <f t="shared" si="200"/>
        <v>#DIV/0!</v>
      </c>
      <c r="CW48" s="230" t="e">
        <f t="shared" si="201"/>
        <v>#DIV/0!</v>
      </c>
      <c r="CX48" s="230" t="e">
        <f t="shared" si="202"/>
        <v>#DIV/0!</v>
      </c>
      <c r="CY48" s="230" t="e">
        <f t="shared" si="203"/>
        <v>#DIV/0!</v>
      </c>
      <c r="CZ48" s="232">
        <f t="shared" si="204"/>
        <v>0</v>
      </c>
      <c r="DA48" s="230" t="e">
        <f t="shared" ref="DA48:DD49" si="232">BE48/AX48*1000/12</f>
        <v>#DIV/0!</v>
      </c>
      <c r="DB48" s="230" t="e">
        <f t="shared" si="232"/>
        <v>#DIV/0!</v>
      </c>
      <c r="DC48" s="230" t="e">
        <f t="shared" si="232"/>
        <v>#DIV/0!</v>
      </c>
      <c r="DD48" s="230" t="e">
        <f t="shared" si="232"/>
        <v>#DIV/0!</v>
      </c>
      <c r="DE48" s="230" t="e">
        <f t="shared" si="206"/>
        <v>#DIV/0!</v>
      </c>
      <c r="DF48" s="230">
        <f t="shared" si="227"/>
        <v>0</v>
      </c>
      <c r="DG48" s="230">
        <f t="shared" si="228"/>
        <v>0</v>
      </c>
      <c r="DH48" s="230">
        <f t="shared" si="209"/>
        <v>0</v>
      </c>
      <c r="DI48" s="230" t="e">
        <f t="shared" si="210"/>
        <v>#DIV/0!</v>
      </c>
      <c r="DJ48" s="230" t="e">
        <f t="shared" si="211"/>
        <v>#DIV/0!</v>
      </c>
      <c r="DK48" s="230" t="e">
        <f t="shared" si="212"/>
        <v>#DIV/0!</v>
      </c>
      <c r="DL48" s="230" t="e">
        <f t="shared" si="229"/>
        <v>#DIV/0!</v>
      </c>
      <c r="DM48" s="230" t="e">
        <f t="shared" si="214"/>
        <v>#DIV/0!</v>
      </c>
      <c r="DN48" s="233">
        <f t="shared" si="215"/>
        <v>0</v>
      </c>
      <c r="DO48" s="230" t="e">
        <f t="shared" si="216"/>
        <v>#DIV/0!</v>
      </c>
      <c r="DP48" s="232">
        <f t="shared" ref="DP48:DP53" si="233">AW48+AO48+AU48</f>
        <v>0</v>
      </c>
      <c r="DQ48" s="232">
        <f t="shared" ref="DQ48:DQ53" si="234">AQ48+AO48</f>
        <v>0</v>
      </c>
      <c r="DR48" s="232" t="e">
        <f t="shared" si="219"/>
        <v>#DIV/0!</v>
      </c>
      <c r="DS48" s="232" t="e">
        <f t="shared" si="220"/>
        <v>#DIV/0!</v>
      </c>
      <c r="DT48" s="232" t="e">
        <f t="shared" ref="DT48:DT53" si="235">AF48/O48</f>
        <v>#DIV/0!</v>
      </c>
      <c r="DU48" s="232" t="e">
        <f t="shared" ref="DU48:DU53" si="236">(AF48-AH48)/O48</f>
        <v>#DIV/0!</v>
      </c>
      <c r="DV48" s="232" t="e">
        <f t="shared" si="223"/>
        <v>#DIV/0!</v>
      </c>
    </row>
    <row r="49" spans="1:126" ht="13">
      <c r="A49" s="115">
        <f t="shared" ref="A49:B49" si="237">A48</f>
        <v>0</v>
      </c>
      <c r="B49" s="115">
        <f t="shared" si="237"/>
        <v>0</v>
      </c>
      <c r="C49" s="126">
        <f t="shared" si="82"/>
        <v>13</v>
      </c>
      <c r="D49" s="236"/>
      <c r="E49" s="236"/>
      <c r="F49" s="236"/>
      <c r="G49" s="236"/>
      <c r="H49" s="236"/>
      <c r="I49" s="236"/>
      <c r="J49" s="239"/>
      <c r="K49" s="239"/>
      <c r="L49" s="239"/>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0"/>
      <c r="BR49" s="240"/>
      <c r="BS49" s="240"/>
      <c r="BT49" s="240"/>
      <c r="BU49" s="240"/>
      <c r="BV49" s="240"/>
      <c r="BW49" s="240"/>
      <c r="BX49" s="240"/>
      <c r="BY49" s="240"/>
      <c r="BZ49" s="241"/>
      <c r="CA49" s="240"/>
      <c r="CB49" s="240"/>
      <c r="CC49" s="240"/>
      <c r="CD49" s="241"/>
      <c r="CE49" s="241"/>
      <c r="CF49" s="241"/>
      <c r="CG49" s="241"/>
      <c r="CH49" s="242"/>
      <c r="CI49" s="230">
        <f t="shared" si="225"/>
        <v>0</v>
      </c>
      <c r="CJ49" s="230" t="e">
        <f t="shared" si="226"/>
        <v>#DIV/0!</v>
      </c>
      <c r="CK49" s="230" t="e">
        <f t="shared" si="231"/>
        <v>#DIV/0!</v>
      </c>
      <c r="CL49" s="230" t="e">
        <f t="shared" si="231"/>
        <v>#DIV/0!</v>
      </c>
      <c r="CM49" s="230" t="e">
        <f t="shared" si="231"/>
        <v>#DIV/0!</v>
      </c>
      <c r="CN49" s="230" t="e">
        <f t="shared" si="192"/>
        <v>#DIV/0!</v>
      </c>
      <c r="CO49" s="230" t="e">
        <f t="shared" si="193"/>
        <v>#DIV/0!</v>
      </c>
      <c r="CP49" s="232">
        <f t="shared" si="194"/>
        <v>0</v>
      </c>
      <c r="CQ49" s="230" t="e">
        <f t="shared" si="195"/>
        <v>#DIV/0!</v>
      </c>
      <c r="CR49" s="230" t="e">
        <f t="shared" si="196"/>
        <v>#DIV/0!</v>
      </c>
      <c r="CS49" s="233" t="e">
        <f t="shared" si="197"/>
        <v>#DIV/0!</v>
      </c>
      <c r="CT49" s="232" t="e">
        <f t="shared" si="198"/>
        <v>#DIV/0!</v>
      </c>
      <c r="CU49" s="230" t="e">
        <f t="shared" si="199"/>
        <v>#DIV/0!</v>
      </c>
      <c r="CV49" s="230" t="e">
        <f t="shared" si="200"/>
        <v>#DIV/0!</v>
      </c>
      <c r="CW49" s="230" t="e">
        <f t="shared" si="201"/>
        <v>#DIV/0!</v>
      </c>
      <c r="CX49" s="230" t="e">
        <f t="shared" si="202"/>
        <v>#DIV/0!</v>
      </c>
      <c r="CY49" s="230" t="e">
        <f t="shared" ref="CY49:CY54" si="238">+AU49/AF49</f>
        <v>#DIV/0!</v>
      </c>
      <c r="CZ49" s="232">
        <f t="shared" si="204"/>
        <v>0</v>
      </c>
      <c r="DA49" s="230" t="e">
        <f t="shared" si="232"/>
        <v>#DIV/0!</v>
      </c>
      <c r="DB49" s="230" t="e">
        <f t="shared" si="232"/>
        <v>#DIV/0!</v>
      </c>
      <c r="DC49" s="230" t="e">
        <f t="shared" si="232"/>
        <v>#DIV/0!</v>
      </c>
      <c r="DD49" s="230" t="e">
        <f t="shared" si="232"/>
        <v>#DIV/0!</v>
      </c>
      <c r="DE49" s="230" t="e">
        <f t="shared" si="206"/>
        <v>#DIV/0!</v>
      </c>
      <c r="DF49" s="230">
        <f t="shared" si="227"/>
        <v>0</v>
      </c>
      <c r="DG49" s="230">
        <f t="shared" si="228"/>
        <v>0</v>
      </c>
      <c r="DH49" s="230">
        <f t="shared" ref="DH49:DH54" si="239">BI49+BJ49</f>
        <v>0</v>
      </c>
      <c r="DI49" s="230" t="e">
        <f t="shared" si="210"/>
        <v>#DIV/0!</v>
      </c>
      <c r="DJ49" s="230" t="e">
        <f t="shared" si="211"/>
        <v>#DIV/0!</v>
      </c>
      <c r="DK49" s="230" t="e">
        <f t="shared" si="212"/>
        <v>#DIV/0!</v>
      </c>
      <c r="DL49" s="230" t="e">
        <f t="shared" si="229"/>
        <v>#DIV/0!</v>
      </c>
      <c r="DM49" s="230" t="e">
        <f t="shared" si="214"/>
        <v>#DIV/0!</v>
      </c>
      <c r="DN49" s="233">
        <f t="shared" si="215"/>
        <v>0</v>
      </c>
      <c r="DO49" s="230" t="e">
        <f t="shared" si="216"/>
        <v>#DIV/0!</v>
      </c>
      <c r="DP49" s="232">
        <f t="shared" si="233"/>
        <v>0</v>
      </c>
      <c r="DQ49" s="232">
        <f t="shared" si="234"/>
        <v>0</v>
      </c>
      <c r="DR49" s="232" t="e">
        <f t="shared" ref="DR49:DR54" si="240">DP49/Y49*100</f>
        <v>#DIV/0!</v>
      </c>
      <c r="DS49" s="232" t="e">
        <f t="shared" ref="DS49:DS54" si="241">DQ49/Y49*100</f>
        <v>#DIV/0!</v>
      </c>
      <c r="DT49" s="232" t="e">
        <f t="shared" si="235"/>
        <v>#DIV/0!</v>
      </c>
      <c r="DU49" s="232" t="e">
        <f t="shared" si="236"/>
        <v>#DIV/0!</v>
      </c>
      <c r="DV49" s="232" t="e">
        <f t="shared" ref="DV49:DV54" si="242">O49/(AF49-AH49)</f>
        <v>#DIV/0!</v>
      </c>
    </row>
    <row r="50" spans="1:126" ht="13">
      <c r="A50" s="115">
        <f t="shared" ref="A50:B50" si="243">A49</f>
        <v>0</v>
      </c>
      <c r="B50" s="115">
        <f t="shared" si="243"/>
        <v>0</v>
      </c>
      <c r="C50" s="126">
        <f t="shared" ref="C50:C69" si="244">+C49+1</f>
        <v>14</v>
      </c>
      <c r="D50" s="236"/>
      <c r="E50" s="236"/>
      <c r="F50" s="236"/>
      <c r="G50" s="239"/>
      <c r="H50" s="236"/>
      <c r="I50" s="236"/>
      <c r="J50" s="239"/>
      <c r="K50" s="239"/>
      <c r="L50" s="239"/>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0"/>
      <c r="BR50" s="240"/>
      <c r="BS50" s="240"/>
      <c r="BT50" s="240"/>
      <c r="BU50" s="240"/>
      <c r="BV50" s="240"/>
      <c r="BW50" s="240"/>
      <c r="BX50" s="240"/>
      <c r="BY50" s="240"/>
      <c r="BZ50" s="241"/>
      <c r="CA50" s="240"/>
      <c r="CB50" s="240"/>
      <c r="CC50" s="240"/>
      <c r="CD50" s="241"/>
      <c r="CE50" s="241"/>
      <c r="CF50" s="241"/>
      <c r="CG50" s="241"/>
      <c r="CH50" s="242"/>
      <c r="CI50" s="230">
        <f t="shared" si="225"/>
        <v>0</v>
      </c>
      <c r="CJ50" s="230" t="e">
        <f t="shared" si="226"/>
        <v>#DIV/0!</v>
      </c>
      <c r="CK50" s="230" t="e">
        <f t="shared" ref="CK50" si="245">BL50/BE50</f>
        <v>#DIV/0!</v>
      </c>
      <c r="CL50" s="230" t="e">
        <f t="shared" ref="CL50" si="246">BM50/BF50</f>
        <v>#DIV/0!</v>
      </c>
      <c r="CM50" s="230" t="e">
        <f t="shared" ref="CM50" si="247">BN50/BG50</f>
        <v>#DIV/0!</v>
      </c>
      <c r="CN50" s="230" t="e">
        <f t="shared" si="192"/>
        <v>#DIV/0!</v>
      </c>
      <c r="CO50" s="230" t="e">
        <f t="shared" si="193"/>
        <v>#DIV/0!</v>
      </c>
      <c r="CP50" s="232">
        <f t="shared" si="194"/>
        <v>0</v>
      </c>
      <c r="CQ50" s="230" t="e">
        <f t="shared" si="195"/>
        <v>#DIV/0!</v>
      </c>
      <c r="CR50" s="230" t="e">
        <f t="shared" si="196"/>
        <v>#DIV/0!</v>
      </c>
      <c r="CS50" s="233" t="e">
        <f t="shared" si="197"/>
        <v>#DIV/0!</v>
      </c>
      <c r="CT50" s="232" t="e">
        <f t="shared" si="198"/>
        <v>#DIV/0!</v>
      </c>
      <c r="CU50" s="230" t="e">
        <f t="shared" si="199"/>
        <v>#DIV/0!</v>
      </c>
      <c r="CV50" s="230" t="e">
        <f t="shared" si="200"/>
        <v>#DIV/0!</v>
      </c>
      <c r="CW50" s="230" t="e">
        <f t="shared" si="201"/>
        <v>#DIV/0!</v>
      </c>
      <c r="CX50" s="230" t="e">
        <f t="shared" si="202"/>
        <v>#DIV/0!</v>
      </c>
      <c r="CY50" s="230" t="e">
        <f t="shared" si="238"/>
        <v>#DIV/0!</v>
      </c>
      <c r="CZ50" s="232">
        <f t="shared" si="204"/>
        <v>0</v>
      </c>
      <c r="DA50" s="230" t="e">
        <f t="shared" ref="DA50" si="248">BE50/AX50*1000/12</f>
        <v>#DIV/0!</v>
      </c>
      <c r="DB50" s="230" t="e">
        <f t="shared" ref="DB50" si="249">BF50/AY50*1000/12</f>
        <v>#DIV/0!</v>
      </c>
      <c r="DC50" s="230" t="e">
        <f t="shared" ref="DC50" si="250">BG50/AZ50*1000/12</f>
        <v>#DIV/0!</v>
      </c>
      <c r="DD50" s="230" t="e">
        <f t="shared" ref="DD50" si="251">BH50/BA50*1000/12</f>
        <v>#DIV/0!</v>
      </c>
      <c r="DE50" s="230" t="e">
        <f t="shared" si="206"/>
        <v>#DIV/0!</v>
      </c>
      <c r="DF50" s="230">
        <f t="shared" si="227"/>
        <v>0</v>
      </c>
      <c r="DG50" s="230">
        <f t="shared" si="228"/>
        <v>0</v>
      </c>
      <c r="DH50" s="230">
        <f t="shared" si="239"/>
        <v>0</v>
      </c>
      <c r="DI50" s="230" t="e">
        <f t="shared" si="210"/>
        <v>#DIV/0!</v>
      </c>
      <c r="DJ50" s="230" t="e">
        <f t="shared" si="211"/>
        <v>#DIV/0!</v>
      </c>
      <c r="DK50" s="230" t="e">
        <f t="shared" si="212"/>
        <v>#DIV/0!</v>
      </c>
      <c r="DL50" s="230" t="e">
        <f t="shared" si="229"/>
        <v>#DIV/0!</v>
      </c>
      <c r="DM50" s="230" t="e">
        <f t="shared" si="214"/>
        <v>#DIV/0!</v>
      </c>
      <c r="DN50" s="233">
        <f t="shared" si="215"/>
        <v>0</v>
      </c>
      <c r="DO50" s="230" t="e">
        <f t="shared" si="216"/>
        <v>#DIV/0!</v>
      </c>
      <c r="DP50" s="232">
        <f t="shared" si="233"/>
        <v>0</v>
      </c>
      <c r="DQ50" s="232">
        <f t="shared" si="234"/>
        <v>0</v>
      </c>
      <c r="DR50" s="232" t="e">
        <f t="shared" si="240"/>
        <v>#DIV/0!</v>
      </c>
      <c r="DS50" s="232" t="e">
        <f t="shared" si="241"/>
        <v>#DIV/0!</v>
      </c>
      <c r="DT50" s="232" t="e">
        <f t="shared" si="235"/>
        <v>#DIV/0!</v>
      </c>
      <c r="DU50" s="232" t="e">
        <f t="shared" si="236"/>
        <v>#DIV/0!</v>
      </c>
      <c r="DV50" s="232" t="e">
        <f t="shared" si="242"/>
        <v>#DIV/0!</v>
      </c>
    </row>
    <row r="51" spans="1:126" ht="13">
      <c r="A51" s="115">
        <f t="shared" ref="A51:B52" si="252">A50</f>
        <v>0</v>
      </c>
      <c r="B51" s="115">
        <f t="shared" si="252"/>
        <v>0</v>
      </c>
      <c r="C51" s="126">
        <f t="shared" si="244"/>
        <v>15</v>
      </c>
      <c r="D51" s="236"/>
      <c r="E51" s="239"/>
      <c r="F51" s="239"/>
      <c r="G51" s="239"/>
      <c r="H51" s="236"/>
      <c r="I51" s="236"/>
      <c r="J51" s="239"/>
      <c r="K51" s="239"/>
      <c r="L51" s="239"/>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0"/>
      <c r="BR51" s="240"/>
      <c r="BS51" s="240"/>
      <c r="BT51" s="240"/>
      <c r="BU51" s="240"/>
      <c r="BV51" s="240"/>
      <c r="BW51" s="240"/>
      <c r="BX51" s="240"/>
      <c r="BY51" s="240"/>
      <c r="BZ51" s="241"/>
      <c r="CA51" s="240"/>
      <c r="CB51" s="240"/>
      <c r="CC51" s="240"/>
      <c r="CD51" s="241"/>
      <c r="CE51" s="241"/>
      <c r="CF51" s="241"/>
      <c r="CG51" s="241"/>
      <c r="CH51" s="242"/>
      <c r="CI51" s="230">
        <f t="shared" si="225"/>
        <v>0</v>
      </c>
      <c r="CJ51" s="230" t="e">
        <f t="shared" si="226"/>
        <v>#DIV/0!</v>
      </c>
      <c r="CK51" s="230" t="e">
        <f t="shared" ref="CK51" si="253">BL51/BE51</f>
        <v>#DIV/0!</v>
      </c>
      <c r="CL51" s="230" t="e">
        <f t="shared" ref="CL51" si="254">BM51/BF51</f>
        <v>#DIV/0!</v>
      </c>
      <c r="CM51" s="230" t="e">
        <f t="shared" ref="CM51" si="255">BN51/BG51</f>
        <v>#DIV/0!</v>
      </c>
      <c r="CN51" s="230" t="e">
        <f t="shared" si="192"/>
        <v>#DIV/0!</v>
      </c>
      <c r="CO51" s="230" t="e">
        <f t="shared" si="193"/>
        <v>#DIV/0!</v>
      </c>
      <c r="CP51" s="232">
        <f t="shared" si="194"/>
        <v>0</v>
      </c>
      <c r="CQ51" s="230" t="e">
        <f t="shared" si="195"/>
        <v>#DIV/0!</v>
      </c>
      <c r="CR51" s="230" t="e">
        <f t="shared" si="196"/>
        <v>#DIV/0!</v>
      </c>
      <c r="CS51" s="233" t="e">
        <f t="shared" si="197"/>
        <v>#DIV/0!</v>
      </c>
      <c r="CT51" s="232" t="e">
        <f t="shared" si="198"/>
        <v>#DIV/0!</v>
      </c>
      <c r="CU51" s="230" t="e">
        <f t="shared" si="199"/>
        <v>#DIV/0!</v>
      </c>
      <c r="CV51" s="230" t="e">
        <f t="shared" si="200"/>
        <v>#DIV/0!</v>
      </c>
      <c r="CW51" s="230" t="e">
        <f t="shared" si="201"/>
        <v>#DIV/0!</v>
      </c>
      <c r="CX51" s="230" t="e">
        <f t="shared" si="202"/>
        <v>#DIV/0!</v>
      </c>
      <c r="CY51" s="230" t="e">
        <f t="shared" si="238"/>
        <v>#DIV/0!</v>
      </c>
      <c r="CZ51" s="232">
        <f t="shared" si="204"/>
        <v>0</v>
      </c>
      <c r="DA51" s="230" t="e">
        <f t="shared" ref="DA51" si="256">BE51/AX51*1000/12</f>
        <v>#DIV/0!</v>
      </c>
      <c r="DB51" s="230" t="e">
        <f t="shared" ref="DB51" si="257">BF51/AY51*1000/12</f>
        <v>#DIV/0!</v>
      </c>
      <c r="DC51" s="230" t="e">
        <f t="shared" ref="DC51" si="258">BG51/AZ51*1000/12</f>
        <v>#DIV/0!</v>
      </c>
      <c r="DD51" s="230" t="e">
        <f t="shared" ref="DD51" si="259">BH51/BA51*1000/12</f>
        <v>#DIV/0!</v>
      </c>
      <c r="DE51" s="230" t="e">
        <f t="shared" si="206"/>
        <v>#DIV/0!</v>
      </c>
      <c r="DF51" s="230">
        <f t="shared" si="227"/>
        <v>0</v>
      </c>
      <c r="DG51" s="230">
        <f t="shared" si="228"/>
        <v>0</v>
      </c>
      <c r="DH51" s="230">
        <f t="shared" si="239"/>
        <v>0</v>
      </c>
      <c r="DI51" s="230" t="e">
        <f t="shared" si="210"/>
        <v>#DIV/0!</v>
      </c>
      <c r="DJ51" s="230" t="e">
        <f t="shared" si="211"/>
        <v>#DIV/0!</v>
      </c>
      <c r="DK51" s="230" t="e">
        <f t="shared" si="212"/>
        <v>#DIV/0!</v>
      </c>
      <c r="DL51" s="230" t="e">
        <f t="shared" si="229"/>
        <v>#DIV/0!</v>
      </c>
      <c r="DM51" s="230" t="e">
        <f t="shared" si="214"/>
        <v>#DIV/0!</v>
      </c>
      <c r="DN51" s="233">
        <f t="shared" si="215"/>
        <v>0</v>
      </c>
      <c r="DO51" s="230" t="e">
        <f t="shared" si="216"/>
        <v>#DIV/0!</v>
      </c>
      <c r="DP51" s="232">
        <f t="shared" si="233"/>
        <v>0</v>
      </c>
      <c r="DQ51" s="232">
        <f t="shared" si="234"/>
        <v>0</v>
      </c>
      <c r="DR51" s="232" t="e">
        <f t="shared" si="240"/>
        <v>#DIV/0!</v>
      </c>
      <c r="DS51" s="232" t="e">
        <f t="shared" si="241"/>
        <v>#DIV/0!</v>
      </c>
      <c r="DT51" s="232" t="e">
        <f t="shared" si="235"/>
        <v>#DIV/0!</v>
      </c>
      <c r="DU51" s="232" t="e">
        <f t="shared" si="236"/>
        <v>#DIV/0!</v>
      </c>
      <c r="DV51" s="232" t="e">
        <f t="shared" si="242"/>
        <v>#DIV/0!</v>
      </c>
    </row>
    <row r="52" spans="1:126" ht="13">
      <c r="A52" s="115">
        <f t="shared" si="252"/>
        <v>0</v>
      </c>
      <c r="B52" s="115">
        <f t="shared" si="252"/>
        <v>0</v>
      </c>
      <c r="C52" s="126">
        <f t="shared" si="244"/>
        <v>16</v>
      </c>
      <c r="D52" s="236"/>
      <c r="E52" s="239"/>
      <c r="F52" s="239"/>
      <c r="G52" s="239"/>
      <c r="H52" s="236"/>
      <c r="I52" s="236"/>
      <c r="J52" s="239"/>
      <c r="K52" s="239"/>
      <c r="L52" s="239"/>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0"/>
      <c r="BR52" s="240"/>
      <c r="BS52" s="240"/>
      <c r="BT52" s="240"/>
      <c r="BU52" s="240"/>
      <c r="BV52" s="240"/>
      <c r="BW52" s="240"/>
      <c r="BX52" s="240"/>
      <c r="BY52" s="240"/>
      <c r="BZ52" s="241"/>
      <c r="CA52" s="240"/>
      <c r="CB52" s="240"/>
      <c r="CC52" s="240"/>
      <c r="CD52" s="241"/>
      <c r="CE52" s="241"/>
      <c r="CF52" s="241"/>
      <c r="CG52" s="241"/>
      <c r="CH52" s="242"/>
      <c r="CI52" s="230">
        <f t="shared" si="225"/>
        <v>0</v>
      </c>
      <c r="CJ52" s="230" t="e">
        <f t="shared" si="226"/>
        <v>#DIV/0!</v>
      </c>
      <c r="CK52" s="230" t="e">
        <f t="shared" ref="CK52" si="260">BL52/BE52</f>
        <v>#DIV/0!</v>
      </c>
      <c r="CL52" s="230" t="e">
        <f t="shared" ref="CL52" si="261">BM52/BF52</f>
        <v>#DIV/0!</v>
      </c>
      <c r="CM52" s="230" t="e">
        <f t="shared" ref="CM52" si="262">BN52/BG52</f>
        <v>#DIV/0!</v>
      </c>
      <c r="CN52" s="230" t="e">
        <f t="shared" ref="CN52" si="263">(BM52+BN52)/(BF52+BG52)</f>
        <v>#DIV/0!</v>
      </c>
      <c r="CO52" s="230" t="e">
        <f t="shared" ref="CO52" si="264">BO52/BH52</f>
        <v>#DIV/0!</v>
      </c>
      <c r="CP52" s="232">
        <f t="shared" ref="CP52" si="265">AI52+AJ52</f>
        <v>0</v>
      </c>
      <c r="CQ52" s="230" t="e">
        <f t="shared" ref="CQ52" si="266">AI52/O52</f>
        <v>#DIV/0!</v>
      </c>
      <c r="CR52" s="230" t="e">
        <f t="shared" ref="CR52" si="267">AJ52/O52</f>
        <v>#DIV/0!</v>
      </c>
      <c r="CS52" s="233" t="e">
        <f t="shared" ref="CS52" si="268">(AI52+AJ52)/O52</f>
        <v>#DIV/0!</v>
      </c>
      <c r="CT52" s="232" t="e">
        <f t="shared" ref="CT52" si="269">(AK52+AL52+AN52)/BY52</f>
        <v>#DIV/0!</v>
      </c>
      <c r="CU52" s="230" t="e">
        <f t="shared" ref="CU52" si="270">AM52/BY52</f>
        <v>#DIV/0!</v>
      </c>
      <c r="CV52" s="230" t="e">
        <f t="shared" ref="CV52" si="271">AO52/O52</f>
        <v>#DIV/0!</v>
      </c>
      <c r="CW52" s="230" t="e">
        <f t="shared" ref="CW52" si="272">+AP52/O52</f>
        <v>#DIV/0!</v>
      </c>
      <c r="CX52" s="230" t="e">
        <f t="shared" ref="CX52" si="273">+AM52/O52</f>
        <v>#DIV/0!</v>
      </c>
      <c r="CY52" s="230" t="e">
        <f t="shared" si="238"/>
        <v>#DIV/0!</v>
      </c>
      <c r="CZ52" s="232">
        <f t="shared" ref="CZ52" si="274">(O52-O51)</f>
        <v>0</v>
      </c>
      <c r="DA52" s="230" t="e">
        <f t="shared" ref="DA52" si="275">BE52/AX52*1000/12</f>
        <v>#DIV/0!</v>
      </c>
      <c r="DB52" s="230" t="e">
        <f t="shared" ref="DB52" si="276">BF52/AY52*1000/12</f>
        <v>#DIV/0!</v>
      </c>
      <c r="DC52" s="230" t="e">
        <f t="shared" ref="DC52" si="277">BG52/AZ52*1000/12</f>
        <v>#DIV/0!</v>
      </c>
      <c r="DD52" s="230" t="e">
        <f t="shared" ref="DD52" si="278">BH52/BA52*1000/12</f>
        <v>#DIV/0!</v>
      </c>
      <c r="DE52" s="230" t="e">
        <f t="shared" ref="DE52" si="279">(BF52+BG52)/(AY52+AZ52)*1000/12</f>
        <v>#DIV/0!</v>
      </c>
      <c r="DF52" s="230">
        <f t="shared" si="227"/>
        <v>0</v>
      </c>
      <c r="DG52" s="230">
        <f t="shared" si="228"/>
        <v>0</v>
      </c>
      <c r="DH52" s="230">
        <f t="shared" si="239"/>
        <v>0</v>
      </c>
      <c r="DI52" s="230" t="e">
        <f t="shared" ref="DI52" si="280">O52/BK52</f>
        <v>#DIV/0!</v>
      </c>
      <c r="DJ52" s="230" t="e">
        <f t="shared" ref="DJ52" si="281">O52/(BK52-BJ52)</f>
        <v>#DIV/0!</v>
      </c>
      <c r="DK52" s="230" t="e">
        <f t="shared" ref="DK52" si="282">AH52/CB52</f>
        <v>#DIV/0!</v>
      </c>
      <c r="DL52" s="230" t="e">
        <f t="shared" si="229"/>
        <v>#DIV/0!</v>
      </c>
      <c r="DM52" s="230" t="e">
        <f t="shared" ref="DM52" si="283">1-(BK52/CB52)</f>
        <v>#DIV/0!</v>
      </c>
      <c r="DN52" s="233">
        <f t="shared" ref="DN52" si="284">AK52+AL52+AN52</f>
        <v>0</v>
      </c>
      <c r="DO52" s="230" t="e">
        <f t="shared" ref="DO52" si="285">CI52/BK52</f>
        <v>#DIV/0!</v>
      </c>
      <c r="DP52" s="232">
        <f t="shared" si="233"/>
        <v>0</v>
      </c>
      <c r="DQ52" s="232">
        <f t="shared" si="234"/>
        <v>0</v>
      </c>
      <c r="DR52" s="232" t="e">
        <f t="shared" si="240"/>
        <v>#DIV/0!</v>
      </c>
      <c r="DS52" s="232" t="e">
        <f t="shared" si="241"/>
        <v>#DIV/0!</v>
      </c>
      <c r="DT52" s="232" t="e">
        <f t="shared" si="235"/>
        <v>#DIV/0!</v>
      </c>
      <c r="DU52" s="232" t="e">
        <f t="shared" si="236"/>
        <v>#DIV/0!</v>
      </c>
      <c r="DV52" s="232" t="e">
        <f t="shared" si="242"/>
        <v>#DIV/0!</v>
      </c>
    </row>
    <row r="53" spans="1:126" ht="13">
      <c r="A53" s="115">
        <f t="shared" ref="A53:B54" si="286">A52</f>
        <v>0</v>
      </c>
      <c r="B53" s="115">
        <f t="shared" si="286"/>
        <v>0</v>
      </c>
      <c r="C53" s="126">
        <f t="shared" si="244"/>
        <v>17</v>
      </c>
      <c r="D53" s="236"/>
      <c r="E53" s="243"/>
      <c r="F53" s="239"/>
      <c r="G53" s="239"/>
      <c r="H53" s="236"/>
      <c r="I53" s="236"/>
      <c r="J53" s="243"/>
      <c r="K53" s="243"/>
      <c r="L53" s="243"/>
      <c r="M53" s="240"/>
      <c r="N53" s="240"/>
      <c r="O53" s="240"/>
      <c r="P53" s="240"/>
      <c r="Q53" s="240"/>
      <c r="R53" s="240"/>
      <c r="S53" s="240"/>
      <c r="T53" s="240"/>
      <c r="U53" s="240"/>
      <c r="V53" s="240"/>
      <c r="W53" s="244"/>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4"/>
      <c r="BA53" s="244"/>
      <c r="BB53" s="244"/>
      <c r="BC53" s="244"/>
      <c r="BD53" s="240"/>
      <c r="BE53" s="240"/>
      <c r="BF53" s="240"/>
      <c r="BG53" s="240"/>
      <c r="BH53" s="240"/>
      <c r="BI53" s="240"/>
      <c r="BJ53" s="244"/>
      <c r="BK53" s="240"/>
      <c r="BL53" s="240"/>
      <c r="BM53" s="240"/>
      <c r="BN53" s="240"/>
      <c r="BO53" s="240"/>
      <c r="BP53" s="240"/>
      <c r="BQ53" s="244"/>
      <c r="BR53" s="240"/>
      <c r="BS53" s="240"/>
      <c r="BT53" s="240"/>
      <c r="BU53" s="244"/>
      <c r="BV53" s="244"/>
      <c r="BW53" s="240"/>
      <c r="BX53" s="240"/>
      <c r="BY53" s="240"/>
      <c r="BZ53" s="244"/>
      <c r="CA53" s="244"/>
      <c r="CB53" s="240"/>
      <c r="CC53" s="244"/>
      <c r="CD53" s="244"/>
      <c r="CE53" s="244"/>
      <c r="CF53" s="244"/>
      <c r="CG53" s="240"/>
      <c r="CH53" s="245"/>
      <c r="CI53" s="230">
        <f t="shared" ref="CI53" si="287">AF53-AH53</f>
        <v>0</v>
      </c>
      <c r="CJ53" s="230" t="e">
        <f t="shared" ref="CJ53" si="288">BY53/BU53</f>
        <v>#DIV/0!</v>
      </c>
      <c r="CK53" s="230" t="e">
        <f t="shared" ref="CK53" si="289">BL53/BE53</f>
        <v>#DIV/0!</v>
      </c>
      <c r="CL53" s="230" t="e">
        <f t="shared" ref="CL53" si="290">BM53/BF53</f>
        <v>#DIV/0!</v>
      </c>
      <c r="CM53" s="230" t="e">
        <f t="shared" ref="CM53" si="291">BN53/BG53</f>
        <v>#DIV/0!</v>
      </c>
      <c r="CN53" s="230" t="e">
        <f t="shared" ref="CN53" si="292">(BM53+BN53)/(BF53+BG53)</f>
        <v>#DIV/0!</v>
      </c>
      <c r="CO53" s="230" t="e">
        <f t="shared" ref="CO53" si="293">BO53/BH53</f>
        <v>#DIV/0!</v>
      </c>
      <c r="CP53" s="232">
        <f t="shared" ref="CP53" si="294">AI53+AJ53</f>
        <v>0</v>
      </c>
      <c r="CQ53" s="230" t="e">
        <f t="shared" ref="CQ53" si="295">AI53/O53</f>
        <v>#DIV/0!</v>
      </c>
      <c r="CR53" s="230" t="e">
        <f t="shared" ref="CR53" si="296">AJ53/O53</f>
        <v>#DIV/0!</v>
      </c>
      <c r="CS53" s="233" t="e">
        <f t="shared" ref="CS53" si="297">(AI53+AJ53)/O53</f>
        <v>#DIV/0!</v>
      </c>
      <c r="CT53" s="232" t="e">
        <f t="shared" ref="CT53" si="298">(AK53+AL53+AN53)/BY53</f>
        <v>#DIV/0!</v>
      </c>
      <c r="CU53" s="230" t="e">
        <f t="shared" ref="CU53" si="299">AM53/BY53</f>
        <v>#DIV/0!</v>
      </c>
      <c r="CV53" s="230" t="e">
        <f t="shared" ref="CV53" si="300">AO53/O53</f>
        <v>#DIV/0!</v>
      </c>
      <c r="CW53" s="230" t="e">
        <f t="shared" ref="CW53" si="301">+AP53/O53</f>
        <v>#DIV/0!</v>
      </c>
      <c r="CX53" s="230" t="e">
        <f t="shared" ref="CX53" si="302">+AM53/O53</f>
        <v>#DIV/0!</v>
      </c>
      <c r="CY53" s="230" t="e">
        <f t="shared" si="238"/>
        <v>#DIV/0!</v>
      </c>
      <c r="CZ53" s="232">
        <f t="shared" ref="CZ53" si="303">(O53-O52)</f>
        <v>0</v>
      </c>
      <c r="DA53" s="230" t="e">
        <f t="shared" ref="DA53" si="304">BE53/AX53*1000/12</f>
        <v>#DIV/0!</v>
      </c>
      <c r="DB53" s="230" t="e">
        <f t="shared" ref="DB53" si="305">BF53/AY53*1000/12</f>
        <v>#DIV/0!</v>
      </c>
      <c r="DC53" s="230" t="e">
        <f t="shared" ref="DC53" si="306">BG53/AZ53*1000/12</f>
        <v>#DIV/0!</v>
      </c>
      <c r="DD53" s="230" t="e">
        <f t="shared" ref="DD53" si="307">BH53/BA53*1000/12</f>
        <v>#DIV/0!</v>
      </c>
      <c r="DE53" s="230" t="e">
        <f t="shared" ref="DE53" si="308">(BF53+BG53)/(AY53+AZ53)*1000/12</f>
        <v>#DIV/0!</v>
      </c>
      <c r="DF53" s="230">
        <f t="shared" ref="DF53" si="309">(BF53+BG53)</f>
        <v>0</v>
      </c>
      <c r="DG53" s="230">
        <f t="shared" ref="DG53" si="310">Z53+AA53</f>
        <v>0</v>
      </c>
      <c r="DH53" s="230">
        <f t="shared" si="239"/>
        <v>0</v>
      </c>
      <c r="DI53" s="230" t="e">
        <f t="shared" ref="DI53" si="311">O53/BK53</f>
        <v>#DIV/0!</v>
      </c>
      <c r="DJ53" s="230" t="e">
        <f t="shared" ref="DJ53" si="312">O53/(BK53-BJ53)</f>
        <v>#DIV/0!</v>
      </c>
      <c r="DK53" s="230" t="e">
        <f t="shared" ref="DK53" si="313">AH53/CB53</f>
        <v>#DIV/0!</v>
      </c>
      <c r="DL53" s="230" t="e">
        <f t="shared" ref="DL53" si="314">+P53/O53</f>
        <v>#DIV/0!</v>
      </c>
      <c r="DM53" s="230" t="e">
        <f t="shared" ref="DM53" si="315">1-(BK53/CB53)</f>
        <v>#DIV/0!</v>
      </c>
      <c r="DN53" s="233">
        <f t="shared" ref="DN53" si="316">AK53+AL53+AN53</f>
        <v>0</v>
      </c>
      <c r="DO53" s="230" t="e">
        <f t="shared" ref="DO53" si="317">CI53/BK53</f>
        <v>#DIV/0!</v>
      </c>
      <c r="DP53" s="232">
        <f t="shared" si="233"/>
        <v>0</v>
      </c>
      <c r="DQ53" s="232">
        <f t="shared" si="234"/>
        <v>0</v>
      </c>
      <c r="DR53" s="232" t="e">
        <f t="shared" si="240"/>
        <v>#DIV/0!</v>
      </c>
      <c r="DS53" s="232" t="e">
        <f t="shared" si="241"/>
        <v>#DIV/0!</v>
      </c>
      <c r="DT53" s="232" t="e">
        <f t="shared" si="235"/>
        <v>#DIV/0!</v>
      </c>
      <c r="DU53" s="232" t="e">
        <f t="shared" si="236"/>
        <v>#DIV/0!</v>
      </c>
      <c r="DV53" s="232" t="e">
        <f t="shared" si="242"/>
        <v>#DIV/0!</v>
      </c>
    </row>
    <row r="54" spans="1:126" ht="13">
      <c r="A54" s="115">
        <f t="shared" si="286"/>
        <v>0</v>
      </c>
      <c r="B54" s="115">
        <f t="shared" si="286"/>
        <v>0</v>
      </c>
      <c r="C54" s="126">
        <f t="shared" si="244"/>
        <v>18</v>
      </c>
      <c r="D54" s="236"/>
      <c r="E54" s="243"/>
      <c r="F54" s="239"/>
      <c r="G54" s="239"/>
      <c r="H54" s="236"/>
      <c r="I54" s="236"/>
      <c r="J54" s="243"/>
      <c r="K54" s="243"/>
      <c r="L54" s="243"/>
      <c r="M54" s="240"/>
      <c r="N54" s="240"/>
      <c r="O54" s="240"/>
      <c r="P54" s="240"/>
      <c r="Q54" s="240"/>
      <c r="R54" s="240"/>
      <c r="S54" s="240"/>
      <c r="T54" s="240"/>
      <c r="U54" s="240"/>
      <c r="V54" s="240"/>
      <c r="W54" s="244"/>
      <c r="X54" s="240"/>
      <c r="Y54" s="240"/>
      <c r="Z54" s="240"/>
      <c r="AA54" s="240"/>
      <c r="AB54" s="240"/>
      <c r="AC54" s="240"/>
      <c r="AD54" s="240"/>
      <c r="AE54" s="240"/>
      <c r="AF54" s="240"/>
      <c r="AG54" s="240"/>
      <c r="AH54" s="240"/>
      <c r="AI54" s="240"/>
      <c r="AJ54" s="240"/>
      <c r="AK54" s="240"/>
      <c r="AL54" s="240"/>
      <c r="AM54" s="240"/>
      <c r="AN54" s="240"/>
      <c r="AO54" s="240"/>
      <c r="AP54" s="240"/>
      <c r="AQ54" s="240"/>
      <c r="AR54" s="240"/>
      <c r="AS54" s="240"/>
      <c r="AT54" s="240"/>
      <c r="AU54" s="240"/>
      <c r="AV54" s="240"/>
      <c r="AW54" s="240"/>
      <c r="AX54" s="240"/>
      <c r="AY54" s="240"/>
      <c r="AZ54" s="244"/>
      <c r="BA54" s="244"/>
      <c r="BB54" s="244"/>
      <c r="BC54" s="244"/>
      <c r="BD54" s="240"/>
      <c r="BE54" s="240"/>
      <c r="BF54" s="240"/>
      <c r="BG54" s="240"/>
      <c r="BH54" s="240"/>
      <c r="BI54" s="240"/>
      <c r="BJ54" s="244"/>
      <c r="BK54" s="240"/>
      <c r="BL54" s="240"/>
      <c r="BM54" s="240"/>
      <c r="BN54" s="240"/>
      <c r="BO54" s="240"/>
      <c r="BP54" s="240"/>
      <c r="BQ54" s="244"/>
      <c r="BR54" s="240"/>
      <c r="BS54" s="240"/>
      <c r="BT54" s="240"/>
      <c r="BU54" s="244"/>
      <c r="BV54" s="244"/>
      <c r="BW54" s="240"/>
      <c r="BX54" s="240"/>
      <c r="BY54" s="240"/>
      <c r="BZ54" s="244"/>
      <c r="CA54" s="244"/>
      <c r="CB54" s="240"/>
      <c r="CC54" s="244"/>
      <c r="CD54" s="244"/>
      <c r="CE54" s="244"/>
      <c r="CF54" s="244"/>
      <c r="CG54" s="240"/>
      <c r="CH54" s="245"/>
      <c r="CI54" s="230">
        <f t="shared" ref="CI54" si="318">AF54-AH54</f>
        <v>0</v>
      </c>
      <c r="CJ54" s="230" t="e">
        <f t="shared" ref="CJ54" si="319">BY54/BU54</f>
        <v>#DIV/0!</v>
      </c>
      <c r="CK54" s="230" t="e">
        <f t="shared" ref="CK54" si="320">BL54/BE54</f>
        <v>#DIV/0!</v>
      </c>
      <c r="CL54" s="230" t="e">
        <f t="shared" ref="CL54" si="321">BM54/BF54</f>
        <v>#DIV/0!</v>
      </c>
      <c r="CM54" s="230" t="e">
        <f t="shared" ref="CM54" si="322">BN54/BG54</f>
        <v>#DIV/0!</v>
      </c>
      <c r="CN54" s="230" t="e">
        <f t="shared" ref="CN54" si="323">(BM54+BN54)/(BF54+BG54)</f>
        <v>#DIV/0!</v>
      </c>
      <c r="CO54" s="230" t="e">
        <f t="shared" ref="CO54" si="324">BO54/BH54</f>
        <v>#DIV/0!</v>
      </c>
      <c r="CP54" s="232">
        <f t="shared" ref="CP54" si="325">AI54+AJ54</f>
        <v>0</v>
      </c>
      <c r="CQ54" s="230" t="e">
        <f t="shared" ref="CQ54" si="326">AI54/O54</f>
        <v>#DIV/0!</v>
      </c>
      <c r="CR54" s="230" t="e">
        <f t="shared" ref="CR54" si="327">AJ54/O54</f>
        <v>#DIV/0!</v>
      </c>
      <c r="CS54" s="233" t="e">
        <f t="shared" ref="CS54" si="328">(AI54+AJ54)/O54</f>
        <v>#DIV/0!</v>
      </c>
      <c r="CT54" s="232" t="e">
        <f t="shared" ref="CT54" si="329">(AK54+AL54+AN54)/BY54</f>
        <v>#DIV/0!</v>
      </c>
      <c r="CU54" s="230" t="e">
        <f t="shared" ref="CU54" si="330">AM54/BY54</f>
        <v>#DIV/0!</v>
      </c>
      <c r="CV54" s="230" t="e">
        <f t="shared" ref="CV54" si="331">AO54/O54</f>
        <v>#DIV/0!</v>
      </c>
      <c r="CW54" s="230" t="e">
        <f t="shared" ref="CW54" si="332">+AP54/O54</f>
        <v>#DIV/0!</v>
      </c>
      <c r="CX54" s="230" t="e">
        <f t="shared" ref="CX54" si="333">+AM54/O54</f>
        <v>#DIV/0!</v>
      </c>
      <c r="CY54" s="230" t="e">
        <f t="shared" si="238"/>
        <v>#DIV/0!</v>
      </c>
      <c r="CZ54" s="232">
        <f t="shared" ref="CZ54" si="334">(O54-O53)</f>
        <v>0</v>
      </c>
      <c r="DA54" s="230" t="e">
        <f t="shared" ref="DA54" si="335">BE54/AX54*1000/12</f>
        <v>#DIV/0!</v>
      </c>
      <c r="DB54" s="230" t="e">
        <f t="shared" ref="DB54" si="336">BF54/AY54*1000/12</f>
        <v>#DIV/0!</v>
      </c>
      <c r="DC54" s="230" t="e">
        <f t="shared" ref="DC54" si="337">BG54/AZ54*1000/12</f>
        <v>#DIV/0!</v>
      </c>
      <c r="DD54" s="230" t="e">
        <f t="shared" ref="DD54" si="338">BH54/BA54*1000/12</f>
        <v>#DIV/0!</v>
      </c>
      <c r="DE54" s="230" t="e">
        <f t="shared" ref="DE54" si="339">(BF54+BG54)/(AY54+AZ54)*1000/12</f>
        <v>#DIV/0!</v>
      </c>
      <c r="DF54" s="230">
        <f t="shared" ref="DF54" si="340">(BF54+BG54)</f>
        <v>0</v>
      </c>
      <c r="DG54" s="230">
        <f t="shared" ref="DG54" si="341">Z54+AA54</f>
        <v>0</v>
      </c>
      <c r="DH54" s="230">
        <f t="shared" si="239"/>
        <v>0</v>
      </c>
      <c r="DI54" s="230" t="e">
        <f t="shared" ref="DI54" si="342">O54/BK54</f>
        <v>#DIV/0!</v>
      </c>
      <c r="DJ54" s="230" t="e">
        <f t="shared" ref="DJ54" si="343">O54/(BK54-BJ54)</f>
        <v>#DIV/0!</v>
      </c>
      <c r="DK54" s="230" t="e">
        <f t="shared" ref="DK54" si="344">AH54/CB54</f>
        <v>#DIV/0!</v>
      </c>
      <c r="DL54" s="230" t="e">
        <f t="shared" ref="DL54" si="345">+P54/O54</f>
        <v>#DIV/0!</v>
      </c>
      <c r="DM54" s="230" t="e">
        <f t="shared" ref="DM54" si="346">1-(BK54/CB54)</f>
        <v>#DIV/0!</v>
      </c>
      <c r="DN54" s="233">
        <f t="shared" ref="DN54" si="347">AK54+AL54+AN54</f>
        <v>0</v>
      </c>
      <c r="DO54" s="230" t="e">
        <f t="shared" ref="DO54" si="348">CI54/BK54</f>
        <v>#DIV/0!</v>
      </c>
      <c r="DP54" s="232">
        <f t="shared" ref="DP54" si="349">AW54+AO54+AU54</f>
        <v>0</v>
      </c>
      <c r="DQ54" s="232">
        <f t="shared" ref="DQ54" si="350">AQ54+AO54</f>
        <v>0</v>
      </c>
      <c r="DR54" s="232" t="e">
        <f t="shared" si="240"/>
        <v>#DIV/0!</v>
      </c>
      <c r="DS54" s="232" t="e">
        <f t="shared" si="241"/>
        <v>#DIV/0!</v>
      </c>
      <c r="DT54" s="232" t="e">
        <f t="shared" ref="DT54" si="351">AF54/O54</f>
        <v>#DIV/0!</v>
      </c>
      <c r="DU54" s="232" t="e">
        <f t="shared" ref="DU54" si="352">(AF54-AH54)/O54</f>
        <v>#DIV/0!</v>
      </c>
      <c r="DV54" s="232" t="e">
        <f t="shared" si="242"/>
        <v>#DIV/0!</v>
      </c>
    </row>
    <row r="55" spans="1:126" ht="13">
      <c r="A55" s="115">
        <f t="shared" ref="A55:B55" si="353">A54</f>
        <v>0</v>
      </c>
      <c r="B55" s="115">
        <f t="shared" si="353"/>
        <v>0</v>
      </c>
      <c r="C55" s="126">
        <f t="shared" si="244"/>
        <v>19</v>
      </c>
      <c r="D55" s="236">
        <v>0</v>
      </c>
      <c r="E55" s="243">
        <v>0</v>
      </c>
      <c r="F55" s="239">
        <v>0</v>
      </c>
      <c r="G55" s="239">
        <v>0</v>
      </c>
      <c r="H55" s="236">
        <v>0</v>
      </c>
      <c r="I55" s="236">
        <v>0</v>
      </c>
      <c r="J55" s="243">
        <v>0</v>
      </c>
      <c r="K55" s="243">
        <v>0</v>
      </c>
      <c r="L55" s="243">
        <v>0</v>
      </c>
      <c r="M55" s="240">
        <v>0</v>
      </c>
      <c r="N55" s="240">
        <v>0</v>
      </c>
      <c r="O55" s="240">
        <f>+'g - Plant'!$G$12</f>
        <v>0</v>
      </c>
      <c r="P55" s="240">
        <f>+'a &amp; b'!$D$47</f>
        <v>0</v>
      </c>
      <c r="Q55" s="240">
        <f>$D$60</f>
        <v>0</v>
      </c>
      <c r="R55" s="240">
        <v>0</v>
      </c>
      <c r="S55" s="240">
        <v>0</v>
      </c>
      <c r="T55" s="240">
        <v>0</v>
      </c>
      <c r="U55" s="240">
        <v>0</v>
      </c>
      <c r="V55" s="240">
        <f>+'a &amp; b'!$D$52</f>
        <v>0</v>
      </c>
      <c r="W55" s="244">
        <v>0</v>
      </c>
      <c r="X55" s="240">
        <v>0</v>
      </c>
      <c r="Y55" s="240">
        <f>+'a &amp; b'!$D$55</f>
        <v>0</v>
      </c>
      <c r="Z55" s="240">
        <f>+'a &amp; b'!$D$57+'a &amp; b'!$D$58+'a &amp; b'!$D$59</f>
        <v>0</v>
      </c>
      <c r="AA55" s="240">
        <f>+'a &amp; b'!$D$62</f>
        <v>0</v>
      </c>
      <c r="AB55" s="240">
        <v>0</v>
      </c>
      <c r="AC55" s="240">
        <v>0</v>
      </c>
      <c r="AD55" s="240">
        <v>0</v>
      </c>
      <c r="AE55" s="240">
        <f>+'a &amp; b'!$D$66</f>
        <v>0</v>
      </c>
      <c r="AF55" s="240">
        <f>+'f - Rev'!$F$166</f>
        <v>0</v>
      </c>
      <c r="AG55" s="240">
        <v>0</v>
      </c>
      <c r="AH55" s="240">
        <f>+'k - Exp'!$F$11</f>
        <v>0</v>
      </c>
      <c r="AI55" s="240">
        <f>+'k - Exp'!$F$13/2</f>
        <v>0</v>
      </c>
      <c r="AJ55" s="240">
        <f>+'k - Exp'!$F$13/2</f>
        <v>0</v>
      </c>
      <c r="AK55" s="240">
        <f>+'k - Exp'!$F$27/3</f>
        <v>0</v>
      </c>
      <c r="AL55" s="240">
        <f>+'k - Exp'!$F$27/3</f>
        <v>0</v>
      </c>
      <c r="AM55" s="240">
        <f>+'k - Exp'!$F$16</f>
        <v>0</v>
      </c>
      <c r="AN55" s="240">
        <f>+'k - Exp'!$F$27/3</f>
        <v>0</v>
      </c>
      <c r="AO55" s="240">
        <f>+'k - Exp'!$F$19</f>
        <v>0</v>
      </c>
      <c r="AP55" s="240">
        <f>+'k - Exp'!$F$22</f>
        <v>0</v>
      </c>
      <c r="AQ55" s="240">
        <v>0</v>
      </c>
      <c r="AR55" s="240">
        <v>0</v>
      </c>
      <c r="AS55" s="240">
        <f>+Input!$F$35</f>
        <v>0</v>
      </c>
      <c r="AT55" s="240">
        <f>+Input!$F$36</f>
        <v>0</v>
      </c>
      <c r="AU55" s="240">
        <f>+Input!$F$32</f>
        <v>0</v>
      </c>
      <c r="AV55" s="240">
        <v>0</v>
      </c>
      <c r="AW55" s="240">
        <v>0</v>
      </c>
      <c r="AX55" s="240">
        <f>+'e - Sales'!$F$8+'e - Sales'!$F$9</f>
        <v>0</v>
      </c>
      <c r="AY55" s="240">
        <f>+'e - Sales'!$F$11</f>
        <v>0</v>
      </c>
      <c r="AZ55" s="244">
        <f>+'e - Sales'!$F$12+'e - Sales'!$F$13+'e - Sales'!$F$14+'e - Sales'!$F$15</f>
        <v>0</v>
      </c>
      <c r="BA55" s="244">
        <f>+'e - Sales'!$F$10</f>
        <v>0</v>
      </c>
      <c r="BB55" s="244">
        <v>0</v>
      </c>
      <c r="BC55" s="244">
        <v>0</v>
      </c>
      <c r="BD55" s="240">
        <f>+'e - Sales'!$F$21</f>
        <v>0</v>
      </c>
      <c r="BE55" s="240">
        <f>+('e - Sales'!$F$39+'e - Sales'!$F$40)/1000</f>
        <v>0</v>
      </c>
      <c r="BF55" s="240">
        <f>+'e - Sales'!$F$42/1000</f>
        <v>0</v>
      </c>
      <c r="BG55" s="240">
        <f>+('e - Sales'!$F$43+'e - Sales'!$F$44+'e - Sales'!$F$45+'e - Sales'!$F$46)/1000</f>
        <v>0</v>
      </c>
      <c r="BH55" s="240">
        <f>+'e - Sales'!$F$41/1000</f>
        <v>0</v>
      </c>
      <c r="BI55" s="240">
        <v>0</v>
      </c>
      <c r="BJ55" s="244">
        <v>0</v>
      </c>
      <c r="BK55" s="240">
        <f>+'e - Sales'!$F$54/1000</f>
        <v>0</v>
      </c>
      <c r="BL55" s="240">
        <f>+'f - Rev'!$F$15+'f - Rev'!$F$24</f>
        <v>0</v>
      </c>
      <c r="BM55" s="240">
        <f>+'f - Rev'!$F$42</f>
        <v>0</v>
      </c>
      <c r="BN55" s="240">
        <f>+'f - Rev'!$F$51+'f - Rev'!$F$74+'f - Rev'!$F$83+'f - Rev'!$F$92</f>
        <v>0</v>
      </c>
      <c r="BO55" s="240">
        <f>+'f - Rev'!$F$33</f>
        <v>0</v>
      </c>
      <c r="BP55" s="240">
        <v>0</v>
      </c>
      <c r="BQ55" s="244">
        <v>0</v>
      </c>
      <c r="BR55" s="240">
        <f>+'f - Rev'!$F$164</f>
        <v>0</v>
      </c>
      <c r="BS55" s="240">
        <f>+'f - Rev'!$F$165</f>
        <v>0</v>
      </c>
      <c r="BT55" s="240">
        <f>+'f - Rev'!$F$166</f>
        <v>0</v>
      </c>
      <c r="BU55" s="244">
        <v>0</v>
      </c>
      <c r="BV55" s="244">
        <v>0</v>
      </c>
      <c r="BW55" s="240">
        <v>0</v>
      </c>
      <c r="BX55" s="240">
        <v>0</v>
      </c>
      <c r="BY55" s="240">
        <f>+'e - Sales'!$F$21</f>
        <v>0</v>
      </c>
      <c r="BZ55" s="244">
        <v>0</v>
      </c>
      <c r="CA55" s="244">
        <v>0</v>
      </c>
      <c r="CB55" s="240">
        <f>+'e - Sales'!$F$61/1000</f>
        <v>0</v>
      </c>
      <c r="CC55" s="244">
        <f>+'e - Sales'!$F$24</f>
        <v>0</v>
      </c>
      <c r="CD55" s="244">
        <f>+'a &amp; b'!$D$17</f>
        <v>0</v>
      </c>
      <c r="CE55" s="244">
        <f>+'a &amp; b'!$D$15</f>
        <v>0</v>
      </c>
      <c r="CF55" s="244">
        <v>0</v>
      </c>
      <c r="CG55" s="240">
        <v>0</v>
      </c>
      <c r="CH55" s="244" t="e">
        <f>+'a &amp; b'!$D$14</f>
        <v>#DIV/0!</v>
      </c>
      <c r="CI55" s="230">
        <f>AF55-AH55</f>
        <v>0</v>
      </c>
      <c r="CJ55" s="230" t="e">
        <f>BY55/BU55</f>
        <v>#DIV/0!</v>
      </c>
      <c r="CK55" s="230" t="e">
        <f>BL55/BE55</f>
        <v>#DIV/0!</v>
      </c>
      <c r="CL55" s="230" t="e">
        <f>BM55/BF55</f>
        <v>#DIV/0!</v>
      </c>
      <c r="CM55" s="230" t="e">
        <f>BN55/BG55</f>
        <v>#DIV/0!</v>
      </c>
      <c r="CN55" s="230" t="e">
        <f>(BM55+BN55)/(BF55+BG55)</f>
        <v>#DIV/0!</v>
      </c>
      <c r="CO55" s="230" t="e">
        <f>BO55/BH55</f>
        <v>#DIV/0!</v>
      </c>
      <c r="CP55" s="232">
        <f>AI55+AJ55</f>
        <v>0</v>
      </c>
      <c r="CQ55" s="230" t="e">
        <f>AI55/O55</f>
        <v>#DIV/0!</v>
      </c>
      <c r="CR55" s="230" t="e">
        <f>AJ55/O55</f>
        <v>#DIV/0!</v>
      </c>
      <c r="CS55" s="233" t="e">
        <f>(AI55+AJ55)/O55</f>
        <v>#DIV/0!</v>
      </c>
      <c r="CT55" s="232" t="e">
        <f>(AK55+AL55+AN55)/BY55</f>
        <v>#DIV/0!</v>
      </c>
      <c r="CU55" s="230" t="e">
        <f>AM55/BY55</f>
        <v>#DIV/0!</v>
      </c>
      <c r="CV55" s="230" t="e">
        <f>AO55/O55</f>
        <v>#DIV/0!</v>
      </c>
      <c r="CW55" s="230" t="e">
        <f>+AP55/O55</f>
        <v>#DIV/0!</v>
      </c>
      <c r="CX55" s="230" t="e">
        <f>+AM55/O55</f>
        <v>#DIV/0!</v>
      </c>
      <c r="CY55" s="230" t="e">
        <f>+AU55/AF55</f>
        <v>#DIV/0!</v>
      </c>
      <c r="CZ55" s="232">
        <f>(O55-O54)</f>
        <v>0</v>
      </c>
      <c r="DA55" s="230" t="e">
        <f>BE55/AX55*1000/12</f>
        <v>#DIV/0!</v>
      </c>
      <c r="DB55" s="230" t="e">
        <f>BF55/AY55*1000/12</f>
        <v>#DIV/0!</v>
      </c>
      <c r="DC55" s="230" t="e">
        <f>BG55/AZ55*1000/12</f>
        <v>#DIV/0!</v>
      </c>
      <c r="DD55" s="230" t="e">
        <f>BH55/BA55*1000/12</f>
        <v>#DIV/0!</v>
      </c>
      <c r="DE55" s="230" t="e">
        <f>(BF55+BG55)/(AY55+AZ55)*1000/12</f>
        <v>#DIV/0!</v>
      </c>
      <c r="DF55" s="230">
        <f>(BF55+BG55)</f>
        <v>0</v>
      </c>
      <c r="DG55" s="230">
        <f>Z55+AA55</f>
        <v>0</v>
      </c>
      <c r="DH55" s="230">
        <f>BI55+BJ55</f>
        <v>0</v>
      </c>
      <c r="DI55" s="230" t="e">
        <f>O55/BK55</f>
        <v>#DIV/0!</v>
      </c>
      <c r="DJ55" s="230" t="e">
        <f>O55/(BK55-BJ55)</f>
        <v>#DIV/0!</v>
      </c>
      <c r="DK55" s="230" t="e">
        <f>AH55/CB55</f>
        <v>#DIV/0!</v>
      </c>
      <c r="DL55" s="230" t="e">
        <f>+P55/O55</f>
        <v>#DIV/0!</v>
      </c>
      <c r="DM55" s="230" t="e">
        <f>1-(BK55/CB55)</f>
        <v>#DIV/0!</v>
      </c>
      <c r="DN55" s="233">
        <f>AK55+AL55+AN55</f>
        <v>0</v>
      </c>
      <c r="DO55" s="230" t="e">
        <f>CI55/BK55</f>
        <v>#DIV/0!</v>
      </c>
      <c r="DP55" s="232">
        <f>AW55+AO55+AU55</f>
        <v>0</v>
      </c>
      <c r="DQ55" s="232">
        <f>AQ55+AO55</f>
        <v>0</v>
      </c>
      <c r="DR55" s="232" t="e">
        <f>DP55/Y55*100</f>
        <v>#DIV/0!</v>
      </c>
      <c r="DS55" s="232" t="e">
        <f>DQ55/Y55*100</f>
        <v>#DIV/0!</v>
      </c>
      <c r="DT55" s="232" t="e">
        <f>AF55/O55</f>
        <v>#DIV/0!</v>
      </c>
      <c r="DU55" s="232" t="e">
        <f>(AF55-AH55)/O55</f>
        <v>#DIV/0!</v>
      </c>
      <c r="DV55" s="232" t="e">
        <f>O55/(AF55-AH55)</f>
        <v>#DIV/0!</v>
      </c>
    </row>
    <row r="56" spans="1:126" ht="13">
      <c r="A56" s="115">
        <f t="shared" ref="A56:B56" si="354">A55</f>
        <v>0</v>
      </c>
      <c r="B56" s="115">
        <f t="shared" si="354"/>
        <v>0</v>
      </c>
      <c r="C56" s="126">
        <f t="shared" si="244"/>
        <v>20</v>
      </c>
      <c r="D56" s="236">
        <v>0</v>
      </c>
      <c r="E56" s="243">
        <v>0</v>
      </c>
      <c r="F56" s="239">
        <v>0</v>
      </c>
      <c r="G56" s="239">
        <v>0</v>
      </c>
      <c r="H56" s="236">
        <v>0</v>
      </c>
      <c r="I56" s="236">
        <v>0</v>
      </c>
      <c r="J56" s="243">
        <v>0</v>
      </c>
      <c r="K56" s="243">
        <v>0</v>
      </c>
      <c r="L56" s="243">
        <v>0</v>
      </c>
      <c r="M56" s="240">
        <v>0</v>
      </c>
      <c r="N56" s="240">
        <v>0</v>
      </c>
      <c r="O56" s="240">
        <f>+'g - Plant'!$G$12</f>
        <v>0</v>
      </c>
      <c r="P56" s="240">
        <f>+'a &amp; b'!$D$47</f>
        <v>0</v>
      </c>
      <c r="Q56" s="240">
        <f>$D$60</f>
        <v>0</v>
      </c>
      <c r="R56" s="240">
        <v>0</v>
      </c>
      <c r="S56" s="240">
        <v>0</v>
      </c>
      <c r="T56" s="240">
        <v>0</v>
      </c>
      <c r="U56" s="240">
        <v>0</v>
      </c>
      <c r="V56" s="240">
        <f>+'a &amp; b'!$D$52</f>
        <v>0</v>
      </c>
      <c r="W56" s="244">
        <v>0</v>
      </c>
      <c r="X56" s="240">
        <v>0</v>
      </c>
      <c r="Y56" s="240">
        <f>+'a &amp; b'!$D$55</f>
        <v>0</v>
      </c>
      <c r="Z56" s="240">
        <f>+'a &amp; b'!$D$57+'a &amp; b'!$D$58+'a &amp; b'!$D$59</f>
        <v>0</v>
      </c>
      <c r="AA56" s="240">
        <f>+'a &amp; b'!$D$62</f>
        <v>0</v>
      </c>
      <c r="AB56" s="240">
        <v>0</v>
      </c>
      <c r="AC56" s="240">
        <v>0</v>
      </c>
      <c r="AD56" s="240">
        <v>0</v>
      </c>
      <c r="AE56" s="240">
        <f>+'a &amp; b'!$D$66</f>
        <v>0</v>
      </c>
      <c r="AF56" s="240">
        <f>+'f - Rev'!$F$166</f>
        <v>0</v>
      </c>
      <c r="AG56" s="240">
        <v>0</v>
      </c>
      <c r="AH56" s="240">
        <f>+'k - Exp'!$F$11</f>
        <v>0</v>
      </c>
      <c r="AI56" s="240">
        <f>+'k - Exp'!$F$13/2</f>
        <v>0</v>
      </c>
      <c r="AJ56" s="240">
        <f>+'k - Exp'!$F$13/2</f>
        <v>0</v>
      </c>
      <c r="AK56" s="240">
        <f>+'k - Exp'!$F$27/3</f>
        <v>0</v>
      </c>
      <c r="AL56" s="240">
        <f>+'k - Exp'!$F$27/3</f>
        <v>0</v>
      </c>
      <c r="AM56" s="240">
        <f>+'k - Exp'!$F$16</f>
        <v>0</v>
      </c>
      <c r="AN56" s="240">
        <f>+'k - Exp'!$F$27/3</f>
        <v>0</v>
      </c>
      <c r="AO56" s="240">
        <f>+'k - Exp'!$F$19</f>
        <v>0</v>
      </c>
      <c r="AP56" s="240">
        <f>+'k - Exp'!$F$22</f>
        <v>0</v>
      </c>
      <c r="AQ56" s="240">
        <v>0</v>
      </c>
      <c r="AR56" s="240">
        <v>0</v>
      </c>
      <c r="AS56" s="240">
        <f>+Input!$F$35</f>
        <v>0</v>
      </c>
      <c r="AT56" s="240">
        <f>+Input!$F$36</f>
        <v>0</v>
      </c>
      <c r="AU56" s="240">
        <f>+Input!$F$32</f>
        <v>0</v>
      </c>
      <c r="AV56" s="240">
        <v>0</v>
      </c>
      <c r="AW56" s="240">
        <v>0</v>
      </c>
      <c r="AX56" s="240">
        <f>+'e - Sales'!$F$8+'e - Sales'!$F$9</f>
        <v>0</v>
      </c>
      <c r="AY56" s="240">
        <f>+'e - Sales'!$F$11</f>
        <v>0</v>
      </c>
      <c r="AZ56" s="244">
        <f>+'e - Sales'!$F$12+'e - Sales'!$F$13+'e - Sales'!$F$14+'e - Sales'!$F$15</f>
        <v>0</v>
      </c>
      <c r="BA56" s="244">
        <f>+'e - Sales'!$F$10</f>
        <v>0</v>
      </c>
      <c r="BB56" s="244">
        <v>0</v>
      </c>
      <c r="BC56" s="244">
        <v>0</v>
      </c>
      <c r="BD56" s="240">
        <f>+'e - Sales'!$F$21</f>
        <v>0</v>
      </c>
      <c r="BE56" s="240">
        <f>+('e - Sales'!$F$39+'e - Sales'!$F$40)/1000</f>
        <v>0</v>
      </c>
      <c r="BF56" s="240">
        <f>+'e - Sales'!$F$42/1000</f>
        <v>0</v>
      </c>
      <c r="BG56" s="240">
        <f>+('e - Sales'!$F$43+'e - Sales'!$F$44+'e - Sales'!$F$45+'e - Sales'!$F$46)/1000</f>
        <v>0</v>
      </c>
      <c r="BH56" s="240">
        <f>+'e - Sales'!$F$41/1000</f>
        <v>0</v>
      </c>
      <c r="BI56" s="240">
        <v>0</v>
      </c>
      <c r="BJ56" s="244">
        <v>0</v>
      </c>
      <c r="BK56" s="240">
        <f>+'e - Sales'!$F$54/1000</f>
        <v>0</v>
      </c>
      <c r="BL56" s="240">
        <f>+'f - Rev'!$F$15+'f - Rev'!$F$24</f>
        <v>0</v>
      </c>
      <c r="BM56" s="240">
        <f>+'f - Rev'!$F$42</f>
        <v>0</v>
      </c>
      <c r="BN56" s="240">
        <f>+'f - Rev'!$F$51+'f - Rev'!$F$74+'f - Rev'!$F$83+'f - Rev'!$F$92</f>
        <v>0</v>
      </c>
      <c r="BO56" s="240">
        <f>+'f - Rev'!$F$33</f>
        <v>0</v>
      </c>
      <c r="BP56" s="240">
        <v>0</v>
      </c>
      <c r="BQ56" s="244">
        <v>0</v>
      </c>
      <c r="BR56" s="240">
        <f>+'f - Rev'!$F$164</f>
        <v>0</v>
      </c>
      <c r="BS56" s="240">
        <f>+'f - Rev'!$F$165</f>
        <v>0</v>
      </c>
      <c r="BT56" s="240">
        <f>+'f - Rev'!$F$166</f>
        <v>0</v>
      </c>
      <c r="BU56" s="244">
        <v>0</v>
      </c>
      <c r="BV56" s="244">
        <v>0</v>
      </c>
      <c r="BW56" s="240">
        <v>0</v>
      </c>
      <c r="BX56" s="240">
        <v>0</v>
      </c>
      <c r="BY56" s="240">
        <f>+'e - Sales'!$F$21</f>
        <v>0</v>
      </c>
      <c r="BZ56" s="244">
        <v>0</v>
      </c>
      <c r="CA56" s="244">
        <v>0</v>
      </c>
      <c r="CB56" s="240">
        <f>+'e - Sales'!$F$61/1000</f>
        <v>0</v>
      </c>
      <c r="CC56" s="244">
        <f>+'e - Sales'!$F$24</f>
        <v>0</v>
      </c>
      <c r="CD56" s="244">
        <f>+'a &amp; b'!$D$17</f>
        <v>0</v>
      </c>
      <c r="CE56" s="244">
        <f>+'a &amp; b'!$D$15</f>
        <v>0</v>
      </c>
      <c r="CF56" s="244">
        <v>0</v>
      </c>
      <c r="CG56" s="240">
        <v>0</v>
      </c>
      <c r="CH56" s="244" t="e">
        <f>+'a &amp; b'!$D$14</f>
        <v>#DIV/0!</v>
      </c>
      <c r="CI56" s="230">
        <f>AF56-AH56</f>
        <v>0</v>
      </c>
      <c r="CJ56" s="230" t="e">
        <f>BY56/BU56</f>
        <v>#DIV/0!</v>
      </c>
      <c r="CK56" s="230" t="e">
        <f t="shared" ref="CK56:CM57" si="355">BL56/BE56</f>
        <v>#DIV/0!</v>
      </c>
      <c r="CL56" s="230" t="e">
        <f t="shared" si="355"/>
        <v>#DIV/0!</v>
      </c>
      <c r="CM56" s="230" t="e">
        <f t="shared" si="355"/>
        <v>#DIV/0!</v>
      </c>
      <c r="CN56" s="230" t="e">
        <f>(BM56+BN56)/(BF56+BG56)</f>
        <v>#DIV/0!</v>
      </c>
      <c r="CO56" s="230" t="e">
        <f>BO56/BH56</f>
        <v>#DIV/0!</v>
      </c>
      <c r="CP56" s="232">
        <f>AI56+AJ56</f>
        <v>0</v>
      </c>
      <c r="CQ56" s="230" t="e">
        <f>AI56/O56</f>
        <v>#DIV/0!</v>
      </c>
      <c r="CR56" s="230" t="e">
        <f>AJ56/O56</f>
        <v>#DIV/0!</v>
      </c>
      <c r="CS56" s="233" t="e">
        <f>(AI56+AJ56)/O56</f>
        <v>#DIV/0!</v>
      </c>
      <c r="CT56" s="232" t="e">
        <f>(AK56+AL56+AN56)/BY56</f>
        <v>#DIV/0!</v>
      </c>
      <c r="CU56" s="230" t="e">
        <f>AM56/BY56</f>
        <v>#DIV/0!</v>
      </c>
      <c r="CV56" s="230" t="e">
        <f>AO56/O56</f>
        <v>#DIV/0!</v>
      </c>
      <c r="CW56" s="230" t="e">
        <f>+AP56/O56</f>
        <v>#DIV/0!</v>
      </c>
      <c r="CX56" s="230" t="e">
        <f>+AM56/O56</f>
        <v>#DIV/0!</v>
      </c>
      <c r="CY56" s="230" t="e">
        <f>+AU56/AF56</f>
        <v>#DIV/0!</v>
      </c>
      <c r="CZ56" s="232">
        <f>(O56-O54)</f>
        <v>0</v>
      </c>
      <c r="DA56" s="230" t="e">
        <f t="shared" ref="DA56:DD57" si="356">BE56/AX56*1000/12</f>
        <v>#DIV/0!</v>
      </c>
      <c r="DB56" s="230" t="e">
        <f t="shared" si="356"/>
        <v>#DIV/0!</v>
      </c>
      <c r="DC56" s="230" t="e">
        <f t="shared" si="356"/>
        <v>#DIV/0!</v>
      </c>
      <c r="DD56" s="230" t="e">
        <f t="shared" si="356"/>
        <v>#DIV/0!</v>
      </c>
      <c r="DE56" s="230" t="e">
        <f>(BF56+BG56)/(AY56+AZ56)*1000/12</f>
        <v>#DIV/0!</v>
      </c>
      <c r="DF56" s="230">
        <f>(BF56+BG56)</f>
        <v>0</v>
      </c>
      <c r="DG56" s="230">
        <f>Z56+AA56</f>
        <v>0</v>
      </c>
      <c r="DH56" s="230">
        <f>BI56+BJ56</f>
        <v>0</v>
      </c>
      <c r="DI56" s="230" t="e">
        <f>O56/BK56</f>
        <v>#DIV/0!</v>
      </c>
      <c r="DJ56" s="230" t="e">
        <f>O56/(BK56-BJ56)</f>
        <v>#DIV/0!</v>
      </c>
      <c r="DK56" s="230" t="e">
        <f>AH56/CB56</f>
        <v>#DIV/0!</v>
      </c>
      <c r="DL56" s="230" t="e">
        <f>+P56/O56</f>
        <v>#DIV/0!</v>
      </c>
      <c r="DM56" s="230" t="e">
        <f>1-(BK56/CB56)</f>
        <v>#DIV/0!</v>
      </c>
      <c r="DN56" s="233">
        <f>AK56+AL56+AN56</f>
        <v>0</v>
      </c>
      <c r="DO56" s="230" t="e">
        <f>CI56/BK56</f>
        <v>#DIV/0!</v>
      </c>
      <c r="DP56" s="232">
        <f>AW56+AO56+AU56</f>
        <v>0</v>
      </c>
      <c r="DQ56" s="232">
        <f>AQ56+AO56</f>
        <v>0</v>
      </c>
      <c r="DR56" s="232" t="e">
        <f>DP56/Y56*100</f>
        <v>#DIV/0!</v>
      </c>
      <c r="DS56" s="232" t="e">
        <f>DQ56/Y56*100</f>
        <v>#DIV/0!</v>
      </c>
      <c r="DT56" s="232" t="e">
        <f>AF56/O56</f>
        <v>#DIV/0!</v>
      </c>
      <c r="DU56" s="232" t="e">
        <f>(AF56-AH56)/O56</f>
        <v>#DIV/0!</v>
      </c>
      <c r="DV56" s="232" t="e">
        <f>O56/(AF56-AH56)</f>
        <v>#DIV/0!</v>
      </c>
    </row>
    <row r="57" spans="1:126" ht="13">
      <c r="A57" s="115">
        <f t="shared" ref="A57:B57" si="357">A56</f>
        <v>0</v>
      </c>
      <c r="B57" s="115">
        <f t="shared" si="357"/>
        <v>0</v>
      </c>
      <c r="C57" s="126">
        <f t="shared" si="244"/>
        <v>21</v>
      </c>
      <c r="D57" s="236">
        <v>0</v>
      </c>
      <c r="E57" s="243">
        <v>0</v>
      </c>
      <c r="F57" s="239">
        <v>0</v>
      </c>
      <c r="G57" s="239">
        <v>0</v>
      </c>
      <c r="H57" s="236">
        <v>0</v>
      </c>
      <c r="I57" s="236">
        <v>0</v>
      </c>
      <c r="J57" s="243">
        <v>0</v>
      </c>
      <c r="K57" s="243">
        <v>0</v>
      </c>
      <c r="L57" s="243">
        <v>0</v>
      </c>
      <c r="M57" s="240">
        <v>0</v>
      </c>
      <c r="N57" s="240">
        <v>0</v>
      </c>
      <c r="O57" s="240">
        <f>+'g - Plant'!$G$12</f>
        <v>0</v>
      </c>
      <c r="P57" s="240">
        <f>+'a &amp; b'!$D$47</f>
        <v>0</v>
      </c>
      <c r="Q57" s="240">
        <f>$D$60</f>
        <v>0</v>
      </c>
      <c r="R57" s="240">
        <v>0</v>
      </c>
      <c r="S57" s="240">
        <v>0</v>
      </c>
      <c r="T57" s="240">
        <v>0</v>
      </c>
      <c r="U57" s="240">
        <v>0</v>
      </c>
      <c r="V57" s="240">
        <f>+'a &amp; b'!$D$52</f>
        <v>0</v>
      </c>
      <c r="W57" s="244">
        <v>0</v>
      </c>
      <c r="X57" s="240">
        <v>0</v>
      </c>
      <c r="Y57" s="240">
        <f>+'a &amp; b'!$D$55</f>
        <v>0</v>
      </c>
      <c r="Z57" s="240">
        <f>+'a &amp; b'!$D$57+'a &amp; b'!$D$58+'a &amp; b'!$D$59</f>
        <v>0</v>
      </c>
      <c r="AA57" s="240">
        <f>+'a &amp; b'!$D$62</f>
        <v>0</v>
      </c>
      <c r="AB57" s="240">
        <v>0</v>
      </c>
      <c r="AC57" s="240">
        <v>0</v>
      </c>
      <c r="AD57" s="240">
        <v>0</v>
      </c>
      <c r="AE57" s="240">
        <f>+'a &amp; b'!$D$66</f>
        <v>0</v>
      </c>
      <c r="AF57" s="240">
        <f>+'f - Rev'!$F$166</f>
        <v>0</v>
      </c>
      <c r="AG57" s="240">
        <v>0</v>
      </c>
      <c r="AH57" s="240">
        <f>+'k - Exp'!$F$11</f>
        <v>0</v>
      </c>
      <c r="AI57" s="240">
        <f>+'k - Exp'!$F$13/2</f>
        <v>0</v>
      </c>
      <c r="AJ57" s="240">
        <f>+'k - Exp'!$F$13/2</f>
        <v>0</v>
      </c>
      <c r="AK57" s="240">
        <f>+'k - Exp'!$F$27/3</f>
        <v>0</v>
      </c>
      <c r="AL57" s="240">
        <f>+'k - Exp'!$F$27/3</f>
        <v>0</v>
      </c>
      <c r="AM57" s="240">
        <f>+'k - Exp'!$F$16</f>
        <v>0</v>
      </c>
      <c r="AN57" s="240">
        <f>+'k - Exp'!$F$27/3</f>
        <v>0</v>
      </c>
      <c r="AO57" s="240">
        <f>+'k - Exp'!$F$19</f>
        <v>0</v>
      </c>
      <c r="AP57" s="240">
        <f>+'k - Exp'!$F$22</f>
        <v>0</v>
      </c>
      <c r="AQ57" s="240">
        <v>0</v>
      </c>
      <c r="AR57" s="240">
        <v>0</v>
      </c>
      <c r="AS57" s="240">
        <f>+Input!$F$35</f>
        <v>0</v>
      </c>
      <c r="AT57" s="240">
        <f>+Input!$F$36</f>
        <v>0</v>
      </c>
      <c r="AU57" s="240">
        <f>+Input!$F$32</f>
        <v>0</v>
      </c>
      <c r="AV57" s="240">
        <v>0</v>
      </c>
      <c r="AW57" s="240">
        <v>0</v>
      </c>
      <c r="AX57" s="240">
        <f>+'e - Sales'!$F$8+'e - Sales'!$F$9</f>
        <v>0</v>
      </c>
      <c r="AY57" s="240">
        <f>+'e - Sales'!$F$11</f>
        <v>0</v>
      </c>
      <c r="AZ57" s="244">
        <f>+'e - Sales'!$F$12+'e - Sales'!$F$13+'e - Sales'!$F$14+'e - Sales'!$F$15</f>
        <v>0</v>
      </c>
      <c r="BA57" s="244">
        <f>+'e - Sales'!$F$10</f>
        <v>0</v>
      </c>
      <c r="BB57" s="244">
        <v>0</v>
      </c>
      <c r="BC57" s="244">
        <v>0</v>
      </c>
      <c r="BD57" s="240">
        <f>+'e - Sales'!$F$21</f>
        <v>0</v>
      </c>
      <c r="BE57" s="240">
        <f>+('e - Sales'!$F$39+'e - Sales'!$F$40)/1000</f>
        <v>0</v>
      </c>
      <c r="BF57" s="240">
        <f>+'e - Sales'!$F$42/1000</f>
        <v>0</v>
      </c>
      <c r="BG57" s="240">
        <f>+('e - Sales'!$F$43+'e - Sales'!$F$44+'e - Sales'!$F$45+'e - Sales'!$F$46)/1000</f>
        <v>0</v>
      </c>
      <c r="BH57" s="240">
        <f>+'e - Sales'!$F$41/1000</f>
        <v>0</v>
      </c>
      <c r="BI57" s="240">
        <v>0</v>
      </c>
      <c r="BJ57" s="244">
        <v>0</v>
      </c>
      <c r="BK57" s="240">
        <f>+'e - Sales'!$F$54/1000</f>
        <v>0</v>
      </c>
      <c r="BL57" s="240">
        <f>+'f - Rev'!$F$15+'f - Rev'!$F$24</f>
        <v>0</v>
      </c>
      <c r="BM57" s="240">
        <f>+'f - Rev'!$F$42</f>
        <v>0</v>
      </c>
      <c r="BN57" s="240">
        <f>+'f - Rev'!$F$51+'f - Rev'!$F$74+'f - Rev'!$F$83+'f - Rev'!$F$92</f>
        <v>0</v>
      </c>
      <c r="BO57" s="240">
        <f>+'f - Rev'!$F$33</f>
        <v>0</v>
      </c>
      <c r="BP57" s="240">
        <v>0</v>
      </c>
      <c r="BQ57" s="244">
        <v>0</v>
      </c>
      <c r="BR57" s="240">
        <f>+'f - Rev'!$F$164</f>
        <v>0</v>
      </c>
      <c r="BS57" s="240">
        <f>+'f - Rev'!$F$165</f>
        <v>0</v>
      </c>
      <c r="BT57" s="240">
        <f>+'f - Rev'!$F$166</f>
        <v>0</v>
      </c>
      <c r="BU57" s="244">
        <v>0</v>
      </c>
      <c r="BV57" s="244">
        <v>0</v>
      </c>
      <c r="BW57" s="240">
        <v>0</v>
      </c>
      <c r="BX57" s="240">
        <v>0</v>
      </c>
      <c r="BY57" s="240">
        <f>+'e - Sales'!$F$21</f>
        <v>0</v>
      </c>
      <c r="BZ57" s="244">
        <v>0</v>
      </c>
      <c r="CA57" s="244">
        <v>0</v>
      </c>
      <c r="CB57" s="240">
        <f>+'e - Sales'!$F$61/1000</f>
        <v>0</v>
      </c>
      <c r="CC57" s="244">
        <f>+'e - Sales'!$F$24</f>
        <v>0</v>
      </c>
      <c r="CD57" s="244">
        <f>+'a &amp; b'!$D$17</f>
        <v>0</v>
      </c>
      <c r="CE57" s="244">
        <f>+'a &amp; b'!$D$15</f>
        <v>0</v>
      </c>
      <c r="CF57" s="244">
        <v>0</v>
      </c>
      <c r="CG57" s="240">
        <v>0</v>
      </c>
      <c r="CH57" s="244" t="e">
        <f>+'a &amp; b'!$D$14</f>
        <v>#DIV/0!</v>
      </c>
      <c r="CI57" s="230">
        <f>AF57-AH57</f>
        <v>0</v>
      </c>
      <c r="CJ57" s="230" t="e">
        <f>BY57/BU57</f>
        <v>#DIV/0!</v>
      </c>
      <c r="CK57" s="230" t="e">
        <f t="shared" si="355"/>
        <v>#DIV/0!</v>
      </c>
      <c r="CL57" s="230" t="e">
        <f t="shared" si="355"/>
        <v>#DIV/0!</v>
      </c>
      <c r="CM57" s="230" t="e">
        <f t="shared" si="355"/>
        <v>#DIV/0!</v>
      </c>
      <c r="CN57" s="230" t="e">
        <f>(BM57+BN57)/(BF57+BG57)</f>
        <v>#DIV/0!</v>
      </c>
      <c r="CO57" s="230" t="e">
        <f>BO57/BH57</f>
        <v>#DIV/0!</v>
      </c>
      <c r="CP57" s="232">
        <f>AI57+AJ57</f>
        <v>0</v>
      </c>
      <c r="CQ57" s="230" t="e">
        <f>AI57/O57</f>
        <v>#DIV/0!</v>
      </c>
      <c r="CR57" s="230" t="e">
        <f>AJ57/O57</f>
        <v>#DIV/0!</v>
      </c>
      <c r="CS57" s="233" t="e">
        <f>(AI57+AJ57)/O57</f>
        <v>#DIV/0!</v>
      </c>
      <c r="CT57" s="232" t="e">
        <f>(AK57+AL57+AN57)/BY57</f>
        <v>#DIV/0!</v>
      </c>
      <c r="CU57" s="230" t="e">
        <f>AM57/BY57</f>
        <v>#DIV/0!</v>
      </c>
      <c r="CV57" s="230" t="e">
        <f>AO57/O57</f>
        <v>#DIV/0!</v>
      </c>
      <c r="CW57" s="230" t="e">
        <f>+AP57/O57</f>
        <v>#DIV/0!</v>
      </c>
      <c r="CX57" s="230" t="e">
        <f>+AM57/O57</f>
        <v>#DIV/0!</v>
      </c>
      <c r="CY57" s="230" t="e">
        <f>+AU57/AF57</f>
        <v>#DIV/0!</v>
      </c>
      <c r="CZ57" s="232">
        <f>(O57-O54)</f>
        <v>0</v>
      </c>
      <c r="DA57" s="230" t="e">
        <f t="shared" si="356"/>
        <v>#DIV/0!</v>
      </c>
      <c r="DB57" s="230" t="e">
        <f t="shared" si="356"/>
        <v>#DIV/0!</v>
      </c>
      <c r="DC57" s="230" t="e">
        <f t="shared" si="356"/>
        <v>#DIV/0!</v>
      </c>
      <c r="DD57" s="230" t="e">
        <f t="shared" si="356"/>
        <v>#DIV/0!</v>
      </c>
      <c r="DE57" s="230" t="e">
        <f>(BF57+BG57)/(AY57+AZ57)*1000/12</f>
        <v>#DIV/0!</v>
      </c>
      <c r="DF57" s="230">
        <f>(BF57+BG57)</f>
        <v>0</v>
      </c>
      <c r="DG57" s="230">
        <f>Z57+AA57</f>
        <v>0</v>
      </c>
      <c r="DH57" s="230">
        <f>BI57+BJ57</f>
        <v>0</v>
      </c>
      <c r="DI57" s="230" t="e">
        <f>O57/BK57</f>
        <v>#DIV/0!</v>
      </c>
      <c r="DJ57" s="230" t="e">
        <f>O57/(BK57-BJ57)</f>
        <v>#DIV/0!</v>
      </c>
      <c r="DK57" s="230" t="e">
        <f>AH57/CB57</f>
        <v>#DIV/0!</v>
      </c>
      <c r="DL57" s="230" t="e">
        <f>+P57/O57</f>
        <v>#DIV/0!</v>
      </c>
      <c r="DM57" s="230" t="e">
        <f>1-(BK57/CB57)</f>
        <v>#DIV/0!</v>
      </c>
      <c r="DN57" s="233">
        <f>AK57+AL57+AN57</f>
        <v>0</v>
      </c>
      <c r="DO57" s="230" t="e">
        <f>CI57/BK57</f>
        <v>#DIV/0!</v>
      </c>
      <c r="DP57" s="232">
        <f>AW57+AO57+AU57</f>
        <v>0</v>
      </c>
      <c r="DQ57" s="232">
        <f>AQ57+AO57</f>
        <v>0</v>
      </c>
      <c r="DR57" s="232" t="e">
        <f>DP57/Y57*100</f>
        <v>#DIV/0!</v>
      </c>
      <c r="DS57" s="232" t="e">
        <f>DQ57/Y57*100</f>
        <v>#DIV/0!</v>
      </c>
      <c r="DT57" s="232" t="e">
        <f>AF57/O57</f>
        <v>#DIV/0!</v>
      </c>
      <c r="DU57" s="232" t="e">
        <f>(AF57-AH57)/O57</f>
        <v>#DIV/0!</v>
      </c>
      <c r="DV57" s="232" t="e">
        <f>O57/(AF57-AH57)</f>
        <v>#DIV/0!</v>
      </c>
    </row>
    <row r="58" spans="1:126" ht="13">
      <c r="A58" s="115">
        <f t="shared" ref="A58:B58" si="358">A57</f>
        <v>0</v>
      </c>
      <c r="B58" s="115">
        <f t="shared" si="358"/>
        <v>0</v>
      </c>
      <c r="C58" s="126">
        <f t="shared" si="244"/>
        <v>22</v>
      </c>
      <c r="D58" s="236">
        <v>0</v>
      </c>
      <c r="E58" s="243">
        <v>0</v>
      </c>
      <c r="F58" s="239">
        <v>0</v>
      </c>
      <c r="G58" s="239">
        <v>0</v>
      </c>
      <c r="H58" s="236">
        <v>0</v>
      </c>
      <c r="I58" s="236">
        <v>0</v>
      </c>
      <c r="J58" s="243">
        <v>0</v>
      </c>
      <c r="K58" s="243">
        <v>0</v>
      </c>
      <c r="L58" s="243">
        <v>0</v>
      </c>
      <c r="M58" s="240">
        <v>0</v>
      </c>
      <c r="N58" s="240">
        <v>0</v>
      </c>
      <c r="O58" s="240">
        <f>+'g - Plant'!$G$12</f>
        <v>0</v>
      </c>
      <c r="P58" s="240">
        <f>+'a &amp; b'!$D$47</f>
        <v>0</v>
      </c>
      <c r="Q58" s="240">
        <f>$D$60</f>
        <v>0</v>
      </c>
      <c r="R58" s="240">
        <v>0</v>
      </c>
      <c r="S58" s="240">
        <v>0</v>
      </c>
      <c r="T58" s="240">
        <v>0</v>
      </c>
      <c r="U58" s="240">
        <v>0</v>
      </c>
      <c r="V58" s="240">
        <f>+'a &amp; b'!$D$52</f>
        <v>0</v>
      </c>
      <c r="W58" s="244">
        <v>0</v>
      </c>
      <c r="X58" s="240">
        <v>0</v>
      </c>
      <c r="Y58" s="240">
        <f>+'a &amp; b'!$D$55</f>
        <v>0</v>
      </c>
      <c r="Z58" s="240">
        <f>+'a &amp; b'!$D$57+'a &amp; b'!$D$58+'a &amp; b'!$D$59</f>
        <v>0</v>
      </c>
      <c r="AA58" s="240">
        <f>+'a &amp; b'!$D$62</f>
        <v>0</v>
      </c>
      <c r="AB58" s="240">
        <v>0</v>
      </c>
      <c r="AC58" s="240">
        <v>0</v>
      </c>
      <c r="AD58" s="240">
        <v>0</v>
      </c>
      <c r="AE58" s="240">
        <f>+'a &amp; b'!$D$66</f>
        <v>0</v>
      </c>
      <c r="AF58" s="240">
        <f>+'f - Rev'!$F$166</f>
        <v>0</v>
      </c>
      <c r="AG58" s="240">
        <v>0</v>
      </c>
      <c r="AH58" s="240">
        <f>+'k - Exp'!$F$11</f>
        <v>0</v>
      </c>
      <c r="AI58" s="240">
        <f>+'k - Exp'!$F$13/2</f>
        <v>0</v>
      </c>
      <c r="AJ58" s="240">
        <f>+'k - Exp'!$F$13/2</f>
        <v>0</v>
      </c>
      <c r="AK58" s="240">
        <f>+'k - Exp'!$F$27/3</f>
        <v>0</v>
      </c>
      <c r="AL58" s="240">
        <f>+'k - Exp'!$F$27/3</f>
        <v>0</v>
      </c>
      <c r="AM58" s="240">
        <f>+'k - Exp'!$F$16</f>
        <v>0</v>
      </c>
      <c r="AN58" s="240">
        <f>+'k - Exp'!$F$27/3</f>
        <v>0</v>
      </c>
      <c r="AO58" s="240">
        <f>+'k - Exp'!$F$19</f>
        <v>0</v>
      </c>
      <c r="AP58" s="240">
        <f>+'k - Exp'!$F$22</f>
        <v>0</v>
      </c>
      <c r="AQ58" s="240">
        <v>0</v>
      </c>
      <c r="AR58" s="240">
        <v>0</v>
      </c>
      <c r="AS58" s="240">
        <f>+Input!$F$35</f>
        <v>0</v>
      </c>
      <c r="AT58" s="240">
        <f>+Input!$F$36</f>
        <v>0</v>
      </c>
      <c r="AU58" s="240">
        <f>+Input!$F$32</f>
        <v>0</v>
      </c>
      <c r="AV58" s="240">
        <v>0</v>
      </c>
      <c r="AW58" s="240">
        <v>0</v>
      </c>
      <c r="AX58" s="240">
        <f>+'e - Sales'!$F$8+'e - Sales'!$F$9</f>
        <v>0</v>
      </c>
      <c r="AY58" s="240">
        <f>+'e - Sales'!$F$11</f>
        <v>0</v>
      </c>
      <c r="AZ58" s="244">
        <f>+'e - Sales'!$F$12+'e - Sales'!$F$13+'e - Sales'!$F$14+'e - Sales'!$F$15</f>
        <v>0</v>
      </c>
      <c r="BA58" s="244">
        <f>+'e - Sales'!$F$10</f>
        <v>0</v>
      </c>
      <c r="BB58" s="244">
        <v>0</v>
      </c>
      <c r="BC58" s="244">
        <v>0</v>
      </c>
      <c r="BD58" s="240">
        <f>+'e - Sales'!$F$21</f>
        <v>0</v>
      </c>
      <c r="BE58" s="240">
        <f>+('e - Sales'!$F$39+'e - Sales'!$F$40)/1000</f>
        <v>0</v>
      </c>
      <c r="BF58" s="240">
        <f>+'e - Sales'!$F$42/1000</f>
        <v>0</v>
      </c>
      <c r="BG58" s="240">
        <f>+('e - Sales'!$F$43+'e - Sales'!$F$44+'e - Sales'!$F$45+'e - Sales'!$F$46)/1000</f>
        <v>0</v>
      </c>
      <c r="BH58" s="240">
        <f>+'e - Sales'!$F$41/1000</f>
        <v>0</v>
      </c>
      <c r="BI58" s="240">
        <v>0</v>
      </c>
      <c r="BJ58" s="244">
        <v>0</v>
      </c>
      <c r="BK58" s="240">
        <f>+'e - Sales'!$F$54/1000</f>
        <v>0</v>
      </c>
      <c r="BL58" s="240">
        <f>+'f - Rev'!$F$15+'f - Rev'!$F$24</f>
        <v>0</v>
      </c>
      <c r="BM58" s="240">
        <f>+'f - Rev'!$F$42</f>
        <v>0</v>
      </c>
      <c r="BN58" s="240">
        <f>+'f - Rev'!$F$51+'f - Rev'!$F$74+'f - Rev'!$F$83+'f - Rev'!$F$92</f>
        <v>0</v>
      </c>
      <c r="BO58" s="240">
        <f>+'f - Rev'!$F$33</f>
        <v>0</v>
      </c>
      <c r="BP58" s="240">
        <v>0</v>
      </c>
      <c r="BQ58" s="244">
        <v>0</v>
      </c>
      <c r="BR58" s="240">
        <f>+'f - Rev'!$F$164</f>
        <v>0</v>
      </c>
      <c r="BS58" s="240">
        <f>+'f - Rev'!$F$165</f>
        <v>0</v>
      </c>
      <c r="BT58" s="240">
        <f>+'f - Rev'!$F$166</f>
        <v>0</v>
      </c>
      <c r="BU58" s="244">
        <v>0</v>
      </c>
      <c r="BV58" s="244">
        <v>0</v>
      </c>
      <c r="BW58" s="240">
        <v>0</v>
      </c>
      <c r="BX58" s="240">
        <v>0</v>
      </c>
      <c r="BY58" s="240">
        <f>+'e - Sales'!$F$21</f>
        <v>0</v>
      </c>
      <c r="BZ58" s="244">
        <v>0</v>
      </c>
      <c r="CA58" s="244">
        <v>0</v>
      </c>
      <c r="CB58" s="240">
        <f>+'e - Sales'!$F$61/1000</f>
        <v>0</v>
      </c>
      <c r="CC58" s="244">
        <f>+'e - Sales'!$F$24</f>
        <v>0</v>
      </c>
      <c r="CD58" s="244">
        <f>+'a &amp; b'!$D$17</f>
        <v>0</v>
      </c>
      <c r="CE58" s="244">
        <f>+'a &amp; b'!$D$15</f>
        <v>0</v>
      </c>
      <c r="CF58" s="244">
        <v>0</v>
      </c>
      <c r="CG58" s="240">
        <v>0</v>
      </c>
      <c r="CH58" s="244" t="e">
        <f>+'a &amp; b'!$D$14</f>
        <v>#DIV/0!</v>
      </c>
      <c r="CI58" s="230">
        <f>AF58-AH58</f>
        <v>0</v>
      </c>
      <c r="CJ58" s="230" t="e">
        <f>BY58/BU58</f>
        <v>#DIV/0!</v>
      </c>
      <c r="CK58" s="230" t="e">
        <f t="shared" ref="CK58:CM59" si="359">BL58/BE58</f>
        <v>#DIV/0!</v>
      </c>
      <c r="CL58" s="230" t="e">
        <f t="shared" si="359"/>
        <v>#DIV/0!</v>
      </c>
      <c r="CM58" s="230" t="e">
        <f t="shared" si="359"/>
        <v>#DIV/0!</v>
      </c>
      <c r="CN58" s="230" t="e">
        <f>(BM58+BN58)/(BF58+BG58)</f>
        <v>#DIV/0!</v>
      </c>
      <c r="CO58" s="230" t="e">
        <f>BO58/BH58</f>
        <v>#DIV/0!</v>
      </c>
      <c r="CP58" s="232">
        <f>AI58+AJ58</f>
        <v>0</v>
      </c>
      <c r="CQ58" s="230" t="e">
        <f>AI58/O58</f>
        <v>#DIV/0!</v>
      </c>
      <c r="CR58" s="230" t="e">
        <f>AJ58/O58</f>
        <v>#DIV/0!</v>
      </c>
      <c r="CS58" s="233" t="e">
        <f>(AI58+AJ58)/O58</f>
        <v>#DIV/0!</v>
      </c>
      <c r="CT58" s="232" t="e">
        <f>(AK58+AL58+AN58)/BY58</f>
        <v>#DIV/0!</v>
      </c>
      <c r="CU58" s="230" t="e">
        <f>AM58/BY58</f>
        <v>#DIV/0!</v>
      </c>
      <c r="CV58" s="230" t="e">
        <f>AO58/O58</f>
        <v>#DIV/0!</v>
      </c>
      <c r="CW58" s="230" t="e">
        <f>+AP58/O58</f>
        <v>#DIV/0!</v>
      </c>
      <c r="CX58" s="230" t="e">
        <f>+AM58/O58</f>
        <v>#DIV/0!</v>
      </c>
      <c r="CY58" s="230" t="e">
        <f>+AU58/AF58</f>
        <v>#DIV/0!</v>
      </c>
      <c r="CZ58" s="232">
        <f>(O58-O54)</f>
        <v>0</v>
      </c>
      <c r="DA58" s="230" t="e">
        <f t="shared" ref="DA58:DD59" si="360">BE58/AX58*1000/12</f>
        <v>#DIV/0!</v>
      </c>
      <c r="DB58" s="230" t="e">
        <f t="shared" si="360"/>
        <v>#DIV/0!</v>
      </c>
      <c r="DC58" s="230" t="e">
        <f t="shared" si="360"/>
        <v>#DIV/0!</v>
      </c>
      <c r="DD58" s="230" t="e">
        <f t="shared" si="360"/>
        <v>#DIV/0!</v>
      </c>
      <c r="DE58" s="230" t="e">
        <f>(BF58+BG58)/(AY58+AZ58)*1000/12</f>
        <v>#DIV/0!</v>
      </c>
      <c r="DF58" s="230">
        <f>(BF58+BG58)</f>
        <v>0</v>
      </c>
      <c r="DG58" s="230">
        <f>Z58+AA58</f>
        <v>0</v>
      </c>
      <c r="DH58" s="230">
        <f>BI58+BJ58</f>
        <v>0</v>
      </c>
      <c r="DI58" s="230" t="e">
        <f>O58/BK58</f>
        <v>#DIV/0!</v>
      </c>
      <c r="DJ58" s="230" t="e">
        <f>O58/(BK58-BJ58)</f>
        <v>#DIV/0!</v>
      </c>
      <c r="DK58" s="230" t="e">
        <f>AH58/CB58</f>
        <v>#DIV/0!</v>
      </c>
      <c r="DL58" s="230" t="e">
        <f>+P58/O58</f>
        <v>#DIV/0!</v>
      </c>
      <c r="DM58" s="230" t="e">
        <f>1-(BK58/CB58)</f>
        <v>#DIV/0!</v>
      </c>
      <c r="DN58" s="233">
        <f>AK58+AL58+AN58</f>
        <v>0</v>
      </c>
      <c r="DO58" s="230" t="e">
        <f>CI58/BK58</f>
        <v>#DIV/0!</v>
      </c>
      <c r="DP58" s="232">
        <f>AW58+AO58+AU58</f>
        <v>0</v>
      </c>
      <c r="DQ58" s="232">
        <f>AQ58+AO58</f>
        <v>0</v>
      </c>
      <c r="DR58" s="232" t="e">
        <f>DP58/Y58*100</f>
        <v>#DIV/0!</v>
      </c>
      <c r="DS58" s="232" t="e">
        <f>DQ58/Y58*100</f>
        <v>#DIV/0!</v>
      </c>
      <c r="DT58" s="232" t="e">
        <f>AF58/O58</f>
        <v>#DIV/0!</v>
      </c>
      <c r="DU58" s="232" t="e">
        <f>(AF58-AH58)/O58</f>
        <v>#DIV/0!</v>
      </c>
      <c r="DV58" s="232" t="e">
        <f>O58/(AF58-AH58)</f>
        <v>#DIV/0!</v>
      </c>
    </row>
    <row r="59" spans="1:126" ht="13">
      <c r="A59" s="115">
        <f t="shared" ref="A59:B59" si="361">A58</f>
        <v>0</v>
      </c>
      <c r="B59" s="115">
        <f t="shared" si="361"/>
        <v>0</v>
      </c>
      <c r="C59" s="126">
        <f t="shared" si="244"/>
        <v>23</v>
      </c>
      <c r="D59" s="236">
        <v>0</v>
      </c>
      <c r="E59" s="243">
        <v>0</v>
      </c>
      <c r="F59" s="239">
        <v>0</v>
      </c>
      <c r="G59" s="239">
        <v>0</v>
      </c>
      <c r="H59" s="236">
        <v>0</v>
      </c>
      <c r="I59" s="236">
        <v>0</v>
      </c>
      <c r="J59" s="243">
        <v>0</v>
      </c>
      <c r="K59" s="243">
        <v>0</v>
      </c>
      <c r="L59" s="243">
        <v>0</v>
      </c>
      <c r="M59" s="240">
        <v>0</v>
      </c>
      <c r="N59" s="240">
        <v>0</v>
      </c>
      <c r="O59" s="240">
        <f>+'g - Plant'!$G$12</f>
        <v>0</v>
      </c>
      <c r="P59" s="240">
        <f>+'a &amp; b'!$D$47</f>
        <v>0</v>
      </c>
      <c r="Q59" s="240">
        <f>$D$60</f>
        <v>0</v>
      </c>
      <c r="R59" s="240">
        <v>0</v>
      </c>
      <c r="S59" s="240">
        <v>0</v>
      </c>
      <c r="T59" s="240">
        <v>0</v>
      </c>
      <c r="U59" s="240">
        <v>0</v>
      </c>
      <c r="V59" s="240">
        <f>+'a &amp; b'!$D$52</f>
        <v>0</v>
      </c>
      <c r="W59" s="244">
        <v>0</v>
      </c>
      <c r="X59" s="240">
        <v>0</v>
      </c>
      <c r="Y59" s="240">
        <f>+'a &amp; b'!$D$55</f>
        <v>0</v>
      </c>
      <c r="Z59" s="240">
        <f>+'a &amp; b'!$D$57+'a &amp; b'!$D$58+'a &amp; b'!$D$59</f>
        <v>0</v>
      </c>
      <c r="AA59" s="240">
        <f>+'a &amp; b'!$D$62</f>
        <v>0</v>
      </c>
      <c r="AB59" s="240">
        <v>0</v>
      </c>
      <c r="AC59" s="240">
        <v>0</v>
      </c>
      <c r="AD59" s="240">
        <v>0</v>
      </c>
      <c r="AE59" s="240">
        <f>+'a &amp; b'!$D$66</f>
        <v>0</v>
      </c>
      <c r="AF59" s="240">
        <f>+'f - Rev'!$F$166</f>
        <v>0</v>
      </c>
      <c r="AG59" s="240">
        <v>0</v>
      </c>
      <c r="AH59" s="240">
        <f>+'k - Exp'!$F$11</f>
        <v>0</v>
      </c>
      <c r="AI59" s="240">
        <f>+'k - Exp'!$F$13/2</f>
        <v>0</v>
      </c>
      <c r="AJ59" s="240">
        <f>+'k - Exp'!$F$13/2</f>
        <v>0</v>
      </c>
      <c r="AK59" s="240">
        <f>+'k - Exp'!$F$27/3</f>
        <v>0</v>
      </c>
      <c r="AL59" s="240">
        <f>+'k - Exp'!$F$27/3</f>
        <v>0</v>
      </c>
      <c r="AM59" s="240">
        <f>+'k - Exp'!$F$16</f>
        <v>0</v>
      </c>
      <c r="AN59" s="240">
        <f>+'k - Exp'!$F$27/3</f>
        <v>0</v>
      </c>
      <c r="AO59" s="240">
        <f>+'k - Exp'!$F$19</f>
        <v>0</v>
      </c>
      <c r="AP59" s="240">
        <f>+'k - Exp'!$F$22</f>
        <v>0</v>
      </c>
      <c r="AQ59" s="240">
        <v>0</v>
      </c>
      <c r="AR59" s="240">
        <v>0</v>
      </c>
      <c r="AS59" s="240">
        <f>+Input!$F$35</f>
        <v>0</v>
      </c>
      <c r="AT59" s="240">
        <f>+Input!$F$36</f>
        <v>0</v>
      </c>
      <c r="AU59" s="240">
        <f>+Input!$F$32</f>
        <v>0</v>
      </c>
      <c r="AV59" s="240">
        <v>0</v>
      </c>
      <c r="AW59" s="240">
        <v>0</v>
      </c>
      <c r="AX59" s="240">
        <f>+'e - Sales'!$F$8+'e - Sales'!$F$9</f>
        <v>0</v>
      </c>
      <c r="AY59" s="240">
        <f>+'e - Sales'!$F$11</f>
        <v>0</v>
      </c>
      <c r="AZ59" s="244">
        <f>+'e - Sales'!$F$12+'e - Sales'!$F$13+'e - Sales'!$F$14+'e - Sales'!$F$15</f>
        <v>0</v>
      </c>
      <c r="BA59" s="244">
        <f>+'e - Sales'!$F$10</f>
        <v>0</v>
      </c>
      <c r="BB59" s="244">
        <v>0</v>
      </c>
      <c r="BC59" s="244">
        <v>0</v>
      </c>
      <c r="BD59" s="240">
        <f>+'e - Sales'!$F$21</f>
        <v>0</v>
      </c>
      <c r="BE59" s="240">
        <f>+('e - Sales'!$F$39+'e - Sales'!$F$40)/1000</f>
        <v>0</v>
      </c>
      <c r="BF59" s="240">
        <f>+'e - Sales'!$F$42/1000</f>
        <v>0</v>
      </c>
      <c r="BG59" s="240">
        <f>+('e - Sales'!$F$43+'e - Sales'!$F$44+'e - Sales'!$F$45+'e - Sales'!$F$46)/1000</f>
        <v>0</v>
      </c>
      <c r="BH59" s="240">
        <f>+'e - Sales'!$F$41/1000</f>
        <v>0</v>
      </c>
      <c r="BI59" s="240">
        <v>0</v>
      </c>
      <c r="BJ59" s="244">
        <v>0</v>
      </c>
      <c r="BK59" s="240">
        <f>+'e - Sales'!$F$54/1000</f>
        <v>0</v>
      </c>
      <c r="BL59" s="240">
        <f>+'f - Rev'!$F$15+'f - Rev'!$F$24</f>
        <v>0</v>
      </c>
      <c r="BM59" s="240">
        <f>+'f - Rev'!$F$42</f>
        <v>0</v>
      </c>
      <c r="BN59" s="240">
        <f>+'f - Rev'!$F$51+'f - Rev'!$F$74+'f - Rev'!$F$83+'f - Rev'!$F$92</f>
        <v>0</v>
      </c>
      <c r="BO59" s="240">
        <f>+'f - Rev'!$F$33</f>
        <v>0</v>
      </c>
      <c r="BP59" s="240">
        <v>0</v>
      </c>
      <c r="BQ59" s="244">
        <v>0</v>
      </c>
      <c r="BR59" s="240">
        <f>+'f - Rev'!$F$164</f>
        <v>0</v>
      </c>
      <c r="BS59" s="240">
        <f>+'f - Rev'!$F$165</f>
        <v>0</v>
      </c>
      <c r="BT59" s="240">
        <f>+'f - Rev'!$F$166</f>
        <v>0</v>
      </c>
      <c r="BU59" s="244">
        <v>0</v>
      </c>
      <c r="BV59" s="244">
        <v>0</v>
      </c>
      <c r="BW59" s="240">
        <v>0</v>
      </c>
      <c r="BX59" s="240">
        <v>0</v>
      </c>
      <c r="BY59" s="240">
        <f>+'e - Sales'!$F$21</f>
        <v>0</v>
      </c>
      <c r="BZ59" s="244">
        <v>0</v>
      </c>
      <c r="CA59" s="244">
        <v>0</v>
      </c>
      <c r="CB59" s="240">
        <f>+'e - Sales'!$F$61/1000</f>
        <v>0</v>
      </c>
      <c r="CC59" s="244">
        <f>+'e - Sales'!$F$24</f>
        <v>0</v>
      </c>
      <c r="CD59" s="244">
        <f>+'a &amp; b'!$D$17</f>
        <v>0</v>
      </c>
      <c r="CE59" s="244">
        <f>+'a &amp; b'!$D$15</f>
        <v>0</v>
      </c>
      <c r="CF59" s="244">
        <v>0</v>
      </c>
      <c r="CG59" s="240">
        <v>0</v>
      </c>
      <c r="CH59" s="244" t="e">
        <f>+'a &amp; b'!$D$14</f>
        <v>#DIV/0!</v>
      </c>
      <c r="CI59" s="230">
        <f>AF59-AH59</f>
        <v>0</v>
      </c>
      <c r="CJ59" s="230" t="e">
        <f>BY59/BU59</f>
        <v>#DIV/0!</v>
      </c>
      <c r="CK59" s="230" t="e">
        <f t="shared" si="359"/>
        <v>#DIV/0!</v>
      </c>
      <c r="CL59" s="230" t="e">
        <f t="shared" si="359"/>
        <v>#DIV/0!</v>
      </c>
      <c r="CM59" s="230" t="e">
        <f t="shared" si="359"/>
        <v>#DIV/0!</v>
      </c>
      <c r="CN59" s="230" t="e">
        <f>(BM59+BN59)/(BF59+BG59)</f>
        <v>#DIV/0!</v>
      </c>
      <c r="CO59" s="230" t="e">
        <f>BO59/BH59</f>
        <v>#DIV/0!</v>
      </c>
      <c r="CP59" s="232">
        <f>AI59+AJ59</f>
        <v>0</v>
      </c>
      <c r="CQ59" s="230" t="e">
        <f>AI59/O59</f>
        <v>#DIV/0!</v>
      </c>
      <c r="CR59" s="230" t="e">
        <f>AJ59/O59</f>
        <v>#DIV/0!</v>
      </c>
      <c r="CS59" s="233" t="e">
        <f>(AI59+AJ59)/O59</f>
        <v>#DIV/0!</v>
      </c>
      <c r="CT59" s="232" t="e">
        <f>(AK59+AL59+AN59)/BY59</f>
        <v>#DIV/0!</v>
      </c>
      <c r="CU59" s="230" t="e">
        <f>AM59/BY59</f>
        <v>#DIV/0!</v>
      </c>
      <c r="CV59" s="230" t="e">
        <f>AO59/O59</f>
        <v>#DIV/0!</v>
      </c>
      <c r="CW59" s="230" t="e">
        <f>+AP59/O59</f>
        <v>#DIV/0!</v>
      </c>
      <c r="CX59" s="230" t="e">
        <f>+AM59/O59</f>
        <v>#DIV/0!</v>
      </c>
      <c r="CY59" s="230" t="e">
        <f>+AU59/AF59</f>
        <v>#DIV/0!</v>
      </c>
      <c r="CZ59" s="232">
        <f>(O59-O54)</f>
        <v>0</v>
      </c>
      <c r="DA59" s="230" t="e">
        <f t="shared" si="360"/>
        <v>#DIV/0!</v>
      </c>
      <c r="DB59" s="230" t="e">
        <f t="shared" si="360"/>
        <v>#DIV/0!</v>
      </c>
      <c r="DC59" s="230" t="e">
        <f t="shared" si="360"/>
        <v>#DIV/0!</v>
      </c>
      <c r="DD59" s="230" t="e">
        <f t="shared" si="360"/>
        <v>#DIV/0!</v>
      </c>
      <c r="DE59" s="230" t="e">
        <f>(BF59+BG59)/(AY59+AZ59)*1000/12</f>
        <v>#DIV/0!</v>
      </c>
      <c r="DF59" s="230">
        <f>(BF59+BG59)</f>
        <v>0</v>
      </c>
      <c r="DG59" s="230">
        <f>Z59+AA59</f>
        <v>0</v>
      </c>
      <c r="DH59" s="230">
        <f>BI59+BJ59</f>
        <v>0</v>
      </c>
      <c r="DI59" s="230" t="e">
        <f>O59/BK59</f>
        <v>#DIV/0!</v>
      </c>
      <c r="DJ59" s="230" t="e">
        <f>O59/(BK59-BJ59)</f>
        <v>#DIV/0!</v>
      </c>
      <c r="DK59" s="230" t="e">
        <f>AH59/CB59</f>
        <v>#DIV/0!</v>
      </c>
      <c r="DL59" s="230" t="e">
        <f>+P59/O59</f>
        <v>#DIV/0!</v>
      </c>
      <c r="DM59" s="230" t="e">
        <f>1-(BK59/CB59)</f>
        <v>#DIV/0!</v>
      </c>
      <c r="DN59" s="233">
        <f>AK59+AL59+AN59</f>
        <v>0</v>
      </c>
      <c r="DO59" s="230" t="e">
        <f>CI59/BK59</f>
        <v>#DIV/0!</v>
      </c>
      <c r="DP59" s="232">
        <f>AW59+AO59+AU59</f>
        <v>0</v>
      </c>
      <c r="DQ59" s="232">
        <f>AQ59+AO59</f>
        <v>0</v>
      </c>
      <c r="DR59" s="232" t="e">
        <f>DP59/Y59*100</f>
        <v>#DIV/0!</v>
      </c>
      <c r="DS59" s="232" t="e">
        <f>DQ59/Y59*100</f>
        <v>#DIV/0!</v>
      </c>
      <c r="DT59" s="232" t="e">
        <f>AF59/O59</f>
        <v>#DIV/0!</v>
      </c>
      <c r="DU59" s="232" t="e">
        <f>(AF59-AH59)/O59</f>
        <v>#DIV/0!</v>
      </c>
      <c r="DV59" s="232" t="e">
        <f>O59/(AF59-AH59)</f>
        <v>#DIV/0!</v>
      </c>
    </row>
    <row r="60" spans="1:126" ht="15.5">
      <c r="A60" s="115">
        <f t="shared" ref="A60:B60" si="362">A59</f>
        <v>0</v>
      </c>
      <c r="B60" s="115">
        <f t="shared" si="362"/>
        <v>0</v>
      </c>
      <c r="C60" s="126">
        <f t="shared" si="244"/>
        <v>24</v>
      </c>
      <c r="D60" s="229">
        <v>0</v>
      </c>
      <c r="E60" s="229">
        <v>0</v>
      </c>
      <c r="F60" s="229">
        <v>0</v>
      </c>
      <c r="G60" s="229">
        <v>0</v>
      </c>
      <c r="H60" s="229">
        <v>0</v>
      </c>
      <c r="I60" s="229">
        <v>0</v>
      </c>
      <c r="J60" s="229">
        <v>0</v>
      </c>
      <c r="K60" s="229">
        <v>0</v>
      </c>
      <c r="L60" s="229">
        <v>0</v>
      </c>
      <c r="M60" s="229">
        <v>0</v>
      </c>
      <c r="N60" s="229">
        <v>0</v>
      </c>
      <c r="O60" s="229">
        <f>+'g - Plant'!$H$12</f>
        <v>0</v>
      </c>
      <c r="P60" s="229" t="e">
        <f>+'a &amp; b'!$E$47</f>
        <v>#DIV/0!</v>
      </c>
      <c r="Q60" s="229">
        <v>0</v>
      </c>
      <c r="R60" s="229">
        <v>0</v>
      </c>
      <c r="S60" s="229">
        <v>0</v>
      </c>
      <c r="T60" s="229">
        <v>0</v>
      </c>
      <c r="U60" s="229">
        <v>0</v>
      </c>
      <c r="V60" s="229" t="e">
        <f>+'a &amp; b'!$E$52</f>
        <v>#DIV/0!</v>
      </c>
      <c r="W60" s="229">
        <v>0</v>
      </c>
      <c r="X60" s="229">
        <v>0</v>
      </c>
      <c r="Y60" s="229" t="e">
        <f>+'a &amp; b'!$E$55</f>
        <v>#DIV/0!</v>
      </c>
      <c r="Z60" s="229">
        <f>+'a &amp; b'!$E$57+'a &amp; b'!$E$58+'a &amp; b'!$E$59</f>
        <v>0</v>
      </c>
      <c r="AA60" s="229">
        <f>+'a &amp; b'!$E$62</f>
        <v>0</v>
      </c>
      <c r="AB60" s="229">
        <v>0</v>
      </c>
      <c r="AC60" s="229">
        <v>0</v>
      </c>
      <c r="AD60" s="229">
        <v>0</v>
      </c>
      <c r="AE60" s="229" t="e">
        <f>+'a &amp; b'!$E$66</f>
        <v>#DIV/0!</v>
      </c>
      <c r="AF60" s="229" t="e">
        <f>+'c &amp; d'!$D$6+'c &amp; d'!$D$8</f>
        <v>#DIV/0!</v>
      </c>
      <c r="AG60" s="229">
        <v>0</v>
      </c>
      <c r="AH60" s="229">
        <f>+'k - Exp'!$G$11</f>
        <v>0</v>
      </c>
      <c r="AI60" s="229">
        <v>0</v>
      </c>
      <c r="AJ60" s="229">
        <v>0</v>
      </c>
      <c r="AK60" s="229">
        <v>0</v>
      </c>
      <c r="AL60" s="229">
        <v>0</v>
      </c>
      <c r="AM60" s="229" t="e">
        <f>+'c &amp; d'!$D$13</f>
        <v>#DIV/0!</v>
      </c>
      <c r="AN60" s="229">
        <v>0</v>
      </c>
      <c r="AO60" s="229" t="e">
        <f>+'c &amp; d'!$D$14</f>
        <v>#DIV/0!</v>
      </c>
      <c r="AP60" s="229" t="e">
        <f>+'c &amp; d'!$D$15</f>
        <v>#DIV/0!</v>
      </c>
      <c r="AQ60" s="229" t="e">
        <f>+'c &amp; d'!$D$16+'c &amp; d'!$D$18</f>
        <v>#DIV/0!</v>
      </c>
      <c r="AR60" s="229">
        <f>+'c &amp; d'!$D$19</f>
        <v>0</v>
      </c>
      <c r="AS60" s="229">
        <f>+Input!$G$35</f>
        <v>0</v>
      </c>
      <c r="AT60" s="229">
        <f>+'c &amp; d'!$D$20-Input!$G$35</f>
        <v>0</v>
      </c>
      <c r="AU60" s="229">
        <f>+'c &amp; d'!$D$16</f>
        <v>0</v>
      </c>
      <c r="AV60" s="229">
        <v>0</v>
      </c>
      <c r="AW60" s="229" t="e">
        <f>+'c &amp; d'!$D$21</f>
        <v>#DIV/0!</v>
      </c>
      <c r="AX60" s="229">
        <f>+'e - Sales'!$G$8+'e - Sales'!$G$9</f>
        <v>0</v>
      </c>
      <c r="AY60" s="231">
        <f>+'e - Sales'!$G$11</f>
        <v>0</v>
      </c>
      <c r="AZ60" s="231">
        <f>'e - Sales'!$G$12+'e - Sales'!$G$13+'e - Sales'!$G$14+'e - Sales'!$G$15</f>
        <v>0</v>
      </c>
      <c r="BA60" s="229">
        <f>+'e - Sales'!$G$10</f>
        <v>0</v>
      </c>
      <c r="BB60" s="229">
        <v>0</v>
      </c>
      <c r="BC60" s="229">
        <v>0</v>
      </c>
      <c r="BD60" s="229">
        <f>+'e - Sales'!$G$21</f>
        <v>0</v>
      </c>
      <c r="BE60" s="229">
        <f>+('e - Sales'!$G$39+'e - Sales'!$G$40)/1000</f>
        <v>0</v>
      </c>
      <c r="BF60" s="229">
        <f>+'e - Sales'!$G$42/1000</f>
        <v>0</v>
      </c>
      <c r="BG60" s="229">
        <f>+('e - Sales'!$G$43+'e - Sales'!$G$44+'e - Sales'!$G$45+'e - Sales'!$G$46)/1000</f>
        <v>0</v>
      </c>
      <c r="BH60" s="229">
        <f>+'e - Sales'!$G$41/1000</f>
        <v>0</v>
      </c>
      <c r="BI60" s="229">
        <v>0</v>
      </c>
      <c r="BJ60" s="229">
        <v>0</v>
      </c>
      <c r="BK60" s="229">
        <f>+'e - Sales'!$G$54/1000</f>
        <v>0</v>
      </c>
      <c r="BL60" s="229">
        <f>+'f - Rev'!$G$15+'f - Rev'!$G$24</f>
        <v>0</v>
      </c>
      <c r="BM60" s="229">
        <f>+'f - Rev'!$G$42</f>
        <v>0</v>
      </c>
      <c r="BN60" s="229">
        <f>+'f - Rev'!$G$51+'f - Rev'!$G$74+'f - Rev'!$G$83+'f - Rev'!$G$92</f>
        <v>0</v>
      </c>
      <c r="BO60" s="229">
        <f>+'f - Rev'!$G$33</f>
        <v>0</v>
      </c>
      <c r="BP60" s="229">
        <v>0</v>
      </c>
      <c r="BQ60" s="229">
        <v>0</v>
      </c>
      <c r="BR60" s="229">
        <f>+'f - Rev'!$G$164</f>
        <v>0</v>
      </c>
      <c r="BS60" s="229">
        <f>+'f - Rev'!$G$165</f>
        <v>0</v>
      </c>
      <c r="BT60" s="229" t="e">
        <f>+'c &amp; d'!$D$6+'c &amp; d'!$D$8</f>
        <v>#DIV/0!</v>
      </c>
      <c r="BU60" s="229">
        <v>0</v>
      </c>
      <c r="BV60" s="229">
        <v>0</v>
      </c>
      <c r="BW60" s="229">
        <v>0</v>
      </c>
      <c r="BX60" s="229">
        <v>0</v>
      </c>
      <c r="BY60" s="229">
        <f>+'e - Sales'!$G$21</f>
        <v>0</v>
      </c>
      <c r="BZ60" s="109">
        <v>0</v>
      </c>
      <c r="CA60" s="109">
        <v>0</v>
      </c>
      <c r="CB60" s="108">
        <f>+'e - Sales'!$G$61/1000</f>
        <v>0</v>
      </c>
      <c r="CC60" s="108">
        <f>+'e - Sales'!$G$24</f>
        <v>0</v>
      </c>
      <c r="CD60" s="109" t="e">
        <f>+'a &amp; b'!$E$17</f>
        <v>#DIV/0!</v>
      </c>
      <c r="CE60" s="109" t="e">
        <f>+'a &amp; b'!$E$15</f>
        <v>#DIV/0!</v>
      </c>
      <c r="CF60" s="108">
        <f>+'j - Debt Sum'!$D$12+'j - Debt Sum'!$D$20+'j - Debt Sum'!$D$28+'j - Debt Sum'!$D$36+'j - Debt Sum'!$D$44</f>
        <v>0</v>
      </c>
      <c r="CG60" s="108">
        <f>+'j - Debt Sum'!$D$52+'j - Debt Sum'!$D$60</f>
        <v>0</v>
      </c>
      <c r="CH60" s="109" t="e">
        <f>+'a &amp; b'!$E$14</f>
        <v>#DIV/0!</v>
      </c>
      <c r="CI60" s="110" t="e">
        <f t="shared" ref="CI60:CI68" si="363">AF60-AH60</f>
        <v>#DIV/0!</v>
      </c>
      <c r="CJ60" s="111" t="e">
        <f t="shared" ref="CJ60:CJ68" si="364">BY60/BU60</f>
        <v>#DIV/0!</v>
      </c>
      <c r="CK60" s="52" t="e">
        <f t="shared" si="2"/>
        <v>#DIV/0!</v>
      </c>
      <c r="CL60" s="52" t="e">
        <f t="shared" si="3"/>
        <v>#DIV/0!</v>
      </c>
      <c r="CM60" s="52" t="e">
        <f t="shared" si="4"/>
        <v>#DIV/0!</v>
      </c>
      <c r="CN60" s="52" t="e">
        <f t="shared" si="5"/>
        <v>#DIV/0!</v>
      </c>
      <c r="CO60" s="52" t="e">
        <f t="shared" si="6"/>
        <v>#DIV/0!</v>
      </c>
      <c r="CP60" s="110" t="e">
        <f>+'k - Exp'!$G$13</f>
        <v>#DIV/0!</v>
      </c>
      <c r="CQ60" s="112" t="e">
        <f t="shared" si="8"/>
        <v>#DIV/0!</v>
      </c>
      <c r="CR60" s="112" t="e">
        <f t="shared" si="9"/>
        <v>#DIV/0!</v>
      </c>
      <c r="CS60" s="112" t="e">
        <f>+('k - Exp'!$G$14)/100</f>
        <v>#DIV/0!</v>
      </c>
      <c r="CT60" s="52" t="e">
        <f>+'k - Exp'!$G$28</f>
        <v>#DIV/0!</v>
      </c>
      <c r="CU60" s="52" t="e">
        <f t="shared" si="12"/>
        <v>#DIV/0!</v>
      </c>
      <c r="CV60" s="112" t="e">
        <f t="shared" si="13"/>
        <v>#DIV/0!</v>
      </c>
      <c r="CW60" s="112" t="e">
        <f t="shared" si="56"/>
        <v>#DIV/0!</v>
      </c>
      <c r="CX60" s="112" t="e">
        <f t="shared" si="57"/>
        <v>#DIV/0!</v>
      </c>
      <c r="CY60" s="112" t="e">
        <f t="shared" ref="CY60:CY68" si="365">+AU60/AF60</f>
        <v>#DIV/0!</v>
      </c>
      <c r="CZ60" s="110">
        <f>O60-O52</f>
        <v>0</v>
      </c>
      <c r="DA60" s="102" t="e">
        <f t="shared" si="17"/>
        <v>#DIV/0!</v>
      </c>
      <c r="DB60" s="102" t="e">
        <f t="shared" si="18"/>
        <v>#DIV/0!</v>
      </c>
      <c r="DC60" s="102" t="e">
        <f t="shared" si="19"/>
        <v>#DIV/0!</v>
      </c>
      <c r="DD60" s="102" t="e">
        <f t="shared" si="20"/>
        <v>#DIV/0!</v>
      </c>
      <c r="DE60" s="102" t="e">
        <f t="shared" si="21"/>
        <v>#DIV/0!</v>
      </c>
      <c r="DF60" s="102">
        <f t="shared" si="46"/>
        <v>0</v>
      </c>
      <c r="DG60" s="110">
        <f t="shared" si="47"/>
        <v>0</v>
      </c>
      <c r="DH60" s="110">
        <v>0</v>
      </c>
      <c r="DI60" s="52" t="e">
        <f t="shared" si="25"/>
        <v>#DIV/0!</v>
      </c>
      <c r="DJ60" s="52">
        <v>0</v>
      </c>
      <c r="DK60" s="52" t="e">
        <f t="shared" si="27"/>
        <v>#DIV/0!</v>
      </c>
      <c r="DL60" s="103" t="e">
        <f t="shared" ref="DL60:DL68" si="366">+P60/O60</f>
        <v>#DIV/0!</v>
      </c>
      <c r="DM60" s="112" t="e">
        <f t="shared" si="28"/>
        <v>#DIV/0!</v>
      </c>
      <c r="DN60" s="110" t="e">
        <f>+'k - Exp'!$G$27</f>
        <v>#DIV/0!</v>
      </c>
      <c r="DO60" s="52" t="e">
        <f t="shared" si="30"/>
        <v>#DIV/0!</v>
      </c>
      <c r="DP60" s="219" t="e">
        <f t="shared" si="35"/>
        <v>#DIV/0!</v>
      </c>
      <c r="DQ60" s="219" t="e">
        <f t="shared" si="36"/>
        <v>#DIV/0!</v>
      </c>
      <c r="DR60" t="e">
        <f t="shared" si="37"/>
        <v>#DIV/0!</v>
      </c>
      <c r="DS60" t="e">
        <f t="shared" si="38"/>
        <v>#DIV/0!</v>
      </c>
      <c r="DT60" t="e">
        <f t="shared" si="39"/>
        <v>#DIV/0!</v>
      </c>
      <c r="DU60" t="e">
        <f t="shared" si="40"/>
        <v>#DIV/0!</v>
      </c>
      <c r="DV60" t="e">
        <f t="shared" si="41"/>
        <v>#DIV/0!</v>
      </c>
    </row>
    <row r="61" spans="1:126" ht="15.5">
      <c r="A61" s="115">
        <f t="shared" ref="A61:B61" si="367">A60</f>
        <v>0</v>
      </c>
      <c r="B61" s="115">
        <f t="shared" si="367"/>
        <v>0</v>
      </c>
      <c r="C61" s="126">
        <f t="shared" si="244"/>
        <v>25</v>
      </c>
      <c r="D61" s="229">
        <v>0</v>
      </c>
      <c r="E61" s="229">
        <v>0</v>
      </c>
      <c r="F61" s="229">
        <v>0</v>
      </c>
      <c r="G61" s="229">
        <v>0</v>
      </c>
      <c r="H61" s="229">
        <v>0</v>
      </c>
      <c r="I61" s="229">
        <v>0</v>
      </c>
      <c r="J61" s="229">
        <v>0</v>
      </c>
      <c r="K61" s="229">
        <v>0</v>
      </c>
      <c r="L61" s="229">
        <v>0</v>
      </c>
      <c r="M61" s="229">
        <v>0</v>
      </c>
      <c r="N61" s="229">
        <v>0</v>
      </c>
      <c r="O61" s="229">
        <f>+'g - Plant'!$I$12</f>
        <v>0</v>
      </c>
      <c r="P61" s="229" t="e">
        <f>+'a &amp; b'!$F$47</f>
        <v>#DIV/0!</v>
      </c>
      <c r="Q61" s="229">
        <v>0</v>
      </c>
      <c r="R61" s="229">
        <v>0</v>
      </c>
      <c r="S61" s="229">
        <v>0</v>
      </c>
      <c r="T61" s="229">
        <v>0</v>
      </c>
      <c r="U61" s="229">
        <v>0</v>
      </c>
      <c r="V61" s="229" t="e">
        <f>+'a &amp; b'!$F$52</f>
        <v>#DIV/0!</v>
      </c>
      <c r="W61" s="229">
        <v>0</v>
      </c>
      <c r="X61" s="229">
        <v>0</v>
      </c>
      <c r="Y61" s="229" t="e">
        <f>+'a &amp; b'!$F$55</f>
        <v>#DIV/0!</v>
      </c>
      <c r="Z61" s="229">
        <f>+'a &amp; b'!$F$57+'a &amp; b'!$F$58+'a &amp; b'!$F$59</f>
        <v>0</v>
      </c>
      <c r="AA61" s="229">
        <f>+'a &amp; b'!$F$62</f>
        <v>0</v>
      </c>
      <c r="AB61" s="229">
        <v>0</v>
      </c>
      <c r="AC61" s="229">
        <v>0</v>
      </c>
      <c r="AD61" s="229">
        <v>0</v>
      </c>
      <c r="AE61" s="229" t="e">
        <f>+'a &amp; b'!$F$66</f>
        <v>#DIV/0!</v>
      </c>
      <c r="AF61" s="229" t="e">
        <f>+'c &amp; d'!$E$6+'c &amp; d'!$E$8</f>
        <v>#DIV/0!</v>
      </c>
      <c r="AG61" s="229">
        <v>0</v>
      </c>
      <c r="AH61" s="229">
        <f>+'k - Exp'!$H$11</f>
        <v>0</v>
      </c>
      <c r="AI61" s="229">
        <v>0</v>
      </c>
      <c r="AJ61" s="229">
        <v>0</v>
      </c>
      <c r="AK61" s="229">
        <v>0</v>
      </c>
      <c r="AL61" s="229">
        <v>0</v>
      </c>
      <c r="AM61" s="229" t="e">
        <f>+'c &amp; d'!$E$13</f>
        <v>#DIV/0!</v>
      </c>
      <c r="AN61" s="229">
        <v>0</v>
      </c>
      <c r="AO61" s="229" t="e">
        <f>+'c &amp; d'!$E$14</f>
        <v>#DIV/0!</v>
      </c>
      <c r="AP61" s="229" t="e">
        <f>+'c &amp; d'!$E$15</f>
        <v>#DIV/0!</v>
      </c>
      <c r="AQ61" s="229" t="e">
        <f>+'c &amp; d'!$E$16+'c &amp; d'!$E$18</f>
        <v>#DIV/0!</v>
      </c>
      <c r="AR61" s="229" t="e">
        <f>+'c &amp; d'!$E$19</f>
        <v>#DIV/0!</v>
      </c>
      <c r="AS61" s="229">
        <f>+Input!$H$35</f>
        <v>0</v>
      </c>
      <c r="AT61" s="229">
        <f>+'c &amp; d'!$E$20-Input!$H$35</f>
        <v>0</v>
      </c>
      <c r="AU61" s="229">
        <f>+'c &amp; d'!$E$16</f>
        <v>0</v>
      </c>
      <c r="AV61" s="229">
        <v>0</v>
      </c>
      <c r="AW61" s="229" t="e">
        <f>+'c &amp; d'!$E$21</f>
        <v>#DIV/0!</v>
      </c>
      <c r="AX61" s="229">
        <f>+'e - Sales'!$H$8+'e - Sales'!$H$9</f>
        <v>0</v>
      </c>
      <c r="AY61" s="231">
        <f>+'e - Sales'!$H$11</f>
        <v>0</v>
      </c>
      <c r="AZ61" s="231">
        <f>'e - Sales'!$H$12+'e - Sales'!$H$13+'e - Sales'!$H$14+'e - Sales'!$H$15</f>
        <v>0</v>
      </c>
      <c r="BA61" s="229">
        <f>+'e - Sales'!$H$10</f>
        <v>0</v>
      </c>
      <c r="BB61" s="229">
        <v>0</v>
      </c>
      <c r="BC61" s="229">
        <v>0</v>
      </c>
      <c r="BD61" s="229">
        <f>+'e - Sales'!$H$21</f>
        <v>0</v>
      </c>
      <c r="BE61" s="229">
        <f>+('e - Sales'!$H$39+'e - Sales'!$H$40)/1000</f>
        <v>0</v>
      </c>
      <c r="BF61" s="229">
        <f>+'e - Sales'!$H$42/1000</f>
        <v>0</v>
      </c>
      <c r="BG61" s="229">
        <f>+('e - Sales'!$H$43+'e - Sales'!$H$44+'e - Sales'!$H$45+'e - Sales'!$H$46)/1000</f>
        <v>0</v>
      </c>
      <c r="BH61" s="229">
        <f>+'e - Sales'!$H$41/1000</f>
        <v>0</v>
      </c>
      <c r="BI61" s="229">
        <v>0</v>
      </c>
      <c r="BJ61" s="229">
        <v>0</v>
      </c>
      <c r="BK61" s="229">
        <f>+'e - Sales'!$H$54/1000</f>
        <v>0</v>
      </c>
      <c r="BL61" s="229">
        <f>+'f - Rev'!$H$15+'f - Rev'!$H$24</f>
        <v>0</v>
      </c>
      <c r="BM61" s="229">
        <f>+'f - Rev'!$H$42</f>
        <v>0</v>
      </c>
      <c r="BN61" s="229">
        <f>+'f - Rev'!$H$51+'f - Rev'!$H$74+'f - Rev'!$H$83+'f - Rev'!$H$92</f>
        <v>0</v>
      </c>
      <c r="BO61" s="229">
        <f>+'f - Rev'!$H$33</f>
        <v>0</v>
      </c>
      <c r="BP61" s="229">
        <v>0</v>
      </c>
      <c r="BQ61" s="229">
        <v>0</v>
      </c>
      <c r="BR61" s="229">
        <f>+'f - Rev'!$H$164</f>
        <v>0</v>
      </c>
      <c r="BS61" s="229">
        <f>+'f - Rev'!$H$165</f>
        <v>0</v>
      </c>
      <c r="BT61" s="229" t="e">
        <f>+'c &amp; d'!$E$6+'c &amp; d'!$E$8</f>
        <v>#DIV/0!</v>
      </c>
      <c r="BU61" s="229">
        <v>0</v>
      </c>
      <c r="BV61" s="229">
        <v>0</v>
      </c>
      <c r="BW61" s="229">
        <v>0</v>
      </c>
      <c r="BX61" s="229">
        <v>0</v>
      </c>
      <c r="BY61" s="229">
        <f>+'e - Sales'!$H$21</f>
        <v>0</v>
      </c>
      <c r="BZ61" s="109">
        <v>0</v>
      </c>
      <c r="CA61" s="109">
        <v>0</v>
      </c>
      <c r="CB61" s="108">
        <f>+'e - Sales'!$H$61/1000</f>
        <v>0</v>
      </c>
      <c r="CC61" s="108">
        <f>+'e - Sales'!$H$24</f>
        <v>0</v>
      </c>
      <c r="CD61" s="109" t="e">
        <f>+'a &amp; b'!$F$17</f>
        <v>#DIV/0!</v>
      </c>
      <c r="CE61" s="109" t="e">
        <f>+'a &amp; b'!$F$15</f>
        <v>#DIV/0!</v>
      </c>
      <c r="CF61" s="108">
        <f>+'j - Debt Sum'!$E$12+'j - Debt Sum'!$E$20+'j - Debt Sum'!$E$28+'j - Debt Sum'!$E$36+'j - Debt Sum'!$E$44</f>
        <v>0</v>
      </c>
      <c r="CG61" s="108">
        <f>+'j - Debt Sum'!$E$52+'j - Debt Sum'!$E$60</f>
        <v>0</v>
      </c>
      <c r="CH61" s="109" t="e">
        <f>+'a &amp; b'!$F$14</f>
        <v>#DIV/0!</v>
      </c>
      <c r="CI61" s="110" t="e">
        <f t="shared" si="363"/>
        <v>#DIV/0!</v>
      </c>
      <c r="CJ61" s="111" t="e">
        <f t="shared" si="364"/>
        <v>#DIV/0!</v>
      </c>
      <c r="CK61" s="52" t="e">
        <f t="shared" si="2"/>
        <v>#DIV/0!</v>
      </c>
      <c r="CL61" s="52" t="e">
        <f t="shared" si="3"/>
        <v>#DIV/0!</v>
      </c>
      <c r="CM61" s="52" t="e">
        <f t="shared" si="4"/>
        <v>#DIV/0!</v>
      </c>
      <c r="CN61" s="52" t="e">
        <f t="shared" si="5"/>
        <v>#DIV/0!</v>
      </c>
      <c r="CO61" s="52" t="e">
        <f t="shared" si="6"/>
        <v>#DIV/0!</v>
      </c>
      <c r="CP61" s="110" t="e">
        <f>+'k - Exp'!$H$13</f>
        <v>#DIV/0!</v>
      </c>
      <c r="CQ61" s="112" t="e">
        <f t="shared" si="8"/>
        <v>#DIV/0!</v>
      </c>
      <c r="CR61" s="112" t="e">
        <f t="shared" si="9"/>
        <v>#DIV/0!</v>
      </c>
      <c r="CS61" s="112" t="e">
        <f>+('k - Exp'!$H$14)/100</f>
        <v>#DIV/0!</v>
      </c>
      <c r="CT61" s="52" t="e">
        <f>+'k - Exp'!$H$28</f>
        <v>#DIV/0!</v>
      </c>
      <c r="CU61" s="52" t="e">
        <f t="shared" si="12"/>
        <v>#DIV/0!</v>
      </c>
      <c r="CV61" s="112" t="e">
        <f t="shared" si="13"/>
        <v>#DIV/0!</v>
      </c>
      <c r="CW61" s="112" t="e">
        <f t="shared" si="56"/>
        <v>#DIV/0!</v>
      </c>
      <c r="CX61" s="112" t="e">
        <f t="shared" si="57"/>
        <v>#DIV/0!</v>
      </c>
      <c r="CY61" s="112" t="e">
        <f t="shared" si="365"/>
        <v>#DIV/0!</v>
      </c>
      <c r="CZ61" s="110">
        <f t="shared" ref="CZ61:CZ68" si="368">O61-O60</f>
        <v>0</v>
      </c>
      <c r="DA61" s="102" t="e">
        <f t="shared" si="17"/>
        <v>#DIV/0!</v>
      </c>
      <c r="DB61" s="102" t="e">
        <f t="shared" si="18"/>
        <v>#DIV/0!</v>
      </c>
      <c r="DC61" s="102" t="e">
        <f t="shared" si="19"/>
        <v>#DIV/0!</v>
      </c>
      <c r="DD61" s="102" t="e">
        <f t="shared" si="20"/>
        <v>#DIV/0!</v>
      </c>
      <c r="DE61" s="102" t="e">
        <f t="shared" si="21"/>
        <v>#DIV/0!</v>
      </c>
      <c r="DF61" s="102">
        <f t="shared" si="46"/>
        <v>0</v>
      </c>
      <c r="DG61" s="110">
        <f t="shared" si="47"/>
        <v>0</v>
      </c>
      <c r="DH61" s="110">
        <v>0</v>
      </c>
      <c r="DI61" s="52" t="e">
        <f t="shared" si="25"/>
        <v>#DIV/0!</v>
      </c>
      <c r="DJ61" s="52">
        <v>0</v>
      </c>
      <c r="DK61" s="52" t="e">
        <f t="shared" si="27"/>
        <v>#DIV/0!</v>
      </c>
      <c r="DL61" s="103" t="e">
        <f t="shared" si="366"/>
        <v>#DIV/0!</v>
      </c>
      <c r="DM61" s="112" t="e">
        <f t="shared" si="28"/>
        <v>#DIV/0!</v>
      </c>
      <c r="DN61" s="110" t="e">
        <f>+'k - Exp'!$H$27</f>
        <v>#DIV/0!</v>
      </c>
      <c r="DO61" s="52" t="e">
        <f t="shared" si="30"/>
        <v>#DIV/0!</v>
      </c>
      <c r="DP61" s="219" t="e">
        <f t="shared" si="35"/>
        <v>#DIV/0!</v>
      </c>
      <c r="DQ61" s="219" t="e">
        <f t="shared" si="36"/>
        <v>#DIV/0!</v>
      </c>
      <c r="DR61" t="e">
        <f t="shared" si="37"/>
        <v>#DIV/0!</v>
      </c>
      <c r="DS61" t="e">
        <f t="shared" si="38"/>
        <v>#DIV/0!</v>
      </c>
      <c r="DT61" t="e">
        <f t="shared" si="39"/>
        <v>#DIV/0!</v>
      </c>
      <c r="DU61" t="e">
        <f t="shared" si="40"/>
        <v>#DIV/0!</v>
      </c>
      <c r="DV61" t="e">
        <f t="shared" si="41"/>
        <v>#DIV/0!</v>
      </c>
    </row>
    <row r="62" spans="1:126" ht="15.5">
      <c r="A62" s="115">
        <f t="shared" ref="A62:B62" si="369">A61</f>
        <v>0</v>
      </c>
      <c r="B62" s="115">
        <f t="shared" si="369"/>
        <v>0</v>
      </c>
      <c r="C62" s="126">
        <f t="shared" si="244"/>
        <v>26</v>
      </c>
      <c r="D62" s="229">
        <v>0</v>
      </c>
      <c r="E62" s="229">
        <v>0</v>
      </c>
      <c r="F62" s="229">
        <v>0</v>
      </c>
      <c r="G62" s="229">
        <v>0</v>
      </c>
      <c r="H62" s="229">
        <v>0</v>
      </c>
      <c r="I62" s="229">
        <v>0</v>
      </c>
      <c r="J62" s="229">
        <v>0</v>
      </c>
      <c r="K62" s="229">
        <v>0</v>
      </c>
      <c r="L62" s="229">
        <v>0</v>
      </c>
      <c r="M62" s="229">
        <v>0</v>
      </c>
      <c r="N62" s="229">
        <v>0</v>
      </c>
      <c r="O62" s="229">
        <f>+'g - Plant'!$J$12</f>
        <v>0</v>
      </c>
      <c r="P62" s="229" t="e">
        <f>+'a &amp; b'!$G$47</f>
        <v>#DIV/0!</v>
      </c>
      <c r="Q62" s="229">
        <v>0</v>
      </c>
      <c r="R62" s="229">
        <v>0</v>
      </c>
      <c r="S62" s="229">
        <v>0</v>
      </c>
      <c r="T62" s="229">
        <v>0</v>
      </c>
      <c r="U62" s="229">
        <v>0</v>
      </c>
      <c r="V62" s="229" t="e">
        <f>+'a &amp; b'!$G$52</f>
        <v>#DIV/0!</v>
      </c>
      <c r="W62" s="229">
        <v>0</v>
      </c>
      <c r="X62" s="229">
        <v>0</v>
      </c>
      <c r="Y62" s="229" t="e">
        <f>+'a &amp; b'!$G$55</f>
        <v>#DIV/0!</v>
      </c>
      <c r="Z62" s="229">
        <f>+'a &amp; b'!$G$57+'a &amp; b'!$G$58+'a &amp; b'!$G$59</f>
        <v>0</v>
      </c>
      <c r="AA62" s="229">
        <f>+'a &amp; b'!$G$62</f>
        <v>0</v>
      </c>
      <c r="AB62" s="229">
        <v>0</v>
      </c>
      <c r="AC62" s="229">
        <v>0</v>
      </c>
      <c r="AD62" s="229">
        <v>0</v>
      </c>
      <c r="AE62" s="229" t="e">
        <f>+'a &amp; b'!$G$66</f>
        <v>#DIV/0!</v>
      </c>
      <c r="AF62" s="229" t="e">
        <f>+'c &amp; d'!$F$6+'c &amp; d'!$F$8</f>
        <v>#DIV/0!</v>
      </c>
      <c r="AG62" s="229">
        <v>0</v>
      </c>
      <c r="AH62" s="229">
        <f>+'k - Exp'!$I$11</f>
        <v>0</v>
      </c>
      <c r="AI62" s="229">
        <v>0</v>
      </c>
      <c r="AJ62" s="229">
        <v>0</v>
      </c>
      <c r="AK62" s="229">
        <v>0</v>
      </c>
      <c r="AL62" s="229">
        <v>0</v>
      </c>
      <c r="AM62" s="229" t="e">
        <f>+'c &amp; d'!$F$13</f>
        <v>#DIV/0!</v>
      </c>
      <c r="AN62" s="229">
        <v>0</v>
      </c>
      <c r="AO62" s="229" t="e">
        <f>+'c &amp; d'!$F$14</f>
        <v>#DIV/0!</v>
      </c>
      <c r="AP62" s="229" t="e">
        <f>+'c &amp; d'!$F$15</f>
        <v>#DIV/0!</v>
      </c>
      <c r="AQ62" s="229" t="e">
        <f>+'c &amp; d'!$F$16+'c &amp; d'!$F$18</f>
        <v>#DIV/0!</v>
      </c>
      <c r="AR62" s="229" t="e">
        <f>+'c &amp; d'!$F$19</f>
        <v>#DIV/0!</v>
      </c>
      <c r="AS62" s="229">
        <f>+Input!$I$35</f>
        <v>0</v>
      </c>
      <c r="AT62" s="229">
        <f>+'c &amp; d'!$F$20-Input!$I$35</f>
        <v>0</v>
      </c>
      <c r="AU62" s="229">
        <f>+'c &amp; d'!$F$16</f>
        <v>0</v>
      </c>
      <c r="AV62" s="229">
        <v>0</v>
      </c>
      <c r="AW62" s="229" t="e">
        <f>+'c &amp; d'!$F$21</f>
        <v>#DIV/0!</v>
      </c>
      <c r="AX62" s="229">
        <f>+'e - Sales'!$I$8+'e - Sales'!$I$9</f>
        <v>0</v>
      </c>
      <c r="AY62" s="231">
        <f>+'e - Sales'!$I$11</f>
        <v>0</v>
      </c>
      <c r="AZ62" s="231">
        <f>'e - Sales'!$I$12+'e - Sales'!$I$13+'e - Sales'!$I$14+'e - Sales'!$I$15</f>
        <v>0</v>
      </c>
      <c r="BA62" s="229">
        <f>+'e - Sales'!$I$10</f>
        <v>0</v>
      </c>
      <c r="BB62" s="229">
        <v>0</v>
      </c>
      <c r="BC62" s="229">
        <v>0</v>
      </c>
      <c r="BD62" s="229">
        <f>+'e - Sales'!$I$21</f>
        <v>0</v>
      </c>
      <c r="BE62" s="229">
        <f>+('e - Sales'!$I$39+'e - Sales'!$I$40)/1000</f>
        <v>0</v>
      </c>
      <c r="BF62" s="229">
        <f>+'e - Sales'!$I$42/1000</f>
        <v>0</v>
      </c>
      <c r="BG62" s="229">
        <f>+('e - Sales'!$I$43+'e - Sales'!$I$44+'e - Sales'!$I$45+'e - Sales'!$I$46)/1000</f>
        <v>0</v>
      </c>
      <c r="BH62" s="229">
        <f>+'e - Sales'!$I$41/1000</f>
        <v>0</v>
      </c>
      <c r="BI62" s="229">
        <v>0</v>
      </c>
      <c r="BJ62" s="229">
        <v>0</v>
      </c>
      <c r="BK62" s="229">
        <f>+'e - Sales'!$I$54/1000</f>
        <v>0</v>
      </c>
      <c r="BL62" s="229">
        <f>+'f - Rev'!$I$15+'f - Rev'!$I$24</f>
        <v>0</v>
      </c>
      <c r="BM62" s="229">
        <f>+'f - Rev'!$I$42</f>
        <v>0</v>
      </c>
      <c r="BN62" s="229">
        <f>+'f - Rev'!$I$51+'f - Rev'!$I$74+'f - Rev'!$I$83+'f - Rev'!$I$92</f>
        <v>0</v>
      </c>
      <c r="BO62" s="229">
        <f>+'f - Rev'!$I$33</f>
        <v>0</v>
      </c>
      <c r="BP62" s="229">
        <v>0</v>
      </c>
      <c r="BQ62" s="229">
        <v>0</v>
      </c>
      <c r="BR62" s="229">
        <f>+'f - Rev'!$I$164</f>
        <v>0</v>
      </c>
      <c r="BS62" s="229">
        <f>+'f - Rev'!$I$165</f>
        <v>0</v>
      </c>
      <c r="BT62" s="229" t="e">
        <f>+'c &amp; d'!$F$6+'c &amp; d'!$F$8</f>
        <v>#DIV/0!</v>
      </c>
      <c r="BU62" s="229">
        <v>0</v>
      </c>
      <c r="BV62" s="229">
        <v>0</v>
      </c>
      <c r="BW62" s="229">
        <v>0</v>
      </c>
      <c r="BX62" s="229">
        <v>0</v>
      </c>
      <c r="BY62" s="229">
        <f>+'e - Sales'!$I$21</f>
        <v>0</v>
      </c>
      <c r="BZ62" s="109">
        <v>0</v>
      </c>
      <c r="CA62" s="109">
        <v>0</v>
      </c>
      <c r="CB62" s="108">
        <f>+'e - Sales'!$I$61/1000</f>
        <v>0</v>
      </c>
      <c r="CC62" s="108">
        <f>+'e - Sales'!$I$24</f>
        <v>0</v>
      </c>
      <c r="CD62" s="109" t="e">
        <f>+'a &amp; b'!$G$17</f>
        <v>#DIV/0!</v>
      </c>
      <c r="CE62" s="109" t="e">
        <f>+'a &amp; b'!$G$15</f>
        <v>#DIV/0!</v>
      </c>
      <c r="CF62" s="108">
        <f>+'j - Debt Sum'!$F$12+'j - Debt Sum'!$F$20+'j - Debt Sum'!$F$28+'j - Debt Sum'!$F$36+'j - Debt Sum'!$F$44</f>
        <v>0</v>
      </c>
      <c r="CG62" s="108">
        <f>+'j - Debt Sum'!$F$52+'j - Debt Sum'!$F$60</f>
        <v>0</v>
      </c>
      <c r="CH62" s="109" t="e">
        <f>+'a &amp; b'!$G$14</f>
        <v>#DIV/0!</v>
      </c>
      <c r="CI62" s="110" t="e">
        <f t="shared" si="363"/>
        <v>#DIV/0!</v>
      </c>
      <c r="CJ62" s="111" t="e">
        <f t="shared" si="364"/>
        <v>#DIV/0!</v>
      </c>
      <c r="CK62" s="52" t="e">
        <f t="shared" si="2"/>
        <v>#DIV/0!</v>
      </c>
      <c r="CL62" s="52" t="e">
        <f t="shared" si="3"/>
        <v>#DIV/0!</v>
      </c>
      <c r="CM62" s="52" t="e">
        <f t="shared" si="4"/>
        <v>#DIV/0!</v>
      </c>
      <c r="CN62" s="52" t="e">
        <f t="shared" si="5"/>
        <v>#DIV/0!</v>
      </c>
      <c r="CO62" s="52" t="e">
        <f t="shared" si="6"/>
        <v>#DIV/0!</v>
      </c>
      <c r="CP62" s="110" t="e">
        <f>+'k - Exp'!$I$13</f>
        <v>#DIV/0!</v>
      </c>
      <c r="CQ62" s="112" t="e">
        <f t="shared" si="8"/>
        <v>#DIV/0!</v>
      </c>
      <c r="CR62" s="112" t="e">
        <f t="shared" si="9"/>
        <v>#DIV/0!</v>
      </c>
      <c r="CS62" s="112" t="e">
        <f>+('k - Exp'!$I$14)/100</f>
        <v>#DIV/0!</v>
      </c>
      <c r="CT62" s="52" t="e">
        <f>+'k - Exp'!$I$28</f>
        <v>#DIV/0!</v>
      </c>
      <c r="CU62" s="52" t="e">
        <f t="shared" si="12"/>
        <v>#DIV/0!</v>
      </c>
      <c r="CV62" s="112" t="e">
        <f t="shared" si="13"/>
        <v>#DIV/0!</v>
      </c>
      <c r="CW62" s="112" t="e">
        <f t="shared" si="56"/>
        <v>#DIV/0!</v>
      </c>
      <c r="CX62" s="112" t="e">
        <f t="shared" si="57"/>
        <v>#DIV/0!</v>
      </c>
      <c r="CY62" s="112" t="e">
        <f t="shared" si="365"/>
        <v>#DIV/0!</v>
      </c>
      <c r="CZ62" s="110">
        <f t="shared" si="368"/>
        <v>0</v>
      </c>
      <c r="DA62" s="102" t="e">
        <f t="shared" si="17"/>
        <v>#DIV/0!</v>
      </c>
      <c r="DB62" s="102" t="e">
        <f t="shared" si="18"/>
        <v>#DIV/0!</v>
      </c>
      <c r="DC62" s="102" t="e">
        <f t="shared" si="19"/>
        <v>#DIV/0!</v>
      </c>
      <c r="DD62" s="102" t="e">
        <f t="shared" si="20"/>
        <v>#DIV/0!</v>
      </c>
      <c r="DE62" s="102" t="e">
        <f t="shared" si="21"/>
        <v>#DIV/0!</v>
      </c>
      <c r="DF62" s="102">
        <f t="shared" si="46"/>
        <v>0</v>
      </c>
      <c r="DG62" s="110">
        <f t="shared" si="47"/>
        <v>0</v>
      </c>
      <c r="DH62" s="110">
        <v>0</v>
      </c>
      <c r="DI62" s="52" t="e">
        <f t="shared" si="25"/>
        <v>#DIV/0!</v>
      </c>
      <c r="DJ62" s="52">
        <v>0</v>
      </c>
      <c r="DK62" s="52" t="e">
        <f t="shared" si="27"/>
        <v>#DIV/0!</v>
      </c>
      <c r="DL62" s="103" t="e">
        <f t="shared" si="366"/>
        <v>#DIV/0!</v>
      </c>
      <c r="DM62" s="112" t="e">
        <f t="shared" si="28"/>
        <v>#DIV/0!</v>
      </c>
      <c r="DN62" s="110" t="e">
        <f>+'k - Exp'!$I$27</f>
        <v>#DIV/0!</v>
      </c>
      <c r="DO62" s="52" t="e">
        <f t="shared" si="30"/>
        <v>#DIV/0!</v>
      </c>
      <c r="DP62" s="219" t="e">
        <f t="shared" si="35"/>
        <v>#DIV/0!</v>
      </c>
      <c r="DQ62" s="219" t="e">
        <f t="shared" si="36"/>
        <v>#DIV/0!</v>
      </c>
      <c r="DR62" t="e">
        <f t="shared" si="37"/>
        <v>#DIV/0!</v>
      </c>
      <c r="DS62" t="e">
        <f t="shared" si="38"/>
        <v>#DIV/0!</v>
      </c>
      <c r="DT62" t="e">
        <f t="shared" si="39"/>
        <v>#DIV/0!</v>
      </c>
      <c r="DU62" t="e">
        <f t="shared" si="40"/>
        <v>#DIV/0!</v>
      </c>
      <c r="DV62" t="e">
        <f t="shared" si="41"/>
        <v>#DIV/0!</v>
      </c>
    </row>
    <row r="63" spans="1:126" ht="15.5">
      <c r="A63" s="115">
        <f t="shared" ref="A63:B63" si="370">A62</f>
        <v>0</v>
      </c>
      <c r="B63" s="115">
        <f t="shared" si="370"/>
        <v>0</v>
      </c>
      <c r="C63" s="126">
        <f t="shared" si="244"/>
        <v>27</v>
      </c>
      <c r="D63" s="229">
        <v>0</v>
      </c>
      <c r="E63" s="229">
        <v>0</v>
      </c>
      <c r="F63" s="229">
        <v>0</v>
      </c>
      <c r="G63" s="229">
        <v>0</v>
      </c>
      <c r="H63" s="229">
        <v>0</v>
      </c>
      <c r="I63" s="229">
        <v>0</v>
      </c>
      <c r="J63" s="229">
        <v>0</v>
      </c>
      <c r="K63" s="229">
        <v>0</v>
      </c>
      <c r="L63" s="229">
        <v>0</v>
      </c>
      <c r="M63" s="229">
        <v>0</v>
      </c>
      <c r="N63" s="229">
        <v>0</v>
      </c>
      <c r="O63" s="229">
        <f>+'g - Plant'!$K$12</f>
        <v>0</v>
      </c>
      <c r="P63" s="229" t="e">
        <f>+'a &amp; b'!$H$47</f>
        <v>#DIV/0!</v>
      </c>
      <c r="Q63" s="229">
        <v>0</v>
      </c>
      <c r="R63" s="229">
        <v>0</v>
      </c>
      <c r="S63" s="229">
        <v>0</v>
      </c>
      <c r="T63" s="229">
        <v>0</v>
      </c>
      <c r="U63" s="229">
        <v>0</v>
      </c>
      <c r="V63" s="229" t="e">
        <f>+'a &amp; b'!$H$52</f>
        <v>#DIV/0!</v>
      </c>
      <c r="W63" s="229">
        <v>0</v>
      </c>
      <c r="X63" s="229">
        <v>0</v>
      </c>
      <c r="Y63" s="229" t="e">
        <f>+'a &amp; b'!$H$55</f>
        <v>#DIV/0!</v>
      </c>
      <c r="Z63" s="229">
        <f>+'a &amp; b'!$H$57+'a &amp; b'!$H$58+'a &amp; b'!$H$59</f>
        <v>0</v>
      </c>
      <c r="AA63" s="229">
        <f>+'a &amp; b'!$H$62</f>
        <v>0</v>
      </c>
      <c r="AB63" s="229">
        <v>0</v>
      </c>
      <c r="AC63" s="229">
        <v>0</v>
      </c>
      <c r="AD63" s="229">
        <v>0</v>
      </c>
      <c r="AE63" s="229" t="e">
        <f>+'a &amp; b'!$H$66</f>
        <v>#DIV/0!</v>
      </c>
      <c r="AF63" s="229" t="e">
        <f>+'c &amp; d'!$G$6+'c &amp; d'!$G$8</f>
        <v>#DIV/0!</v>
      </c>
      <c r="AG63" s="229">
        <v>0</v>
      </c>
      <c r="AH63" s="229">
        <f>+'k - Exp'!$J$11</f>
        <v>0</v>
      </c>
      <c r="AI63" s="229">
        <v>0</v>
      </c>
      <c r="AJ63" s="229">
        <v>0</v>
      </c>
      <c r="AK63" s="229">
        <v>0</v>
      </c>
      <c r="AL63" s="229">
        <v>0</v>
      </c>
      <c r="AM63" s="229" t="e">
        <f>+'c &amp; d'!$G$13</f>
        <v>#DIV/0!</v>
      </c>
      <c r="AN63" s="229">
        <v>0</v>
      </c>
      <c r="AO63" s="229" t="e">
        <f>+'c &amp; d'!$G$14</f>
        <v>#DIV/0!</v>
      </c>
      <c r="AP63" s="229" t="e">
        <f>+'c &amp; d'!$G$15</f>
        <v>#DIV/0!</v>
      </c>
      <c r="AQ63" s="229" t="e">
        <f>+'c &amp; d'!$G$16+'c &amp; d'!$G$18</f>
        <v>#DIV/0!</v>
      </c>
      <c r="AR63" s="229" t="e">
        <f>+'c &amp; d'!$G$19</f>
        <v>#DIV/0!</v>
      </c>
      <c r="AS63" s="229">
        <f>+Input!$J$35</f>
        <v>0</v>
      </c>
      <c r="AT63" s="229">
        <f>+'c &amp; d'!$G$20-Input!$J$35</f>
        <v>0</v>
      </c>
      <c r="AU63" s="229">
        <f>+'c &amp; d'!$G$16</f>
        <v>0</v>
      </c>
      <c r="AV63" s="229">
        <v>0</v>
      </c>
      <c r="AW63" s="229" t="e">
        <f>+'c &amp; d'!$G$21</f>
        <v>#DIV/0!</v>
      </c>
      <c r="AX63" s="229">
        <f>+'e - Sales'!$J$8+'e - Sales'!$J$9</f>
        <v>0</v>
      </c>
      <c r="AY63" s="231">
        <f>+'e - Sales'!$J$11</f>
        <v>0</v>
      </c>
      <c r="AZ63" s="231">
        <f>'e - Sales'!$J$12+'e - Sales'!$J$13+'e - Sales'!$J$14+'e - Sales'!$J$15</f>
        <v>0</v>
      </c>
      <c r="BA63" s="229">
        <f>+'e - Sales'!$J$10</f>
        <v>0</v>
      </c>
      <c r="BB63" s="229">
        <v>0</v>
      </c>
      <c r="BC63" s="229">
        <v>0</v>
      </c>
      <c r="BD63" s="229">
        <f>+'e - Sales'!$J$21</f>
        <v>0</v>
      </c>
      <c r="BE63" s="229">
        <f>+('e - Sales'!$J$39+'e - Sales'!$J$40)/1000</f>
        <v>0</v>
      </c>
      <c r="BF63" s="229">
        <f>+'e - Sales'!$J$42/1000</f>
        <v>0</v>
      </c>
      <c r="BG63" s="229">
        <f>+('e - Sales'!$J$43+'e - Sales'!$J$44+'e - Sales'!$J$45+'e - Sales'!$J$46)/1000</f>
        <v>0</v>
      </c>
      <c r="BH63" s="229">
        <f>+'e - Sales'!$J$41/1000</f>
        <v>0</v>
      </c>
      <c r="BI63" s="229">
        <v>0</v>
      </c>
      <c r="BJ63" s="229">
        <v>0</v>
      </c>
      <c r="BK63" s="229">
        <f>+'e - Sales'!$J$54/1000</f>
        <v>0</v>
      </c>
      <c r="BL63" s="229">
        <f>+'f - Rev'!$J$15+'f - Rev'!$J$24</f>
        <v>0</v>
      </c>
      <c r="BM63" s="229">
        <f>+'f - Rev'!$J$42</f>
        <v>0</v>
      </c>
      <c r="BN63" s="229">
        <f>+'f - Rev'!$J$51+'f - Rev'!$J$74+'f - Rev'!$J$83+'f - Rev'!$J$92</f>
        <v>0</v>
      </c>
      <c r="BO63" s="229">
        <f>+'f - Rev'!$J$33</f>
        <v>0</v>
      </c>
      <c r="BP63" s="229">
        <v>0</v>
      </c>
      <c r="BQ63" s="229">
        <v>0</v>
      </c>
      <c r="BR63" s="229">
        <f>+'f - Rev'!$J$164</f>
        <v>0</v>
      </c>
      <c r="BS63" s="229">
        <f>+'f - Rev'!$J$165</f>
        <v>0</v>
      </c>
      <c r="BT63" s="229" t="e">
        <f>+'c &amp; d'!$G$6+'c &amp; d'!$G$8</f>
        <v>#DIV/0!</v>
      </c>
      <c r="BU63" s="229">
        <v>0</v>
      </c>
      <c r="BV63" s="229">
        <v>0</v>
      </c>
      <c r="BW63" s="229">
        <v>0</v>
      </c>
      <c r="BX63" s="229">
        <v>0</v>
      </c>
      <c r="BY63" s="229">
        <f>+'e - Sales'!$J$21</f>
        <v>0</v>
      </c>
      <c r="BZ63" s="109">
        <v>0</v>
      </c>
      <c r="CA63" s="109">
        <v>0</v>
      </c>
      <c r="CB63" s="108">
        <f>+'e - Sales'!$J$61/1000</f>
        <v>0</v>
      </c>
      <c r="CC63" s="108">
        <f>+'e - Sales'!$J$24</f>
        <v>0</v>
      </c>
      <c r="CD63" s="109" t="e">
        <f>+'a &amp; b'!$H$17</f>
        <v>#DIV/0!</v>
      </c>
      <c r="CE63" s="109" t="e">
        <f>+'a &amp; b'!$H$15</f>
        <v>#DIV/0!</v>
      </c>
      <c r="CF63" s="108">
        <f>+'j - Debt Sum'!$G$12+'j - Debt Sum'!$G$20+'j - Debt Sum'!$G$28+'j - Debt Sum'!$G$36+'j - Debt Sum'!$G$44</f>
        <v>0</v>
      </c>
      <c r="CG63" s="108">
        <f>+'j - Debt Sum'!$G$52+'j - Debt Sum'!$G$60</f>
        <v>0</v>
      </c>
      <c r="CH63" s="109" t="e">
        <f>+'a &amp; b'!$H$14</f>
        <v>#DIV/0!</v>
      </c>
      <c r="CI63" s="110" t="e">
        <f t="shared" si="363"/>
        <v>#DIV/0!</v>
      </c>
      <c r="CJ63" s="111" t="e">
        <f t="shared" si="364"/>
        <v>#DIV/0!</v>
      </c>
      <c r="CK63" s="52" t="e">
        <f t="shared" si="2"/>
        <v>#DIV/0!</v>
      </c>
      <c r="CL63" s="52" t="e">
        <f t="shared" si="3"/>
        <v>#DIV/0!</v>
      </c>
      <c r="CM63" s="52" t="e">
        <f t="shared" si="4"/>
        <v>#DIV/0!</v>
      </c>
      <c r="CN63" s="52" t="e">
        <f t="shared" si="5"/>
        <v>#DIV/0!</v>
      </c>
      <c r="CO63" s="52" t="e">
        <f t="shared" si="6"/>
        <v>#DIV/0!</v>
      </c>
      <c r="CP63" s="110" t="e">
        <f>+'k - Exp'!$J$13</f>
        <v>#DIV/0!</v>
      </c>
      <c r="CQ63" s="112" t="e">
        <f t="shared" si="8"/>
        <v>#DIV/0!</v>
      </c>
      <c r="CR63" s="112" t="e">
        <f t="shared" si="9"/>
        <v>#DIV/0!</v>
      </c>
      <c r="CS63" s="112" t="e">
        <f>+('k - Exp'!$J$14)/100</f>
        <v>#DIV/0!</v>
      </c>
      <c r="CT63" s="52" t="e">
        <f>+'k - Exp'!$J$28</f>
        <v>#DIV/0!</v>
      </c>
      <c r="CU63" s="52" t="e">
        <f t="shared" si="12"/>
        <v>#DIV/0!</v>
      </c>
      <c r="CV63" s="112" t="e">
        <f t="shared" si="13"/>
        <v>#DIV/0!</v>
      </c>
      <c r="CW63" s="112" t="e">
        <f t="shared" si="56"/>
        <v>#DIV/0!</v>
      </c>
      <c r="CX63" s="112" t="e">
        <f t="shared" si="57"/>
        <v>#DIV/0!</v>
      </c>
      <c r="CY63" s="112" t="e">
        <f t="shared" si="365"/>
        <v>#DIV/0!</v>
      </c>
      <c r="CZ63" s="110">
        <f t="shared" si="368"/>
        <v>0</v>
      </c>
      <c r="DA63" s="102" t="e">
        <f t="shared" si="17"/>
        <v>#DIV/0!</v>
      </c>
      <c r="DB63" s="102" t="e">
        <f t="shared" si="18"/>
        <v>#DIV/0!</v>
      </c>
      <c r="DC63" s="102" t="e">
        <f t="shared" si="19"/>
        <v>#DIV/0!</v>
      </c>
      <c r="DD63" s="102" t="e">
        <f t="shared" si="20"/>
        <v>#DIV/0!</v>
      </c>
      <c r="DE63" s="102" t="e">
        <f t="shared" si="21"/>
        <v>#DIV/0!</v>
      </c>
      <c r="DF63" s="102">
        <f t="shared" si="46"/>
        <v>0</v>
      </c>
      <c r="DG63" s="110">
        <f t="shared" si="47"/>
        <v>0</v>
      </c>
      <c r="DH63" s="110">
        <v>0</v>
      </c>
      <c r="DI63" s="52" t="e">
        <f t="shared" si="25"/>
        <v>#DIV/0!</v>
      </c>
      <c r="DJ63" s="52">
        <v>0</v>
      </c>
      <c r="DK63" s="52" t="e">
        <f t="shared" si="27"/>
        <v>#DIV/0!</v>
      </c>
      <c r="DL63" s="103" t="e">
        <f t="shared" si="366"/>
        <v>#DIV/0!</v>
      </c>
      <c r="DM63" s="112" t="e">
        <f t="shared" si="28"/>
        <v>#DIV/0!</v>
      </c>
      <c r="DN63" s="110" t="e">
        <f>+'k - Exp'!$J$27</f>
        <v>#DIV/0!</v>
      </c>
      <c r="DO63" s="52" t="e">
        <f t="shared" si="30"/>
        <v>#DIV/0!</v>
      </c>
      <c r="DP63" s="219" t="e">
        <f t="shared" si="35"/>
        <v>#DIV/0!</v>
      </c>
      <c r="DQ63" s="219" t="e">
        <f t="shared" si="36"/>
        <v>#DIV/0!</v>
      </c>
      <c r="DR63" t="e">
        <f t="shared" si="37"/>
        <v>#DIV/0!</v>
      </c>
      <c r="DS63" t="e">
        <f t="shared" si="38"/>
        <v>#DIV/0!</v>
      </c>
      <c r="DT63" t="e">
        <f t="shared" si="39"/>
        <v>#DIV/0!</v>
      </c>
      <c r="DU63" t="e">
        <f t="shared" si="40"/>
        <v>#DIV/0!</v>
      </c>
      <c r="DV63" t="e">
        <f t="shared" si="41"/>
        <v>#DIV/0!</v>
      </c>
    </row>
    <row r="64" spans="1:126" ht="15.5">
      <c r="A64" s="115">
        <f t="shared" ref="A64:B64" si="371">A63</f>
        <v>0</v>
      </c>
      <c r="B64" s="115">
        <f t="shared" si="371"/>
        <v>0</v>
      </c>
      <c r="C64" s="126">
        <f t="shared" si="244"/>
        <v>28</v>
      </c>
      <c r="D64" s="229">
        <v>0</v>
      </c>
      <c r="E64" s="229">
        <v>0</v>
      </c>
      <c r="F64" s="229">
        <v>0</v>
      </c>
      <c r="G64" s="229">
        <v>0</v>
      </c>
      <c r="H64" s="229">
        <v>0</v>
      </c>
      <c r="I64" s="229">
        <v>0</v>
      </c>
      <c r="J64" s="229">
        <v>0</v>
      </c>
      <c r="K64" s="229">
        <v>0</v>
      </c>
      <c r="L64" s="229">
        <v>0</v>
      </c>
      <c r="M64" s="229">
        <v>0</v>
      </c>
      <c r="N64" s="229">
        <v>0</v>
      </c>
      <c r="O64" s="229">
        <f>+'g - Plant'!$L$12</f>
        <v>0</v>
      </c>
      <c r="P64" s="229" t="e">
        <f>+'a &amp; b'!$I$47</f>
        <v>#DIV/0!</v>
      </c>
      <c r="Q64" s="229">
        <v>0</v>
      </c>
      <c r="R64" s="229">
        <v>0</v>
      </c>
      <c r="S64" s="229">
        <v>0</v>
      </c>
      <c r="T64" s="229">
        <v>0</v>
      </c>
      <c r="U64" s="229">
        <v>0</v>
      </c>
      <c r="V64" s="229" t="e">
        <f>+'a &amp; b'!$I$52</f>
        <v>#DIV/0!</v>
      </c>
      <c r="W64" s="229">
        <v>0</v>
      </c>
      <c r="X64" s="229">
        <v>0</v>
      </c>
      <c r="Y64" s="229" t="e">
        <f>+'a &amp; b'!$I$55</f>
        <v>#DIV/0!</v>
      </c>
      <c r="Z64" s="229">
        <f>+'a &amp; b'!$I$57+'a &amp; b'!$I$58+'a &amp; b'!$I$59</f>
        <v>0</v>
      </c>
      <c r="AA64" s="229">
        <f>+'a &amp; b'!$I$62</f>
        <v>0</v>
      </c>
      <c r="AB64" s="229">
        <v>0</v>
      </c>
      <c r="AC64" s="229">
        <v>0</v>
      </c>
      <c r="AD64" s="229">
        <v>0</v>
      </c>
      <c r="AE64" s="229" t="e">
        <f>+'a &amp; b'!$I$66</f>
        <v>#DIV/0!</v>
      </c>
      <c r="AF64" s="229" t="e">
        <f>+'c &amp; d'!$H$6+'c &amp; d'!$H$8</f>
        <v>#DIV/0!</v>
      </c>
      <c r="AG64" s="229">
        <v>0</v>
      </c>
      <c r="AH64" s="229">
        <f>+'k - Exp'!$K$11</f>
        <v>0</v>
      </c>
      <c r="AI64" s="229">
        <v>0</v>
      </c>
      <c r="AJ64" s="229">
        <v>0</v>
      </c>
      <c r="AK64" s="229">
        <v>0</v>
      </c>
      <c r="AL64" s="229">
        <v>0</v>
      </c>
      <c r="AM64" s="229" t="e">
        <f>+'c &amp; d'!$H$13</f>
        <v>#DIV/0!</v>
      </c>
      <c r="AN64" s="229">
        <v>0</v>
      </c>
      <c r="AO64" s="229" t="e">
        <f>+'c &amp; d'!$H$14</f>
        <v>#DIV/0!</v>
      </c>
      <c r="AP64" s="229" t="e">
        <f>+'c &amp; d'!$H$15</f>
        <v>#DIV/0!</v>
      </c>
      <c r="AQ64" s="229" t="e">
        <f>+'c &amp; d'!$H$16+'c &amp; d'!$H$18</f>
        <v>#DIV/0!</v>
      </c>
      <c r="AR64" s="229" t="e">
        <f>+'c &amp; d'!$H$19</f>
        <v>#DIV/0!</v>
      </c>
      <c r="AS64" s="229">
        <f>+Input!$K$35</f>
        <v>0</v>
      </c>
      <c r="AT64" s="229">
        <f>+'c &amp; d'!$H$20-Input!$K$35</f>
        <v>0</v>
      </c>
      <c r="AU64" s="229">
        <f>+'c &amp; d'!$H$16</f>
        <v>0</v>
      </c>
      <c r="AV64" s="229">
        <v>0</v>
      </c>
      <c r="AW64" s="229" t="e">
        <f>+'c &amp; d'!$H$21</f>
        <v>#DIV/0!</v>
      </c>
      <c r="AX64" s="229">
        <f>+'e - Sales'!$K$8+'e - Sales'!$K$9</f>
        <v>0</v>
      </c>
      <c r="AY64" s="231">
        <f>+'e - Sales'!$K$11</f>
        <v>0</v>
      </c>
      <c r="AZ64" s="231">
        <f>'e - Sales'!$K$12+'e - Sales'!$K$13+'e - Sales'!$K$14+'e - Sales'!$K$15</f>
        <v>0</v>
      </c>
      <c r="BA64" s="229">
        <f>+'e - Sales'!$K$10</f>
        <v>0</v>
      </c>
      <c r="BB64" s="229">
        <v>0</v>
      </c>
      <c r="BC64" s="229">
        <v>0</v>
      </c>
      <c r="BD64" s="229">
        <f>+'e - Sales'!$K$21</f>
        <v>0</v>
      </c>
      <c r="BE64" s="229">
        <f>+('e - Sales'!$K$39+'e - Sales'!$K$40)/1000</f>
        <v>0</v>
      </c>
      <c r="BF64" s="229">
        <f>+'e - Sales'!$K$42/1000</f>
        <v>0</v>
      </c>
      <c r="BG64" s="229">
        <f>+('e - Sales'!$K$43+'e - Sales'!$K$44+'e - Sales'!$K$45+'e - Sales'!$K$46)/1000</f>
        <v>0</v>
      </c>
      <c r="BH64" s="229">
        <f>+'e - Sales'!$K$41/1000</f>
        <v>0</v>
      </c>
      <c r="BI64" s="229">
        <v>0</v>
      </c>
      <c r="BJ64" s="229">
        <v>0</v>
      </c>
      <c r="BK64" s="229">
        <f>+'e - Sales'!$K$54/1000</f>
        <v>0</v>
      </c>
      <c r="BL64" s="229">
        <f>+'f - Rev'!$K$15+'f - Rev'!$K$24</f>
        <v>0</v>
      </c>
      <c r="BM64" s="229">
        <f>+'f - Rev'!$K$42</f>
        <v>0</v>
      </c>
      <c r="BN64" s="229">
        <f>+'f - Rev'!$K$51+'f - Rev'!$K$74+'f - Rev'!$K$83+'f - Rev'!$K$92</f>
        <v>0</v>
      </c>
      <c r="BO64" s="229">
        <f>+'f - Rev'!$K$33</f>
        <v>0</v>
      </c>
      <c r="BP64" s="229">
        <v>0</v>
      </c>
      <c r="BQ64" s="229">
        <v>0</v>
      </c>
      <c r="BR64" s="229">
        <f>+'f - Rev'!$K$164</f>
        <v>0</v>
      </c>
      <c r="BS64" s="229">
        <f>+'f - Rev'!$K$165</f>
        <v>0</v>
      </c>
      <c r="BT64" s="229" t="e">
        <f>+'c &amp; d'!$H$6+'c &amp; d'!$H$8</f>
        <v>#DIV/0!</v>
      </c>
      <c r="BU64" s="229">
        <v>0</v>
      </c>
      <c r="BV64" s="229">
        <v>0</v>
      </c>
      <c r="BW64" s="229">
        <v>0</v>
      </c>
      <c r="BX64" s="229">
        <v>0</v>
      </c>
      <c r="BY64" s="229">
        <f>+'e - Sales'!$K$21</f>
        <v>0</v>
      </c>
      <c r="BZ64" s="109">
        <v>0</v>
      </c>
      <c r="CA64" s="109">
        <v>0</v>
      </c>
      <c r="CB64" s="108">
        <f>+'e - Sales'!$K$61/1000</f>
        <v>0</v>
      </c>
      <c r="CC64" s="108">
        <f>+'e - Sales'!$K$24</f>
        <v>0</v>
      </c>
      <c r="CD64" s="109" t="e">
        <f>+'a &amp; b'!$I$17</f>
        <v>#DIV/0!</v>
      </c>
      <c r="CE64" s="109" t="e">
        <f>+'a &amp; b'!$I$15</f>
        <v>#DIV/0!</v>
      </c>
      <c r="CF64" s="108">
        <f>+'j - Debt Sum'!$H$12+'j - Debt Sum'!$H$20+'j - Debt Sum'!$H$28+'j - Debt Sum'!$H$36+'j - Debt Sum'!$H$44</f>
        <v>0</v>
      </c>
      <c r="CG64" s="108">
        <f>+'j - Debt Sum'!$H$52+'j - Debt Sum'!$H$60</f>
        <v>0</v>
      </c>
      <c r="CH64" s="109" t="e">
        <f>+'a &amp; b'!$I$14</f>
        <v>#DIV/0!</v>
      </c>
      <c r="CI64" s="110" t="e">
        <f t="shared" si="363"/>
        <v>#DIV/0!</v>
      </c>
      <c r="CJ64" s="111" t="e">
        <f t="shared" si="364"/>
        <v>#DIV/0!</v>
      </c>
      <c r="CK64" s="52" t="e">
        <f t="shared" si="2"/>
        <v>#DIV/0!</v>
      </c>
      <c r="CL64" s="52" t="e">
        <f t="shared" si="3"/>
        <v>#DIV/0!</v>
      </c>
      <c r="CM64" s="52" t="e">
        <f t="shared" si="4"/>
        <v>#DIV/0!</v>
      </c>
      <c r="CN64" s="52" t="e">
        <f t="shared" si="5"/>
        <v>#DIV/0!</v>
      </c>
      <c r="CO64" s="52" t="e">
        <f t="shared" si="6"/>
        <v>#DIV/0!</v>
      </c>
      <c r="CP64" s="110" t="e">
        <f>+'k - Exp'!$K$13</f>
        <v>#DIV/0!</v>
      </c>
      <c r="CQ64" s="112" t="e">
        <f t="shared" si="8"/>
        <v>#DIV/0!</v>
      </c>
      <c r="CR64" s="112" t="e">
        <f t="shared" si="9"/>
        <v>#DIV/0!</v>
      </c>
      <c r="CS64" s="112" t="e">
        <f>+('k - Exp'!$K$14)/100</f>
        <v>#DIV/0!</v>
      </c>
      <c r="CT64" s="52" t="e">
        <f>+'k - Exp'!$K$28</f>
        <v>#DIV/0!</v>
      </c>
      <c r="CU64" s="52" t="e">
        <f t="shared" si="12"/>
        <v>#DIV/0!</v>
      </c>
      <c r="CV64" s="112" t="e">
        <f t="shared" si="13"/>
        <v>#DIV/0!</v>
      </c>
      <c r="CW64" s="112" t="e">
        <f t="shared" si="56"/>
        <v>#DIV/0!</v>
      </c>
      <c r="CX64" s="112" t="e">
        <f t="shared" si="57"/>
        <v>#DIV/0!</v>
      </c>
      <c r="CY64" s="112" t="e">
        <f t="shared" si="365"/>
        <v>#DIV/0!</v>
      </c>
      <c r="CZ64" s="110">
        <f t="shared" si="368"/>
        <v>0</v>
      </c>
      <c r="DA64" s="102" t="e">
        <f t="shared" si="17"/>
        <v>#DIV/0!</v>
      </c>
      <c r="DB64" s="102" t="e">
        <f t="shared" si="18"/>
        <v>#DIV/0!</v>
      </c>
      <c r="DC64" s="102" t="e">
        <f t="shared" si="19"/>
        <v>#DIV/0!</v>
      </c>
      <c r="DD64" s="102" t="e">
        <f t="shared" si="20"/>
        <v>#DIV/0!</v>
      </c>
      <c r="DE64" s="102" t="e">
        <f t="shared" si="21"/>
        <v>#DIV/0!</v>
      </c>
      <c r="DF64" s="102">
        <f t="shared" si="46"/>
        <v>0</v>
      </c>
      <c r="DG64" s="110">
        <f t="shared" si="47"/>
        <v>0</v>
      </c>
      <c r="DH64" s="110">
        <v>0</v>
      </c>
      <c r="DI64" s="52" t="e">
        <f t="shared" si="25"/>
        <v>#DIV/0!</v>
      </c>
      <c r="DJ64" s="52">
        <v>0</v>
      </c>
      <c r="DK64" s="52" t="e">
        <f t="shared" si="27"/>
        <v>#DIV/0!</v>
      </c>
      <c r="DL64" s="103" t="e">
        <f t="shared" si="366"/>
        <v>#DIV/0!</v>
      </c>
      <c r="DM64" s="112" t="e">
        <f t="shared" si="28"/>
        <v>#DIV/0!</v>
      </c>
      <c r="DN64" s="110" t="e">
        <f>+'k - Exp'!$K$27</f>
        <v>#DIV/0!</v>
      </c>
      <c r="DO64" s="52" t="e">
        <f t="shared" si="30"/>
        <v>#DIV/0!</v>
      </c>
      <c r="DP64" s="219" t="e">
        <f t="shared" si="35"/>
        <v>#DIV/0!</v>
      </c>
      <c r="DQ64" s="219" t="e">
        <f t="shared" si="36"/>
        <v>#DIV/0!</v>
      </c>
      <c r="DR64" t="e">
        <f t="shared" si="37"/>
        <v>#DIV/0!</v>
      </c>
      <c r="DS64" t="e">
        <f t="shared" si="38"/>
        <v>#DIV/0!</v>
      </c>
      <c r="DT64" t="e">
        <f t="shared" si="39"/>
        <v>#DIV/0!</v>
      </c>
      <c r="DU64" t="e">
        <f t="shared" si="40"/>
        <v>#DIV/0!</v>
      </c>
      <c r="DV64" t="e">
        <f t="shared" si="41"/>
        <v>#DIV/0!</v>
      </c>
    </row>
    <row r="65" spans="1:126" ht="15.5">
      <c r="A65" s="115">
        <f t="shared" ref="A65:B65" si="372">A64</f>
        <v>0</v>
      </c>
      <c r="B65" s="115">
        <f t="shared" si="372"/>
        <v>0</v>
      </c>
      <c r="C65" s="126">
        <f t="shared" si="244"/>
        <v>29</v>
      </c>
      <c r="D65" s="229">
        <v>0</v>
      </c>
      <c r="E65" s="229">
        <v>0</v>
      </c>
      <c r="F65" s="229">
        <v>0</v>
      </c>
      <c r="G65" s="229">
        <v>0</v>
      </c>
      <c r="H65" s="229">
        <v>0</v>
      </c>
      <c r="I65" s="229">
        <v>0</v>
      </c>
      <c r="J65" s="229">
        <v>0</v>
      </c>
      <c r="K65" s="229">
        <v>0</v>
      </c>
      <c r="L65" s="229">
        <v>0</v>
      </c>
      <c r="M65" s="229">
        <v>0</v>
      </c>
      <c r="N65" s="229">
        <v>0</v>
      </c>
      <c r="O65" s="229">
        <f>+'g - Plant'!$M$12</f>
        <v>0</v>
      </c>
      <c r="P65" s="229" t="e">
        <f>+'a &amp; b'!$J$47</f>
        <v>#DIV/0!</v>
      </c>
      <c r="Q65" s="229">
        <v>0</v>
      </c>
      <c r="R65" s="229">
        <v>0</v>
      </c>
      <c r="S65" s="229">
        <v>0</v>
      </c>
      <c r="T65" s="229">
        <v>0</v>
      </c>
      <c r="U65" s="229">
        <v>0</v>
      </c>
      <c r="V65" s="229" t="e">
        <f>+'a &amp; b'!$J$52</f>
        <v>#DIV/0!</v>
      </c>
      <c r="W65" s="229">
        <v>0</v>
      </c>
      <c r="X65" s="229">
        <v>0</v>
      </c>
      <c r="Y65" s="229" t="e">
        <f>+'a &amp; b'!$J$55</f>
        <v>#DIV/0!</v>
      </c>
      <c r="Z65" s="229">
        <f>+'a &amp; b'!$J$57+'a &amp; b'!$J$58+'a &amp; b'!$J$59</f>
        <v>0</v>
      </c>
      <c r="AA65" s="229">
        <f>+'a &amp; b'!$J$62</f>
        <v>0</v>
      </c>
      <c r="AB65" s="229">
        <v>0</v>
      </c>
      <c r="AC65" s="229">
        <v>0</v>
      </c>
      <c r="AD65" s="229">
        <v>0</v>
      </c>
      <c r="AE65" s="229" t="e">
        <f>+'a &amp; b'!$J$66</f>
        <v>#DIV/0!</v>
      </c>
      <c r="AF65" s="229" t="e">
        <f>+'c &amp; d'!$I$6+'c &amp; d'!$I$8</f>
        <v>#DIV/0!</v>
      </c>
      <c r="AG65" s="229">
        <v>0</v>
      </c>
      <c r="AH65" s="229">
        <f>+'k - Exp'!$L$11</f>
        <v>0</v>
      </c>
      <c r="AI65" s="229">
        <v>0</v>
      </c>
      <c r="AJ65" s="229">
        <v>0</v>
      </c>
      <c r="AK65" s="229">
        <v>0</v>
      </c>
      <c r="AL65" s="229">
        <v>0</v>
      </c>
      <c r="AM65" s="229" t="e">
        <f>+'c &amp; d'!$I$13</f>
        <v>#DIV/0!</v>
      </c>
      <c r="AN65" s="229">
        <v>0</v>
      </c>
      <c r="AO65" s="229" t="e">
        <f>+'c &amp; d'!$I$14</f>
        <v>#DIV/0!</v>
      </c>
      <c r="AP65" s="229" t="e">
        <f>+'c &amp; d'!$I$15</f>
        <v>#DIV/0!</v>
      </c>
      <c r="AQ65" s="229" t="e">
        <f>+'c &amp; d'!$I$16+'c &amp; d'!$I$18</f>
        <v>#DIV/0!</v>
      </c>
      <c r="AR65" s="229" t="e">
        <f>+'c &amp; d'!$I$19</f>
        <v>#DIV/0!</v>
      </c>
      <c r="AS65" s="229">
        <f>+Input!$L$35</f>
        <v>0</v>
      </c>
      <c r="AT65" s="229">
        <f>+'c &amp; d'!$I$20-Input!$L$35</f>
        <v>0</v>
      </c>
      <c r="AU65" s="229">
        <f>+'c &amp; d'!$I$16</f>
        <v>0</v>
      </c>
      <c r="AV65" s="229">
        <v>0</v>
      </c>
      <c r="AW65" s="229" t="e">
        <f>+'c &amp; d'!$I$21</f>
        <v>#DIV/0!</v>
      </c>
      <c r="AX65" s="229">
        <f>+'e - Sales'!$L$8+'e - Sales'!$L$9</f>
        <v>0</v>
      </c>
      <c r="AY65" s="231">
        <f>+'e - Sales'!$L$11</f>
        <v>0</v>
      </c>
      <c r="AZ65" s="231">
        <f>'e - Sales'!$L$12+'e - Sales'!$L$13+'e - Sales'!$L$14+'e - Sales'!$L$15</f>
        <v>0</v>
      </c>
      <c r="BA65" s="229">
        <f>+'e - Sales'!$L$10</f>
        <v>0</v>
      </c>
      <c r="BB65" s="229">
        <v>0</v>
      </c>
      <c r="BC65" s="229">
        <v>0</v>
      </c>
      <c r="BD65" s="229">
        <f>+'e - Sales'!$L$21</f>
        <v>0</v>
      </c>
      <c r="BE65" s="229">
        <f>+('e - Sales'!$L$39+'e - Sales'!$L$40)/1000</f>
        <v>0</v>
      </c>
      <c r="BF65" s="229">
        <f>+'e - Sales'!$L$42/1000</f>
        <v>0</v>
      </c>
      <c r="BG65" s="229">
        <f>+('e - Sales'!$L$43+'e - Sales'!$L$44+'e - Sales'!$L$45+'e - Sales'!$L$46)/1000</f>
        <v>0</v>
      </c>
      <c r="BH65" s="229">
        <f>+'e - Sales'!$L$41/1000</f>
        <v>0</v>
      </c>
      <c r="BI65" s="229">
        <v>0</v>
      </c>
      <c r="BJ65" s="229">
        <v>0</v>
      </c>
      <c r="BK65" s="229">
        <f>+'e - Sales'!$L$54/1000</f>
        <v>0</v>
      </c>
      <c r="BL65" s="229">
        <f>+'f - Rev'!$L$15+'f - Rev'!$L$24</f>
        <v>0</v>
      </c>
      <c r="BM65" s="229">
        <f>+'f - Rev'!$L$42</f>
        <v>0</v>
      </c>
      <c r="BN65" s="229">
        <f>+'f - Rev'!$L$51+'f - Rev'!$L$74+'f - Rev'!$L$83+'f - Rev'!$L$92</f>
        <v>0</v>
      </c>
      <c r="BO65" s="229">
        <f>+'f - Rev'!$L$33</f>
        <v>0</v>
      </c>
      <c r="BP65" s="229">
        <v>0</v>
      </c>
      <c r="BQ65" s="229">
        <v>0</v>
      </c>
      <c r="BR65" s="229">
        <f>+'f - Rev'!$L$164</f>
        <v>0</v>
      </c>
      <c r="BS65" s="229">
        <f>+'f - Rev'!$L$165</f>
        <v>0</v>
      </c>
      <c r="BT65" s="229" t="e">
        <f>+'c &amp; d'!$I$6+'c &amp; d'!$I$8</f>
        <v>#DIV/0!</v>
      </c>
      <c r="BU65" s="229">
        <v>0</v>
      </c>
      <c r="BV65" s="229">
        <v>0</v>
      </c>
      <c r="BW65" s="229">
        <v>0</v>
      </c>
      <c r="BX65" s="229">
        <v>0</v>
      </c>
      <c r="BY65" s="229">
        <f>+'e - Sales'!$L$21</f>
        <v>0</v>
      </c>
      <c r="BZ65" s="109">
        <v>0</v>
      </c>
      <c r="CA65" s="109">
        <v>0</v>
      </c>
      <c r="CB65" s="108">
        <f>+'e - Sales'!$L$61/1000</f>
        <v>0</v>
      </c>
      <c r="CC65" s="108">
        <f>+'e - Sales'!$L$24</f>
        <v>0</v>
      </c>
      <c r="CD65" s="109" t="e">
        <f>+'a &amp; b'!$J$17</f>
        <v>#DIV/0!</v>
      </c>
      <c r="CE65" s="109" t="e">
        <f>+'a &amp; b'!$J$15</f>
        <v>#DIV/0!</v>
      </c>
      <c r="CF65" s="108">
        <f>+'j - Debt Sum'!$I$12+'j - Debt Sum'!$I$20+'j - Debt Sum'!$I$28+'j - Debt Sum'!$I$36+'j - Debt Sum'!$I$44</f>
        <v>0</v>
      </c>
      <c r="CG65" s="108">
        <f>+'j - Debt Sum'!$I$52+'j - Debt Sum'!$I$60</f>
        <v>0</v>
      </c>
      <c r="CH65" s="109" t="e">
        <f>+'a &amp; b'!$J$14</f>
        <v>#DIV/0!</v>
      </c>
      <c r="CI65" s="110" t="e">
        <f t="shared" si="363"/>
        <v>#DIV/0!</v>
      </c>
      <c r="CJ65" s="111" t="e">
        <f t="shared" si="364"/>
        <v>#DIV/0!</v>
      </c>
      <c r="CK65" s="52" t="e">
        <f t="shared" si="2"/>
        <v>#DIV/0!</v>
      </c>
      <c r="CL65" s="52" t="e">
        <f t="shared" si="3"/>
        <v>#DIV/0!</v>
      </c>
      <c r="CM65" s="52" t="e">
        <f t="shared" si="4"/>
        <v>#DIV/0!</v>
      </c>
      <c r="CN65" s="52" t="e">
        <f t="shared" si="5"/>
        <v>#DIV/0!</v>
      </c>
      <c r="CO65" s="52" t="e">
        <f t="shared" si="6"/>
        <v>#DIV/0!</v>
      </c>
      <c r="CP65" s="110" t="e">
        <f>+'k - Exp'!$L$13</f>
        <v>#DIV/0!</v>
      </c>
      <c r="CQ65" s="112" t="e">
        <f t="shared" si="8"/>
        <v>#DIV/0!</v>
      </c>
      <c r="CR65" s="112" t="e">
        <f t="shared" si="9"/>
        <v>#DIV/0!</v>
      </c>
      <c r="CS65" s="112" t="e">
        <f>+('k - Exp'!$L$14)/100</f>
        <v>#DIV/0!</v>
      </c>
      <c r="CT65" s="52" t="e">
        <f>+'k - Exp'!$L$28</f>
        <v>#DIV/0!</v>
      </c>
      <c r="CU65" s="52" t="e">
        <f t="shared" si="12"/>
        <v>#DIV/0!</v>
      </c>
      <c r="CV65" s="112" t="e">
        <f t="shared" si="13"/>
        <v>#DIV/0!</v>
      </c>
      <c r="CW65" s="112" t="e">
        <f t="shared" si="56"/>
        <v>#DIV/0!</v>
      </c>
      <c r="CX65" s="112" t="e">
        <f t="shared" si="57"/>
        <v>#DIV/0!</v>
      </c>
      <c r="CY65" s="112" t="e">
        <f t="shared" si="365"/>
        <v>#DIV/0!</v>
      </c>
      <c r="CZ65" s="110">
        <f t="shared" si="368"/>
        <v>0</v>
      </c>
      <c r="DA65" s="102" t="e">
        <f t="shared" si="17"/>
        <v>#DIV/0!</v>
      </c>
      <c r="DB65" s="102" t="e">
        <f t="shared" si="18"/>
        <v>#DIV/0!</v>
      </c>
      <c r="DC65" s="102" t="e">
        <f t="shared" si="19"/>
        <v>#DIV/0!</v>
      </c>
      <c r="DD65" s="102" t="e">
        <f t="shared" si="20"/>
        <v>#DIV/0!</v>
      </c>
      <c r="DE65" s="102" t="e">
        <f t="shared" si="21"/>
        <v>#DIV/0!</v>
      </c>
      <c r="DF65" s="102">
        <f t="shared" si="46"/>
        <v>0</v>
      </c>
      <c r="DG65" s="110">
        <f t="shared" si="47"/>
        <v>0</v>
      </c>
      <c r="DH65" s="110">
        <v>0</v>
      </c>
      <c r="DI65" s="52" t="e">
        <f t="shared" si="25"/>
        <v>#DIV/0!</v>
      </c>
      <c r="DJ65" s="52">
        <v>0</v>
      </c>
      <c r="DK65" s="52" t="e">
        <f t="shared" si="27"/>
        <v>#DIV/0!</v>
      </c>
      <c r="DL65" s="103" t="e">
        <f t="shared" si="366"/>
        <v>#DIV/0!</v>
      </c>
      <c r="DM65" s="112" t="e">
        <f t="shared" si="28"/>
        <v>#DIV/0!</v>
      </c>
      <c r="DN65" s="110" t="e">
        <f>+'k - Exp'!$L$27</f>
        <v>#DIV/0!</v>
      </c>
      <c r="DO65" s="52" t="e">
        <f t="shared" si="30"/>
        <v>#DIV/0!</v>
      </c>
      <c r="DP65" s="219" t="e">
        <f t="shared" si="35"/>
        <v>#DIV/0!</v>
      </c>
      <c r="DQ65" s="219" t="e">
        <f t="shared" si="36"/>
        <v>#DIV/0!</v>
      </c>
      <c r="DR65" t="e">
        <f t="shared" si="37"/>
        <v>#DIV/0!</v>
      </c>
      <c r="DS65" t="e">
        <f t="shared" si="38"/>
        <v>#DIV/0!</v>
      </c>
      <c r="DT65" t="e">
        <f t="shared" si="39"/>
        <v>#DIV/0!</v>
      </c>
      <c r="DU65" t="e">
        <f t="shared" si="40"/>
        <v>#DIV/0!</v>
      </c>
      <c r="DV65" t="e">
        <f t="shared" si="41"/>
        <v>#DIV/0!</v>
      </c>
    </row>
    <row r="66" spans="1:126" ht="15.5">
      <c r="A66" s="115">
        <f t="shared" ref="A66:B66" si="373">A65</f>
        <v>0</v>
      </c>
      <c r="B66" s="115">
        <f t="shared" si="373"/>
        <v>0</v>
      </c>
      <c r="C66" s="126">
        <f t="shared" si="244"/>
        <v>30</v>
      </c>
      <c r="D66" s="229">
        <v>0</v>
      </c>
      <c r="E66" s="229">
        <v>0</v>
      </c>
      <c r="F66" s="229">
        <v>0</v>
      </c>
      <c r="G66" s="229">
        <v>0</v>
      </c>
      <c r="H66" s="229">
        <v>0</v>
      </c>
      <c r="I66" s="229">
        <v>0</v>
      </c>
      <c r="J66" s="229">
        <v>0</v>
      </c>
      <c r="K66" s="229">
        <v>0</v>
      </c>
      <c r="L66" s="229">
        <v>0</v>
      </c>
      <c r="M66" s="229">
        <v>0</v>
      </c>
      <c r="N66" s="229">
        <v>0</v>
      </c>
      <c r="O66" s="229">
        <f>+'g - Plant'!$N$12</f>
        <v>0</v>
      </c>
      <c r="P66" s="229" t="e">
        <f>+'a &amp; b'!$K$47</f>
        <v>#DIV/0!</v>
      </c>
      <c r="Q66" s="229">
        <v>0</v>
      </c>
      <c r="R66" s="229">
        <v>0</v>
      </c>
      <c r="S66" s="229">
        <v>0</v>
      </c>
      <c r="T66" s="229">
        <v>0</v>
      </c>
      <c r="U66" s="229">
        <v>0</v>
      </c>
      <c r="V66" s="229" t="e">
        <f>+'a &amp; b'!$K$52</f>
        <v>#DIV/0!</v>
      </c>
      <c r="W66" s="229">
        <v>0</v>
      </c>
      <c r="X66" s="229">
        <v>0</v>
      </c>
      <c r="Y66" s="229" t="e">
        <f>+'a &amp; b'!$K$55</f>
        <v>#DIV/0!</v>
      </c>
      <c r="Z66" s="229">
        <f>+'a &amp; b'!$K$57+'a &amp; b'!$K$58+'a &amp; b'!$K$59</f>
        <v>0</v>
      </c>
      <c r="AA66" s="229">
        <f>+'a &amp; b'!$K$62</f>
        <v>0</v>
      </c>
      <c r="AB66" s="229">
        <v>0</v>
      </c>
      <c r="AC66" s="229">
        <v>0</v>
      </c>
      <c r="AD66" s="229">
        <v>0</v>
      </c>
      <c r="AE66" s="229" t="e">
        <f>+'a &amp; b'!$K$66</f>
        <v>#DIV/0!</v>
      </c>
      <c r="AF66" s="229" t="e">
        <f>+'c &amp; d'!$J$6+'c &amp; d'!$J$8</f>
        <v>#DIV/0!</v>
      </c>
      <c r="AG66" s="229">
        <v>0</v>
      </c>
      <c r="AH66" s="229">
        <f>+'k - Exp'!$M$11</f>
        <v>0</v>
      </c>
      <c r="AI66" s="229">
        <v>0</v>
      </c>
      <c r="AJ66" s="229">
        <v>0</v>
      </c>
      <c r="AK66" s="229">
        <v>0</v>
      </c>
      <c r="AL66" s="229">
        <v>0</v>
      </c>
      <c r="AM66" s="229" t="e">
        <f>+'c &amp; d'!$J$13</f>
        <v>#DIV/0!</v>
      </c>
      <c r="AN66" s="229">
        <v>0</v>
      </c>
      <c r="AO66" s="229" t="e">
        <f>+'c &amp; d'!$J$14</f>
        <v>#DIV/0!</v>
      </c>
      <c r="AP66" s="229" t="e">
        <f>+'c &amp; d'!$J$15</f>
        <v>#DIV/0!</v>
      </c>
      <c r="AQ66" s="229" t="e">
        <f>+'c &amp; d'!$J$16+'c &amp; d'!$J$18</f>
        <v>#DIV/0!</v>
      </c>
      <c r="AR66" s="229" t="e">
        <f>+'c &amp; d'!$J$19</f>
        <v>#DIV/0!</v>
      </c>
      <c r="AS66" s="229">
        <f>+Input!$M$35</f>
        <v>0</v>
      </c>
      <c r="AT66" s="229">
        <f>+'c &amp; d'!$J$20-Input!$M$35</f>
        <v>0</v>
      </c>
      <c r="AU66" s="229">
        <f>+'c &amp; d'!$J$16</f>
        <v>0</v>
      </c>
      <c r="AV66" s="229">
        <v>0</v>
      </c>
      <c r="AW66" s="229" t="e">
        <f>+'c &amp; d'!$J$21</f>
        <v>#DIV/0!</v>
      </c>
      <c r="AX66" s="229">
        <f>+'e - Sales'!$M$8+'e - Sales'!$M$9</f>
        <v>0</v>
      </c>
      <c r="AY66" s="231">
        <f>+'e - Sales'!$M$11</f>
        <v>0</v>
      </c>
      <c r="AZ66" s="231">
        <f>'e - Sales'!$M$12+'e - Sales'!$M$13+'e - Sales'!$M$14+'e - Sales'!$M$15</f>
        <v>0</v>
      </c>
      <c r="BA66" s="229">
        <f>+'e - Sales'!$M$10</f>
        <v>0</v>
      </c>
      <c r="BB66" s="229">
        <v>0</v>
      </c>
      <c r="BC66" s="229">
        <v>0</v>
      </c>
      <c r="BD66" s="229">
        <f>+'e - Sales'!$M$21</f>
        <v>0</v>
      </c>
      <c r="BE66" s="229">
        <f>+('e - Sales'!$M$39+'e - Sales'!$M$40)/1000</f>
        <v>0</v>
      </c>
      <c r="BF66" s="229">
        <f>+'e - Sales'!$M$42/1000</f>
        <v>0</v>
      </c>
      <c r="BG66" s="229">
        <f>+('e - Sales'!$M$43+'e - Sales'!$M$44+'e - Sales'!$M$45+'e - Sales'!$M$46)/1000</f>
        <v>0</v>
      </c>
      <c r="BH66" s="229">
        <f>+'e - Sales'!$M$41/1000</f>
        <v>0</v>
      </c>
      <c r="BI66" s="229">
        <v>0</v>
      </c>
      <c r="BJ66" s="229">
        <v>0</v>
      </c>
      <c r="BK66" s="229">
        <f>+'e - Sales'!$M$54/1000</f>
        <v>0</v>
      </c>
      <c r="BL66" s="229">
        <f>+'f - Rev'!$M$15+'f - Rev'!$M$24</f>
        <v>0</v>
      </c>
      <c r="BM66" s="229">
        <f>+'f - Rev'!$M$42</f>
        <v>0</v>
      </c>
      <c r="BN66" s="229">
        <f>+'f - Rev'!$M$51+'f - Rev'!$M$74+'f - Rev'!$M$83+'f - Rev'!$M$92</f>
        <v>0</v>
      </c>
      <c r="BO66" s="229">
        <f>+'f - Rev'!$M$33</f>
        <v>0</v>
      </c>
      <c r="BP66" s="229">
        <v>0</v>
      </c>
      <c r="BQ66" s="229">
        <v>0</v>
      </c>
      <c r="BR66" s="229">
        <f>+'f - Rev'!$M$164</f>
        <v>0</v>
      </c>
      <c r="BS66" s="229">
        <f>+'f - Rev'!$M$165</f>
        <v>0</v>
      </c>
      <c r="BT66" s="229" t="e">
        <f>+'c &amp; d'!$J$6+'c &amp; d'!$J$8</f>
        <v>#DIV/0!</v>
      </c>
      <c r="BU66" s="229">
        <v>0</v>
      </c>
      <c r="BV66" s="229">
        <v>0</v>
      </c>
      <c r="BW66" s="229">
        <v>0</v>
      </c>
      <c r="BX66" s="229">
        <v>0</v>
      </c>
      <c r="BY66" s="229">
        <f>+'e - Sales'!$M$21</f>
        <v>0</v>
      </c>
      <c r="BZ66" s="109">
        <v>0</v>
      </c>
      <c r="CA66" s="109">
        <v>0</v>
      </c>
      <c r="CB66" s="108">
        <f>+'e - Sales'!$M$61/1000</f>
        <v>0</v>
      </c>
      <c r="CC66" s="108">
        <f>+'e - Sales'!$M$24</f>
        <v>0</v>
      </c>
      <c r="CD66" s="109" t="e">
        <f>+'a &amp; b'!$K$17</f>
        <v>#DIV/0!</v>
      </c>
      <c r="CE66" s="109" t="e">
        <f>+'a &amp; b'!$K$15</f>
        <v>#DIV/0!</v>
      </c>
      <c r="CF66" s="108">
        <f>+'j - Debt Sum'!$J$12+'j - Debt Sum'!$J$20+'j - Debt Sum'!$J$28+'j - Debt Sum'!$J$36+'j - Debt Sum'!$J$44</f>
        <v>0</v>
      </c>
      <c r="CG66" s="108">
        <f>+'j - Debt Sum'!$J$52+'j - Debt Sum'!$J$60</f>
        <v>0</v>
      </c>
      <c r="CH66" s="109" t="e">
        <f>+'a &amp; b'!$K$14</f>
        <v>#DIV/0!</v>
      </c>
      <c r="CI66" s="110" t="e">
        <f t="shared" si="363"/>
        <v>#DIV/0!</v>
      </c>
      <c r="CJ66" s="111" t="e">
        <f t="shared" si="364"/>
        <v>#DIV/0!</v>
      </c>
      <c r="CK66" s="52" t="e">
        <f t="shared" si="2"/>
        <v>#DIV/0!</v>
      </c>
      <c r="CL66" s="52" t="e">
        <f t="shared" si="3"/>
        <v>#DIV/0!</v>
      </c>
      <c r="CM66" s="52" t="e">
        <f t="shared" si="4"/>
        <v>#DIV/0!</v>
      </c>
      <c r="CN66" s="52" t="e">
        <f t="shared" si="5"/>
        <v>#DIV/0!</v>
      </c>
      <c r="CO66" s="52" t="e">
        <f t="shared" si="6"/>
        <v>#DIV/0!</v>
      </c>
      <c r="CP66" s="110" t="e">
        <f>+'k - Exp'!$M$13</f>
        <v>#DIV/0!</v>
      </c>
      <c r="CQ66" s="112" t="e">
        <f t="shared" si="8"/>
        <v>#DIV/0!</v>
      </c>
      <c r="CR66" s="112" t="e">
        <f t="shared" si="9"/>
        <v>#DIV/0!</v>
      </c>
      <c r="CS66" s="112" t="e">
        <f>+('k - Exp'!$M$14)/100</f>
        <v>#DIV/0!</v>
      </c>
      <c r="CT66" s="52" t="e">
        <f>+'k - Exp'!$M$28</f>
        <v>#DIV/0!</v>
      </c>
      <c r="CU66" s="52" t="e">
        <f t="shared" si="12"/>
        <v>#DIV/0!</v>
      </c>
      <c r="CV66" s="112" t="e">
        <f t="shared" si="13"/>
        <v>#DIV/0!</v>
      </c>
      <c r="CW66" s="112" t="e">
        <f t="shared" si="56"/>
        <v>#DIV/0!</v>
      </c>
      <c r="CX66" s="112" t="e">
        <f t="shared" si="57"/>
        <v>#DIV/0!</v>
      </c>
      <c r="CY66" s="112" t="e">
        <f t="shared" si="365"/>
        <v>#DIV/0!</v>
      </c>
      <c r="CZ66" s="110">
        <f t="shared" si="368"/>
        <v>0</v>
      </c>
      <c r="DA66" s="102" t="e">
        <f t="shared" si="17"/>
        <v>#DIV/0!</v>
      </c>
      <c r="DB66" s="102" t="e">
        <f t="shared" si="18"/>
        <v>#DIV/0!</v>
      </c>
      <c r="DC66" s="102" t="e">
        <f t="shared" si="19"/>
        <v>#DIV/0!</v>
      </c>
      <c r="DD66" s="102" t="e">
        <f t="shared" si="20"/>
        <v>#DIV/0!</v>
      </c>
      <c r="DE66" s="102" t="e">
        <f t="shared" si="21"/>
        <v>#DIV/0!</v>
      </c>
      <c r="DF66" s="102">
        <f t="shared" si="46"/>
        <v>0</v>
      </c>
      <c r="DG66" s="110">
        <f t="shared" si="47"/>
        <v>0</v>
      </c>
      <c r="DH66" s="110">
        <v>0</v>
      </c>
      <c r="DI66" s="52" t="e">
        <f t="shared" si="25"/>
        <v>#DIV/0!</v>
      </c>
      <c r="DJ66" s="52">
        <v>0</v>
      </c>
      <c r="DK66" s="52" t="e">
        <f t="shared" si="27"/>
        <v>#DIV/0!</v>
      </c>
      <c r="DL66" s="103" t="e">
        <f t="shared" si="366"/>
        <v>#DIV/0!</v>
      </c>
      <c r="DM66" s="112" t="e">
        <f t="shared" si="28"/>
        <v>#DIV/0!</v>
      </c>
      <c r="DN66" s="110" t="e">
        <f>+'k - Exp'!$M$27</f>
        <v>#DIV/0!</v>
      </c>
      <c r="DO66" s="52" t="e">
        <f t="shared" si="30"/>
        <v>#DIV/0!</v>
      </c>
      <c r="DP66" s="219" t="e">
        <f t="shared" si="35"/>
        <v>#DIV/0!</v>
      </c>
      <c r="DQ66" s="219" t="e">
        <f t="shared" si="36"/>
        <v>#DIV/0!</v>
      </c>
      <c r="DR66" t="e">
        <f t="shared" si="37"/>
        <v>#DIV/0!</v>
      </c>
      <c r="DS66" t="e">
        <f t="shared" si="38"/>
        <v>#DIV/0!</v>
      </c>
      <c r="DT66" t="e">
        <f t="shared" si="39"/>
        <v>#DIV/0!</v>
      </c>
      <c r="DU66" t="e">
        <f t="shared" si="40"/>
        <v>#DIV/0!</v>
      </c>
      <c r="DV66" t="e">
        <f t="shared" si="41"/>
        <v>#DIV/0!</v>
      </c>
    </row>
    <row r="67" spans="1:126" ht="15.5">
      <c r="A67" s="115">
        <f t="shared" ref="A67:B67" si="374">A66</f>
        <v>0</v>
      </c>
      <c r="B67" s="115">
        <f t="shared" si="374"/>
        <v>0</v>
      </c>
      <c r="C67" s="126">
        <f t="shared" si="244"/>
        <v>31</v>
      </c>
      <c r="D67" s="229">
        <v>0</v>
      </c>
      <c r="E67" s="229">
        <v>0</v>
      </c>
      <c r="F67" s="229">
        <v>0</v>
      </c>
      <c r="G67" s="229">
        <v>0</v>
      </c>
      <c r="H67" s="229">
        <v>0</v>
      </c>
      <c r="I67" s="229">
        <v>0</v>
      </c>
      <c r="J67" s="229">
        <v>0</v>
      </c>
      <c r="K67" s="229">
        <v>0</v>
      </c>
      <c r="L67" s="229">
        <v>0</v>
      </c>
      <c r="M67" s="229">
        <v>0</v>
      </c>
      <c r="N67" s="229">
        <v>0</v>
      </c>
      <c r="O67" s="229">
        <f>+'g - Plant'!$O$12</f>
        <v>0</v>
      </c>
      <c r="P67" s="229" t="e">
        <f>+'a &amp; b'!$L$47</f>
        <v>#DIV/0!</v>
      </c>
      <c r="Q67" s="229">
        <v>0</v>
      </c>
      <c r="R67" s="229">
        <v>0</v>
      </c>
      <c r="S67" s="229">
        <v>0</v>
      </c>
      <c r="T67" s="229">
        <v>0</v>
      </c>
      <c r="U67" s="229">
        <v>0</v>
      </c>
      <c r="V67" s="229" t="e">
        <f>+'a &amp; b'!$L$52</f>
        <v>#DIV/0!</v>
      </c>
      <c r="W67" s="229">
        <v>0</v>
      </c>
      <c r="X67" s="229">
        <v>0</v>
      </c>
      <c r="Y67" s="229" t="e">
        <f>+'a &amp; b'!$L$55</f>
        <v>#DIV/0!</v>
      </c>
      <c r="Z67" s="229">
        <f>+'a &amp; b'!$L$57+'a &amp; b'!$L$58+'a &amp; b'!$L$59</f>
        <v>0</v>
      </c>
      <c r="AA67" s="229">
        <f>+'a &amp; b'!$L$62</f>
        <v>0</v>
      </c>
      <c r="AB67" s="229">
        <v>0</v>
      </c>
      <c r="AC67" s="229">
        <v>0</v>
      </c>
      <c r="AD67" s="229">
        <v>0</v>
      </c>
      <c r="AE67" s="229" t="e">
        <f>+'a &amp; b'!$L$66</f>
        <v>#DIV/0!</v>
      </c>
      <c r="AF67" s="229" t="e">
        <f>+'c &amp; d'!$K$6+'c &amp; d'!$K$8</f>
        <v>#DIV/0!</v>
      </c>
      <c r="AG67" s="229">
        <v>0</v>
      </c>
      <c r="AH67" s="229">
        <f>+'k - Exp'!$N$11</f>
        <v>0</v>
      </c>
      <c r="AI67" s="229">
        <v>0</v>
      </c>
      <c r="AJ67" s="229">
        <v>0</v>
      </c>
      <c r="AK67" s="229">
        <v>0</v>
      </c>
      <c r="AL67" s="229">
        <v>0</v>
      </c>
      <c r="AM67" s="229" t="e">
        <f>+'c &amp; d'!$K$13</f>
        <v>#DIV/0!</v>
      </c>
      <c r="AN67" s="229">
        <v>0</v>
      </c>
      <c r="AO67" s="229" t="e">
        <f>+'c &amp; d'!$K$14</f>
        <v>#DIV/0!</v>
      </c>
      <c r="AP67" s="229" t="e">
        <f>+'c &amp; d'!$K$15</f>
        <v>#DIV/0!</v>
      </c>
      <c r="AQ67" s="229" t="e">
        <f>+'c &amp; d'!$K$16+'c &amp; d'!$K$18</f>
        <v>#DIV/0!</v>
      </c>
      <c r="AR67" s="229" t="e">
        <f>+'c &amp; d'!$K$19</f>
        <v>#DIV/0!</v>
      </c>
      <c r="AS67" s="229">
        <f>+Input!$N$35</f>
        <v>0</v>
      </c>
      <c r="AT67" s="229">
        <f>+'c &amp; d'!$K$20-Input!$N$35</f>
        <v>0</v>
      </c>
      <c r="AU67" s="229">
        <f>+'c &amp; d'!$K$16</f>
        <v>0</v>
      </c>
      <c r="AV67" s="229">
        <v>0</v>
      </c>
      <c r="AW67" s="229" t="e">
        <f>+'c &amp; d'!$K$21</f>
        <v>#DIV/0!</v>
      </c>
      <c r="AX67" s="229">
        <f>+'e - Sales'!$N$8+'e - Sales'!$N$9</f>
        <v>0</v>
      </c>
      <c r="AY67" s="231">
        <f>+'e - Sales'!$N$11</f>
        <v>0</v>
      </c>
      <c r="AZ67" s="231">
        <f>'e - Sales'!$N$12+'e - Sales'!$N$13+'e - Sales'!$N$14+'e - Sales'!$N$15</f>
        <v>0</v>
      </c>
      <c r="BA67" s="229">
        <f>+'e - Sales'!$N$10</f>
        <v>0</v>
      </c>
      <c r="BB67" s="229">
        <v>0</v>
      </c>
      <c r="BC67" s="229">
        <v>0</v>
      </c>
      <c r="BD67" s="229">
        <f>+'e - Sales'!$N$21</f>
        <v>0</v>
      </c>
      <c r="BE67" s="229">
        <f>+('e - Sales'!$N$39+'e - Sales'!$N$40)/1000</f>
        <v>0</v>
      </c>
      <c r="BF67" s="229">
        <f>+'e - Sales'!$N$42/1000</f>
        <v>0</v>
      </c>
      <c r="BG67" s="229">
        <f>+('e - Sales'!$N$43+'e - Sales'!$N$44+'e - Sales'!$N$45+'e - Sales'!$N$46)/1000</f>
        <v>0</v>
      </c>
      <c r="BH67" s="229">
        <f>+'e - Sales'!$N$41/1000</f>
        <v>0</v>
      </c>
      <c r="BI67" s="229">
        <v>0</v>
      </c>
      <c r="BJ67" s="229">
        <v>0</v>
      </c>
      <c r="BK67" s="229">
        <f>+'e - Sales'!$N$54/1000</f>
        <v>0</v>
      </c>
      <c r="BL67" s="229">
        <f>+'f - Rev'!$N$15+'f - Rev'!$N$24</f>
        <v>0</v>
      </c>
      <c r="BM67" s="229">
        <f>+'f - Rev'!$N$42</f>
        <v>0</v>
      </c>
      <c r="BN67" s="229">
        <f>+'f - Rev'!$N$51+'f - Rev'!$N$74+'f - Rev'!$N$83+'f - Rev'!$N$92</f>
        <v>0</v>
      </c>
      <c r="BO67" s="229">
        <f>+'f - Rev'!$N$33</f>
        <v>0</v>
      </c>
      <c r="BP67" s="229">
        <v>0</v>
      </c>
      <c r="BQ67" s="229">
        <v>0</v>
      </c>
      <c r="BR67" s="229">
        <f>+'f - Rev'!$N$164</f>
        <v>0</v>
      </c>
      <c r="BS67" s="229">
        <f>+'f - Rev'!$N$165</f>
        <v>0</v>
      </c>
      <c r="BT67" s="229" t="e">
        <f>+'c &amp; d'!$K$6+'c &amp; d'!$K$8</f>
        <v>#DIV/0!</v>
      </c>
      <c r="BU67" s="229">
        <v>0</v>
      </c>
      <c r="BV67" s="229">
        <v>0</v>
      </c>
      <c r="BW67" s="229">
        <v>0</v>
      </c>
      <c r="BX67" s="229">
        <v>0</v>
      </c>
      <c r="BY67" s="229">
        <f>+'e - Sales'!$N$21</f>
        <v>0</v>
      </c>
      <c r="BZ67" s="109">
        <v>0</v>
      </c>
      <c r="CA67" s="109">
        <v>0</v>
      </c>
      <c r="CB67" s="108">
        <f>+'e - Sales'!$N$61/1000</f>
        <v>0</v>
      </c>
      <c r="CC67" s="108">
        <f>+'e - Sales'!$N$24</f>
        <v>0</v>
      </c>
      <c r="CD67" s="109" t="e">
        <f>+'a &amp; b'!$L$17</f>
        <v>#DIV/0!</v>
      </c>
      <c r="CE67" s="109" t="e">
        <f>+'a &amp; b'!$L$15</f>
        <v>#DIV/0!</v>
      </c>
      <c r="CF67" s="108">
        <f>+'j - Debt Sum'!$K$12+'j - Debt Sum'!$K$20+'j - Debt Sum'!$K$28+'j - Debt Sum'!$K$36+'j - Debt Sum'!$K$44</f>
        <v>0</v>
      </c>
      <c r="CG67" s="108">
        <f>+'j - Debt Sum'!$K$52+'j - Debt Sum'!$K$60</f>
        <v>0</v>
      </c>
      <c r="CH67" s="109" t="e">
        <f>+'a &amp; b'!$L$14</f>
        <v>#DIV/0!</v>
      </c>
      <c r="CI67" s="110" t="e">
        <f t="shared" si="363"/>
        <v>#DIV/0!</v>
      </c>
      <c r="CJ67" s="111" t="e">
        <f t="shared" si="364"/>
        <v>#DIV/0!</v>
      </c>
      <c r="CK67" s="52" t="e">
        <f t="shared" si="2"/>
        <v>#DIV/0!</v>
      </c>
      <c r="CL67" s="52" t="e">
        <f t="shared" si="3"/>
        <v>#DIV/0!</v>
      </c>
      <c r="CM67" s="52" t="e">
        <f t="shared" si="4"/>
        <v>#DIV/0!</v>
      </c>
      <c r="CN67" s="52" t="e">
        <f t="shared" si="5"/>
        <v>#DIV/0!</v>
      </c>
      <c r="CO67" s="52" t="e">
        <f t="shared" si="6"/>
        <v>#DIV/0!</v>
      </c>
      <c r="CP67" s="110" t="e">
        <f>+'k - Exp'!$N$13</f>
        <v>#DIV/0!</v>
      </c>
      <c r="CQ67" s="112" t="e">
        <f t="shared" si="8"/>
        <v>#DIV/0!</v>
      </c>
      <c r="CR67" s="112" t="e">
        <f t="shared" si="9"/>
        <v>#DIV/0!</v>
      </c>
      <c r="CS67" s="112" t="e">
        <f>+('k - Exp'!$N$14)/100</f>
        <v>#DIV/0!</v>
      </c>
      <c r="CT67" s="52" t="e">
        <f>+'k - Exp'!$N$28</f>
        <v>#DIV/0!</v>
      </c>
      <c r="CU67" s="52" t="e">
        <f t="shared" si="12"/>
        <v>#DIV/0!</v>
      </c>
      <c r="CV67" s="112" t="e">
        <f t="shared" si="13"/>
        <v>#DIV/0!</v>
      </c>
      <c r="CW67" s="112" t="e">
        <f t="shared" si="56"/>
        <v>#DIV/0!</v>
      </c>
      <c r="CX67" s="112" t="e">
        <f t="shared" si="57"/>
        <v>#DIV/0!</v>
      </c>
      <c r="CY67" s="112" t="e">
        <f t="shared" si="365"/>
        <v>#DIV/0!</v>
      </c>
      <c r="CZ67" s="110">
        <f t="shared" si="368"/>
        <v>0</v>
      </c>
      <c r="DA67" s="102" t="e">
        <f t="shared" si="17"/>
        <v>#DIV/0!</v>
      </c>
      <c r="DB67" s="102" t="e">
        <f t="shared" si="18"/>
        <v>#DIV/0!</v>
      </c>
      <c r="DC67" s="102" t="e">
        <f t="shared" si="19"/>
        <v>#DIV/0!</v>
      </c>
      <c r="DD67" s="102" t="e">
        <f t="shared" si="20"/>
        <v>#DIV/0!</v>
      </c>
      <c r="DE67" s="102" t="e">
        <f t="shared" si="21"/>
        <v>#DIV/0!</v>
      </c>
      <c r="DF67" s="102">
        <f t="shared" si="46"/>
        <v>0</v>
      </c>
      <c r="DG67" s="110">
        <f t="shared" si="47"/>
        <v>0</v>
      </c>
      <c r="DH67" s="110">
        <v>0</v>
      </c>
      <c r="DI67" s="52" t="e">
        <f t="shared" si="25"/>
        <v>#DIV/0!</v>
      </c>
      <c r="DJ67" s="52">
        <v>0</v>
      </c>
      <c r="DK67" s="52" t="e">
        <f t="shared" si="27"/>
        <v>#DIV/0!</v>
      </c>
      <c r="DL67" s="103" t="e">
        <f t="shared" si="366"/>
        <v>#DIV/0!</v>
      </c>
      <c r="DM67" s="112" t="e">
        <f t="shared" si="28"/>
        <v>#DIV/0!</v>
      </c>
      <c r="DN67" s="110" t="e">
        <f>+'k - Exp'!$N$27</f>
        <v>#DIV/0!</v>
      </c>
      <c r="DO67" s="52" t="e">
        <f t="shared" si="30"/>
        <v>#DIV/0!</v>
      </c>
      <c r="DP67" s="219" t="e">
        <f t="shared" si="35"/>
        <v>#DIV/0!</v>
      </c>
      <c r="DQ67" s="219" t="e">
        <f t="shared" si="36"/>
        <v>#DIV/0!</v>
      </c>
      <c r="DR67" t="e">
        <f t="shared" si="37"/>
        <v>#DIV/0!</v>
      </c>
      <c r="DS67" t="e">
        <f t="shared" si="38"/>
        <v>#DIV/0!</v>
      </c>
      <c r="DT67" t="e">
        <f t="shared" si="39"/>
        <v>#DIV/0!</v>
      </c>
      <c r="DU67" t="e">
        <f t="shared" si="40"/>
        <v>#DIV/0!</v>
      </c>
      <c r="DV67" t="e">
        <f t="shared" si="41"/>
        <v>#DIV/0!</v>
      </c>
    </row>
    <row r="68" spans="1:126" ht="15.5">
      <c r="A68" s="115">
        <f t="shared" ref="A68:B68" si="375">A67</f>
        <v>0</v>
      </c>
      <c r="B68" s="115">
        <f t="shared" si="375"/>
        <v>0</v>
      </c>
      <c r="C68" s="126">
        <f t="shared" si="244"/>
        <v>32</v>
      </c>
      <c r="D68" s="229">
        <v>0</v>
      </c>
      <c r="E68" s="229">
        <v>0</v>
      </c>
      <c r="F68" s="229">
        <v>0</v>
      </c>
      <c r="G68" s="229">
        <v>0</v>
      </c>
      <c r="H68" s="229">
        <v>0</v>
      </c>
      <c r="I68" s="229">
        <v>0</v>
      </c>
      <c r="J68" s="229">
        <v>0</v>
      </c>
      <c r="K68" s="229">
        <v>0</v>
      </c>
      <c r="L68" s="229">
        <v>0</v>
      </c>
      <c r="M68" s="229">
        <v>0</v>
      </c>
      <c r="N68" s="229">
        <v>0</v>
      </c>
      <c r="O68" s="229">
        <f>+'g - Plant'!$P$12</f>
        <v>0</v>
      </c>
      <c r="P68" s="229" t="e">
        <f>+'a &amp; b'!$M$47</f>
        <v>#DIV/0!</v>
      </c>
      <c r="Q68" s="229">
        <v>0</v>
      </c>
      <c r="R68" s="229">
        <v>0</v>
      </c>
      <c r="S68" s="229">
        <v>0</v>
      </c>
      <c r="T68" s="229">
        <v>0</v>
      </c>
      <c r="U68" s="229">
        <v>0</v>
      </c>
      <c r="V68" s="229" t="e">
        <f>+'a &amp; b'!$M$52</f>
        <v>#DIV/0!</v>
      </c>
      <c r="W68" s="229">
        <v>0</v>
      </c>
      <c r="X68" s="229">
        <v>0</v>
      </c>
      <c r="Y68" s="229" t="e">
        <f>+'a &amp; b'!$M$55</f>
        <v>#DIV/0!</v>
      </c>
      <c r="Z68" s="229">
        <f>+'a &amp; b'!$M$57+'a &amp; b'!$M$58+'a &amp; b'!$M$59</f>
        <v>0</v>
      </c>
      <c r="AA68" s="229">
        <f>+'a &amp; b'!$M$62</f>
        <v>0</v>
      </c>
      <c r="AB68" s="229">
        <v>0</v>
      </c>
      <c r="AC68" s="229">
        <v>0</v>
      </c>
      <c r="AD68" s="229">
        <v>0</v>
      </c>
      <c r="AE68" s="229" t="e">
        <f>+'a &amp; b'!$M$66</f>
        <v>#DIV/0!</v>
      </c>
      <c r="AF68" s="229" t="e">
        <f>+'c &amp; d'!$L$6+'c &amp; d'!$L$8</f>
        <v>#DIV/0!</v>
      </c>
      <c r="AG68" s="229">
        <v>0</v>
      </c>
      <c r="AH68" s="229">
        <f>+'k - Exp'!$O$11</f>
        <v>0</v>
      </c>
      <c r="AI68" s="229">
        <v>0</v>
      </c>
      <c r="AJ68" s="229">
        <v>0</v>
      </c>
      <c r="AK68" s="229">
        <v>0</v>
      </c>
      <c r="AL68" s="229">
        <v>0</v>
      </c>
      <c r="AM68" s="229" t="e">
        <f>+'c &amp; d'!$L$13</f>
        <v>#DIV/0!</v>
      </c>
      <c r="AN68" s="229">
        <v>0</v>
      </c>
      <c r="AO68" s="229" t="e">
        <f>+'c &amp; d'!$L$14</f>
        <v>#DIV/0!</v>
      </c>
      <c r="AP68" s="229" t="e">
        <f>+'c &amp; d'!$L$15</f>
        <v>#DIV/0!</v>
      </c>
      <c r="AQ68" s="229" t="e">
        <f>+'c &amp; d'!$L$16+'c &amp; d'!$L$18</f>
        <v>#DIV/0!</v>
      </c>
      <c r="AR68" s="229" t="e">
        <f>+'c &amp; d'!$L$19</f>
        <v>#DIV/0!</v>
      </c>
      <c r="AS68" s="229">
        <f>+Input!$O$35</f>
        <v>0</v>
      </c>
      <c r="AT68" s="229">
        <f>+'c &amp; d'!$L$20-Input!$O$35</f>
        <v>0</v>
      </c>
      <c r="AU68" s="229">
        <f>+'c &amp; d'!$L$16</f>
        <v>0</v>
      </c>
      <c r="AV68" s="229">
        <v>0</v>
      </c>
      <c r="AW68" s="229" t="e">
        <f>+'c &amp; d'!$L$21</f>
        <v>#DIV/0!</v>
      </c>
      <c r="AX68" s="229">
        <f>+'e - Sales'!$O$8+'e - Sales'!$O$9</f>
        <v>0</v>
      </c>
      <c r="AY68" s="231">
        <f>+'e - Sales'!$O$11</f>
        <v>0</v>
      </c>
      <c r="AZ68" s="231">
        <f>'e - Sales'!$O$12+'e - Sales'!$O$13+'e - Sales'!$O$14+'e - Sales'!$O$15</f>
        <v>0</v>
      </c>
      <c r="BA68" s="229">
        <f>+'e - Sales'!$O$10</f>
        <v>0</v>
      </c>
      <c r="BB68" s="229">
        <v>0</v>
      </c>
      <c r="BC68" s="229">
        <v>0</v>
      </c>
      <c r="BD68" s="229">
        <f>+'e - Sales'!$O$21</f>
        <v>0</v>
      </c>
      <c r="BE68" s="229">
        <f>+('e - Sales'!$O$39+'e - Sales'!$O$40)/1000</f>
        <v>0</v>
      </c>
      <c r="BF68" s="229">
        <f>+'e - Sales'!$O$42/1000</f>
        <v>0</v>
      </c>
      <c r="BG68" s="229">
        <f>+('e - Sales'!$O$43+'e - Sales'!$O$44+'e - Sales'!$O$45+'e - Sales'!$O$46)/1000</f>
        <v>0</v>
      </c>
      <c r="BH68" s="229">
        <f>+'e - Sales'!$O$41/1000</f>
        <v>0</v>
      </c>
      <c r="BI68" s="229">
        <v>0</v>
      </c>
      <c r="BJ68" s="229">
        <v>0</v>
      </c>
      <c r="BK68" s="229">
        <f>+'e - Sales'!$O$54/1000</f>
        <v>0</v>
      </c>
      <c r="BL68" s="229">
        <f>+'f - Rev'!$O$15+'f - Rev'!$O$24</f>
        <v>0</v>
      </c>
      <c r="BM68" s="229">
        <f>+'f - Rev'!$O$42</f>
        <v>0</v>
      </c>
      <c r="BN68" s="229">
        <f>+'f - Rev'!$O$51+'f - Rev'!$O$74+'f - Rev'!$O$83+'f - Rev'!$O$92</f>
        <v>0</v>
      </c>
      <c r="BO68" s="229">
        <f>+'f - Rev'!$O$33</f>
        <v>0</v>
      </c>
      <c r="BP68" s="229">
        <v>0</v>
      </c>
      <c r="BQ68" s="229">
        <v>0</v>
      </c>
      <c r="BR68" s="229">
        <f>+'f - Rev'!$O$164</f>
        <v>0</v>
      </c>
      <c r="BS68" s="229">
        <f>+'f - Rev'!$O$165</f>
        <v>0</v>
      </c>
      <c r="BT68" s="229" t="e">
        <f>+'c &amp; d'!$L$6+'c &amp; d'!$L$8</f>
        <v>#DIV/0!</v>
      </c>
      <c r="BU68" s="229">
        <v>0</v>
      </c>
      <c r="BV68" s="229">
        <v>0</v>
      </c>
      <c r="BW68" s="229">
        <v>0</v>
      </c>
      <c r="BX68" s="229">
        <v>0</v>
      </c>
      <c r="BY68" s="229">
        <f>+'e - Sales'!$O$21</f>
        <v>0</v>
      </c>
      <c r="BZ68" s="109">
        <v>0</v>
      </c>
      <c r="CA68" s="109">
        <v>0</v>
      </c>
      <c r="CB68" s="108">
        <f>+'e - Sales'!$O$61/1000</f>
        <v>0</v>
      </c>
      <c r="CC68" s="108">
        <f>+'e - Sales'!$O$24</f>
        <v>0</v>
      </c>
      <c r="CD68" s="109" t="e">
        <f>+'a &amp; b'!$M$17</f>
        <v>#DIV/0!</v>
      </c>
      <c r="CE68" s="109" t="e">
        <f>+'a &amp; b'!$M$15</f>
        <v>#DIV/0!</v>
      </c>
      <c r="CF68" s="108">
        <f>+'j - Debt Sum'!$L$12+'j - Debt Sum'!$L$20+'j - Debt Sum'!$L$28+'j - Debt Sum'!$L$36+'j - Debt Sum'!$L$44</f>
        <v>0</v>
      </c>
      <c r="CG68" s="108">
        <f>+'j - Debt Sum'!$L$52+'j - Debt Sum'!$L$60</f>
        <v>0</v>
      </c>
      <c r="CH68" s="109" t="e">
        <f>+'a &amp; b'!$M$14</f>
        <v>#DIV/0!</v>
      </c>
      <c r="CI68" s="110" t="e">
        <f t="shared" si="363"/>
        <v>#DIV/0!</v>
      </c>
      <c r="CJ68" s="111" t="e">
        <f t="shared" si="364"/>
        <v>#DIV/0!</v>
      </c>
      <c r="CK68" s="52" t="e">
        <f t="shared" si="2"/>
        <v>#DIV/0!</v>
      </c>
      <c r="CL68" s="52" t="e">
        <f t="shared" si="3"/>
        <v>#DIV/0!</v>
      </c>
      <c r="CM68" s="52" t="e">
        <f t="shared" si="4"/>
        <v>#DIV/0!</v>
      </c>
      <c r="CN68" s="52" t="e">
        <f t="shared" si="5"/>
        <v>#DIV/0!</v>
      </c>
      <c r="CO68" s="52" t="e">
        <f t="shared" si="6"/>
        <v>#DIV/0!</v>
      </c>
      <c r="CP68" s="110" t="e">
        <f>+'k - Exp'!$O$13</f>
        <v>#DIV/0!</v>
      </c>
      <c r="CQ68" s="112" t="e">
        <f t="shared" si="8"/>
        <v>#DIV/0!</v>
      </c>
      <c r="CR68" s="112" t="e">
        <f t="shared" si="9"/>
        <v>#DIV/0!</v>
      </c>
      <c r="CS68" s="112" t="e">
        <f>+('k - Exp'!$O$14)/100</f>
        <v>#DIV/0!</v>
      </c>
      <c r="CT68" s="52" t="e">
        <f>+'k - Exp'!$O$28</f>
        <v>#DIV/0!</v>
      </c>
      <c r="CU68" s="52" t="e">
        <f t="shared" si="12"/>
        <v>#DIV/0!</v>
      </c>
      <c r="CV68" s="112" t="e">
        <f t="shared" si="13"/>
        <v>#DIV/0!</v>
      </c>
      <c r="CW68" s="112" t="e">
        <f t="shared" si="56"/>
        <v>#DIV/0!</v>
      </c>
      <c r="CX68" s="112" t="e">
        <f t="shared" si="57"/>
        <v>#DIV/0!</v>
      </c>
      <c r="CY68" s="112" t="e">
        <f t="shared" si="365"/>
        <v>#DIV/0!</v>
      </c>
      <c r="CZ68" s="110">
        <f t="shared" si="368"/>
        <v>0</v>
      </c>
      <c r="DA68" s="102" t="e">
        <f t="shared" si="17"/>
        <v>#DIV/0!</v>
      </c>
      <c r="DB68" s="102" t="e">
        <f t="shared" si="18"/>
        <v>#DIV/0!</v>
      </c>
      <c r="DC68" s="102" t="e">
        <f t="shared" si="19"/>
        <v>#DIV/0!</v>
      </c>
      <c r="DD68" s="102" t="e">
        <f t="shared" si="20"/>
        <v>#DIV/0!</v>
      </c>
      <c r="DE68" s="102" t="e">
        <f t="shared" si="21"/>
        <v>#DIV/0!</v>
      </c>
      <c r="DF68" s="102">
        <f t="shared" si="46"/>
        <v>0</v>
      </c>
      <c r="DG68" s="110">
        <f t="shared" si="47"/>
        <v>0</v>
      </c>
      <c r="DH68" s="110">
        <v>0</v>
      </c>
      <c r="DI68" s="52" t="e">
        <f t="shared" si="25"/>
        <v>#DIV/0!</v>
      </c>
      <c r="DJ68" s="52">
        <v>0</v>
      </c>
      <c r="DK68" s="52" t="e">
        <f t="shared" si="27"/>
        <v>#DIV/0!</v>
      </c>
      <c r="DL68" s="103" t="e">
        <f t="shared" si="366"/>
        <v>#DIV/0!</v>
      </c>
      <c r="DM68" s="112" t="e">
        <f t="shared" si="28"/>
        <v>#DIV/0!</v>
      </c>
      <c r="DN68" s="110" t="e">
        <f>+'k - Exp'!$O$27</f>
        <v>#DIV/0!</v>
      </c>
      <c r="DO68" s="52" t="e">
        <f t="shared" si="30"/>
        <v>#DIV/0!</v>
      </c>
      <c r="DP68" s="219" t="e">
        <f t="shared" si="35"/>
        <v>#DIV/0!</v>
      </c>
      <c r="DQ68" s="219" t="e">
        <f t="shared" si="36"/>
        <v>#DIV/0!</v>
      </c>
      <c r="DR68" t="e">
        <f t="shared" si="37"/>
        <v>#DIV/0!</v>
      </c>
      <c r="DS68" t="e">
        <f t="shared" si="38"/>
        <v>#DIV/0!</v>
      </c>
      <c r="DT68" t="e">
        <f t="shared" si="39"/>
        <v>#DIV/0!</v>
      </c>
      <c r="DU68" t="e">
        <f t="shared" si="40"/>
        <v>#DIV/0!</v>
      </c>
      <c r="DV68" t="e">
        <f t="shared" si="41"/>
        <v>#DIV/0!</v>
      </c>
    </row>
    <row r="69" spans="1:126" ht="15.5">
      <c r="A69" s="115">
        <f t="shared" ref="A69:B69" si="376">A68</f>
        <v>0</v>
      </c>
      <c r="B69" s="115">
        <f t="shared" si="376"/>
        <v>0</v>
      </c>
      <c r="C69" s="126">
        <f t="shared" si="244"/>
        <v>33</v>
      </c>
      <c r="D69" s="229">
        <v>0</v>
      </c>
      <c r="E69" s="229">
        <v>0</v>
      </c>
      <c r="F69" s="229">
        <v>0</v>
      </c>
      <c r="G69" s="229">
        <v>0</v>
      </c>
      <c r="H69" s="229">
        <v>0</v>
      </c>
      <c r="I69" s="229">
        <v>0</v>
      </c>
      <c r="J69" s="229">
        <v>0</v>
      </c>
      <c r="K69" s="229">
        <v>0</v>
      </c>
      <c r="L69" s="229">
        <v>0</v>
      </c>
      <c r="M69" s="229">
        <v>0</v>
      </c>
      <c r="N69" s="229">
        <v>0</v>
      </c>
      <c r="O69" s="229">
        <f>+'g - Plant'!$Q$12</f>
        <v>0</v>
      </c>
      <c r="P69" s="229" t="e">
        <f>+'a &amp; b'!$N$47</f>
        <v>#DIV/0!</v>
      </c>
      <c r="Q69" s="229">
        <v>0</v>
      </c>
      <c r="R69" s="229">
        <v>0</v>
      </c>
      <c r="S69" s="229">
        <v>0</v>
      </c>
      <c r="T69" s="229">
        <v>0</v>
      </c>
      <c r="U69" s="229">
        <v>0</v>
      </c>
      <c r="V69" s="229" t="e">
        <f>+'a &amp; b'!$N$52</f>
        <v>#DIV/0!</v>
      </c>
      <c r="W69" s="229">
        <v>0</v>
      </c>
      <c r="X69" s="229">
        <v>0</v>
      </c>
      <c r="Y69" s="229" t="e">
        <f>+'a &amp; b'!$N$55</f>
        <v>#DIV/0!</v>
      </c>
      <c r="Z69" s="229">
        <f>+'a &amp; b'!$N$57+'a &amp; b'!$N$58+'a &amp; b'!$N$59</f>
        <v>0</v>
      </c>
      <c r="AA69" s="229">
        <f>+'a &amp; b'!$N$62</f>
        <v>0</v>
      </c>
      <c r="AB69" s="229">
        <v>0</v>
      </c>
      <c r="AC69" s="229">
        <v>0</v>
      </c>
      <c r="AD69" s="229">
        <v>0</v>
      </c>
      <c r="AE69" s="229" t="e">
        <f>+'a &amp; b'!$N$66</f>
        <v>#DIV/0!</v>
      </c>
      <c r="AF69" s="229" t="e">
        <f>+'c &amp; d'!$M$6+'c &amp; d'!$M$8</f>
        <v>#DIV/0!</v>
      </c>
      <c r="AG69" s="229">
        <v>0</v>
      </c>
      <c r="AH69" s="229">
        <f>+'k - Exp'!$P$11</f>
        <v>0</v>
      </c>
      <c r="AI69" s="229">
        <v>0</v>
      </c>
      <c r="AJ69" s="229">
        <v>0</v>
      </c>
      <c r="AK69" s="229">
        <v>0</v>
      </c>
      <c r="AL69" s="229">
        <v>0</v>
      </c>
      <c r="AM69" s="229" t="e">
        <f>+'c &amp; d'!$M$13</f>
        <v>#DIV/0!</v>
      </c>
      <c r="AN69" s="229">
        <v>0</v>
      </c>
      <c r="AO69" s="229" t="e">
        <f>+'c &amp; d'!$M$14</f>
        <v>#DIV/0!</v>
      </c>
      <c r="AP69" s="229" t="e">
        <f>+'c &amp; d'!$M$15</f>
        <v>#DIV/0!</v>
      </c>
      <c r="AQ69" s="229" t="e">
        <f>+'c &amp; d'!$M$16+'c &amp; d'!$M$18</f>
        <v>#DIV/0!</v>
      </c>
      <c r="AR69" s="229" t="e">
        <f>+'c &amp; d'!$M$19</f>
        <v>#DIV/0!</v>
      </c>
      <c r="AS69" s="229">
        <f>+Input!$P$35</f>
        <v>0</v>
      </c>
      <c r="AT69" s="229">
        <f>+'c &amp; d'!$M$20-Input!$P$35</f>
        <v>0</v>
      </c>
      <c r="AU69" s="229">
        <f>+'c &amp; d'!$M$16</f>
        <v>0</v>
      </c>
      <c r="AV69" s="229">
        <v>0</v>
      </c>
      <c r="AW69" s="229" t="e">
        <f>+'c &amp; d'!$M$21</f>
        <v>#DIV/0!</v>
      </c>
      <c r="AX69" s="229">
        <f>+'e - Sales'!$P$8+'e - Sales'!$P$9</f>
        <v>0</v>
      </c>
      <c r="AY69" s="231">
        <f>+'e - Sales'!$P$11</f>
        <v>0</v>
      </c>
      <c r="AZ69" s="231">
        <f>'e - Sales'!$P$12+'e - Sales'!$P$13+'e - Sales'!$P$14+'e - Sales'!$P$15</f>
        <v>0</v>
      </c>
      <c r="BA69" s="229">
        <f>+'e - Sales'!$P$10</f>
        <v>0</v>
      </c>
      <c r="BB69" s="229">
        <v>0</v>
      </c>
      <c r="BC69" s="229">
        <v>0</v>
      </c>
      <c r="BD69" s="229">
        <f>+'e - Sales'!$P$21</f>
        <v>0</v>
      </c>
      <c r="BE69" s="229">
        <f>+('e - Sales'!$P$39+'e - Sales'!$P$40)/1000</f>
        <v>0</v>
      </c>
      <c r="BF69" s="229">
        <f>+'e - Sales'!$P$42/1000</f>
        <v>0</v>
      </c>
      <c r="BG69" s="229">
        <f>+('e - Sales'!$P$43+'e - Sales'!$P$44+'e - Sales'!$P$45+'e - Sales'!$P$46)/1000</f>
        <v>0</v>
      </c>
      <c r="BH69" s="229">
        <f>+'e - Sales'!$P$41/1000</f>
        <v>0</v>
      </c>
      <c r="BI69" s="229">
        <v>0</v>
      </c>
      <c r="BJ69" s="229">
        <v>0</v>
      </c>
      <c r="BK69" s="229">
        <f>+'e - Sales'!$P$54/1000</f>
        <v>0</v>
      </c>
      <c r="BL69" s="229">
        <f>+'f - Rev'!$P$15+'f - Rev'!$P$24</f>
        <v>0</v>
      </c>
      <c r="BM69" s="229">
        <f>+'f - Rev'!$P$42</f>
        <v>0</v>
      </c>
      <c r="BN69" s="229">
        <f>+'f - Rev'!$P$51+'f - Rev'!$P$74+'f - Rev'!$P$83+'f - Rev'!$P$92</f>
        <v>0</v>
      </c>
      <c r="BO69" s="229">
        <f>+'f - Rev'!$P$33</f>
        <v>0</v>
      </c>
      <c r="BP69" s="229">
        <v>0</v>
      </c>
      <c r="BQ69" s="229">
        <v>0</v>
      </c>
      <c r="BR69" s="229">
        <f>+'f - Rev'!$P$164</f>
        <v>0</v>
      </c>
      <c r="BS69" s="229">
        <f>+'f - Rev'!$P$165</f>
        <v>0</v>
      </c>
      <c r="BT69" s="229" t="e">
        <f>+'c &amp; d'!$M$6+'c &amp; d'!$M$8</f>
        <v>#DIV/0!</v>
      </c>
      <c r="BU69" s="229">
        <v>0</v>
      </c>
      <c r="BV69" s="229">
        <v>0</v>
      </c>
      <c r="BW69" s="229">
        <v>0</v>
      </c>
      <c r="BX69" s="229">
        <v>0</v>
      </c>
      <c r="BY69" s="229">
        <f>+'e - Sales'!$P$21</f>
        <v>0</v>
      </c>
      <c r="BZ69" s="109">
        <v>0</v>
      </c>
      <c r="CA69" s="109">
        <v>0</v>
      </c>
      <c r="CB69" s="108">
        <f>+'e - Sales'!$P$61/1000</f>
        <v>0</v>
      </c>
      <c r="CC69" s="108">
        <f>+'e - Sales'!$P$24</f>
        <v>0</v>
      </c>
      <c r="CD69" s="109" t="e">
        <f>+'a &amp; b'!$N$17</f>
        <v>#DIV/0!</v>
      </c>
      <c r="CE69" s="109" t="e">
        <f>+'a &amp; b'!$N$15</f>
        <v>#DIV/0!</v>
      </c>
      <c r="CF69" s="108">
        <f>+'j - Debt Sum'!$M$12+'j - Debt Sum'!$M$20+'j - Debt Sum'!$M$28+'j - Debt Sum'!$M$36+'j - Debt Sum'!$M$44</f>
        <v>0</v>
      </c>
      <c r="CG69" s="108">
        <f>+'j - Debt Sum'!$M$52+'j - Debt Sum'!$M$60</f>
        <v>0</v>
      </c>
      <c r="CH69" s="109" t="e">
        <f>+'a &amp; b'!$N$14</f>
        <v>#DIV/0!</v>
      </c>
      <c r="CI69" s="110" t="e">
        <f>AF69-AH69</f>
        <v>#DIV/0!</v>
      </c>
      <c r="CJ69" s="111" t="e">
        <f>BY69/BU69</f>
        <v>#DIV/0!</v>
      </c>
      <c r="CK69" s="52" t="e">
        <f t="shared" si="2"/>
        <v>#DIV/0!</v>
      </c>
      <c r="CL69" s="52" t="e">
        <f t="shared" si="3"/>
        <v>#DIV/0!</v>
      </c>
      <c r="CM69" s="52" t="e">
        <f t="shared" si="4"/>
        <v>#DIV/0!</v>
      </c>
      <c r="CN69" s="52" t="e">
        <f t="shared" si="5"/>
        <v>#DIV/0!</v>
      </c>
      <c r="CO69" s="52" t="e">
        <f t="shared" si="6"/>
        <v>#DIV/0!</v>
      </c>
      <c r="CP69" s="110" t="e">
        <f>+'k - Exp'!$P$13</f>
        <v>#DIV/0!</v>
      </c>
      <c r="CQ69" s="112" t="e">
        <f t="shared" si="8"/>
        <v>#DIV/0!</v>
      </c>
      <c r="CR69" s="112" t="e">
        <f t="shared" si="9"/>
        <v>#DIV/0!</v>
      </c>
      <c r="CS69" s="112" t="e">
        <f>+('k - Exp'!$P$14)/100</f>
        <v>#DIV/0!</v>
      </c>
      <c r="CT69" s="52" t="e">
        <f>+'k - Exp'!$P$28</f>
        <v>#DIV/0!</v>
      </c>
      <c r="CU69" s="52" t="e">
        <f t="shared" si="12"/>
        <v>#DIV/0!</v>
      </c>
      <c r="CV69" s="112" t="e">
        <f t="shared" si="13"/>
        <v>#DIV/0!</v>
      </c>
      <c r="CW69" s="112" t="e">
        <f t="shared" si="56"/>
        <v>#DIV/0!</v>
      </c>
      <c r="CX69" s="112" t="e">
        <f t="shared" si="57"/>
        <v>#DIV/0!</v>
      </c>
      <c r="CY69" s="112" t="e">
        <f>+AU69/AF69</f>
        <v>#DIV/0!</v>
      </c>
      <c r="CZ69" s="110">
        <f>O69-O68</f>
        <v>0</v>
      </c>
      <c r="DA69" s="102" t="e">
        <f t="shared" si="17"/>
        <v>#DIV/0!</v>
      </c>
      <c r="DB69" s="102" t="e">
        <f t="shared" si="18"/>
        <v>#DIV/0!</v>
      </c>
      <c r="DC69" s="102" t="e">
        <f t="shared" si="19"/>
        <v>#DIV/0!</v>
      </c>
      <c r="DD69" s="102" t="e">
        <f t="shared" si="20"/>
        <v>#DIV/0!</v>
      </c>
      <c r="DE69" s="102" t="e">
        <f t="shared" si="21"/>
        <v>#DIV/0!</v>
      </c>
      <c r="DF69" s="102">
        <f>(BF69+BG69)</f>
        <v>0</v>
      </c>
      <c r="DG69" s="110">
        <f>Z69+AA69</f>
        <v>0</v>
      </c>
      <c r="DH69" s="110">
        <v>0</v>
      </c>
      <c r="DI69" s="52" t="e">
        <f t="shared" si="25"/>
        <v>#DIV/0!</v>
      </c>
      <c r="DJ69" s="52">
        <v>0</v>
      </c>
      <c r="DK69" s="52" t="e">
        <f t="shared" si="27"/>
        <v>#DIV/0!</v>
      </c>
      <c r="DL69" s="103" t="e">
        <f>+P69/O69</f>
        <v>#DIV/0!</v>
      </c>
      <c r="DM69" s="112" t="e">
        <f t="shared" si="28"/>
        <v>#DIV/0!</v>
      </c>
      <c r="DN69" s="110" t="e">
        <f>+'k - Exp'!$P$27</f>
        <v>#DIV/0!</v>
      </c>
      <c r="DO69" s="52" t="e">
        <f t="shared" si="30"/>
        <v>#DIV/0!</v>
      </c>
      <c r="DP69" s="219" t="e">
        <f t="shared" si="35"/>
        <v>#DIV/0!</v>
      </c>
      <c r="DQ69" s="219" t="e">
        <f t="shared" si="36"/>
        <v>#DIV/0!</v>
      </c>
      <c r="DR69" t="e">
        <f t="shared" si="37"/>
        <v>#DIV/0!</v>
      </c>
      <c r="DS69" t="e">
        <f t="shared" si="38"/>
        <v>#DIV/0!</v>
      </c>
      <c r="DT69" t="e">
        <f t="shared" si="39"/>
        <v>#DIV/0!</v>
      </c>
      <c r="DU69" t="e">
        <f t="shared" si="40"/>
        <v>#DIV/0!</v>
      </c>
      <c r="DV69" t="e">
        <f t="shared" si="41"/>
        <v>#DIV/0!</v>
      </c>
    </row>
    <row r="70" spans="1:126">
      <c r="A70" s="235"/>
      <c r="B70" s="235"/>
      <c r="C70" s="235"/>
      <c r="D70" s="234"/>
      <c r="E70" s="234"/>
      <c r="F70" s="234"/>
      <c r="G70" s="234"/>
      <c r="H70" s="234"/>
      <c r="I70" s="234"/>
      <c r="J70" s="234"/>
      <c r="K70" s="234"/>
      <c r="L70" s="234"/>
      <c r="M70" s="234"/>
      <c r="N70" s="234"/>
      <c r="O70" s="234"/>
      <c r="P70" s="234"/>
      <c r="Q70" s="234"/>
      <c r="R70" s="234"/>
      <c r="S70" s="234"/>
      <c r="T70" s="234"/>
      <c r="U70" s="234"/>
      <c r="V70" s="234"/>
      <c r="W70" s="234"/>
      <c r="X70" s="234"/>
      <c r="Y70" s="234"/>
      <c r="Z70" s="234"/>
      <c r="AA70" s="234"/>
      <c r="AB70" s="234"/>
      <c r="AC70" s="234"/>
      <c r="AD70" s="234"/>
      <c r="AE70" s="234"/>
      <c r="AF70" s="234"/>
      <c r="AG70" s="234"/>
      <c r="AH70" s="234"/>
      <c r="AI70" s="234"/>
      <c r="AJ70" s="234"/>
      <c r="AK70" s="234"/>
      <c r="AL70" s="234"/>
      <c r="AM70" s="234"/>
      <c r="AN70" s="234"/>
      <c r="AO70" s="234"/>
      <c r="AP70" s="234"/>
      <c r="AQ70" s="234"/>
      <c r="AR70" s="234"/>
      <c r="AS70" s="234"/>
      <c r="AT70" s="234"/>
      <c r="AU70" s="234"/>
      <c r="AV70" s="234"/>
      <c r="AW70" s="234"/>
      <c r="AX70" s="234"/>
      <c r="AY70" s="234"/>
      <c r="AZ70" s="234"/>
      <c r="BA70" s="234"/>
      <c r="BB70" s="234"/>
      <c r="BC70" s="234"/>
      <c r="BD70" s="234"/>
      <c r="BE70" s="234"/>
      <c r="BF70" s="234"/>
      <c r="BG70" s="234"/>
      <c r="BH70" s="234"/>
      <c r="BI70" s="234"/>
      <c r="BJ70" s="234"/>
      <c r="BK70" s="234"/>
      <c r="BL70" s="234"/>
      <c r="BM70" s="234"/>
      <c r="BN70" s="234"/>
      <c r="BO70" s="234"/>
      <c r="BP70" s="234"/>
      <c r="BQ70" s="234"/>
      <c r="BR70" s="234"/>
      <c r="BS70" s="234"/>
      <c r="BT70" s="234"/>
      <c r="BU70" s="234"/>
      <c r="BV70" s="234"/>
      <c r="BW70" s="234"/>
      <c r="BX70" s="234"/>
      <c r="BY70" s="234"/>
      <c r="BZ70" s="234"/>
      <c r="CA70" s="234"/>
      <c r="CB70" s="234"/>
      <c r="CC70" s="234"/>
      <c r="CD70" s="234"/>
      <c r="CE70" s="234"/>
      <c r="CF70" s="234"/>
      <c r="CG70" s="234"/>
      <c r="CH70" s="234"/>
      <c r="CI70" s="235"/>
      <c r="CJ70" s="235"/>
      <c r="CK70" s="235"/>
      <c r="CL70" s="235"/>
      <c r="CM70" s="235"/>
      <c r="CN70" s="235"/>
      <c r="CO70" s="235"/>
      <c r="CP70" s="235"/>
      <c r="CQ70" s="235"/>
      <c r="CR70" s="235"/>
      <c r="CS70" s="235"/>
      <c r="CT70" s="235"/>
      <c r="CU70" s="235"/>
      <c r="CV70" s="235"/>
      <c r="CW70" s="235"/>
      <c r="CX70" s="235"/>
      <c r="CY70" s="235"/>
      <c r="CZ70" s="235"/>
      <c r="DA70" s="235"/>
      <c r="DB70" s="235"/>
      <c r="DC70" s="235"/>
      <c r="DD70" s="235"/>
      <c r="DE70" s="235"/>
      <c r="DF70" s="235"/>
      <c r="DG70" s="235"/>
      <c r="DH70" s="235"/>
      <c r="DI70" s="235"/>
      <c r="DJ70" s="235"/>
      <c r="DK70" s="235"/>
      <c r="DL70" s="235"/>
      <c r="DM70" s="235"/>
      <c r="DN70" s="235"/>
      <c r="DO70" s="235"/>
      <c r="DP70" s="219"/>
      <c r="DQ70" s="219"/>
      <c r="DR70" s="219"/>
      <c r="DS70" s="219"/>
      <c r="DT70" s="219"/>
      <c r="DU70" s="219"/>
      <c r="DV70" s="219"/>
    </row>
    <row r="71" spans="1:126">
      <c r="A71" s="235"/>
      <c r="B71" s="235"/>
      <c r="C71" s="235"/>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H71" s="219"/>
      <c r="AI71" s="219"/>
      <c r="AJ71" s="219"/>
      <c r="AK71" s="219"/>
      <c r="AL71" s="219"/>
      <c r="AM71" s="219"/>
      <c r="AN71" s="219"/>
      <c r="AO71" s="219"/>
      <c r="AP71" s="219"/>
      <c r="AQ71" s="219"/>
      <c r="AR71" s="219"/>
      <c r="AS71" s="219"/>
      <c r="AT71" s="219"/>
      <c r="AU71" s="219"/>
      <c r="AV71" s="219"/>
      <c r="AW71" s="219"/>
      <c r="AX71" s="219"/>
      <c r="AY71" s="219"/>
      <c r="AZ71" s="219"/>
      <c r="BA71" s="219"/>
      <c r="BB71" s="219"/>
      <c r="BC71" s="219"/>
      <c r="BD71" s="219"/>
      <c r="BE71" s="219"/>
      <c r="BF71" s="219"/>
      <c r="BG71" s="219"/>
      <c r="BH71" s="219"/>
      <c r="BI71" s="219"/>
      <c r="BJ71" s="219"/>
      <c r="BK71" s="219"/>
      <c r="BL71" s="219"/>
      <c r="BM71" s="219"/>
      <c r="BN71" s="219"/>
      <c r="BO71" s="219"/>
      <c r="BP71" s="219"/>
      <c r="BQ71" s="219"/>
      <c r="BR71" s="219"/>
      <c r="BS71" s="219"/>
      <c r="BT71" s="219"/>
      <c r="BU71" s="219"/>
      <c r="BV71" s="219"/>
      <c r="BW71" s="219"/>
      <c r="BX71" s="219"/>
      <c r="BY71" s="219"/>
      <c r="BZ71" s="219"/>
      <c r="CA71" s="219"/>
      <c r="CB71" s="219"/>
      <c r="CC71" s="219"/>
      <c r="CD71" s="219"/>
      <c r="CE71" s="219"/>
      <c r="CF71" s="219"/>
      <c r="CG71" s="219"/>
      <c r="CH71" s="219"/>
      <c r="CI71" s="219"/>
      <c r="CJ71" s="219"/>
      <c r="CK71" s="219"/>
      <c r="CL71" s="219"/>
      <c r="CM71" s="219"/>
      <c r="CN71" s="219"/>
      <c r="CO71" s="219"/>
      <c r="CP71" s="219"/>
      <c r="CQ71" s="219"/>
      <c r="CR71" s="219"/>
      <c r="CS71" s="219"/>
      <c r="CT71" s="219"/>
      <c r="CU71" s="219"/>
      <c r="CV71" s="219"/>
      <c r="CW71" s="219"/>
      <c r="CX71" s="219"/>
      <c r="CY71" s="219"/>
      <c r="CZ71" s="219"/>
      <c r="DA71" s="219"/>
      <c r="DB71" s="219"/>
      <c r="DC71" s="219"/>
      <c r="DD71" s="219"/>
      <c r="DE71" s="219"/>
      <c r="DF71" s="219"/>
      <c r="DG71" s="219"/>
      <c r="DH71" s="219"/>
      <c r="DI71" s="219"/>
      <c r="DJ71" s="219"/>
      <c r="DK71" s="219"/>
      <c r="DL71" s="219"/>
      <c r="DM71" s="219"/>
      <c r="DN71" s="219"/>
      <c r="DO71" s="219"/>
      <c r="DP71" s="219"/>
      <c r="DQ71" s="219"/>
      <c r="DR71" s="219"/>
      <c r="DS71" s="219"/>
      <c r="DT71" s="219"/>
      <c r="DU71" s="219"/>
      <c r="DV71" s="219"/>
    </row>
    <row r="72" spans="1:126">
      <c r="A72" s="219"/>
      <c r="B72" s="219"/>
      <c r="C72" s="219"/>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219"/>
      <c r="AK72" s="219"/>
      <c r="AL72" s="219"/>
      <c r="AM72" s="219"/>
      <c r="AN72" s="219"/>
      <c r="AO72" s="219"/>
      <c r="AP72" s="219"/>
      <c r="AQ72" s="219"/>
      <c r="AR72" s="219"/>
      <c r="AS72" s="219"/>
      <c r="AT72" s="219"/>
      <c r="AU72" s="219"/>
      <c r="AV72" s="219"/>
      <c r="AW72" s="219"/>
      <c r="AX72" s="219"/>
      <c r="AY72" s="219"/>
      <c r="AZ72" s="219"/>
      <c r="BA72" s="219"/>
      <c r="BB72" s="219"/>
      <c r="BC72" s="219"/>
      <c r="BD72" s="219"/>
      <c r="BE72" s="219"/>
      <c r="BF72" s="219"/>
      <c r="BG72" s="219"/>
      <c r="BH72" s="219"/>
      <c r="BI72" s="219"/>
      <c r="BJ72" s="219"/>
      <c r="BK72" s="219"/>
      <c r="BL72" s="219"/>
      <c r="BM72" s="219"/>
      <c r="BN72" s="219"/>
      <c r="BO72" s="219"/>
      <c r="BP72" s="219"/>
      <c r="BQ72" s="219"/>
      <c r="BR72" s="219"/>
      <c r="BS72" s="219"/>
      <c r="BT72" s="219"/>
      <c r="BU72" s="219"/>
      <c r="BV72" s="219"/>
      <c r="BW72" s="219"/>
      <c r="BX72" s="219"/>
      <c r="BY72" s="219"/>
      <c r="BZ72" s="219"/>
      <c r="CA72" s="219"/>
      <c r="CB72" s="219"/>
      <c r="CC72" s="219"/>
      <c r="CD72" s="219"/>
      <c r="CE72" s="219"/>
      <c r="CF72" s="219"/>
      <c r="CG72" s="219"/>
      <c r="CH72" s="219"/>
      <c r="CI72" s="219"/>
      <c r="CJ72" s="219"/>
      <c r="CK72" s="219"/>
      <c r="CL72" s="219"/>
      <c r="CM72" s="219"/>
      <c r="CN72" s="219"/>
      <c r="CO72" s="219"/>
      <c r="CP72" s="219"/>
      <c r="CQ72" s="219"/>
      <c r="CR72" s="219"/>
      <c r="CS72" s="219"/>
      <c r="CT72" s="219"/>
      <c r="CU72" s="219"/>
      <c r="CV72" s="219"/>
      <c r="CW72" s="219"/>
      <c r="CX72" s="219"/>
      <c r="CY72" s="219"/>
      <c r="CZ72" s="219"/>
      <c r="DA72" s="219"/>
      <c r="DB72" s="219"/>
      <c r="DC72" s="219"/>
      <c r="DD72" s="219"/>
      <c r="DE72" s="219"/>
      <c r="DF72" s="219"/>
      <c r="DG72" s="219"/>
      <c r="DH72" s="219"/>
      <c r="DI72" s="219"/>
      <c r="DJ72" s="219"/>
      <c r="DK72" s="219"/>
      <c r="DL72" s="219"/>
      <c r="DM72" s="219"/>
      <c r="DN72" s="219"/>
      <c r="DO72" s="219"/>
      <c r="DP72" s="219"/>
      <c r="DQ72" s="219"/>
      <c r="DR72" s="219"/>
      <c r="DS72" s="219"/>
      <c r="DT72" s="219"/>
      <c r="DU72" s="219"/>
      <c r="DV72" s="219"/>
    </row>
    <row r="73" spans="1:126">
      <c r="A73" s="219"/>
      <c r="B73" s="219"/>
      <c r="C73" s="219"/>
      <c r="D73" s="219"/>
      <c r="E73" s="219"/>
      <c r="F73" s="219"/>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219"/>
      <c r="AH73" s="219"/>
      <c r="AI73" s="219"/>
      <c r="AJ73" s="219"/>
      <c r="AK73" s="219"/>
      <c r="AL73" s="219"/>
      <c r="AM73" s="219"/>
      <c r="AN73" s="219"/>
      <c r="AO73" s="219"/>
      <c r="AP73" s="219"/>
      <c r="AQ73" s="219"/>
      <c r="AR73" s="219"/>
      <c r="AS73" s="219"/>
      <c r="AT73" s="219"/>
      <c r="AU73" s="219"/>
      <c r="AV73" s="219"/>
      <c r="AW73" s="219"/>
      <c r="AX73" s="219"/>
      <c r="AY73" s="219"/>
      <c r="AZ73" s="219"/>
      <c r="BA73" s="219"/>
      <c r="BB73" s="219"/>
      <c r="BC73" s="219"/>
      <c r="BD73" s="219"/>
      <c r="BE73" s="219"/>
      <c r="BF73" s="219"/>
      <c r="BG73" s="219"/>
      <c r="BH73" s="219"/>
      <c r="BI73" s="219"/>
      <c r="BJ73" s="219"/>
      <c r="BK73" s="219"/>
      <c r="BL73" s="219"/>
      <c r="BM73" s="219"/>
      <c r="BN73" s="219"/>
      <c r="BO73" s="219"/>
      <c r="BP73" s="219"/>
      <c r="BQ73" s="219"/>
      <c r="BR73" s="219"/>
      <c r="BS73" s="219"/>
      <c r="BT73" s="219"/>
      <c r="BU73" s="219"/>
      <c r="BV73" s="219"/>
      <c r="BW73" s="219"/>
      <c r="BX73" s="219"/>
      <c r="BY73" s="219"/>
      <c r="BZ73" s="219"/>
      <c r="CA73" s="219"/>
      <c r="CB73" s="219"/>
      <c r="CC73" s="219"/>
      <c r="CD73" s="219"/>
      <c r="CE73" s="219"/>
      <c r="CF73" s="219"/>
      <c r="CG73" s="219"/>
      <c r="CH73" s="219"/>
      <c r="CI73" s="219"/>
      <c r="CJ73" s="219"/>
      <c r="CK73" s="219"/>
      <c r="CL73" s="219"/>
      <c r="CM73" s="219"/>
      <c r="CN73" s="219"/>
      <c r="CO73" s="219"/>
      <c r="CP73" s="219"/>
      <c r="CQ73" s="219"/>
      <c r="CR73" s="219"/>
      <c r="CS73" s="219"/>
      <c r="CT73" s="219"/>
      <c r="CU73" s="219"/>
      <c r="CV73" s="219"/>
      <c r="CW73" s="219"/>
      <c r="CX73" s="219"/>
      <c r="CY73" s="219"/>
      <c r="CZ73" s="219"/>
      <c r="DA73" s="219"/>
      <c r="DB73" s="219"/>
      <c r="DC73" s="219"/>
      <c r="DD73" s="219"/>
      <c r="DE73" s="219"/>
      <c r="DF73" s="219"/>
      <c r="DG73" s="219"/>
      <c r="DH73" s="219"/>
      <c r="DI73" s="219"/>
      <c r="DJ73" s="219"/>
      <c r="DK73" s="219"/>
      <c r="DL73" s="219"/>
      <c r="DM73" s="219"/>
      <c r="DN73" s="219"/>
      <c r="DO73" s="219"/>
      <c r="DP73" s="219"/>
      <c r="DQ73" s="219"/>
      <c r="DR73" s="219"/>
      <c r="DS73" s="219"/>
      <c r="DT73" s="219"/>
      <c r="DU73" s="219"/>
      <c r="DV73" s="219"/>
    </row>
    <row r="74" spans="1:126">
      <c r="A74" s="219"/>
      <c r="B74" s="219"/>
      <c r="C74" s="219"/>
      <c r="D74" s="219"/>
      <c r="E74" s="219"/>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H74" s="219"/>
      <c r="AI74" s="219"/>
      <c r="AJ74" s="219"/>
      <c r="AK74" s="219"/>
      <c r="AL74" s="219"/>
      <c r="AM74" s="219"/>
      <c r="AN74" s="219"/>
      <c r="AO74" s="219"/>
      <c r="AP74" s="219"/>
      <c r="AQ74" s="219"/>
      <c r="AR74" s="219"/>
      <c r="AS74" s="219"/>
      <c r="AT74" s="219"/>
      <c r="AU74" s="219"/>
      <c r="AV74" s="219"/>
      <c r="AW74" s="219"/>
      <c r="AX74" s="219"/>
      <c r="AY74" s="219"/>
      <c r="AZ74" s="219"/>
      <c r="BA74" s="219"/>
      <c r="BB74" s="219"/>
      <c r="BC74" s="219"/>
      <c r="BD74" s="219"/>
      <c r="BE74" s="219"/>
      <c r="BF74" s="219"/>
      <c r="BG74" s="219"/>
      <c r="BH74" s="219"/>
      <c r="BI74" s="219"/>
      <c r="BJ74" s="219"/>
      <c r="BK74" s="219"/>
      <c r="BL74" s="219"/>
      <c r="BM74" s="219"/>
      <c r="BN74" s="219"/>
      <c r="BO74" s="219"/>
      <c r="BP74" s="219"/>
      <c r="BQ74" s="219"/>
      <c r="BR74" s="219"/>
      <c r="BS74" s="219"/>
      <c r="BT74" s="219"/>
      <c r="BU74" s="219"/>
      <c r="BV74" s="219"/>
      <c r="BW74" s="219"/>
      <c r="BX74" s="219"/>
      <c r="BY74" s="219"/>
      <c r="BZ74" s="219"/>
      <c r="CA74" s="219"/>
      <c r="CB74" s="219"/>
      <c r="CC74" s="219"/>
      <c r="CD74" s="219"/>
      <c r="CE74" s="219"/>
      <c r="CF74" s="219"/>
      <c r="CG74" s="219"/>
      <c r="CH74" s="219"/>
      <c r="CI74" s="219"/>
      <c r="CJ74" s="219"/>
      <c r="CK74" s="219"/>
      <c r="CL74" s="219"/>
      <c r="CM74" s="219"/>
      <c r="CN74" s="219"/>
      <c r="CO74" s="219"/>
      <c r="CP74" s="219"/>
      <c r="CQ74" s="219"/>
      <c r="CR74" s="219"/>
      <c r="CS74" s="219"/>
      <c r="CT74" s="219"/>
      <c r="CU74" s="219"/>
      <c r="CV74" s="219"/>
      <c r="CW74" s="219"/>
      <c r="CX74" s="219"/>
      <c r="CY74" s="219"/>
      <c r="CZ74" s="219"/>
      <c r="DA74" s="219"/>
      <c r="DB74" s="219"/>
      <c r="DC74" s="219"/>
      <c r="DD74" s="219"/>
      <c r="DE74" s="219"/>
      <c r="DF74" s="219"/>
      <c r="DG74" s="219"/>
      <c r="DH74" s="219"/>
      <c r="DI74" s="219"/>
      <c r="DJ74" s="219"/>
      <c r="DK74" s="219"/>
      <c r="DL74" s="219"/>
      <c r="DM74" s="219"/>
      <c r="DN74" s="219"/>
      <c r="DO74" s="219"/>
      <c r="DP74" s="219"/>
      <c r="DQ74" s="219"/>
      <c r="DR74" s="219"/>
      <c r="DS74" s="219"/>
      <c r="DT74" s="219"/>
      <c r="DU74" s="219"/>
      <c r="DV74" s="219"/>
    </row>
    <row r="75" spans="1:126">
      <c r="A75" s="219"/>
      <c r="B75" s="219"/>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219"/>
      <c r="AK75" s="219"/>
      <c r="AL75" s="219"/>
      <c r="AM75" s="219"/>
      <c r="AN75" s="219"/>
      <c r="AO75" s="219"/>
      <c r="AP75" s="219"/>
      <c r="AQ75" s="219"/>
      <c r="AR75" s="219"/>
      <c r="AS75" s="219"/>
      <c r="AT75" s="219"/>
      <c r="AU75" s="219"/>
      <c r="AV75" s="219"/>
      <c r="AW75" s="219"/>
      <c r="AX75" s="219"/>
      <c r="AY75" s="219"/>
      <c r="AZ75" s="219"/>
      <c r="BA75" s="219"/>
      <c r="BB75" s="219"/>
      <c r="BC75" s="219"/>
      <c r="BD75" s="219"/>
      <c r="BE75" s="219"/>
      <c r="BF75" s="219"/>
      <c r="BG75" s="219"/>
      <c r="BH75" s="219"/>
      <c r="BI75" s="219"/>
      <c r="BJ75" s="219"/>
      <c r="BK75" s="219"/>
      <c r="BL75" s="219"/>
      <c r="BM75" s="219"/>
      <c r="BN75" s="219"/>
      <c r="BO75" s="219"/>
      <c r="BP75" s="219"/>
      <c r="BQ75" s="219"/>
      <c r="BR75" s="219"/>
      <c r="BS75" s="219"/>
      <c r="BT75" s="219"/>
      <c r="BU75" s="219"/>
      <c r="BV75" s="219"/>
      <c r="BW75" s="219"/>
      <c r="BX75" s="219"/>
      <c r="BY75" s="219"/>
      <c r="BZ75" s="219"/>
      <c r="CA75" s="219"/>
      <c r="CB75" s="219"/>
      <c r="CC75" s="219"/>
      <c r="CD75" s="219"/>
      <c r="CE75" s="219"/>
      <c r="CF75" s="219"/>
      <c r="CG75" s="219"/>
      <c r="CH75" s="219"/>
      <c r="CI75" s="219"/>
      <c r="CJ75" s="219"/>
      <c r="CK75" s="219"/>
      <c r="CL75" s="219"/>
      <c r="CM75" s="219"/>
      <c r="CN75" s="219"/>
      <c r="CO75" s="219"/>
      <c r="CP75" s="219"/>
      <c r="CQ75" s="219"/>
      <c r="CR75" s="219"/>
      <c r="CS75" s="219"/>
      <c r="CT75" s="219"/>
      <c r="CU75" s="219"/>
      <c r="CV75" s="219"/>
      <c r="CW75" s="219"/>
      <c r="CX75" s="219"/>
      <c r="CY75" s="219"/>
      <c r="CZ75" s="219"/>
      <c r="DA75" s="219"/>
      <c r="DB75" s="219"/>
      <c r="DC75" s="219"/>
      <c r="DD75" s="219"/>
      <c r="DE75" s="219"/>
      <c r="DF75" s="219"/>
      <c r="DG75" s="219"/>
      <c r="DH75" s="219"/>
      <c r="DI75" s="219"/>
      <c r="DJ75" s="219"/>
      <c r="DK75" s="219"/>
      <c r="DL75" s="219"/>
      <c r="DM75" s="219"/>
      <c r="DN75" s="219"/>
      <c r="DO75" s="219"/>
      <c r="DP75" s="219"/>
      <c r="DQ75" s="219"/>
      <c r="DR75" s="219"/>
      <c r="DS75" s="219"/>
      <c r="DT75" s="219"/>
      <c r="DU75" s="219"/>
      <c r="DV75" s="219"/>
    </row>
    <row r="76" spans="1:126">
      <c r="A76" s="219"/>
      <c r="B76" s="219"/>
      <c r="C76" s="219"/>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c r="AK76" s="219"/>
      <c r="AL76" s="219"/>
      <c r="AM76" s="219"/>
      <c r="AN76" s="219"/>
      <c r="AO76" s="219"/>
      <c r="AP76" s="219"/>
      <c r="AQ76" s="219"/>
      <c r="AR76" s="219"/>
      <c r="AS76" s="219"/>
      <c r="AT76" s="219"/>
      <c r="AU76" s="219"/>
      <c r="AV76" s="219"/>
      <c r="AW76" s="219"/>
      <c r="AX76" s="219"/>
      <c r="AY76" s="219"/>
      <c r="AZ76" s="219"/>
      <c r="BA76" s="219"/>
      <c r="BB76" s="219"/>
      <c r="BC76" s="219"/>
      <c r="BD76" s="219"/>
      <c r="BE76" s="219"/>
      <c r="BF76" s="219"/>
      <c r="BG76" s="219"/>
      <c r="BH76" s="219"/>
      <c r="BI76" s="219"/>
      <c r="BJ76" s="219"/>
      <c r="BK76" s="219"/>
      <c r="BL76" s="219"/>
      <c r="BM76" s="219"/>
      <c r="BN76" s="219"/>
      <c r="BO76" s="219"/>
      <c r="BP76" s="219"/>
      <c r="BQ76" s="219"/>
      <c r="BR76" s="219"/>
      <c r="BS76" s="219"/>
      <c r="BT76" s="219"/>
      <c r="BU76" s="219"/>
      <c r="BV76" s="219"/>
      <c r="BW76" s="219"/>
      <c r="BX76" s="219"/>
      <c r="BY76" s="219"/>
      <c r="BZ76" s="219"/>
      <c r="CA76" s="219"/>
      <c r="CB76" s="219"/>
      <c r="CC76" s="219"/>
      <c r="CD76" s="219"/>
      <c r="CE76" s="219"/>
      <c r="CF76" s="219"/>
      <c r="CG76" s="219"/>
      <c r="CH76" s="219"/>
      <c r="CI76" s="219"/>
      <c r="CJ76" s="219"/>
      <c r="CK76" s="219"/>
      <c r="CL76" s="219"/>
      <c r="CM76" s="219"/>
      <c r="CN76" s="219"/>
      <c r="CO76" s="219"/>
      <c r="CP76" s="219"/>
      <c r="CQ76" s="219"/>
      <c r="CR76" s="219"/>
      <c r="CS76" s="219"/>
      <c r="CT76" s="219"/>
      <c r="CU76" s="219"/>
      <c r="CV76" s="219"/>
      <c r="CW76" s="219"/>
      <c r="CX76" s="219"/>
      <c r="CY76" s="219"/>
      <c r="CZ76" s="219"/>
      <c r="DA76" s="219"/>
      <c r="DB76" s="219"/>
      <c r="DC76" s="219"/>
      <c r="DD76" s="219"/>
      <c r="DE76" s="219"/>
      <c r="DF76" s="219"/>
      <c r="DG76" s="219"/>
      <c r="DH76" s="219"/>
      <c r="DI76" s="219"/>
      <c r="DJ76" s="219"/>
      <c r="DK76" s="219"/>
      <c r="DL76" s="219"/>
      <c r="DM76" s="219"/>
      <c r="DN76" s="219"/>
      <c r="DO76" s="219"/>
      <c r="DP76" s="219"/>
      <c r="DQ76" s="219"/>
      <c r="DR76" s="219"/>
      <c r="DS76" s="219"/>
      <c r="DT76" s="219"/>
      <c r="DU76" s="219"/>
      <c r="DV76" s="219"/>
    </row>
    <row r="77" spans="1:126">
      <c r="A77" s="219"/>
      <c r="B77" s="219"/>
      <c r="C77" s="219"/>
      <c r="D77" s="219"/>
      <c r="E77" s="219"/>
      <c r="F77" s="219"/>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219"/>
      <c r="AE77" s="219"/>
      <c r="AF77" s="219"/>
      <c r="AG77" s="219"/>
      <c r="AH77" s="219"/>
      <c r="AI77" s="219"/>
      <c r="AJ77" s="219"/>
      <c r="AK77" s="219"/>
      <c r="AL77" s="219"/>
      <c r="AM77" s="219"/>
      <c r="AN77" s="219"/>
      <c r="AO77" s="219"/>
      <c r="AP77" s="219"/>
      <c r="AQ77" s="219"/>
      <c r="AR77" s="219"/>
      <c r="AS77" s="219"/>
      <c r="AT77" s="219"/>
      <c r="AU77" s="219"/>
      <c r="AV77" s="219"/>
      <c r="AW77" s="219"/>
      <c r="AX77" s="219"/>
      <c r="AY77" s="219"/>
      <c r="AZ77" s="219"/>
      <c r="BA77" s="219"/>
      <c r="BB77" s="219"/>
      <c r="BC77" s="219"/>
      <c r="BD77" s="219"/>
      <c r="BE77" s="219"/>
      <c r="BF77" s="219"/>
      <c r="BG77" s="219"/>
      <c r="BH77" s="219"/>
      <c r="BI77" s="219"/>
      <c r="BJ77" s="219"/>
      <c r="BK77" s="219"/>
      <c r="BL77" s="219"/>
      <c r="BM77" s="219"/>
      <c r="BN77" s="219"/>
      <c r="BO77" s="219"/>
      <c r="BP77" s="219"/>
      <c r="BQ77" s="219"/>
      <c r="BR77" s="219"/>
      <c r="BS77" s="219"/>
      <c r="BT77" s="219"/>
      <c r="BU77" s="219"/>
      <c r="BV77" s="219"/>
      <c r="BW77" s="219"/>
      <c r="BX77" s="219"/>
      <c r="BY77" s="219"/>
      <c r="BZ77" s="219"/>
      <c r="CA77" s="219"/>
      <c r="CB77" s="219"/>
      <c r="CC77" s="219"/>
      <c r="CD77" s="219"/>
      <c r="CE77" s="219"/>
      <c r="CF77" s="219"/>
      <c r="CG77" s="219"/>
      <c r="CH77" s="219"/>
      <c r="CI77" s="219"/>
      <c r="CJ77" s="219"/>
      <c r="CK77" s="219"/>
      <c r="CL77" s="219"/>
      <c r="CM77" s="219"/>
      <c r="CN77" s="219"/>
      <c r="CO77" s="219"/>
      <c r="CP77" s="219"/>
      <c r="CQ77" s="219"/>
      <c r="CR77" s="219"/>
      <c r="CS77" s="219"/>
      <c r="CT77" s="219"/>
      <c r="CU77" s="219"/>
      <c r="CV77" s="219"/>
      <c r="CW77" s="219"/>
      <c r="CX77" s="219"/>
      <c r="CY77" s="219"/>
      <c r="CZ77" s="219"/>
      <c r="DA77" s="219"/>
      <c r="DB77" s="219"/>
      <c r="DC77" s="219"/>
      <c r="DD77" s="219"/>
      <c r="DE77" s="219"/>
      <c r="DF77" s="219"/>
      <c r="DG77" s="219"/>
      <c r="DH77" s="219"/>
      <c r="DI77" s="219"/>
      <c r="DJ77" s="219"/>
      <c r="DK77" s="219"/>
      <c r="DL77" s="219"/>
      <c r="DM77" s="219"/>
      <c r="DN77" s="219"/>
      <c r="DO77" s="219"/>
      <c r="DP77" s="219"/>
      <c r="DQ77" s="219"/>
      <c r="DR77" s="219"/>
      <c r="DS77" s="219"/>
      <c r="DT77" s="219"/>
      <c r="DU77" s="219"/>
      <c r="DV77" s="219"/>
    </row>
    <row r="78" spans="1:126">
      <c r="A78" s="219"/>
      <c r="B78" s="219"/>
      <c r="C78" s="219"/>
      <c r="D78" s="219"/>
      <c r="E78" s="219"/>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219"/>
      <c r="AH78" s="219"/>
      <c r="AI78" s="219"/>
      <c r="AJ78" s="219"/>
      <c r="AK78" s="219"/>
      <c r="AL78" s="219"/>
      <c r="AM78" s="219"/>
      <c r="AN78" s="219"/>
      <c r="AO78" s="219"/>
      <c r="AP78" s="219"/>
      <c r="AQ78" s="219"/>
      <c r="AR78" s="219"/>
      <c r="AS78" s="219"/>
      <c r="AT78" s="219"/>
      <c r="AU78" s="219"/>
      <c r="AV78" s="219"/>
      <c r="AW78" s="219"/>
      <c r="AX78" s="219"/>
      <c r="AY78" s="219"/>
      <c r="AZ78" s="219"/>
      <c r="BA78" s="219"/>
      <c r="BB78" s="219"/>
      <c r="BC78" s="219"/>
      <c r="BD78" s="219"/>
      <c r="BE78" s="219"/>
      <c r="BF78" s="219"/>
      <c r="BG78" s="219"/>
      <c r="BH78" s="219"/>
      <c r="BI78" s="219"/>
      <c r="BJ78" s="219"/>
      <c r="BK78" s="219"/>
      <c r="BL78" s="219"/>
      <c r="BM78" s="219"/>
      <c r="BN78" s="219"/>
      <c r="BO78" s="219"/>
      <c r="BP78" s="219"/>
      <c r="BQ78" s="219"/>
      <c r="BR78" s="219"/>
      <c r="BS78" s="219"/>
      <c r="BT78" s="219"/>
      <c r="BU78" s="219"/>
      <c r="BV78" s="219"/>
      <c r="BW78" s="219"/>
      <c r="BX78" s="219"/>
      <c r="BY78" s="219"/>
      <c r="BZ78" s="219"/>
      <c r="CA78" s="219"/>
      <c r="CB78" s="219"/>
      <c r="CC78" s="219"/>
      <c r="CD78" s="219"/>
      <c r="CE78" s="219"/>
      <c r="CF78" s="219"/>
      <c r="CG78" s="219"/>
      <c r="CH78" s="219"/>
      <c r="CI78" s="219"/>
      <c r="CJ78" s="219"/>
      <c r="CK78" s="219"/>
      <c r="CL78" s="219"/>
      <c r="CM78" s="219"/>
      <c r="CN78" s="219"/>
      <c r="CO78" s="219"/>
      <c r="CP78" s="219"/>
      <c r="CQ78" s="219"/>
      <c r="CR78" s="219"/>
      <c r="CS78" s="219"/>
      <c r="CT78" s="219"/>
      <c r="CU78" s="219"/>
      <c r="CV78" s="219"/>
      <c r="CW78" s="219"/>
      <c r="CX78" s="219"/>
      <c r="CY78" s="219"/>
      <c r="CZ78" s="219"/>
      <c r="DA78" s="219"/>
      <c r="DB78" s="219"/>
      <c r="DC78" s="219"/>
      <c r="DD78" s="219"/>
      <c r="DE78" s="219"/>
      <c r="DF78" s="219"/>
      <c r="DG78" s="219"/>
      <c r="DH78" s="219"/>
      <c r="DI78" s="219"/>
      <c r="DJ78" s="219"/>
      <c r="DK78" s="219"/>
      <c r="DL78" s="219"/>
      <c r="DM78" s="219"/>
      <c r="DN78" s="219"/>
      <c r="DO78" s="219"/>
      <c r="DP78" s="219"/>
      <c r="DQ78" s="219"/>
      <c r="DR78" s="219"/>
      <c r="DS78" s="219"/>
      <c r="DT78" s="219"/>
      <c r="DU78" s="219"/>
      <c r="DV78" s="219"/>
    </row>
    <row r="79" spans="1:126">
      <c r="A79" s="219"/>
      <c r="B79" s="219"/>
      <c r="C79" s="219"/>
      <c r="D79" s="219"/>
      <c r="E79" s="219"/>
      <c r="F79" s="219"/>
      <c r="G79" s="219"/>
      <c r="H79" s="219"/>
      <c r="I79" s="219"/>
      <c r="J79" s="219"/>
      <c r="K79" s="219"/>
      <c r="L79" s="219"/>
      <c r="M79" s="219"/>
      <c r="N79" s="219"/>
      <c r="O79" s="219"/>
      <c r="P79" s="219"/>
      <c r="Q79" s="219"/>
      <c r="R79" s="219"/>
      <c r="S79" s="219"/>
      <c r="T79" s="219"/>
      <c r="U79" s="219"/>
      <c r="V79" s="219"/>
      <c r="W79" s="219"/>
      <c r="X79" s="219"/>
      <c r="Y79" s="219"/>
      <c r="Z79" s="219"/>
      <c r="AA79" s="219"/>
      <c r="AB79" s="219"/>
      <c r="AC79" s="219"/>
      <c r="AD79" s="219"/>
      <c r="AE79" s="219"/>
      <c r="AF79" s="219"/>
      <c r="AG79" s="219"/>
      <c r="AH79" s="219"/>
      <c r="AI79" s="219"/>
      <c r="AJ79" s="219"/>
      <c r="AK79" s="219"/>
      <c r="AL79" s="219"/>
      <c r="AM79" s="219"/>
      <c r="AN79" s="219"/>
      <c r="AO79" s="219"/>
      <c r="AP79" s="219"/>
      <c r="AQ79" s="219"/>
      <c r="AR79" s="219"/>
      <c r="AS79" s="219"/>
      <c r="AT79" s="219"/>
      <c r="AU79" s="219"/>
      <c r="AV79" s="219"/>
      <c r="AW79" s="219"/>
      <c r="AX79" s="219"/>
      <c r="AY79" s="219"/>
      <c r="AZ79" s="219"/>
      <c r="BA79" s="219"/>
      <c r="BB79" s="219"/>
      <c r="BC79" s="219"/>
      <c r="BD79" s="219"/>
      <c r="BE79" s="219"/>
      <c r="BF79" s="219"/>
      <c r="BG79" s="219"/>
      <c r="BH79" s="219"/>
      <c r="BI79" s="219"/>
      <c r="BJ79" s="219"/>
      <c r="BK79" s="219"/>
      <c r="BL79" s="219"/>
      <c r="BM79" s="219"/>
      <c r="BN79" s="219"/>
      <c r="BO79" s="219"/>
      <c r="BP79" s="219"/>
      <c r="BQ79" s="219"/>
      <c r="BR79" s="219"/>
      <c r="BS79" s="219"/>
      <c r="BT79" s="219"/>
      <c r="BU79" s="219"/>
      <c r="BV79" s="219"/>
      <c r="BW79" s="219"/>
      <c r="BX79" s="219"/>
      <c r="BY79" s="219"/>
      <c r="BZ79" s="219"/>
      <c r="CA79" s="219"/>
      <c r="CB79" s="219"/>
      <c r="CC79" s="219"/>
      <c r="CD79" s="219"/>
      <c r="CE79" s="219"/>
      <c r="CF79" s="219"/>
      <c r="CG79" s="219"/>
      <c r="CH79" s="219"/>
      <c r="CI79" s="219"/>
      <c r="CJ79" s="219"/>
      <c r="CK79" s="219"/>
      <c r="CL79" s="219"/>
      <c r="CM79" s="219"/>
      <c r="CN79" s="219"/>
      <c r="CO79" s="219"/>
      <c r="CP79" s="219"/>
      <c r="CQ79" s="219"/>
      <c r="CR79" s="219"/>
      <c r="CS79" s="219"/>
      <c r="CT79" s="219"/>
      <c r="CU79" s="219"/>
      <c r="CV79" s="219"/>
      <c r="CW79" s="219"/>
      <c r="CX79" s="219"/>
      <c r="CY79" s="219"/>
      <c r="CZ79" s="219"/>
      <c r="DA79" s="219"/>
      <c r="DB79" s="219"/>
      <c r="DC79" s="219"/>
      <c r="DD79" s="219"/>
      <c r="DE79" s="219"/>
      <c r="DF79" s="219"/>
      <c r="DG79" s="219"/>
      <c r="DH79" s="219"/>
      <c r="DI79" s="219"/>
      <c r="DJ79" s="219"/>
      <c r="DK79" s="219"/>
      <c r="DL79" s="219"/>
      <c r="DM79" s="219"/>
      <c r="DN79" s="219"/>
      <c r="DO79" s="219"/>
      <c r="DP79" s="219"/>
      <c r="DQ79" s="219"/>
      <c r="DR79" s="219"/>
      <c r="DS79" s="219"/>
      <c r="DT79" s="219"/>
      <c r="DU79" s="219"/>
      <c r="DV79" s="219"/>
    </row>
    <row r="80" spans="1:126">
      <c r="A80" s="219"/>
      <c r="B80" s="219"/>
      <c r="C80" s="219"/>
      <c r="D80" s="219"/>
      <c r="E80" s="219"/>
      <c r="F80" s="219"/>
      <c r="G80" s="219"/>
      <c r="H80" s="219"/>
      <c r="I80" s="219"/>
      <c r="J80" s="219"/>
      <c r="K80" s="219"/>
      <c r="L80" s="219"/>
      <c r="M80" s="219"/>
      <c r="N80" s="219"/>
      <c r="O80" s="219"/>
      <c r="P80" s="219"/>
      <c r="Q80" s="219"/>
      <c r="R80" s="219"/>
      <c r="S80" s="219"/>
      <c r="T80" s="219"/>
      <c r="U80" s="219"/>
      <c r="V80" s="219"/>
      <c r="W80" s="219"/>
      <c r="X80" s="219"/>
      <c r="Y80" s="219"/>
      <c r="Z80" s="219"/>
      <c r="AA80" s="219"/>
      <c r="AB80" s="219"/>
      <c r="AC80" s="219"/>
      <c r="AD80" s="219"/>
      <c r="AE80" s="219"/>
      <c r="AF80" s="219"/>
      <c r="AG80" s="219"/>
      <c r="AH80" s="219"/>
      <c r="AI80" s="219"/>
      <c r="AJ80" s="219"/>
      <c r="AK80" s="219"/>
      <c r="AL80" s="219"/>
      <c r="AM80" s="219"/>
      <c r="AN80" s="219"/>
      <c r="AO80" s="219"/>
      <c r="AP80" s="219"/>
      <c r="AQ80" s="219"/>
      <c r="AR80" s="219"/>
      <c r="AS80" s="219"/>
      <c r="AT80" s="219"/>
      <c r="AU80" s="219"/>
      <c r="AV80" s="219"/>
      <c r="AW80" s="219"/>
      <c r="AX80" s="219"/>
      <c r="AY80" s="219"/>
      <c r="AZ80" s="219"/>
      <c r="BA80" s="219"/>
      <c r="BB80" s="219"/>
      <c r="BC80" s="219"/>
      <c r="BD80" s="219"/>
      <c r="BE80" s="219"/>
      <c r="BF80" s="219"/>
      <c r="BG80" s="219"/>
      <c r="BH80" s="219"/>
      <c r="BI80" s="219"/>
      <c r="BJ80" s="219"/>
      <c r="BK80" s="219"/>
      <c r="BL80" s="219"/>
      <c r="BM80" s="219"/>
      <c r="BN80" s="219"/>
      <c r="BO80" s="219"/>
      <c r="BP80" s="219"/>
      <c r="BQ80" s="219"/>
      <c r="BR80" s="219"/>
      <c r="BS80" s="219"/>
      <c r="BT80" s="219"/>
      <c r="BU80" s="219"/>
      <c r="BV80" s="219"/>
      <c r="BW80" s="219"/>
      <c r="BX80" s="219"/>
      <c r="BY80" s="219"/>
      <c r="BZ80" s="219"/>
      <c r="CA80" s="219"/>
      <c r="CB80" s="219"/>
      <c r="CC80" s="219"/>
      <c r="CD80" s="219"/>
      <c r="CE80" s="219"/>
      <c r="CF80" s="219"/>
      <c r="CG80" s="219"/>
      <c r="CH80" s="219"/>
      <c r="CI80" s="219"/>
      <c r="CJ80" s="219"/>
      <c r="CK80" s="219"/>
      <c r="CL80" s="219"/>
      <c r="CM80" s="219"/>
      <c r="CN80" s="219"/>
      <c r="CO80" s="219"/>
      <c r="CP80" s="219"/>
      <c r="CQ80" s="219"/>
      <c r="CR80" s="219"/>
      <c r="CS80" s="219"/>
      <c r="CT80" s="219"/>
      <c r="CU80" s="219"/>
      <c r="CV80" s="219"/>
      <c r="CW80" s="219"/>
      <c r="CX80" s="219"/>
      <c r="CY80" s="219"/>
      <c r="CZ80" s="219"/>
      <c r="DA80" s="219"/>
      <c r="DB80" s="219"/>
      <c r="DC80" s="219"/>
      <c r="DD80" s="219"/>
      <c r="DE80" s="219"/>
      <c r="DF80" s="219"/>
      <c r="DG80" s="219"/>
      <c r="DH80" s="219"/>
      <c r="DI80" s="219"/>
      <c r="DJ80" s="219"/>
      <c r="DK80" s="219"/>
      <c r="DL80" s="219"/>
      <c r="DM80" s="219"/>
      <c r="DN80" s="219"/>
      <c r="DO80" s="219"/>
      <c r="DP80" s="219"/>
      <c r="DQ80" s="219"/>
      <c r="DR80" s="219"/>
      <c r="DS80" s="219"/>
      <c r="DT80" s="219"/>
      <c r="DU80" s="219"/>
      <c r="DV80" s="219"/>
    </row>
    <row r="81" spans="1:126">
      <c r="A81" s="219"/>
      <c r="B81" s="219"/>
      <c r="C81" s="219"/>
      <c r="D81" s="219"/>
      <c r="E81" s="219"/>
      <c r="F81" s="219"/>
      <c r="G81" s="219"/>
      <c r="H81" s="219"/>
      <c r="I81" s="219"/>
      <c r="J81" s="219"/>
      <c r="K81" s="219"/>
      <c r="L81" s="219"/>
      <c r="M81" s="219"/>
      <c r="N81" s="219"/>
      <c r="O81" s="219"/>
      <c r="P81" s="219"/>
      <c r="Q81" s="219"/>
      <c r="R81" s="219"/>
      <c r="S81" s="219"/>
      <c r="T81" s="219"/>
      <c r="U81" s="219"/>
      <c r="V81" s="219"/>
      <c r="W81" s="219"/>
      <c r="X81" s="219"/>
      <c r="Y81" s="219"/>
      <c r="Z81" s="219"/>
      <c r="AA81" s="219"/>
      <c r="AB81" s="219"/>
      <c r="AC81" s="219"/>
      <c r="AD81" s="219"/>
      <c r="AE81" s="219"/>
      <c r="AF81" s="219"/>
      <c r="AG81" s="219"/>
      <c r="AH81" s="219"/>
      <c r="AI81" s="219"/>
      <c r="AJ81" s="219"/>
      <c r="AK81" s="219"/>
      <c r="AL81" s="219"/>
      <c r="AM81" s="219"/>
      <c r="AN81" s="219"/>
      <c r="AO81" s="219"/>
      <c r="AP81" s="219"/>
      <c r="AQ81" s="219"/>
      <c r="AR81" s="219"/>
      <c r="AS81" s="219"/>
      <c r="AT81" s="219"/>
      <c r="AU81" s="219"/>
      <c r="AV81" s="219"/>
      <c r="AW81" s="219"/>
      <c r="AX81" s="219"/>
      <c r="AY81" s="219"/>
      <c r="AZ81" s="219"/>
      <c r="BA81" s="219"/>
      <c r="BB81" s="219"/>
      <c r="BC81" s="219"/>
      <c r="BD81" s="219"/>
      <c r="BE81" s="219"/>
      <c r="BF81" s="219"/>
      <c r="BG81" s="219"/>
      <c r="BH81" s="219"/>
      <c r="BI81" s="219"/>
      <c r="BJ81" s="219"/>
      <c r="BK81" s="219"/>
      <c r="BL81" s="219"/>
      <c r="BM81" s="219"/>
      <c r="BN81" s="219"/>
      <c r="BO81" s="219"/>
      <c r="BP81" s="219"/>
      <c r="BQ81" s="219"/>
      <c r="BR81" s="219"/>
      <c r="BS81" s="219"/>
      <c r="BT81" s="219"/>
      <c r="BU81" s="219"/>
      <c r="BV81" s="219"/>
      <c r="BW81" s="219"/>
      <c r="BX81" s="219"/>
      <c r="BY81" s="219"/>
      <c r="BZ81" s="219"/>
      <c r="CA81" s="219"/>
      <c r="CB81" s="219"/>
      <c r="CC81" s="219"/>
      <c r="CD81" s="219"/>
      <c r="CE81" s="219"/>
      <c r="CF81" s="219"/>
      <c r="CG81" s="219"/>
      <c r="CH81" s="219"/>
      <c r="CI81" s="219"/>
      <c r="CJ81" s="219"/>
      <c r="CK81" s="219"/>
      <c r="CL81" s="219"/>
      <c r="CM81" s="219"/>
      <c r="CN81" s="219"/>
      <c r="CO81" s="219"/>
      <c r="CP81" s="219"/>
      <c r="CQ81" s="219"/>
      <c r="CR81" s="219"/>
      <c r="CS81" s="219"/>
      <c r="CT81" s="219"/>
      <c r="CU81" s="219"/>
      <c r="CV81" s="219"/>
      <c r="CW81" s="219"/>
      <c r="CX81" s="219"/>
      <c r="CY81" s="219"/>
      <c r="CZ81" s="219"/>
      <c r="DA81" s="219"/>
      <c r="DB81" s="219"/>
      <c r="DC81" s="219"/>
      <c r="DD81" s="219"/>
      <c r="DE81" s="219"/>
      <c r="DF81" s="219"/>
      <c r="DG81" s="219"/>
      <c r="DH81" s="219"/>
      <c r="DI81" s="219"/>
      <c r="DJ81" s="219"/>
      <c r="DK81" s="219"/>
      <c r="DL81" s="219"/>
      <c r="DM81" s="219"/>
      <c r="DN81" s="219"/>
      <c r="DO81" s="219"/>
      <c r="DP81" s="219"/>
      <c r="DQ81" s="219"/>
      <c r="DR81" s="219"/>
      <c r="DS81" s="219"/>
      <c r="DT81" s="219"/>
      <c r="DU81" s="219"/>
      <c r="DV81" s="219"/>
    </row>
    <row r="91" spans="1:126" ht="15.5">
      <c r="D91" s="108">
        <v>0</v>
      </c>
      <c r="E91" s="108">
        <v>0</v>
      </c>
      <c r="F91" s="108">
        <v>0</v>
      </c>
      <c r="G91" s="108">
        <v>0</v>
      </c>
      <c r="H91" s="108">
        <v>0</v>
      </c>
      <c r="I91" s="108">
        <v>0</v>
      </c>
      <c r="J91" s="108">
        <v>0</v>
      </c>
      <c r="K91" s="108">
        <v>0</v>
      </c>
      <c r="L91" s="108">
        <v>0</v>
      </c>
      <c r="M91" s="108">
        <v>0</v>
      </c>
      <c r="N91" s="108">
        <v>0</v>
      </c>
      <c r="O91" s="108">
        <f>+'g - Plant'!$G$12</f>
        <v>0</v>
      </c>
      <c r="P91" s="108">
        <f>+'a &amp; b'!$D$47</f>
        <v>0</v>
      </c>
      <c r="Q91" s="108">
        <f>$D$60</f>
        <v>0</v>
      </c>
      <c r="R91" s="108">
        <v>0</v>
      </c>
      <c r="S91" s="108">
        <v>0</v>
      </c>
      <c r="T91" s="108">
        <v>0</v>
      </c>
      <c r="U91" s="108">
        <v>0</v>
      </c>
      <c r="V91" s="108">
        <f>+'a &amp; b'!$D$52</f>
        <v>0</v>
      </c>
      <c r="W91" s="108">
        <v>0</v>
      </c>
      <c r="X91" s="108">
        <v>0</v>
      </c>
      <c r="Y91" s="108">
        <f>+'a &amp; b'!$D$55</f>
        <v>0</v>
      </c>
      <c r="Z91" s="108">
        <f>+'a &amp; b'!$D$57+'a &amp; b'!$D$58+'a &amp; b'!$D$59</f>
        <v>0</v>
      </c>
      <c r="AA91" s="108">
        <f>+'a &amp; b'!$D$62</f>
        <v>0</v>
      </c>
      <c r="AB91" s="108">
        <v>0</v>
      </c>
      <c r="AC91" s="108">
        <v>0</v>
      </c>
      <c r="AD91" s="108">
        <v>0</v>
      </c>
      <c r="AE91" s="108">
        <f>+'a &amp; b'!$D$66</f>
        <v>0</v>
      </c>
      <c r="AF91" s="108">
        <f>+'f - Rev'!$F$166</f>
        <v>0</v>
      </c>
      <c r="AG91" s="108">
        <v>0</v>
      </c>
      <c r="AH91" s="108">
        <f>+'k - Exp'!$F$11</f>
        <v>0</v>
      </c>
      <c r="AI91" s="110">
        <f>+'k - Exp'!$F$13/2</f>
        <v>0</v>
      </c>
      <c r="AJ91" s="110">
        <f>+'k - Exp'!$F$13/2</f>
        <v>0</v>
      </c>
      <c r="AK91" s="52">
        <f>+'k - Exp'!$F$27/3</f>
        <v>0</v>
      </c>
      <c r="AL91" s="52">
        <f>+'k - Exp'!$F$27/3</f>
        <v>0</v>
      </c>
      <c r="AM91" s="108">
        <f>+'k - Exp'!$F$16</f>
        <v>0</v>
      </c>
      <c r="AN91" s="52">
        <f>+'k - Exp'!$F$27/3</f>
        <v>0</v>
      </c>
      <c r="AO91" s="108">
        <f>+'k - Exp'!$F$19</f>
        <v>0</v>
      </c>
      <c r="AP91" s="108">
        <f>+'k - Exp'!$F$22</f>
        <v>0</v>
      </c>
      <c r="AQ91" s="108">
        <v>0</v>
      </c>
      <c r="AR91" s="108">
        <v>0</v>
      </c>
      <c r="AS91" s="108">
        <f>+Input!$F$35</f>
        <v>0</v>
      </c>
      <c r="AT91" s="108">
        <f>+Input!$F$36</f>
        <v>0</v>
      </c>
      <c r="AU91" s="108">
        <f>+Input!$F$32</f>
        <v>0</v>
      </c>
      <c r="AV91" s="108">
        <v>0</v>
      </c>
      <c r="AW91" s="108">
        <v>0</v>
      </c>
      <c r="AX91" s="108">
        <f>+'e - Sales'!$F$8+'e - Sales'!$F$9</f>
        <v>0</v>
      </c>
      <c r="AY91" s="108">
        <f>+'e - Sales'!$F$11</f>
        <v>0</v>
      </c>
      <c r="AZ91" s="108">
        <f>+'e - Sales'!$F$12+'e - Sales'!$F$13+'e - Sales'!$F$14+'e - Sales'!$F$15</f>
        <v>0</v>
      </c>
      <c r="BA91" s="108">
        <f>+'e - Sales'!$F$10</f>
        <v>0</v>
      </c>
      <c r="BB91" s="108">
        <v>0</v>
      </c>
      <c r="BC91" s="108">
        <v>0</v>
      </c>
      <c r="BD91" s="108">
        <f>+'e - Sales'!$F$21</f>
        <v>0</v>
      </c>
      <c r="BE91" s="108">
        <f>+('e - Sales'!$F$39+'e - Sales'!$F$40)/1000</f>
        <v>0</v>
      </c>
      <c r="BF91" s="108">
        <f>+'e - Sales'!$F$42/1000</f>
        <v>0</v>
      </c>
      <c r="BG91" s="108">
        <f>+('e - Sales'!$F$43+'e - Sales'!$F$44+'e - Sales'!$F$45+'e - Sales'!$F$46)/1000</f>
        <v>0</v>
      </c>
      <c r="BH91" s="108">
        <f>+'e - Sales'!$F$41/1000</f>
        <v>0</v>
      </c>
      <c r="BI91" s="108">
        <v>0</v>
      </c>
      <c r="BJ91" s="108">
        <v>0</v>
      </c>
      <c r="BK91" s="108">
        <f>+'e - Sales'!$F$54/1000</f>
        <v>0</v>
      </c>
      <c r="BL91" s="108">
        <f>+'f - Rev'!$F$15+'f - Rev'!$F$24</f>
        <v>0</v>
      </c>
      <c r="BM91" s="108">
        <f>+'f - Rev'!$F$42</f>
        <v>0</v>
      </c>
      <c r="BN91" s="108">
        <f>+'f - Rev'!$F$51+'f - Rev'!$F$74+'f - Rev'!$F$83+'f - Rev'!$F$92</f>
        <v>0</v>
      </c>
      <c r="BO91" s="108">
        <f>+'f - Rev'!$F$33</f>
        <v>0</v>
      </c>
      <c r="BP91" s="108">
        <v>0</v>
      </c>
      <c r="BQ91" s="108">
        <v>0</v>
      </c>
      <c r="BR91" s="108">
        <f>+'f - Rev'!$F$164</f>
        <v>0</v>
      </c>
      <c r="BS91" s="108">
        <f>+'f - Rev'!$F$165</f>
        <v>0</v>
      </c>
      <c r="BT91" s="108">
        <f>+'f - Rev'!$F$166</f>
        <v>0</v>
      </c>
      <c r="BU91" s="108">
        <v>0</v>
      </c>
      <c r="BV91" s="108">
        <v>0</v>
      </c>
      <c r="BW91" s="108">
        <v>0</v>
      </c>
      <c r="BX91" s="108">
        <v>0</v>
      </c>
      <c r="BY91" s="108">
        <f>+'e - Sales'!$F$21</f>
        <v>0</v>
      </c>
      <c r="BZ91" s="109">
        <v>0</v>
      </c>
      <c r="CA91" s="109">
        <v>0</v>
      </c>
      <c r="CB91" s="108">
        <f>+'e - Sales'!$F$61/1000</f>
        <v>0</v>
      </c>
      <c r="CC91" s="108">
        <f>+'e - Sales'!$F$24</f>
        <v>0</v>
      </c>
      <c r="CD91" s="109">
        <f>+'a &amp; b'!$D$17</f>
        <v>0</v>
      </c>
      <c r="CE91" s="109">
        <f>+'a &amp; b'!$D$15</f>
        <v>0</v>
      </c>
      <c r="CF91" s="108">
        <v>0</v>
      </c>
      <c r="CG91" s="108">
        <v>0</v>
      </c>
      <c r="CH91" s="109" t="e">
        <f>+'a &amp; b'!$D$14</f>
        <v>#DIV/0!</v>
      </c>
      <c r="CI91" s="110">
        <f>AF91-AH91</f>
        <v>0</v>
      </c>
      <c r="CJ91" s="111" t="e">
        <f>BY91/BU91</f>
        <v>#DIV/0!</v>
      </c>
      <c r="CK91" s="52" t="e">
        <f>BL91/BE91</f>
        <v>#DIV/0!</v>
      </c>
      <c r="CL91" s="52" t="e">
        <f>BM91/BF91</f>
        <v>#DIV/0!</v>
      </c>
      <c r="CM91" s="52" t="e">
        <f>BN91/BG91</f>
        <v>#DIV/0!</v>
      </c>
      <c r="CN91" s="52" t="e">
        <f>(BM91+BN91)/(BF91+BG91)</f>
        <v>#DIV/0!</v>
      </c>
      <c r="CO91" s="52" t="e">
        <f>BO91/BH91</f>
        <v>#DIV/0!</v>
      </c>
      <c r="CP91" s="3">
        <f>AI91+AJ91</f>
        <v>0</v>
      </c>
      <c r="CQ91" s="112" t="e">
        <f>AI91/O91</f>
        <v>#DIV/0!</v>
      </c>
      <c r="CR91" s="112" t="e">
        <f>AJ91/O91</f>
        <v>#DIV/0!</v>
      </c>
      <c r="CS91" s="66" t="e">
        <f>(AI91+AJ91)/O91</f>
        <v>#DIV/0!</v>
      </c>
      <c r="CT91" s="48" t="e">
        <f>(AK91+AL91+AN91)/BY91</f>
        <v>#DIV/0!</v>
      </c>
      <c r="CU91" s="52" t="e">
        <f>AM91/BY91</f>
        <v>#DIV/0!</v>
      </c>
      <c r="CV91" s="112" t="e">
        <f>AO91/O91</f>
        <v>#DIV/0!</v>
      </c>
      <c r="CW91" s="112" t="e">
        <f>+AP91/O91</f>
        <v>#DIV/0!</v>
      </c>
      <c r="CX91" s="112" t="e">
        <f>+AM91/O91</f>
        <v>#DIV/0!</v>
      </c>
      <c r="CY91" s="112" t="e">
        <f>+AU91/AF91</f>
        <v>#DIV/0!</v>
      </c>
      <c r="CZ91" s="3">
        <f>(O91-O90)</f>
        <v>0</v>
      </c>
      <c r="DA91" s="102" t="e">
        <f>BE91/AX91*1000/12</f>
        <v>#DIV/0!</v>
      </c>
      <c r="DB91" s="102" t="e">
        <f>BF91/AY91*1000/12</f>
        <v>#DIV/0!</v>
      </c>
      <c r="DC91" s="102" t="e">
        <f>BG91/AZ91*1000/12</f>
        <v>#DIV/0!</v>
      </c>
      <c r="DD91" s="102" t="e">
        <f>BH91/BA91*1000/12</f>
        <v>#DIV/0!</v>
      </c>
      <c r="DE91" s="102" t="e">
        <f>(BF91+BG91)/(AY91+AZ91)*1000/12</f>
        <v>#DIV/0!</v>
      </c>
      <c r="DF91" s="102">
        <f>(BF91+BG91)</f>
        <v>0</v>
      </c>
      <c r="DG91" s="110">
        <f>Z91+AA91</f>
        <v>0</v>
      </c>
      <c r="DH91" s="110">
        <f>BI91+BJ91</f>
        <v>0</v>
      </c>
      <c r="DI91" s="52" t="e">
        <f>O91/BK91</f>
        <v>#DIV/0!</v>
      </c>
      <c r="DJ91" s="52" t="e">
        <f>O91/(BK91-BJ91)</f>
        <v>#DIV/0!</v>
      </c>
      <c r="DK91" s="52" t="e">
        <f>AH91/CB91</f>
        <v>#DIV/0!</v>
      </c>
      <c r="DL91" s="103" t="e">
        <f>+P91/O91</f>
        <v>#DIV/0!</v>
      </c>
      <c r="DM91" s="112" t="e">
        <f>1-(BK91/CB91)</f>
        <v>#DIV/0!</v>
      </c>
      <c r="DN91" s="65">
        <f>AK91+AL91+AN91</f>
        <v>0</v>
      </c>
      <c r="DO91" s="52" t="e">
        <f>CI91/BK91</f>
        <v>#DIV/0!</v>
      </c>
      <c r="DP91" s="219">
        <f>AW91+AO91+AU91</f>
        <v>0</v>
      </c>
      <c r="DQ91" s="219">
        <f>AQ91+AO91</f>
        <v>0</v>
      </c>
      <c r="DR91" t="e">
        <f>DP91/Y91*100</f>
        <v>#DIV/0!</v>
      </c>
      <c r="DS91" t="e">
        <f>DQ91/Y91*100</f>
        <v>#DIV/0!</v>
      </c>
      <c r="DT91" t="e">
        <f>AF91/O91</f>
        <v>#DIV/0!</v>
      </c>
      <c r="DU91" t="e">
        <f>(AF91-AH91)/O91</f>
        <v>#DIV/0!</v>
      </c>
      <c r="DV91" t="e">
        <f>O91/(AF91-AH91)</f>
        <v>#DIV/0!</v>
      </c>
    </row>
    <row r="92" spans="1:126" ht="15.5">
      <c r="AF92" s="68" t="s">
        <v>631</v>
      </c>
      <c r="AM92" s="67" t="s">
        <v>630</v>
      </c>
      <c r="BR92" s="68" t="s">
        <v>633</v>
      </c>
      <c r="BT92" s="68" t="s">
        <v>631</v>
      </c>
    </row>
    <row r="93" spans="1:126" ht="15.5">
      <c r="AF93" s="68" t="s">
        <v>634</v>
      </c>
      <c r="AM93" s="67" t="s">
        <v>632</v>
      </c>
      <c r="BR93" s="69" t="s">
        <v>636</v>
      </c>
      <c r="BT93" s="68" t="s">
        <v>634</v>
      </c>
    </row>
    <row r="94" spans="1:126" ht="15.5">
      <c r="AM94" s="67" t="s">
        <v>635</v>
      </c>
    </row>
  </sheetData>
  <phoneticPr fontId="0" type="noConversion"/>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IV115"/>
  <sheetViews>
    <sheetView showGridLines="0" zoomScale="87" zoomScaleNormal="87" workbookViewId="0">
      <pane xSplit="3" ySplit="13" topLeftCell="D14" activePane="bottomRight" state="frozen"/>
      <selection pane="topRight" activeCell="D1" sqref="D1"/>
      <selection pane="bottomLeft" activeCell="A7" sqref="A7"/>
      <selection pane="bottomRight" activeCell="D14" sqref="D14"/>
    </sheetView>
  </sheetViews>
  <sheetFormatPr defaultColWidth="0" defaultRowHeight="12.5" zeroHeight="1"/>
  <cols>
    <col min="1" max="1" width="5.7265625" customWidth="1"/>
    <col min="2" max="2" width="14.54296875" customWidth="1"/>
    <col min="3" max="3" width="44.54296875" customWidth="1"/>
    <col min="4" max="14" width="14.54296875" customWidth="1"/>
  </cols>
  <sheetData>
    <row r="1" spans="1:14" ht="21" customHeight="1">
      <c r="A1" s="259" t="str">
        <f>Input!D2</f>
        <v>RURAL ELECTRIC COOPERATIVE, INC.</v>
      </c>
      <c r="B1" s="259"/>
      <c r="C1" s="259"/>
      <c r="D1" s="259"/>
      <c r="E1" s="259"/>
      <c r="F1" s="259"/>
      <c r="G1" s="259"/>
      <c r="H1" s="259"/>
      <c r="I1" s="259"/>
      <c r="J1" s="259"/>
      <c r="K1" s="259"/>
      <c r="L1" s="259"/>
      <c r="M1" s="259"/>
      <c r="N1" s="259"/>
    </row>
    <row r="2" spans="1:14" ht="15.5">
      <c r="A2" s="260" t="str">
        <f>Input!D3</f>
        <v>US0000</v>
      </c>
      <c r="B2" s="260"/>
      <c r="C2" s="260"/>
      <c r="D2" s="260"/>
      <c r="E2" s="260"/>
      <c r="F2" s="260"/>
      <c r="G2" s="260"/>
      <c r="H2" s="260"/>
      <c r="I2" s="260"/>
      <c r="J2" s="260"/>
      <c r="K2" s="260"/>
      <c r="L2" s="260"/>
      <c r="M2" s="260"/>
      <c r="N2" s="260"/>
    </row>
    <row r="3" spans="1:14" ht="33.75" customHeight="1">
      <c r="A3" s="261" t="str">
        <f>Input!D4</f>
        <v>BASE CASE FORECAST for 2023-32: in support of the XX? Loan Application</v>
      </c>
      <c r="B3" s="261"/>
      <c r="C3" s="261"/>
      <c r="D3" s="261"/>
      <c r="E3" s="261"/>
      <c r="F3" s="261"/>
      <c r="G3" s="261"/>
      <c r="H3" s="261"/>
      <c r="I3" s="261"/>
      <c r="J3" s="261"/>
      <c r="K3" s="261"/>
      <c r="L3" s="261"/>
      <c r="M3" s="261"/>
      <c r="N3" s="261"/>
    </row>
    <row r="4" spans="1:14">
      <c r="A4" s="262" t="str">
        <f>Input!D5</f>
        <v>Me</v>
      </c>
      <c r="B4" s="262"/>
      <c r="C4" s="262"/>
      <c r="D4" s="262"/>
      <c r="E4" s="262"/>
      <c r="F4" s="262"/>
      <c r="G4" s="262"/>
      <c r="H4" s="262"/>
      <c r="I4" s="262"/>
      <c r="J4" s="262"/>
      <c r="K4" s="262"/>
      <c r="L4" s="262"/>
      <c r="M4" s="262"/>
      <c r="N4" s="262"/>
    </row>
    <row r="5" spans="1:14">
      <c r="A5" s="263" t="str">
        <f>Input!D6</f>
        <v>Today</v>
      </c>
      <c r="B5" s="263"/>
      <c r="C5" s="263"/>
      <c r="D5" s="263"/>
      <c r="E5" s="263"/>
      <c r="F5" s="263"/>
      <c r="G5" s="263"/>
      <c r="H5" s="263"/>
      <c r="I5" s="263"/>
      <c r="J5" s="263"/>
      <c r="K5" s="263"/>
      <c r="L5" s="263"/>
      <c r="M5" s="263"/>
      <c r="N5" s="263"/>
    </row>
    <row r="6" spans="1:14"/>
    <row r="7" spans="1:14"/>
    <row r="8" spans="1:14" ht="16.5" customHeight="1">
      <c r="A8" s="30"/>
      <c r="B8" s="5"/>
      <c r="C8" s="138"/>
      <c r="D8" s="5"/>
      <c r="E8" s="5"/>
      <c r="F8" s="26" t="s">
        <v>42</v>
      </c>
      <c r="G8" s="5"/>
      <c r="H8" s="26" t="s">
        <v>304</v>
      </c>
      <c r="I8" s="5"/>
      <c r="J8" s="5"/>
      <c r="K8" s="5"/>
      <c r="L8" s="5"/>
      <c r="M8" s="5"/>
      <c r="N8" s="5"/>
    </row>
    <row r="9" spans="1:14" ht="16.5" customHeight="1">
      <c r="A9" s="258"/>
      <c r="B9" s="258"/>
      <c r="C9" s="138"/>
      <c r="D9" s="5"/>
      <c r="E9" s="5"/>
      <c r="F9" s="5"/>
      <c r="G9" s="5"/>
      <c r="H9" s="5"/>
      <c r="I9" s="5"/>
      <c r="J9" s="5"/>
      <c r="K9" s="5"/>
      <c r="L9" s="5"/>
      <c r="M9" s="5"/>
      <c r="N9" s="5"/>
    </row>
    <row r="10" spans="1:14" ht="16.5" customHeight="1">
      <c r="C10" s="5"/>
      <c r="D10" s="30" t="s">
        <v>690</v>
      </c>
      <c r="E10" s="57" t="s">
        <v>44</v>
      </c>
      <c r="F10" s="57"/>
      <c r="G10" s="162"/>
      <c r="H10" s="257" t="s">
        <v>45</v>
      </c>
      <c r="I10" s="257"/>
      <c r="J10" s="57" t="s">
        <v>44</v>
      </c>
      <c r="K10" s="57"/>
      <c r="L10" s="162"/>
      <c r="M10" s="162"/>
      <c r="N10" s="162"/>
    </row>
    <row r="11" spans="1:14" ht="16.5" customHeight="1">
      <c r="A11" s="138"/>
      <c r="B11" s="138"/>
      <c r="C11" s="138"/>
      <c r="D11" s="5"/>
      <c r="E11" s="5"/>
      <c r="F11" s="5"/>
      <c r="G11" s="5"/>
      <c r="H11" s="5"/>
      <c r="I11" s="5"/>
      <c r="J11" s="5"/>
      <c r="K11" s="5"/>
      <c r="L11" s="5"/>
      <c r="M11" s="5"/>
      <c r="N11" s="5"/>
    </row>
    <row r="12" spans="1:14" ht="16.5" customHeight="1">
      <c r="A12" s="138"/>
      <c r="B12" s="138"/>
      <c r="C12" s="138"/>
      <c r="D12" s="6">
        <f>E12-1</f>
        <v>2023</v>
      </c>
      <c r="E12" s="6">
        <f>Input!G8</f>
        <v>2024</v>
      </c>
      <c r="F12" s="6">
        <f t="shared" ref="F12:N12" si="0">E12+1</f>
        <v>2025</v>
      </c>
      <c r="G12" s="6">
        <f t="shared" si="0"/>
        <v>2026</v>
      </c>
      <c r="H12" s="6">
        <f t="shared" si="0"/>
        <v>2027</v>
      </c>
      <c r="I12" s="6">
        <f t="shared" si="0"/>
        <v>2028</v>
      </c>
      <c r="J12" s="6">
        <f t="shared" si="0"/>
        <v>2029</v>
      </c>
      <c r="K12" s="6">
        <f t="shared" si="0"/>
        <v>2030</v>
      </c>
      <c r="L12" s="6">
        <f t="shared" si="0"/>
        <v>2031</v>
      </c>
      <c r="M12" s="6">
        <f t="shared" si="0"/>
        <v>2032</v>
      </c>
      <c r="N12" s="6">
        <f t="shared" si="0"/>
        <v>2033</v>
      </c>
    </row>
    <row r="13" spans="1:14" ht="16.5" customHeight="1">
      <c r="A13" s="138"/>
      <c r="B13" s="138"/>
      <c r="C13" s="138"/>
      <c r="D13" s="6" t="s">
        <v>46</v>
      </c>
      <c r="E13" s="6" t="s">
        <v>46</v>
      </c>
      <c r="F13" s="6" t="s">
        <v>46</v>
      </c>
      <c r="G13" s="6" t="s">
        <v>46</v>
      </c>
      <c r="H13" s="6" t="s">
        <v>46</v>
      </c>
      <c r="I13" s="6" t="s">
        <v>46</v>
      </c>
      <c r="J13" s="6" t="s">
        <v>46</v>
      </c>
      <c r="K13" s="6" t="s">
        <v>46</v>
      </c>
      <c r="L13" s="6" t="s">
        <v>46</v>
      </c>
      <c r="M13" s="6" t="s">
        <v>46</v>
      </c>
      <c r="N13" s="6" t="s">
        <v>46</v>
      </c>
    </row>
    <row r="14" spans="1:14" ht="16.5" customHeight="1">
      <c r="A14" s="26" t="s">
        <v>305</v>
      </c>
      <c r="B14" s="5"/>
      <c r="C14" s="5"/>
      <c r="D14" s="10" t="e">
        <f t="shared" ref="D14:N14" si="1">(D55/D52)*100</f>
        <v>#DIV/0!</v>
      </c>
      <c r="E14" s="10" t="e">
        <f t="shared" si="1"/>
        <v>#DIV/0!</v>
      </c>
      <c r="F14" s="10" t="e">
        <f t="shared" si="1"/>
        <v>#DIV/0!</v>
      </c>
      <c r="G14" s="10" t="e">
        <f t="shared" si="1"/>
        <v>#DIV/0!</v>
      </c>
      <c r="H14" s="10" t="e">
        <f t="shared" si="1"/>
        <v>#DIV/0!</v>
      </c>
      <c r="I14" s="10" t="e">
        <f t="shared" si="1"/>
        <v>#DIV/0!</v>
      </c>
      <c r="J14" s="10" t="e">
        <f t="shared" si="1"/>
        <v>#DIV/0!</v>
      </c>
      <c r="K14" s="10" t="e">
        <f t="shared" si="1"/>
        <v>#DIV/0!</v>
      </c>
      <c r="L14" s="10" t="e">
        <f t="shared" si="1"/>
        <v>#DIV/0!</v>
      </c>
      <c r="M14" s="10" t="e">
        <f t="shared" si="1"/>
        <v>#DIV/0!</v>
      </c>
      <c r="N14" s="10" t="e">
        <f t="shared" si="1"/>
        <v>#DIV/0!</v>
      </c>
    </row>
    <row r="15" spans="1:14" ht="16.5" customHeight="1">
      <c r="A15" s="26" t="s">
        <v>761</v>
      </c>
      <c r="B15" s="5"/>
      <c r="C15" s="5"/>
      <c r="D15" s="10">
        <f>Input!F11</f>
        <v>0</v>
      </c>
      <c r="E15" s="10" t="e">
        <f>('c &amp; d'!D21+'c &amp; d'!D14+'c &amp; d'!D16)/'j - Debt Sum'!D68</f>
        <v>#DIV/0!</v>
      </c>
      <c r="F15" s="10" t="e">
        <f>('c &amp; d'!E21+'c &amp; d'!E14+'c &amp; d'!E16)/'j - Debt Sum'!E68</f>
        <v>#DIV/0!</v>
      </c>
      <c r="G15" s="10" t="e">
        <f>('c &amp; d'!F21+'c &amp; d'!F14+'c &amp; d'!F16)/'j - Debt Sum'!F68</f>
        <v>#DIV/0!</v>
      </c>
      <c r="H15" s="10" t="e">
        <f>('c &amp; d'!G21+'c &amp; d'!G14+'c &amp; d'!G16)/'j - Debt Sum'!G68</f>
        <v>#DIV/0!</v>
      </c>
      <c r="I15" s="10" t="e">
        <f>('c &amp; d'!H21+'c &amp; d'!H14+'c &amp; d'!H16)/'j - Debt Sum'!H68</f>
        <v>#DIV/0!</v>
      </c>
      <c r="J15" s="10" t="e">
        <f>('c &amp; d'!I21+'c &amp; d'!I14+'c &amp; d'!I16)/'j - Debt Sum'!I68</f>
        <v>#DIV/0!</v>
      </c>
      <c r="K15" s="10" t="e">
        <f>('c &amp; d'!J21+'c &amp; d'!J14+'c &amp; d'!J16)/'j - Debt Sum'!J68</f>
        <v>#DIV/0!</v>
      </c>
      <c r="L15" s="10" t="e">
        <f>('c &amp; d'!K21+'c &amp; d'!K14+'c &amp; d'!K16)/'j - Debt Sum'!K68</f>
        <v>#DIV/0!</v>
      </c>
      <c r="M15" s="10" t="e">
        <f>('c &amp; d'!L21+'c &amp; d'!L14+'c &amp; d'!L16)/'j - Debt Sum'!L68</f>
        <v>#DIV/0!</v>
      </c>
      <c r="N15" s="10" t="e">
        <f>('c &amp; d'!M21+'c &amp; d'!M14+'c &amp; d'!M16)/'j - Debt Sum'!M68</f>
        <v>#DIV/0!</v>
      </c>
    </row>
    <row r="16" spans="1:14" ht="16.5" customHeight="1">
      <c r="A16" s="30" t="s">
        <v>762</v>
      </c>
      <c r="B16" s="5"/>
      <c r="C16" s="5"/>
      <c r="D16" s="10"/>
      <c r="E16" s="163" t="e">
        <f>(('c &amp; d'!D18+'c &amp; d'!D16+'c &amp; d'!D14+Input!G40+Input!G41)/'j - Debt Sum'!D68)</f>
        <v>#DIV/0!</v>
      </c>
      <c r="F16" s="163" t="e">
        <f>(('c &amp; d'!E18+'c &amp; d'!E16+'c &amp; d'!E14+Input!H40+Input!H41)/'j - Debt Sum'!E68)</f>
        <v>#DIV/0!</v>
      </c>
      <c r="G16" s="163" t="e">
        <f>(('c &amp; d'!F18+'c &amp; d'!F16+'c &amp; d'!F14+Input!I40+Input!I41)/'j - Debt Sum'!F68)</f>
        <v>#DIV/0!</v>
      </c>
      <c r="H16" s="163" t="e">
        <f>(('c &amp; d'!G18+'c &amp; d'!G16+'c &amp; d'!G14+Input!J40+Input!J41)/'j - Debt Sum'!G68)</f>
        <v>#DIV/0!</v>
      </c>
      <c r="I16" s="163" t="e">
        <f>(('c &amp; d'!H18+'c &amp; d'!H16+'c &amp; d'!H14+Input!K40+Input!K41)/'j - Debt Sum'!H68)</f>
        <v>#DIV/0!</v>
      </c>
      <c r="J16" s="163" t="e">
        <f>(('c &amp; d'!I18+'c &amp; d'!I16+'c &amp; d'!I14+Input!L40+Input!L41)/'j - Debt Sum'!I68)</f>
        <v>#DIV/0!</v>
      </c>
      <c r="K16" s="163" t="e">
        <f>(('c &amp; d'!J18+'c &amp; d'!J16+'c &amp; d'!J14+Input!M40+Input!M41)/'j - Debt Sum'!J68)</f>
        <v>#DIV/0!</v>
      </c>
      <c r="L16" s="163" t="e">
        <f>(('c &amp; d'!K18+'c &amp; d'!K16+'c &amp; d'!K14+Input!N40+Input!N41)/'j - Debt Sum'!K68)</f>
        <v>#DIV/0!</v>
      </c>
      <c r="M16" s="163" t="e">
        <f>(('c &amp; d'!L18+'c &amp; d'!L16+'c &amp; d'!L14+Input!O40+Input!O41)/'j - Debt Sum'!L68)</f>
        <v>#DIV/0!</v>
      </c>
      <c r="N16" s="163" t="e">
        <f>(('c &amp; d'!M18+'c &amp; d'!M16+'c &amp; d'!M14+Input!P40+Input!P41)/'j - Debt Sum'!M68)</f>
        <v>#DIV/0!</v>
      </c>
    </row>
    <row r="17" spans="1:14" ht="16.5" customHeight="1">
      <c r="A17" s="30" t="s">
        <v>306</v>
      </c>
      <c r="B17" s="5"/>
      <c r="C17" s="5"/>
      <c r="D17" s="10">
        <f>Input!F12</f>
        <v>0</v>
      </c>
      <c r="E17" s="10" t="e">
        <f>('c &amp; d'!D21+'c &amp; d'!D16)/'c &amp; d'!D16</f>
        <v>#DIV/0!</v>
      </c>
      <c r="F17" s="10" t="e">
        <f>('c &amp; d'!E21+'c &amp; d'!E16)/'c &amp; d'!E16</f>
        <v>#DIV/0!</v>
      </c>
      <c r="G17" s="10" t="e">
        <f>('c &amp; d'!F21+'c &amp; d'!F16)/'c &amp; d'!F16</f>
        <v>#DIV/0!</v>
      </c>
      <c r="H17" s="10" t="e">
        <f>('c &amp; d'!G21+'c &amp; d'!G16)/'c &amp; d'!G16</f>
        <v>#DIV/0!</v>
      </c>
      <c r="I17" s="10" t="e">
        <f>('c &amp; d'!H21+'c &amp; d'!H16)/'c &amp; d'!H16</f>
        <v>#DIV/0!</v>
      </c>
      <c r="J17" s="10" t="e">
        <f>('c &amp; d'!I21+'c &amp; d'!I16)/'c &amp; d'!I16</f>
        <v>#DIV/0!</v>
      </c>
      <c r="K17" s="10" t="e">
        <f>('c &amp; d'!J21+'c &amp; d'!J16)/'c &amp; d'!J16</f>
        <v>#DIV/0!</v>
      </c>
      <c r="L17" s="10" t="e">
        <f>('c &amp; d'!K21+'c &amp; d'!K16)/'c &amp; d'!K16</f>
        <v>#DIV/0!</v>
      </c>
      <c r="M17" s="10" t="e">
        <f>('c &amp; d'!L21+'c &amp; d'!L16)/'c &amp; d'!L16</f>
        <v>#DIV/0!</v>
      </c>
      <c r="N17" s="10" t="e">
        <f>('c &amp; d'!M21+'c &amp; d'!M16)/'c &amp; d'!M16</f>
        <v>#DIV/0!</v>
      </c>
    </row>
    <row r="18" spans="1:14" ht="16.5" customHeight="1">
      <c r="A18" s="30" t="s">
        <v>307</v>
      </c>
      <c r="B18" s="5"/>
      <c r="C18" s="5"/>
      <c r="D18" s="164"/>
      <c r="E18" s="163" t="e">
        <f>(('c &amp; d'!D18+'c &amp; d'!D16+Input!G40+Input!G41)/'c &amp; d'!D16)</f>
        <v>#DIV/0!</v>
      </c>
      <c r="F18" s="163" t="e">
        <f>(('c &amp; d'!E18+'c &amp; d'!E16+Input!H40+Input!H41)/'c &amp; d'!E16)</f>
        <v>#DIV/0!</v>
      </c>
      <c r="G18" s="163" t="e">
        <f>(('c &amp; d'!F18+'c &amp; d'!F16+Input!I40+Input!I41)/'c &amp; d'!F16)</f>
        <v>#DIV/0!</v>
      </c>
      <c r="H18" s="163" t="e">
        <f>(('c &amp; d'!G18+'c &amp; d'!G16+Input!J40+Input!J41)/'c &amp; d'!G16)</f>
        <v>#DIV/0!</v>
      </c>
      <c r="I18" s="163" t="e">
        <f>(('c &amp; d'!H18+'c &amp; d'!H16+Input!K40+Input!K41)/'c &amp; d'!H16)</f>
        <v>#DIV/0!</v>
      </c>
      <c r="J18" s="163" t="e">
        <f>(('c &amp; d'!I18+'c &amp; d'!I16+Input!L40+Input!L41)/'c &amp; d'!I16)</f>
        <v>#DIV/0!</v>
      </c>
      <c r="K18" s="163" t="e">
        <f>(('c &amp; d'!J18+'c &amp; d'!J16+Input!M40+Input!M41)/'c &amp; d'!J16)</f>
        <v>#DIV/0!</v>
      </c>
      <c r="L18" s="163" t="e">
        <f>(('c &amp; d'!K18+'c &amp; d'!K16+Input!N40+Input!N41)/'c &amp; d'!K16)</f>
        <v>#DIV/0!</v>
      </c>
      <c r="M18" s="163" t="e">
        <f>(('c &amp; d'!L18+'c &amp; d'!L16+Input!O40+Input!O41)/'c &amp; d'!L16)</f>
        <v>#DIV/0!</v>
      </c>
      <c r="N18" s="163" t="e">
        <f>(('c &amp; d'!M18+'c &amp; d'!M16+Input!P40+Input!P41)/'c &amp; d'!M16)</f>
        <v>#DIV/0!</v>
      </c>
    </row>
    <row r="19" spans="1:14" ht="16.5" customHeight="1">
      <c r="A19" s="26" t="s">
        <v>308</v>
      </c>
      <c r="B19" s="5"/>
      <c r="C19" s="5"/>
      <c r="D19" s="10" t="e">
        <f>('f - Rev'!F164)/'e - Sales'!F54*100</f>
        <v>#DIV/0!</v>
      </c>
      <c r="E19" s="10" t="e">
        <f>('c &amp; d'!D6+'f - Rev'!G164)/'e - Sales'!G54*100</f>
        <v>#DIV/0!</v>
      </c>
      <c r="F19" s="10" t="e">
        <f>('c &amp; d'!E6+'f - Rev'!H164)/'e - Sales'!H54*100</f>
        <v>#DIV/0!</v>
      </c>
      <c r="G19" s="10" t="e">
        <f>('c &amp; d'!F6+'f - Rev'!I164)/'e - Sales'!I54*100</f>
        <v>#DIV/0!</v>
      </c>
      <c r="H19" s="10" t="e">
        <f>('c &amp; d'!G6+'f - Rev'!J164)/'e - Sales'!J54*100</f>
        <v>#DIV/0!</v>
      </c>
      <c r="I19" s="10" t="e">
        <f>('c &amp; d'!H6+'f - Rev'!K164)/'e - Sales'!K54*100</f>
        <v>#DIV/0!</v>
      </c>
      <c r="J19" s="10" t="e">
        <f>('c &amp; d'!I6+'f - Rev'!L164)/'e - Sales'!L54*100</f>
        <v>#DIV/0!</v>
      </c>
      <c r="K19" s="10" t="e">
        <f>('c &amp; d'!J6+'f - Rev'!M164)/'e - Sales'!M54*100</f>
        <v>#DIV/0!</v>
      </c>
      <c r="L19" s="10" t="e">
        <f>('c &amp; d'!K6+'f - Rev'!N164)/'e - Sales'!N54*100</f>
        <v>#DIV/0!</v>
      </c>
      <c r="M19" s="10" t="e">
        <f>('c &amp; d'!L6+'f - Rev'!O164)/'e - Sales'!O54*100</f>
        <v>#DIV/0!</v>
      </c>
      <c r="N19" s="10" t="e">
        <f>('c &amp; d'!M6+'f - Rev'!P164)/'e - Sales'!P54*100</f>
        <v>#DIV/0!</v>
      </c>
    </row>
    <row r="20" spans="1:14" ht="16.5" customHeight="1">
      <c r="A20" s="26" t="s">
        <v>309</v>
      </c>
      <c r="B20" s="5"/>
      <c r="C20" s="5"/>
      <c r="D20" s="5"/>
      <c r="E20" s="10" t="e">
        <f t="shared" ref="E20:N20" si="2">(E19/D19)*100-100</f>
        <v>#DIV/0!</v>
      </c>
      <c r="F20" s="10" t="e">
        <f t="shared" si="2"/>
        <v>#DIV/0!</v>
      </c>
      <c r="G20" s="10" t="e">
        <f t="shared" si="2"/>
        <v>#DIV/0!</v>
      </c>
      <c r="H20" s="10" t="e">
        <f t="shared" si="2"/>
        <v>#DIV/0!</v>
      </c>
      <c r="I20" s="10" t="e">
        <f t="shared" si="2"/>
        <v>#DIV/0!</v>
      </c>
      <c r="J20" s="10" t="e">
        <f t="shared" si="2"/>
        <v>#DIV/0!</v>
      </c>
      <c r="K20" s="10" t="e">
        <f t="shared" si="2"/>
        <v>#DIV/0!</v>
      </c>
      <c r="L20" s="10" t="e">
        <f t="shared" si="2"/>
        <v>#DIV/0!</v>
      </c>
      <c r="M20" s="10" t="e">
        <f t="shared" si="2"/>
        <v>#DIV/0!</v>
      </c>
      <c r="N20" s="10" t="e">
        <f t="shared" si="2"/>
        <v>#DIV/0!</v>
      </c>
    </row>
    <row r="21" spans="1:14" ht="16.5" customHeight="1">
      <c r="A21" s="5"/>
      <c r="B21" s="5"/>
      <c r="C21" s="5"/>
      <c r="D21" s="5"/>
      <c r="E21" s="5"/>
      <c r="F21" s="5"/>
      <c r="G21" s="5"/>
      <c r="H21" s="5"/>
      <c r="I21" s="5"/>
      <c r="J21" s="5"/>
      <c r="K21" s="5"/>
      <c r="L21" s="5"/>
      <c r="M21" s="5"/>
      <c r="N21" s="5"/>
    </row>
    <row r="22" spans="1:14" ht="16.5" customHeight="1">
      <c r="A22" s="26" t="s">
        <v>310</v>
      </c>
      <c r="B22" s="5"/>
      <c r="C22" s="5"/>
      <c r="D22" s="10" t="e">
        <f>'g - Plant'!G12/'e - Sales'!F54*100</f>
        <v>#DIV/0!</v>
      </c>
      <c r="E22" s="10" t="e">
        <f>'g - Plant'!H12/'e - Sales'!G54*100</f>
        <v>#DIV/0!</v>
      </c>
      <c r="F22" s="10" t="e">
        <f>'g - Plant'!I12/'e - Sales'!H54*100</f>
        <v>#DIV/0!</v>
      </c>
      <c r="G22" s="10" t="e">
        <f>'g - Plant'!J12/'e - Sales'!I54*100</f>
        <v>#DIV/0!</v>
      </c>
      <c r="H22" s="10" t="e">
        <f>'g - Plant'!K12/'e - Sales'!J54*100</f>
        <v>#DIV/0!</v>
      </c>
      <c r="I22" s="10" t="e">
        <f>'g - Plant'!L12/'e - Sales'!K54*100</f>
        <v>#DIV/0!</v>
      </c>
      <c r="J22" s="10" t="e">
        <f>'g - Plant'!M12/'e - Sales'!L54*100</f>
        <v>#DIV/0!</v>
      </c>
      <c r="K22" s="10" t="e">
        <f>'g - Plant'!N12/'e - Sales'!M54*100</f>
        <v>#DIV/0!</v>
      </c>
      <c r="L22" s="10" t="e">
        <f>'g - Plant'!O12/'e - Sales'!N54*100</f>
        <v>#DIV/0!</v>
      </c>
      <c r="M22" s="10" t="e">
        <f>'g - Plant'!P12/'e - Sales'!O54*100</f>
        <v>#DIV/0!</v>
      </c>
      <c r="N22" s="10" t="e">
        <f>'g - Plant'!Q12/'e - Sales'!P54*100</f>
        <v>#DIV/0!</v>
      </c>
    </row>
    <row r="23" spans="1:14" ht="16.5" customHeight="1">
      <c r="A23" s="26" t="s">
        <v>311</v>
      </c>
      <c r="B23" s="5"/>
      <c r="C23" s="5"/>
      <c r="D23" s="10" t="e">
        <f t="shared" ref="D23:N23" si="3">(D49/D46)*100</f>
        <v>#DIV/0!</v>
      </c>
      <c r="E23" s="10" t="e">
        <f t="shared" si="3"/>
        <v>#DIV/0!</v>
      </c>
      <c r="F23" s="10" t="e">
        <f t="shared" si="3"/>
        <v>#DIV/0!</v>
      </c>
      <c r="G23" s="10" t="e">
        <f t="shared" si="3"/>
        <v>#DIV/0!</v>
      </c>
      <c r="H23" s="10" t="e">
        <f t="shared" si="3"/>
        <v>#DIV/0!</v>
      </c>
      <c r="I23" s="10" t="e">
        <f t="shared" si="3"/>
        <v>#DIV/0!</v>
      </c>
      <c r="J23" s="10" t="e">
        <f t="shared" si="3"/>
        <v>#DIV/0!</v>
      </c>
      <c r="K23" s="10" t="e">
        <f t="shared" si="3"/>
        <v>#DIV/0!</v>
      </c>
      <c r="L23" s="10" t="e">
        <f t="shared" si="3"/>
        <v>#DIV/0!</v>
      </c>
      <c r="M23" s="10" t="e">
        <f t="shared" si="3"/>
        <v>#DIV/0!</v>
      </c>
      <c r="N23" s="10" t="e">
        <f t="shared" si="3"/>
        <v>#DIV/0!</v>
      </c>
    </row>
    <row r="24" spans="1:14" ht="16.5" customHeight="1">
      <c r="A24" s="26" t="s">
        <v>312</v>
      </c>
      <c r="B24" s="5"/>
      <c r="C24" s="5"/>
      <c r="D24" s="10" t="e">
        <f t="shared" ref="D24:N24" si="4">D47/D46*100</f>
        <v>#DIV/0!</v>
      </c>
      <c r="E24" s="10" t="e">
        <f t="shared" si="4"/>
        <v>#DIV/0!</v>
      </c>
      <c r="F24" s="10" t="e">
        <f t="shared" si="4"/>
        <v>#DIV/0!</v>
      </c>
      <c r="G24" s="10" t="e">
        <f t="shared" si="4"/>
        <v>#DIV/0!</v>
      </c>
      <c r="H24" s="10" t="e">
        <f t="shared" si="4"/>
        <v>#DIV/0!</v>
      </c>
      <c r="I24" s="10" t="e">
        <f t="shared" si="4"/>
        <v>#DIV/0!</v>
      </c>
      <c r="J24" s="10" t="e">
        <f t="shared" si="4"/>
        <v>#DIV/0!</v>
      </c>
      <c r="K24" s="10" t="e">
        <f t="shared" si="4"/>
        <v>#DIV/0!</v>
      </c>
      <c r="L24" s="10" t="e">
        <f t="shared" si="4"/>
        <v>#DIV/0!</v>
      </c>
      <c r="M24" s="10" t="e">
        <f t="shared" si="4"/>
        <v>#DIV/0!</v>
      </c>
      <c r="N24" s="10" t="e">
        <f t="shared" si="4"/>
        <v>#DIV/0!</v>
      </c>
    </row>
    <row r="25" spans="1:14" ht="16.5" customHeight="1">
      <c r="A25" s="26" t="s">
        <v>313</v>
      </c>
      <c r="B25" s="5"/>
      <c r="C25" s="5"/>
      <c r="D25" s="10" t="e">
        <f>'k - Exp'!F13/'e - Sales'!F21</f>
        <v>#DIV/0!</v>
      </c>
      <c r="E25" s="10" t="e">
        <f>'k - Exp'!G13/'e - Sales'!G21</f>
        <v>#DIV/0!</v>
      </c>
      <c r="F25" s="10" t="e">
        <f>'k - Exp'!H13/'e - Sales'!H21</f>
        <v>#DIV/0!</v>
      </c>
      <c r="G25" s="10" t="e">
        <f>'k - Exp'!I13/'e - Sales'!I21</f>
        <v>#DIV/0!</v>
      </c>
      <c r="H25" s="10" t="e">
        <f>'k - Exp'!J13/'e - Sales'!J21</f>
        <v>#DIV/0!</v>
      </c>
      <c r="I25" s="10" t="e">
        <f>'k - Exp'!K13/'e - Sales'!K21</f>
        <v>#DIV/0!</v>
      </c>
      <c r="J25" s="10" t="e">
        <f>'k - Exp'!L13/'e - Sales'!L21</f>
        <v>#DIV/0!</v>
      </c>
      <c r="K25" s="10" t="e">
        <f>'k - Exp'!M13/'e - Sales'!M21</f>
        <v>#DIV/0!</v>
      </c>
      <c r="L25" s="10" t="e">
        <f>'k - Exp'!N13/'e - Sales'!N21</f>
        <v>#DIV/0!</v>
      </c>
      <c r="M25" s="10" t="e">
        <f>'k - Exp'!O13/'e - Sales'!O21</f>
        <v>#DIV/0!</v>
      </c>
      <c r="N25" s="10" t="e">
        <f>'k - Exp'!P13/'e - Sales'!P21</f>
        <v>#DIV/0!</v>
      </c>
    </row>
    <row r="26" spans="1:14" ht="16.5" customHeight="1">
      <c r="A26" s="26" t="s">
        <v>314</v>
      </c>
      <c r="B26" s="5"/>
      <c r="C26" s="5"/>
      <c r="D26" s="10" t="e">
        <f>'k - Exp'!F16/'e - Sales'!F21</f>
        <v>#DIV/0!</v>
      </c>
      <c r="E26" s="10" t="e">
        <f>'k - Exp'!G16/'e - Sales'!G21</f>
        <v>#DIV/0!</v>
      </c>
      <c r="F26" s="10" t="e">
        <f>'k - Exp'!H16/'e - Sales'!H21</f>
        <v>#DIV/0!</v>
      </c>
      <c r="G26" s="10" t="e">
        <f>'k - Exp'!I16/'e - Sales'!I21</f>
        <v>#DIV/0!</v>
      </c>
      <c r="H26" s="10" t="e">
        <f>'k - Exp'!J16/'e - Sales'!J21</f>
        <v>#DIV/0!</v>
      </c>
      <c r="I26" s="10" t="e">
        <f>'k - Exp'!K16/'e - Sales'!K21</f>
        <v>#DIV/0!</v>
      </c>
      <c r="J26" s="10" t="e">
        <f>'k - Exp'!L16/'e - Sales'!L21</f>
        <v>#DIV/0!</v>
      </c>
      <c r="K26" s="10" t="e">
        <f>'k - Exp'!M16/'e - Sales'!M21</f>
        <v>#DIV/0!</v>
      </c>
      <c r="L26" s="10" t="e">
        <f>'k - Exp'!N16/'e - Sales'!N21</f>
        <v>#DIV/0!</v>
      </c>
      <c r="M26" s="10" t="e">
        <f>'k - Exp'!O16/'e - Sales'!O21</f>
        <v>#DIV/0!</v>
      </c>
      <c r="N26" s="10" t="e">
        <f>'k - Exp'!P16/'e - Sales'!P21</f>
        <v>#DIV/0!</v>
      </c>
    </row>
    <row r="27" spans="1:14" ht="16.5" customHeight="1">
      <c r="A27" s="26" t="s">
        <v>315</v>
      </c>
      <c r="B27" s="5"/>
      <c r="C27" s="5"/>
      <c r="D27" s="10" t="e">
        <f>D46/('f - Rev'!F166-'k - Exp'!F11)</f>
        <v>#DIV/0!</v>
      </c>
      <c r="E27" s="10" t="e">
        <f>E46/('c &amp; d'!D6+'c &amp; d'!D8-'k - Exp'!G11)</f>
        <v>#DIV/0!</v>
      </c>
      <c r="F27" s="10" t="e">
        <f>F46/('c &amp; d'!E6+'c &amp; d'!E8-'k - Exp'!H11)</f>
        <v>#DIV/0!</v>
      </c>
      <c r="G27" s="10" t="e">
        <f>G46/('c &amp; d'!F6+'c &amp; d'!F8-'k - Exp'!I11)</f>
        <v>#DIV/0!</v>
      </c>
      <c r="H27" s="10" t="e">
        <f>H46/('c &amp; d'!G6+'c &amp; d'!G8-'k - Exp'!J11)</f>
        <v>#DIV/0!</v>
      </c>
      <c r="I27" s="10" t="e">
        <f>I46/('c &amp; d'!H6+'c &amp; d'!H8-'k - Exp'!K11)</f>
        <v>#DIV/0!</v>
      </c>
      <c r="J27" s="10" t="e">
        <f>J46/('c &amp; d'!I6+'c &amp; d'!I8-'k - Exp'!L11)</f>
        <v>#DIV/0!</v>
      </c>
      <c r="K27" s="10" t="e">
        <f>K46/('c &amp; d'!J6+'c &amp; d'!J8-'k - Exp'!M11)</f>
        <v>#DIV/0!</v>
      </c>
      <c r="L27" s="10" t="e">
        <f>L46/('c &amp; d'!K6+'c &amp; d'!K8-'k - Exp'!N11)</f>
        <v>#DIV/0!</v>
      </c>
      <c r="M27" s="10" t="e">
        <f>M46/('c &amp; d'!L6+'c &amp; d'!L8-'k - Exp'!O11)</f>
        <v>#DIV/0!</v>
      </c>
      <c r="N27" s="10" t="e">
        <f>N46/('c &amp; d'!M6+'c &amp; d'!M8-'k - Exp'!P11)</f>
        <v>#DIV/0!</v>
      </c>
    </row>
    <row r="28" spans="1:14" ht="16.5" customHeight="1">
      <c r="A28" s="5"/>
      <c r="B28" s="5"/>
      <c r="C28" s="5"/>
      <c r="D28" s="5"/>
      <c r="E28" s="5"/>
      <c r="F28" s="5"/>
      <c r="G28" s="5"/>
      <c r="H28" s="5"/>
      <c r="I28" s="5"/>
      <c r="J28" s="5"/>
      <c r="K28" s="5"/>
      <c r="L28" s="5"/>
      <c r="M28" s="5"/>
      <c r="N28" s="5"/>
    </row>
    <row r="29" spans="1:14" ht="16.5" customHeight="1">
      <c r="A29" s="26" t="s">
        <v>316</v>
      </c>
      <c r="B29" s="5"/>
      <c r="C29" s="5"/>
      <c r="D29" s="5"/>
      <c r="E29" s="10" t="e">
        <f>('c &amp; d'!D18+'c &amp; d'!D16)/E30*100</f>
        <v>#DIV/0!</v>
      </c>
      <c r="F29" s="10" t="e">
        <f>('c &amp; d'!E18+'c &amp; d'!E16)/F30*100</f>
        <v>#DIV/0!</v>
      </c>
      <c r="G29" s="10" t="e">
        <f>('c &amp; d'!F18+'c &amp; d'!F16)/G30*100</f>
        <v>#DIV/0!</v>
      </c>
      <c r="H29" s="10" t="e">
        <f>('c &amp; d'!G18+'c &amp; d'!G16)/H30*100</f>
        <v>#DIV/0!</v>
      </c>
      <c r="I29" s="10" t="e">
        <f>('c &amp; d'!H18+'c &amp; d'!H16)/I30*100</f>
        <v>#DIV/0!</v>
      </c>
      <c r="J29" s="10" t="e">
        <f>('c &amp; d'!I18+'c &amp; d'!I16)/J30*100</f>
        <v>#DIV/0!</v>
      </c>
      <c r="K29" s="10" t="e">
        <f>('c &amp; d'!J18+'c &amp; d'!J16)/K30*100</f>
        <v>#DIV/0!</v>
      </c>
      <c r="L29" s="10" t="e">
        <f>('c &amp; d'!K18+'c &amp; d'!K16)/L30*100</f>
        <v>#DIV/0!</v>
      </c>
      <c r="M29" s="10" t="e">
        <f>('c &amp; d'!L18+'c &amp; d'!L16)/M30*100</f>
        <v>#DIV/0!</v>
      </c>
      <c r="N29" s="10" t="e">
        <f>('c &amp; d'!M18+'c &amp; d'!M16)/N30*100</f>
        <v>#DIV/0!</v>
      </c>
    </row>
    <row r="30" spans="1:14" ht="16.5" customHeight="1">
      <c r="A30" s="30" t="s">
        <v>358</v>
      </c>
      <c r="B30" s="5"/>
      <c r="C30" s="5"/>
      <c r="D30" s="5"/>
      <c r="E30" s="12" t="e">
        <f t="shared" ref="E30:N30" si="5">E48*1.04</f>
        <v>#DIV/0!</v>
      </c>
      <c r="F30" s="12" t="e">
        <f t="shared" si="5"/>
        <v>#DIV/0!</v>
      </c>
      <c r="G30" s="12" t="e">
        <f t="shared" si="5"/>
        <v>#DIV/0!</v>
      </c>
      <c r="H30" s="12" t="e">
        <f t="shared" si="5"/>
        <v>#DIV/0!</v>
      </c>
      <c r="I30" s="12" t="e">
        <f t="shared" si="5"/>
        <v>#DIV/0!</v>
      </c>
      <c r="J30" s="12" t="e">
        <f t="shared" si="5"/>
        <v>#DIV/0!</v>
      </c>
      <c r="K30" s="12" t="e">
        <f t="shared" si="5"/>
        <v>#DIV/0!</v>
      </c>
      <c r="L30" s="12" t="e">
        <f t="shared" si="5"/>
        <v>#DIV/0!</v>
      </c>
      <c r="M30" s="12" t="e">
        <f t="shared" si="5"/>
        <v>#DIV/0!</v>
      </c>
      <c r="N30" s="12" t="e">
        <f t="shared" si="5"/>
        <v>#DIV/0!</v>
      </c>
    </row>
    <row r="31" spans="1:14" ht="16.5" customHeight="1">
      <c r="A31" s="5"/>
      <c r="B31" s="5"/>
      <c r="C31" s="5"/>
      <c r="D31" s="5"/>
      <c r="E31" s="5"/>
      <c r="F31" s="5"/>
      <c r="G31" s="5"/>
      <c r="H31" s="5"/>
      <c r="I31" s="5"/>
      <c r="J31" s="5"/>
      <c r="K31" s="5"/>
      <c r="L31" s="5"/>
      <c r="M31" s="5"/>
      <c r="N31" s="5"/>
    </row>
    <row r="32" spans="1:14" ht="16.5" customHeight="1">
      <c r="A32" s="26" t="s">
        <v>317</v>
      </c>
      <c r="B32" s="5"/>
      <c r="C32" s="5"/>
      <c r="D32" s="5"/>
      <c r="E32" s="10" t="e">
        <f>('c &amp; d'!D6/'c &amp; d'!D8)*100</f>
        <v>#DIV/0!</v>
      </c>
      <c r="F32" s="10" t="e">
        <f>('c &amp; d'!E6/'c &amp; d'!E8)*100</f>
        <v>#DIV/0!</v>
      </c>
      <c r="G32" s="10" t="e">
        <f>('c &amp; d'!F6/'c &amp; d'!F8)*100</f>
        <v>#DIV/0!</v>
      </c>
      <c r="H32" s="10" t="e">
        <f>('c &amp; d'!G6/'c &amp; d'!G8)*100</f>
        <v>#DIV/0!</v>
      </c>
      <c r="I32" s="10" t="e">
        <f>('c &amp; d'!H6/'c &amp; d'!H8)*100</f>
        <v>#DIV/0!</v>
      </c>
      <c r="J32" s="10" t="e">
        <f>('c &amp; d'!I6/'c &amp; d'!I8)*100</f>
        <v>#DIV/0!</v>
      </c>
      <c r="K32" s="10" t="e">
        <f>('c &amp; d'!J6/'c &amp; d'!J8)*100</f>
        <v>#DIV/0!</v>
      </c>
      <c r="L32" s="10" t="e">
        <f>('c &amp; d'!K6/'c &amp; d'!K8)*100</f>
        <v>#DIV/0!</v>
      </c>
      <c r="M32" s="10" t="e">
        <f>('c &amp; d'!L6/'c &amp; d'!L8)*100</f>
        <v>#DIV/0!</v>
      </c>
      <c r="N32" s="10" t="e">
        <f>('c &amp; d'!M6/'c &amp; d'!M8)*100</f>
        <v>#DIV/0!</v>
      </c>
    </row>
    <row r="33" spans="1:14" ht="16.5" customHeight="1">
      <c r="A33" s="26" t="s">
        <v>318</v>
      </c>
      <c r="B33" s="5"/>
      <c r="C33" s="5"/>
      <c r="D33" s="5"/>
      <c r="E33" s="10" t="e">
        <f>('c &amp; d'!D14+'c &amp; d'!D16+'c &amp; d'!D21-'c &amp; d'!D20)/'j - Debt Sum'!D68</f>
        <v>#DIV/0!</v>
      </c>
      <c r="F33" s="10" t="e">
        <f>('c &amp; d'!E14+'c &amp; d'!E16+'c &amp; d'!E21-'c &amp; d'!E20)/'j - Debt Sum'!E68</f>
        <v>#DIV/0!</v>
      </c>
      <c r="G33" s="10" t="e">
        <f>('c &amp; d'!F14+'c &amp; d'!F16+'c &amp; d'!F21-'c &amp; d'!F20)/'j - Debt Sum'!F68</f>
        <v>#DIV/0!</v>
      </c>
      <c r="H33" s="10" t="e">
        <f>('c &amp; d'!G14+'c &amp; d'!G16+'c &amp; d'!G21-'c &amp; d'!G20)/'j - Debt Sum'!G68</f>
        <v>#DIV/0!</v>
      </c>
      <c r="I33" s="10" t="e">
        <f>('c &amp; d'!H14+'c &amp; d'!H16+'c &amp; d'!H21-'c &amp; d'!H20)/'j - Debt Sum'!H68</f>
        <v>#DIV/0!</v>
      </c>
      <c r="J33" s="10" t="e">
        <f>('c &amp; d'!I14+'c &amp; d'!I16+'c &amp; d'!I21-'c &amp; d'!I20)/'j - Debt Sum'!I68</f>
        <v>#DIV/0!</v>
      </c>
      <c r="K33" s="10" t="e">
        <f>('c &amp; d'!J14+'c &amp; d'!J16+'c &amp; d'!J21-'c &amp; d'!J20)/'j - Debt Sum'!J68</f>
        <v>#DIV/0!</v>
      </c>
      <c r="L33" s="10" t="e">
        <f>('c &amp; d'!K14+'c &amp; d'!K16+'c &amp; d'!K21-'c &amp; d'!K20)/'j - Debt Sum'!K68</f>
        <v>#DIV/0!</v>
      </c>
      <c r="M33" s="10" t="e">
        <f>('c &amp; d'!L14+'c &amp; d'!L16+'c &amp; d'!L21-'c &amp; d'!L20)/'j - Debt Sum'!L68</f>
        <v>#DIV/0!</v>
      </c>
      <c r="N33" s="10" t="e">
        <f>('c &amp; d'!M14+'c &amp; d'!M16+'c &amp; d'!M21-'c &amp; d'!M20)/'j - Debt Sum'!M68</f>
        <v>#DIV/0!</v>
      </c>
    </row>
    <row r="34" spans="1:14" ht="16.5" customHeight="1">
      <c r="A34" s="26" t="s">
        <v>319</v>
      </c>
      <c r="B34" s="5"/>
      <c r="C34" s="5"/>
      <c r="D34" s="5"/>
      <c r="E34" s="10" t="e">
        <f>('c &amp; d'!D16+'c &amp; d'!D21-'c &amp; d'!D20)/'c &amp; d'!D16</f>
        <v>#DIV/0!</v>
      </c>
      <c r="F34" s="10" t="e">
        <f>('c &amp; d'!E16+'c &amp; d'!E21-'c &amp; d'!E20)/'c &amp; d'!E16</f>
        <v>#DIV/0!</v>
      </c>
      <c r="G34" s="10" t="e">
        <f>('c &amp; d'!F16+'c &amp; d'!F21-'c &amp; d'!F20)/'c &amp; d'!F16</f>
        <v>#DIV/0!</v>
      </c>
      <c r="H34" s="10" t="e">
        <f>('c &amp; d'!G16+'c &amp; d'!G21-'c &amp; d'!G20)/'c &amp; d'!G16</f>
        <v>#DIV/0!</v>
      </c>
      <c r="I34" s="10" t="e">
        <f>('c &amp; d'!H16+'c &amp; d'!H21-'c &amp; d'!H20)/'c &amp; d'!H16</f>
        <v>#DIV/0!</v>
      </c>
      <c r="J34" s="10" t="e">
        <f>('c &amp; d'!I16+'c &amp; d'!I21-'c &amp; d'!I20)/'c &amp; d'!I16</f>
        <v>#DIV/0!</v>
      </c>
      <c r="K34" s="10" t="e">
        <f>('c &amp; d'!J16+'c &amp; d'!J21-'c &amp; d'!J20)/'c &amp; d'!J16</f>
        <v>#DIV/0!</v>
      </c>
      <c r="L34" s="10" t="e">
        <f>('c &amp; d'!K16+'c &amp; d'!K21-'c &amp; d'!K20)/'c &amp; d'!K16</f>
        <v>#DIV/0!</v>
      </c>
      <c r="M34" s="10" t="e">
        <f>('c &amp; d'!L16+'c &amp; d'!L21-'c &amp; d'!L20)/'c &amp; d'!L16</f>
        <v>#DIV/0!</v>
      </c>
      <c r="N34" s="10" t="e">
        <f>('c &amp; d'!M16+'c &amp; d'!M21-'c &amp; d'!M20)/'c &amp; d'!M16</f>
        <v>#DIV/0!</v>
      </c>
    </row>
    <row r="35" spans="1:14" ht="16.5" customHeight="1">
      <c r="A35" s="5"/>
      <c r="B35" s="5"/>
      <c r="C35" s="5"/>
      <c r="D35" s="5"/>
      <c r="E35" s="5"/>
      <c r="F35" s="5"/>
      <c r="G35" s="5"/>
      <c r="H35" s="5"/>
      <c r="I35" s="5"/>
      <c r="J35" s="5"/>
      <c r="K35" s="5"/>
      <c r="L35" s="5"/>
      <c r="M35" s="5"/>
      <c r="N35" s="5"/>
    </row>
    <row r="36" spans="1:14" ht="16.5" customHeight="1">
      <c r="A36" s="5"/>
      <c r="B36" s="5"/>
      <c r="C36" s="5"/>
      <c r="D36" s="5"/>
      <c r="E36" s="5"/>
      <c r="F36" s="5"/>
      <c r="G36" s="5"/>
      <c r="H36" s="5"/>
      <c r="I36" s="5"/>
      <c r="J36" s="5"/>
      <c r="K36" s="5"/>
      <c r="L36" s="5"/>
      <c r="M36" s="5"/>
      <c r="N36" s="5"/>
    </row>
    <row r="37" spans="1:14" ht="16.5" customHeight="1">
      <c r="A37" s="5"/>
      <c r="B37" s="5"/>
      <c r="C37" s="5"/>
      <c r="D37" s="5"/>
      <c r="E37" s="5"/>
      <c r="F37" s="5"/>
      <c r="G37" s="5"/>
      <c r="H37" s="5"/>
      <c r="I37" s="5"/>
      <c r="J37" s="5"/>
      <c r="K37" s="5"/>
      <c r="L37" s="5"/>
      <c r="M37" s="5"/>
      <c r="N37" s="5"/>
    </row>
    <row r="38" spans="1:14" ht="16.5" customHeight="1">
      <c r="A38" s="5"/>
      <c r="B38" s="5"/>
      <c r="C38" s="5"/>
      <c r="D38" s="5"/>
      <c r="E38" s="5"/>
      <c r="F38" s="5"/>
      <c r="G38" s="5"/>
      <c r="H38" s="5"/>
      <c r="I38" s="5"/>
      <c r="J38" s="5"/>
      <c r="K38" s="5"/>
      <c r="L38" s="5"/>
      <c r="M38" s="5"/>
      <c r="N38" s="5"/>
    </row>
    <row r="39" spans="1:14" ht="16.5" customHeight="1">
      <c r="A39" s="5"/>
      <c r="B39" s="5"/>
      <c r="C39" s="5"/>
      <c r="D39" s="5"/>
      <c r="E39" s="5"/>
      <c r="F39" s="26" t="s">
        <v>42</v>
      </c>
      <c r="G39" s="5"/>
      <c r="H39" s="26" t="s">
        <v>320</v>
      </c>
      <c r="I39" s="5"/>
      <c r="J39" s="5"/>
      <c r="K39" s="5"/>
      <c r="L39" s="5"/>
      <c r="M39" s="5"/>
      <c r="N39" s="5"/>
    </row>
    <row r="40" spans="1:14" ht="16.5" customHeight="1">
      <c r="A40" s="5"/>
      <c r="B40" s="5"/>
      <c r="C40" s="5"/>
      <c r="D40" s="5"/>
      <c r="E40" s="5"/>
      <c r="F40" s="5"/>
      <c r="G40" s="5"/>
      <c r="H40" s="5"/>
      <c r="I40" s="5"/>
      <c r="J40" s="5"/>
      <c r="K40" s="5"/>
      <c r="L40" s="5"/>
      <c r="M40" s="5"/>
      <c r="N40" s="5"/>
    </row>
    <row r="41" spans="1:14" ht="16.5" customHeight="1">
      <c r="A41" s="5"/>
      <c r="B41" s="5"/>
      <c r="C41" s="5"/>
      <c r="D41" s="30" t="s">
        <v>690</v>
      </c>
      <c r="E41" s="162" t="s">
        <v>44</v>
      </c>
      <c r="F41" s="162"/>
      <c r="G41" s="162"/>
      <c r="H41" s="257" t="s">
        <v>45</v>
      </c>
      <c r="I41" s="257"/>
      <c r="J41" s="57" t="s">
        <v>44</v>
      </c>
      <c r="K41" s="57"/>
      <c r="L41" s="162"/>
      <c r="M41" s="162"/>
      <c r="N41" s="162"/>
    </row>
    <row r="42" spans="1:14" ht="16.5" customHeight="1">
      <c r="A42" s="5"/>
      <c r="B42" s="5"/>
      <c r="C42" s="5"/>
      <c r="D42" s="5"/>
      <c r="E42" s="5"/>
      <c r="F42" s="5"/>
      <c r="G42" s="5"/>
      <c r="H42" s="5"/>
      <c r="I42" s="5"/>
      <c r="J42" s="5"/>
      <c r="K42" s="5"/>
      <c r="L42" s="5"/>
      <c r="M42" s="5"/>
      <c r="N42" s="5"/>
    </row>
    <row r="43" spans="1:14" ht="16.5" customHeight="1">
      <c r="A43" s="5"/>
      <c r="B43" s="5"/>
      <c r="C43" s="5"/>
      <c r="D43" s="6">
        <f>E43-1</f>
        <v>2023</v>
      </c>
      <c r="E43" s="6">
        <f>Input!G8</f>
        <v>2024</v>
      </c>
      <c r="F43" s="6">
        <f t="shared" ref="F43:N43" si="6">E43+1</f>
        <v>2025</v>
      </c>
      <c r="G43" s="6">
        <f t="shared" si="6"/>
        <v>2026</v>
      </c>
      <c r="H43" s="6">
        <f t="shared" si="6"/>
        <v>2027</v>
      </c>
      <c r="I43" s="6">
        <f t="shared" si="6"/>
        <v>2028</v>
      </c>
      <c r="J43" s="6">
        <f t="shared" si="6"/>
        <v>2029</v>
      </c>
      <c r="K43" s="6">
        <f t="shared" si="6"/>
        <v>2030</v>
      </c>
      <c r="L43" s="6">
        <f t="shared" si="6"/>
        <v>2031</v>
      </c>
      <c r="M43" s="6">
        <f t="shared" si="6"/>
        <v>2032</v>
      </c>
      <c r="N43" s="6">
        <f t="shared" si="6"/>
        <v>2033</v>
      </c>
    </row>
    <row r="44" spans="1:14" ht="16.5" customHeight="1">
      <c r="A44" s="5"/>
      <c r="B44" s="5"/>
      <c r="C44" s="5"/>
      <c r="D44" s="6" t="s">
        <v>46</v>
      </c>
      <c r="E44" s="6" t="s">
        <v>46</v>
      </c>
      <c r="F44" s="6" t="s">
        <v>46</v>
      </c>
      <c r="G44" s="6" t="s">
        <v>46</v>
      </c>
      <c r="H44" s="6" t="s">
        <v>46</v>
      </c>
      <c r="I44" s="6" t="s">
        <v>46</v>
      </c>
      <c r="J44" s="6" t="s">
        <v>46</v>
      </c>
      <c r="K44" s="6" t="s">
        <v>46</v>
      </c>
      <c r="L44" s="6" t="s">
        <v>46</v>
      </c>
      <c r="M44" s="6" t="s">
        <v>46</v>
      </c>
      <c r="N44" s="6" t="s">
        <v>46</v>
      </c>
    </row>
    <row r="45" spans="1:14" ht="16.5" customHeight="1">
      <c r="A45" s="26" t="s">
        <v>321</v>
      </c>
      <c r="B45" s="5"/>
      <c r="C45" s="5"/>
      <c r="D45" s="5"/>
      <c r="E45" s="5"/>
      <c r="F45" s="5"/>
      <c r="G45" s="5"/>
      <c r="H45" s="5"/>
      <c r="I45" s="5"/>
      <c r="J45" s="5"/>
      <c r="K45" s="5"/>
      <c r="L45" s="5"/>
      <c r="M45" s="5"/>
      <c r="N45" s="5"/>
    </row>
    <row r="46" spans="1:14" ht="16.5" customHeight="1">
      <c r="A46" s="26" t="s">
        <v>322</v>
      </c>
      <c r="B46" s="5"/>
      <c r="C46" s="5"/>
      <c r="D46" s="12">
        <f>+'g - Plant'!G12</f>
        <v>0</v>
      </c>
      <c r="E46" s="12">
        <f>+'g - Plant'!H12</f>
        <v>0</v>
      </c>
      <c r="F46" s="12">
        <f>+'g - Plant'!I12</f>
        <v>0</v>
      </c>
      <c r="G46" s="12">
        <f>+'g - Plant'!J12</f>
        <v>0</v>
      </c>
      <c r="H46" s="12">
        <f>+'g - Plant'!K12</f>
        <v>0</v>
      </c>
      <c r="I46" s="12">
        <f>+'g - Plant'!L12</f>
        <v>0</v>
      </c>
      <c r="J46" s="12">
        <f>+'g - Plant'!M12</f>
        <v>0</v>
      </c>
      <c r="K46" s="12">
        <f>+'g - Plant'!N12</f>
        <v>0</v>
      </c>
      <c r="L46" s="12">
        <f>+'g - Plant'!O12</f>
        <v>0</v>
      </c>
      <c r="M46" s="12">
        <f>+'g - Plant'!P12</f>
        <v>0</v>
      </c>
      <c r="N46" s="12">
        <f>+'g - Plant'!Q12</f>
        <v>0</v>
      </c>
    </row>
    <row r="47" spans="1:14" ht="16.5" customHeight="1">
      <c r="A47" s="26" t="s">
        <v>323</v>
      </c>
      <c r="B47" s="5"/>
      <c r="C47" s="5"/>
      <c r="D47" s="12">
        <f>Input!F22</f>
        <v>0</v>
      </c>
      <c r="E47" s="12" t="e">
        <f>D47+'c &amp; d'!D14-'g - Plant'!H11</f>
        <v>#DIV/0!</v>
      </c>
      <c r="F47" s="12" t="e">
        <f>E47+'c &amp; d'!E14-'g - Plant'!I11</f>
        <v>#DIV/0!</v>
      </c>
      <c r="G47" s="12" t="e">
        <f>F47+'c &amp; d'!F14-'g - Plant'!J11</f>
        <v>#DIV/0!</v>
      </c>
      <c r="H47" s="12" t="e">
        <f>G47+'c &amp; d'!G14-'g - Plant'!K11</f>
        <v>#DIV/0!</v>
      </c>
      <c r="I47" s="12" t="e">
        <f>H47+'c &amp; d'!H14-'g - Plant'!L11</f>
        <v>#DIV/0!</v>
      </c>
      <c r="J47" s="12" t="e">
        <f>I47+'c &amp; d'!I14-'g - Plant'!M11</f>
        <v>#DIV/0!</v>
      </c>
      <c r="K47" s="12" t="e">
        <f>J47+'c &amp; d'!J14-'g - Plant'!N11</f>
        <v>#DIV/0!</v>
      </c>
      <c r="L47" s="12" t="e">
        <f>K47+'c &amp; d'!K14-'g - Plant'!O11</f>
        <v>#DIV/0!</v>
      </c>
      <c r="M47" s="12" t="e">
        <f>L47+'c &amp; d'!L14-'g - Plant'!P11</f>
        <v>#DIV/0!</v>
      </c>
      <c r="N47" s="12" t="e">
        <f>M47+'c &amp; d'!M14-'g - Plant'!Q11</f>
        <v>#DIV/0!</v>
      </c>
    </row>
    <row r="48" spans="1:14" ht="16.5" customHeight="1">
      <c r="A48" s="26" t="s">
        <v>324</v>
      </c>
      <c r="B48" s="5"/>
      <c r="C48" s="5"/>
      <c r="D48" s="12">
        <f t="shared" ref="D48:N48" si="7">D46-D47</f>
        <v>0</v>
      </c>
      <c r="E48" s="12" t="e">
        <f t="shared" si="7"/>
        <v>#DIV/0!</v>
      </c>
      <c r="F48" s="12" t="e">
        <f t="shared" si="7"/>
        <v>#DIV/0!</v>
      </c>
      <c r="G48" s="12" t="e">
        <f t="shared" si="7"/>
        <v>#DIV/0!</v>
      </c>
      <c r="H48" s="12" t="e">
        <f t="shared" si="7"/>
        <v>#DIV/0!</v>
      </c>
      <c r="I48" s="12" t="e">
        <f t="shared" si="7"/>
        <v>#DIV/0!</v>
      </c>
      <c r="J48" s="12" t="e">
        <f t="shared" si="7"/>
        <v>#DIV/0!</v>
      </c>
      <c r="K48" s="12" t="e">
        <f t="shared" si="7"/>
        <v>#DIV/0!</v>
      </c>
      <c r="L48" s="12" t="e">
        <f t="shared" si="7"/>
        <v>#DIV/0!</v>
      </c>
      <c r="M48" s="12" t="e">
        <f t="shared" si="7"/>
        <v>#DIV/0!</v>
      </c>
      <c r="N48" s="12" t="e">
        <f t="shared" si="7"/>
        <v>#DIV/0!</v>
      </c>
    </row>
    <row r="49" spans="1:256" ht="16.5" customHeight="1">
      <c r="A49" s="26" t="s">
        <v>325</v>
      </c>
      <c r="B49" s="5"/>
      <c r="C49" s="5"/>
      <c r="D49" s="12">
        <f>Input!F23</f>
        <v>0</v>
      </c>
      <c r="E49" s="12" t="e">
        <f>'c &amp; d'!D57</f>
        <v>#DIV/0!</v>
      </c>
      <c r="F49" s="12" t="e">
        <f>'c &amp; d'!E57</f>
        <v>#DIV/0!</v>
      </c>
      <c r="G49" s="12" t="e">
        <f>'c &amp; d'!F57</f>
        <v>#DIV/0!</v>
      </c>
      <c r="H49" s="12" t="e">
        <f>'c &amp; d'!G57</f>
        <v>#DIV/0!</v>
      </c>
      <c r="I49" s="12" t="e">
        <f>'c &amp; d'!H57</f>
        <v>#DIV/0!</v>
      </c>
      <c r="J49" s="12" t="e">
        <f>'c &amp; d'!I57</f>
        <v>#DIV/0!</v>
      </c>
      <c r="K49" s="12" t="e">
        <f>'c &amp; d'!J57</f>
        <v>#DIV/0!</v>
      </c>
      <c r="L49" s="12" t="e">
        <f>'c &amp; d'!K57</f>
        <v>#DIV/0!</v>
      </c>
      <c r="M49" s="12" t="e">
        <f>'c &amp; d'!L57</f>
        <v>#DIV/0!</v>
      </c>
      <c r="N49" s="12" t="e">
        <f>'c &amp; d'!M57</f>
        <v>#DIV/0!</v>
      </c>
    </row>
    <row r="50" spans="1:256" ht="16.5" customHeight="1">
      <c r="A50" s="26" t="s">
        <v>326</v>
      </c>
      <c r="B50" s="5"/>
      <c r="C50" s="5"/>
      <c r="D50" s="12">
        <f>Input!F24</f>
        <v>0</v>
      </c>
      <c r="E50" s="12">
        <f>D50+'c &amp; d'!D49-'c &amp; d'!D41</f>
        <v>0</v>
      </c>
      <c r="F50" s="12">
        <f>E50+'c &amp; d'!E49-'c &amp; d'!E41</f>
        <v>0</v>
      </c>
      <c r="G50" s="12">
        <f>F50+'c &amp; d'!F49-'c &amp; d'!F41</f>
        <v>0</v>
      </c>
      <c r="H50" s="12">
        <f>G50+'c &amp; d'!G49-'c &amp; d'!G41</f>
        <v>0</v>
      </c>
      <c r="I50" s="12">
        <f>H50+'c &amp; d'!H49-'c &amp; d'!H41</f>
        <v>0</v>
      </c>
      <c r="J50" s="12">
        <f>I50+'c &amp; d'!I49-'c &amp; d'!I41</f>
        <v>0</v>
      </c>
      <c r="K50" s="12">
        <f>J50+'c &amp; d'!J49-'c &amp; d'!J41</f>
        <v>0</v>
      </c>
      <c r="L50" s="12">
        <f>K50+'c &amp; d'!K49-'c &amp; d'!K41</f>
        <v>0</v>
      </c>
      <c r="M50" s="12">
        <f>L50+'c &amp; d'!L49-'c &amp; d'!L41</f>
        <v>0</v>
      </c>
      <c r="N50" s="12">
        <f>M50+'c &amp; d'!M49-'c &amp; d'!M41</f>
        <v>0</v>
      </c>
    </row>
    <row r="51" spans="1:256" ht="16.5" customHeight="1">
      <c r="A51" s="26" t="s">
        <v>327</v>
      </c>
      <c r="B51" s="5"/>
      <c r="C51" s="5"/>
      <c r="D51" s="12">
        <f>Input!F25</f>
        <v>0</v>
      </c>
      <c r="E51" s="12">
        <f>D51+'c &amp; d'!D20-'c &amp; d'!D40</f>
        <v>0</v>
      </c>
      <c r="F51" s="12">
        <f>E51+'c &amp; d'!E20-'c &amp; d'!E40</f>
        <v>0</v>
      </c>
      <c r="G51" s="12">
        <f>F51+'c &amp; d'!F20-'c &amp; d'!F40</f>
        <v>0</v>
      </c>
      <c r="H51" s="12">
        <f>G51+'c &amp; d'!G20-'c &amp; d'!G40</f>
        <v>0</v>
      </c>
      <c r="I51" s="12">
        <f>H51+'c &amp; d'!H20-'c &amp; d'!H40</f>
        <v>0</v>
      </c>
      <c r="J51" s="12">
        <f>I51+'c &amp; d'!I20-'c &amp; d'!I40</f>
        <v>0</v>
      </c>
      <c r="K51" s="12">
        <f>J51+'c &amp; d'!J20-'c &amp; d'!J40</f>
        <v>0</v>
      </c>
      <c r="L51" s="12">
        <f>K51+'c &amp; d'!K20-'c &amp; d'!K40</f>
        <v>0</v>
      </c>
      <c r="M51" s="12">
        <f>L51+'c &amp; d'!L20-'c &amp; d'!L40</f>
        <v>0</v>
      </c>
      <c r="N51" s="12">
        <f>M51+'c &amp; d'!M20-'c &amp; d'!M40</f>
        <v>0</v>
      </c>
    </row>
    <row r="52" spans="1:256" ht="16.5" customHeight="1">
      <c r="A52" s="26" t="s">
        <v>328</v>
      </c>
      <c r="B52" s="5"/>
      <c r="C52" s="5"/>
      <c r="D52" s="12">
        <f t="shared" ref="D52:N52" si="8">SUM(D48:D51)</f>
        <v>0</v>
      </c>
      <c r="E52" s="12" t="e">
        <f t="shared" si="8"/>
        <v>#DIV/0!</v>
      </c>
      <c r="F52" s="12" t="e">
        <f t="shared" si="8"/>
        <v>#DIV/0!</v>
      </c>
      <c r="G52" s="12" t="e">
        <f t="shared" si="8"/>
        <v>#DIV/0!</v>
      </c>
      <c r="H52" s="12" t="e">
        <f t="shared" si="8"/>
        <v>#DIV/0!</v>
      </c>
      <c r="I52" s="12" t="e">
        <f t="shared" si="8"/>
        <v>#DIV/0!</v>
      </c>
      <c r="J52" s="12" t="e">
        <f t="shared" si="8"/>
        <v>#DIV/0!</v>
      </c>
      <c r="K52" s="12" t="e">
        <f t="shared" si="8"/>
        <v>#DIV/0!</v>
      </c>
      <c r="L52" s="12" t="e">
        <f t="shared" si="8"/>
        <v>#DIV/0!</v>
      </c>
      <c r="M52" s="12" t="e">
        <f t="shared" si="8"/>
        <v>#DIV/0!</v>
      </c>
      <c r="N52" s="12" t="e">
        <f t="shared" si="8"/>
        <v>#DIV/0!</v>
      </c>
    </row>
    <row r="53" spans="1:256" ht="16.5" customHeight="1">
      <c r="A53" s="5"/>
      <c r="B53" s="5"/>
      <c r="C53" s="5"/>
      <c r="D53" s="5"/>
      <c r="E53" s="5"/>
      <c r="F53" s="5"/>
      <c r="G53" s="5"/>
      <c r="H53" s="5"/>
      <c r="I53" s="5"/>
      <c r="J53" s="5"/>
      <c r="K53" s="5"/>
      <c r="L53" s="5"/>
      <c r="M53" s="5"/>
      <c r="N53" s="5"/>
    </row>
    <row r="54" spans="1:256" ht="16.5" customHeight="1">
      <c r="A54" s="26" t="s">
        <v>329</v>
      </c>
      <c r="B54" s="5"/>
      <c r="C54" s="5"/>
      <c r="D54" s="5"/>
      <c r="E54" s="5"/>
      <c r="F54" s="5"/>
      <c r="G54" s="5"/>
      <c r="H54" s="5"/>
      <c r="I54" s="5"/>
      <c r="J54" s="5"/>
      <c r="K54" s="5"/>
      <c r="L54" s="5"/>
      <c r="M54" s="5"/>
      <c r="N54" s="5"/>
    </row>
    <row r="55" spans="1:256" ht="16.5" customHeight="1">
      <c r="A55" s="26" t="s">
        <v>330</v>
      </c>
      <c r="B55" s="5"/>
      <c r="C55" s="5"/>
      <c r="D55" s="12">
        <f>Input!F26</f>
        <v>0</v>
      </c>
      <c r="E55" s="12" t="e">
        <f>D55+'c &amp; d'!D21-'c &amp; d'!D50</f>
        <v>#DIV/0!</v>
      </c>
      <c r="F55" s="12" t="e">
        <f>E55+'c &amp; d'!E21-'c &amp; d'!E50</f>
        <v>#DIV/0!</v>
      </c>
      <c r="G55" s="12" t="e">
        <f>F55+'c &amp; d'!F21-'c &amp; d'!F50</f>
        <v>#DIV/0!</v>
      </c>
      <c r="H55" s="12" t="e">
        <f>G55+'c &amp; d'!G21-'c &amp; d'!G50</f>
        <v>#DIV/0!</v>
      </c>
      <c r="I55" s="12" t="e">
        <f>H55+'c &amp; d'!H21-'c &amp; d'!H50</f>
        <v>#DIV/0!</v>
      </c>
      <c r="J55" s="12" t="e">
        <f>I55+'c &amp; d'!I21-'c &amp; d'!I50</f>
        <v>#DIV/0!</v>
      </c>
      <c r="K55" s="12" t="e">
        <f>J55+'c &amp; d'!J21-'c &amp; d'!J50</f>
        <v>#DIV/0!</v>
      </c>
      <c r="L55" s="12" t="e">
        <f>K55+'c &amp; d'!K21-'c &amp; d'!K50</f>
        <v>#DIV/0!</v>
      </c>
      <c r="M55" s="12" t="e">
        <f>L55+'c &amp; d'!L21-'c &amp; d'!L50</f>
        <v>#DIV/0!</v>
      </c>
      <c r="N55" s="12" t="e">
        <f>M55+'c &amp; d'!M21-'c &amp; d'!M50</f>
        <v>#DIV/0!</v>
      </c>
    </row>
    <row r="56" spans="1:256" ht="16.5" customHeight="1">
      <c r="A56" s="26" t="s">
        <v>331</v>
      </c>
      <c r="B56" s="5"/>
      <c r="C56" s="5"/>
      <c r="D56" s="5"/>
      <c r="E56" s="5"/>
      <c r="F56" s="5"/>
      <c r="G56" s="5"/>
      <c r="H56" s="5"/>
      <c r="I56" s="5"/>
      <c r="J56" s="5"/>
      <c r="K56" s="5"/>
      <c r="L56" s="5"/>
      <c r="M56" s="5"/>
      <c r="N56" s="5"/>
    </row>
    <row r="57" spans="1:256" ht="16.5" customHeight="1">
      <c r="A57" s="5"/>
      <c r="B57" s="30" t="s">
        <v>355</v>
      </c>
      <c r="C57" s="5"/>
      <c r="D57" s="12">
        <f>'j - Debt Sum'!D9</f>
        <v>0</v>
      </c>
      <c r="E57" s="12">
        <f>'j - Debt Sum'!D14</f>
        <v>0</v>
      </c>
      <c r="F57" s="12">
        <f>'j - Debt Sum'!E14</f>
        <v>0</v>
      </c>
      <c r="G57" s="12">
        <f>'j - Debt Sum'!F14</f>
        <v>0</v>
      </c>
      <c r="H57" s="12">
        <f>'j - Debt Sum'!G14</f>
        <v>0</v>
      </c>
      <c r="I57" s="12">
        <f>'j - Debt Sum'!H14</f>
        <v>0</v>
      </c>
      <c r="J57" s="12">
        <f>'j - Debt Sum'!I14</f>
        <v>0</v>
      </c>
      <c r="K57" s="12">
        <f>'j - Debt Sum'!J14</f>
        <v>0</v>
      </c>
      <c r="L57" s="12">
        <f>'j - Debt Sum'!K14</f>
        <v>0</v>
      </c>
      <c r="M57" s="12">
        <f>'j - Debt Sum'!L14</f>
        <v>0</v>
      </c>
      <c r="N57" s="12">
        <f>'j - Debt Sum'!M14</f>
        <v>0</v>
      </c>
    </row>
    <row r="58" spans="1:256" ht="16.5" customHeight="1">
      <c r="A58" s="5"/>
      <c r="B58" s="30" t="s">
        <v>777</v>
      </c>
      <c r="C58" s="5"/>
      <c r="D58" s="12">
        <f>'j - Debt Sum'!D17+'j - Debt Sum'!D25</f>
        <v>0</v>
      </c>
      <c r="E58" s="12">
        <f>'j - Debt Sum'!D22+'j - Debt Sum'!D30</f>
        <v>0</v>
      </c>
      <c r="F58" s="12">
        <f>'j - Debt Sum'!E22+'j - Debt Sum'!E30</f>
        <v>0</v>
      </c>
      <c r="G58" s="12">
        <f>'j - Debt Sum'!F22+'j - Debt Sum'!F30</f>
        <v>0</v>
      </c>
      <c r="H58" s="12">
        <f>'j - Debt Sum'!G22+'j - Debt Sum'!G30</f>
        <v>0</v>
      </c>
      <c r="I58" s="12">
        <f>'j - Debt Sum'!H22+'j - Debt Sum'!H30</f>
        <v>0</v>
      </c>
      <c r="J58" s="12">
        <f>'j - Debt Sum'!I22+'j - Debt Sum'!I30</f>
        <v>0</v>
      </c>
      <c r="K58" s="12">
        <f>'j - Debt Sum'!J22+'j - Debt Sum'!J30</f>
        <v>0</v>
      </c>
      <c r="L58" s="12">
        <f>'j - Debt Sum'!K22+'j - Debt Sum'!K30</f>
        <v>0</v>
      </c>
      <c r="M58" s="12">
        <f>'j - Debt Sum'!L22+'j - Debt Sum'!L30</f>
        <v>0</v>
      </c>
      <c r="N58" s="12">
        <f>'j - Debt Sum'!M22+'j - Debt Sum'!M30</f>
        <v>0</v>
      </c>
    </row>
    <row r="59" spans="1:256" ht="16.5" customHeight="1">
      <c r="A59" s="5"/>
      <c r="B59" s="30" t="s">
        <v>356</v>
      </c>
      <c r="C59" s="5"/>
      <c r="D59" s="12">
        <f>'j - Debt Sum'!D33+'j - Debt Sum'!D41</f>
        <v>0</v>
      </c>
      <c r="E59" s="12">
        <f>'j - Debt Sum'!D38+'j - Debt Sum'!D46</f>
        <v>0</v>
      </c>
      <c r="F59" s="12">
        <f>'j - Debt Sum'!E38+'j - Debt Sum'!E46</f>
        <v>0</v>
      </c>
      <c r="G59" s="12">
        <f>'j - Debt Sum'!F38+'j - Debt Sum'!F46</f>
        <v>0</v>
      </c>
      <c r="H59" s="12">
        <f>'j - Debt Sum'!G38+'j - Debt Sum'!G46</f>
        <v>0</v>
      </c>
      <c r="I59" s="12">
        <f>'j - Debt Sum'!H38+'j - Debt Sum'!H46</f>
        <v>0</v>
      </c>
      <c r="J59" s="12">
        <f>'j - Debt Sum'!I38+'j - Debt Sum'!I46</f>
        <v>0</v>
      </c>
      <c r="K59" s="12">
        <f>'j - Debt Sum'!J38+'j - Debt Sum'!J46</f>
        <v>0</v>
      </c>
      <c r="L59" s="12">
        <f>'j - Debt Sum'!K38+'j - Debt Sum'!K46</f>
        <v>0</v>
      </c>
      <c r="M59" s="12">
        <f>'j - Debt Sum'!L38+'j - Debt Sum'!L46</f>
        <v>0</v>
      </c>
      <c r="N59" s="12">
        <f>'j - Debt Sum'!M38+'j - Debt Sum'!M46</f>
        <v>0</v>
      </c>
    </row>
    <row r="60" spans="1:256" ht="16.5" customHeight="1">
      <c r="A60" s="5"/>
      <c r="B60" s="30" t="s">
        <v>842</v>
      </c>
      <c r="C60" s="5"/>
      <c r="D60" s="12">
        <f>Input!F27</f>
        <v>0</v>
      </c>
      <c r="E60" s="12">
        <f>D60-Input!G44</f>
        <v>0</v>
      </c>
      <c r="F60" s="12">
        <f>E60-Input!H44</f>
        <v>0</v>
      </c>
      <c r="G60" s="12">
        <f>F60-Input!I44</f>
        <v>0</v>
      </c>
      <c r="H60" s="12">
        <f>G60-Input!J44</f>
        <v>0</v>
      </c>
      <c r="I60" s="12">
        <f>H60-Input!K44</f>
        <v>0</v>
      </c>
      <c r="J60" s="12">
        <f>I60-Input!L44</f>
        <v>0</v>
      </c>
      <c r="K60" s="12">
        <f>J60-Input!M44</f>
        <v>0</v>
      </c>
      <c r="L60" s="12">
        <f>K60-Input!N44</f>
        <v>0</v>
      </c>
      <c r="M60" s="12">
        <f>L60-Input!O44</f>
        <v>0</v>
      </c>
      <c r="N60" s="12">
        <f>M60-Input!P44</f>
        <v>0</v>
      </c>
    </row>
    <row r="61" spans="1:256" ht="16.5" customHeight="1">
      <c r="A61" s="5"/>
      <c r="B61" s="30" t="s">
        <v>840</v>
      </c>
      <c r="C61" s="5"/>
      <c r="D61" s="3">
        <f>SUM(D57:D59)-D60</f>
        <v>0</v>
      </c>
      <c r="E61" s="3">
        <f t="shared" ref="E61:N61" si="9">SUM(E57:E59)-E60</f>
        <v>0</v>
      </c>
      <c r="F61" s="3">
        <f t="shared" si="9"/>
        <v>0</v>
      </c>
      <c r="G61" s="3">
        <f t="shared" si="9"/>
        <v>0</v>
      </c>
      <c r="H61" s="3">
        <f t="shared" si="9"/>
        <v>0</v>
      </c>
      <c r="I61" s="3">
        <f t="shared" si="9"/>
        <v>0</v>
      </c>
      <c r="J61" s="3">
        <f t="shared" si="9"/>
        <v>0</v>
      </c>
      <c r="K61" s="3">
        <f t="shared" si="9"/>
        <v>0</v>
      </c>
      <c r="L61" s="3">
        <f t="shared" si="9"/>
        <v>0</v>
      </c>
      <c r="M61" s="3">
        <f t="shared" si="9"/>
        <v>0</v>
      </c>
      <c r="N61" s="3">
        <f t="shared" si="9"/>
        <v>0</v>
      </c>
    </row>
    <row r="62" spans="1:256" ht="16.5" customHeight="1">
      <c r="A62" s="26" t="s">
        <v>332</v>
      </c>
      <c r="B62" s="5"/>
      <c r="C62" s="5"/>
      <c r="D62" s="12">
        <f>'j - Debt Sum'!D49+'j - Debt Sum'!D57</f>
        <v>0</v>
      </c>
      <c r="E62" s="12">
        <f>'j - Debt Sum'!D54+'j - Debt Sum'!D62</f>
        <v>0</v>
      </c>
      <c r="F62" s="12">
        <f>'j - Debt Sum'!E54+'j - Debt Sum'!E62</f>
        <v>0</v>
      </c>
      <c r="G62" s="12">
        <f>'j - Debt Sum'!F54+'j - Debt Sum'!F62</f>
        <v>0</v>
      </c>
      <c r="H62" s="12">
        <f>'j - Debt Sum'!G54+'j - Debt Sum'!G62</f>
        <v>0</v>
      </c>
      <c r="I62" s="12">
        <f>'j - Debt Sum'!H54+'j - Debt Sum'!H62</f>
        <v>0</v>
      </c>
      <c r="J62" s="12">
        <f>'j - Debt Sum'!I54+'j - Debt Sum'!I62</f>
        <v>0</v>
      </c>
      <c r="K62" s="12">
        <f>'j - Debt Sum'!J54+'j - Debt Sum'!J62</f>
        <v>0</v>
      </c>
      <c r="L62" s="12">
        <f>'j - Debt Sum'!K54+'j - Debt Sum'!K62</f>
        <v>0</v>
      </c>
      <c r="M62" s="12">
        <f>'j - Debt Sum'!L54+'j - Debt Sum'!L62</f>
        <v>0</v>
      </c>
      <c r="N62" s="12">
        <f>'j - Debt Sum'!M54+'j - Debt Sum'!M62</f>
        <v>0</v>
      </c>
    </row>
    <row r="63" spans="1:256" ht="16.5" customHeight="1">
      <c r="A63" s="26" t="s">
        <v>843</v>
      </c>
      <c r="B63" s="26"/>
      <c r="C63" s="5"/>
      <c r="D63" s="12">
        <f>Input!F28</f>
        <v>0</v>
      </c>
      <c r="E63" s="12">
        <f>'j - Debt Sum'!E68-'j - Debt Sum'!E67</f>
        <v>0</v>
      </c>
      <c r="F63" s="12">
        <f>'j - Debt Sum'!F68-'j - Debt Sum'!F67</f>
        <v>0</v>
      </c>
      <c r="G63" s="12">
        <f>'j - Debt Sum'!G68-'j - Debt Sum'!G67</f>
        <v>0</v>
      </c>
      <c r="H63" s="12">
        <f>'j - Debt Sum'!H68-'j - Debt Sum'!H67</f>
        <v>0</v>
      </c>
      <c r="I63" s="12">
        <f>'j - Debt Sum'!I68-'j - Debt Sum'!I67</f>
        <v>0</v>
      </c>
      <c r="J63" s="12">
        <f>'j - Debt Sum'!J68-'j - Debt Sum'!J67</f>
        <v>0</v>
      </c>
      <c r="K63" s="12">
        <f>'j - Debt Sum'!K68-'j - Debt Sum'!K67</f>
        <v>0</v>
      </c>
      <c r="L63" s="12">
        <f>'j - Debt Sum'!L68-'j - Debt Sum'!L67</f>
        <v>0</v>
      </c>
      <c r="M63" s="12">
        <f>'j - Debt Sum'!M68-'j - Debt Sum'!M67</f>
        <v>0</v>
      </c>
      <c r="N63" s="12">
        <f>'j - Debt Sum'!M68-'j - Debt Sum'!M67</f>
        <v>0</v>
      </c>
    </row>
    <row r="64" spans="1:256" ht="16.5" customHeight="1">
      <c r="A64" s="26" t="s">
        <v>844</v>
      </c>
      <c r="B64" s="30"/>
      <c r="C64" s="5"/>
      <c r="D64" s="12">
        <f>D61+D62-D63</f>
        <v>0</v>
      </c>
      <c r="E64" s="12">
        <f t="shared" ref="E64:BP64" si="10">E61+E62-E63</f>
        <v>0</v>
      </c>
      <c r="F64" s="12">
        <f t="shared" si="10"/>
        <v>0</v>
      </c>
      <c r="G64" s="12">
        <f t="shared" si="10"/>
        <v>0</v>
      </c>
      <c r="H64" s="12">
        <f t="shared" si="10"/>
        <v>0</v>
      </c>
      <c r="I64" s="12">
        <f t="shared" si="10"/>
        <v>0</v>
      </c>
      <c r="J64" s="12">
        <f t="shared" si="10"/>
        <v>0</v>
      </c>
      <c r="K64" s="12">
        <f t="shared" si="10"/>
        <v>0</v>
      </c>
      <c r="L64" s="12">
        <f t="shared" si="10"/>
        <v>0</v>
      </c>
      <c r="M64" s="12">
        <f t="shared" si="10"/>
        <v>0</v>
      </c>
      <c r="N64" s="12">
        <f t="shared" si="10"/>
        <v>0</v>
      </c>
      <c r="O64" s="166">
        <f t="shared" si="10"/>
        <v>0</v>
      </c>
      <c r="P64" s="166">
        <f t="shared" si="10"/>
        <v>0</v>
      </c>
      <c r="Q64" s="166">
        <f t="shared" si="10"/>
        <v>0</v>
      </c>
      <c r="R64" s="166">
        <f t="shared" si="10"/>
        <v>0</v>
      </c>
      <c r="S64" s="166">
        <f t="shared" si="10"/>
        <v>0</v>
      </c>
      <c r="T64" s="166">
        <f t="shared" si="10"/>
        <v>0</v>
      </c>
      <c r="U64" s="166">
        <f t="shared" si="10"/>
        <v>0</v>
      </c>
      <c r="V64" s="166">
        <f t="shared" si="10"/>
        <v>0</v>
      </c>
      <c r="W64" s="166">
        <f t="shared" si="10"/>
        <v>0</v>
      </c>
      <c r="X64" s="166">
        <f t="shared" si="10"/>
        <v>0</v>
      </c>
      <c r="Y64" s="166">
        <f t="shared" si="10"/>
        <v>0</v>
      </c>
      <c r="Z64" s="166">
        <f t="shared" si="10"/>
        <v>0</v>
      </c>
      <c r="AA64" s="166">
        <f t="shared" si="10"/>
        <v>0</v>
      </c>
      <c r="AB64" s="166">
        <f t="shared" si="10"/>
        <v>0</v>
      </c>
      <c r="AC64" s="166">
        <f t="shared" si="10"/>
        <v>0</v>
      </c>
      <c r="AD64" s="166">
        <f t="shared" si="10"/>
        <v>0</v>
      </c>
      <c r="AE64" s="166">
        <f t="shared" si="10"/>
        <v>0</v>
      </c>
      <c r="AF64" s="166">
        <f t="shared" si="10"/>
        <v>0</v>
      </c>
      <c r="AG64" s="166">
        <f t="shared" si="10"/>
        <v>0</v>
      </c>
      <c r="AH64" s="166">
        <f t="shared" si="10"/>
        <v>0</v>
      </c>
      <c r="AI64" s="166">
        <f t="shared" si="10"/>
        <v>0</v>
      </c>
      <c r="AJ64" s="166">
        <f t="shared" si="10"/>
        <v>0</v>
      </c>
      <c r="AK64" s="166">
        <f t="shared" si="10"/>
        <v>0</v>
      </c>
      <c r="AL64" s="166">
        <f t="shared" si="10"/>
        <v>0</v>
      </c>
      <c r="AM64" s="166">
        <f t="shared" si="10"/>
        <v>0</v>
      </c>
      <c r="AN64" s="166">
        <f t="shared" si="10"/>
        <v>0</v>
      </c>
      <c r="AO64" s="166">
        <f t="shared" si="10"/>
        <v>0</v>
      </c>
      <c r="AP64" s="166">
        <f t="shared" si="10"/>
        <v>0</v>
      </c>
      <c r="AQ64" s="166">
        <f t="shared" si="10"/>
        <v>0</v>
      </c>
      <c r="AR64" s="166">
        <f t="shared" si="10"/>
        <v>0</v>
      </c>
      <c r="AS64" s="166">
        <f t="shared" si="10"/>
        <v>0</v>
      </c>
      <c r="AT64" s="166">
        <f t="shared" si="10"/>
        <v>0</v>
      </c>
      <c r="AU64" s="166">
        <f t="shared" si="10"/>
        <v>0</v>
      </c>
      <c r="AV64" s="166">
        <f t="shared" si="10"/>
        <v>0</v>
      </c>
      <c r="AW64" s="166">
        <f t="shared" si="10"/>
        <v>0</v>
      </c>
      <c r="AX64" s="166">
        <f t="shared" si="10"/>
        <v>0</v>
      </c>
      <c r="AY64" s="166">
        <f t="shared" si="10"/>
        <v>0</v>
      </c>
      <c r="AZ64" s="166">
        <f t="shared" si="10"/>
        <v>0</v>
      </c>
      <c r="BA64" s="166">
        <f t="shared" si="10"/>
        <v>0</v>
      </c>
      <c r="BB64" s="166">
        <f t="shared" si="10"/>
        <v>0</v>
      </c>
      <c r="BC64" s="166">
        <f t="shared" si="10"/>
        <v>0</v>
      </c>
      <c r="BD64" s="166">
        <f t="shared" si="10"/>
        <v>0</v>
      </c>
      <c r="BE64" s="166">
        <f t="shared" si="10"/>
        <v>0</v>
      </c>
      <c r="BF64" s="166">
        <f t="shared" si="10"/>
        <v>0</v>
      </c>
      <c r="BG64" s="166">
        <f t="shared" si="10"/>
        <v>0</v>
      </c>
      <c r="BH64" s="166">
        <f t="shared" si="10"/>
        <v>0</v>
      </c>
      <c r="BI64" s="166">
        <f t="shared" si="10"/>
        <v>0</v>
      </c>
      <c r="BJ64" s="166">
        <f t="shared" si="10"/>
        <v>0</v>
      </c>
      <c r="BK64" s="166">
        <f t="shared" si="10"/>
        <v>0</v>
      </c>
      <c r="BL64" s="166">
        <f t="shared" si="10"/>
        <v>0</v>
      </c>
      <c r="BM64" s="166">
        <f t="shared" si="10"/>
        <v>0</v>
      </c>
      <c r="BN64" s="166">
        <f t="shared" si="10"/>
        <v>0</v>
      </c>
      <c r="BO64" s="166">
        <f t="shared" si="10"/>
        <v>0</v>
      </c>
      <c r="BP64" s="166">
        <f t="shared" si="10"/>
        <v>0</v>
      </c>
      <c r="BQ64" s="166">
        <f t="shared" ref="BQ64:EB64" si="11">BQ61+BQ62-BQ63</f>
        <v>0</v>
      </c>
      <c r="BR64" s="166">
        <f t="shared" si="11"/>
        <v>0</v>
      </c>
      <c r="BS64" s="166">
        <f t="shared" si="11"/>
        <v>0</v>
      </c>
      <c r="BT64" s="166">
        <f t="shared" si="11"/>
        <v>0</v>
      </c>
      <c r="BU64" s="166">
        <f t="shared" si="11"/>
        <v>0</v>
      </c>
      <c r="BV64" s="166">
        <f t="shared" si="11"/>
        <v>0</v>
      </c>
      <c r="BW64" s="166">
        <f t="shared" si="11"/>
        <v>0</v>
      </c>
      <c r="BX64" s="166">
        <f t="shared" si="11"/>
        <v>0</v>
      </c>
      <c r="BY64" s="166">
        <f t="shared" si="11"/>
        <v>0</v>
      </c>
      <c r="BZ64" s="166">
        <f t="shared" si="11"/>
        <v>0</v>
      </c>
      <c r="CA64" s="166">
        <f t="shared" si="11"/>
        <v>0</v>
      </c>
      <c r="CB64" s="166">
        <f t="shared" si="11"/>
        <v>0</v>
      </c>
      <c r="CC64" s="166">
        <f t="shared" si="11"/>
        <v>0</v>
      </c>
      <c r="CD64" s="166">
        <f t="shared" si="11"/>
        <v>0</v>
      </c>
      <c r="CE64" s="166">
        <f t="shared" si="11"/>
        <v>0</v>
      </c>
      <c r="CF64" s="166">
        <f t="shared" si="11"/>
        <v>0</v>
      </c>
      <c r="CG64" s="166">
        <f t="shared" si="11"/>
        <v>0</v>
      </c>
      <c r="CH64" s="166">
        <f t="shared" si="11"/>
        <v>0</v>
      </c>
      <c r="CI64" s="166">
        <f t="shared" si="11"/>
        <v>0</v>
      </c>
      <c r="CJ64" s="166">
        <f t="shared" si="11"/>
        <v>0</v>
      </c>
      <c r="CK64" s="166">
        <f t="shared" si="11"/>
        <v>0</v>
      </c>
      <c r="CL64" s="166">
        <f t="shared" si="11"/>
        <v>0</v>
      </c>
      <c r="CM64" s="166">
        <f t="shared" si="11"/>
        <v>0</v>
      </c>
      <c r="CN64" s="166">
        <f t="shared" si="11"/>
        <v>0</v>
      </c>
      <c r="CO64" s="166">
        <f t="shared" si="11"/>
        <v>0</v>
      </c>
      <c r="CP64" s="166">
        <f t="shared" si="11"/>
        <v>0</v>
      </c>
      <c r="CQ64" s="166">
        <f t="shared" si="11"/>
        <v>0</v>
      </c>
      <c r="CR64" s="166">
        <f t="shared" si="11"/>
        <v>0</v>
      </c>
      <c r="CS64" s="166">
        <f t="shared" si="11"/>
        <v>0</v>
      </c>
      <c r="CT64" s="166">
        <f t="shared" si="11"/>
        <v>0</v>
      </c>
      <c r="CU64" s="166">
        <f t="shared" si="11"/>
        <v>0</v>
      </c>
      <c r="CV64" s="166">
        <f t="shared" si="11"/>
        <v>0</v>
      </c>
      <c r="CW64" s="166">
        <f t="shared" si="11"/>
        <v>0</v>
      </c>
      <c r="CX64" s="166">
        <f t="shared" si="11"/>
        <v>0</v>
      </c>
      <c r="CY64" s="166">
        <f t="shared" si="11"/>
        <v>0</v>
      </c>
      <c r="CZ64" s="166">
        <f t="shared" si="11"/>
        <v>0</v>
      </c>
      <c r="DA64" s="166">
        <f t="shared" si="11"/>
        <v>0</v>
      </c>
      <c r="DB64" s="166">
        <f t="shared" si="11"/>
        <v>0</v>
      </c>
      <c r="DC64" s="166">
        <f t="shared" si="11"/>
        <v>0</v>
      </c>
      <c r="DD64" s="166">
        <f t="shared" si="11"/>
        <v>0</v>
      </c>
      <c r="DE64" s="166">
        <f t="shared" si="11"/>
        <v>0</v>
      </c>
      <c r="DF64" s="166">
        <f t="shared" si="11"/>
        <v>0</v>
      </c>
      <c r="DG64" s="166">
        <f t="shared" si="11"/>
        <v>0</v>
      </c>
      <c r="DH64" s="166">
        <f t="shared" si="11"/>
        <v>0</v>
      </c>
      <c r="DI64" s="166">
        <f t="shared" si="11"/>
        <v>0</v>
      </c>
      <c r="DJ64" s="166">
        <f t="shared" si="11"/>
        <v>0</v>
      </c>
      <c r="DK64" s="166">
        <f t="shared" si="11"/>
        <v>0</v>
      </c>
      <c r="DL64" s="166">
        <f t="shared" si="11"/>
        <v>0</v>
      </c>
      <c r="DM64" s="166">
        <f t="shared" si="11"/>
        <v>0</v>
      </c>
      <c r="DN64" s="166">
        <f t="shared" si="11"/>
        <v>0</v>
      </c>
      <c r="DO64" s="166">
        <f t="shared" si="11"/>
        <v>0</v>
      </c>
      <c r="DP64" s="166">
        <f t="shared" si="11"/>
        <v>0</v>
      </c>
      <c r="DQ64" s="166">
        <f t="shared" si="11"/>
        <v>0</v>
      </c>
      <c r="DR64" s="166">
        <f t="shared" si="11"/>
        <v>0</v>
      </c>
      <c r="DS64" s="166">
        <f t="shared" si="11"/>
        <v>0</v>
      </c>
      <c r="DT64" s="166">
        <f t="shared" si="11"/>
        <v>0</v>
      </c>
      <c r="DU64" s="166">
        <f t="shared" si="11"/>
        <v>0</v>
      </c>
      <c r="DV64" s="166">
        <f t="shared" si="11"/>
        <v>0</v>
      </c>
      <c r="DW64" s="166">
        <f t="shared" si="11"/>
        <v>0</v>
      </c>
      <c r="DX64" s="166">
        <f t="shared" si="11"/>
        <v>0</v>
      </c>
      <c r="DY64" s="166">
        <f t="shared" si="11"/>
        <v>0</v>
      </c>
      <c r="DZ64" s="166">
        <f t="shared" si="11"/>
        <v>0</v>
      </c>
      <c r="EA64" s="166">
        <f t="shared" si="11"/>
        <v>0</v>
      </c>
      <c r="EB64" s="166">
        <f t="shared" si="11"/>
        <v>0</v>
      </c>
      <c r="EC64" s="166">
        <f t="shared" ref="EC64:GN64" si="12">EC61+EC62-EC63</f>
        <v>0</v>
      </c>
      <c r="ED64" s="166">
        <f t="shared" si="12"/>
        <v>0</v>
      </c>
      <c r="EE64" s="166">
        <f t="shared" si="12"/>
        <v>0</v>
      </c>
      <c r="EF64" s="166">
        <f t="shared" si="12"/>
        <v>0</v>
      </c>
      <c r="EG64" s="166">
        <f t="shared" si="12"/>
        <v>0</v>
      </c>
      <c r="EH64" s="166">
        <f t="shared" si="12"/>
        <v>0</v>
      </c>
      <c r="EI64" s="166">
        <f t="shared" si="12"/>
        <v>0</v>
      </c>
      <c r="EJ64" s="166">
        <f t="shared" si="12"/>
        <v>0</v>
      </c>
      <c r="EK64" s="166">
        <f t="shared" si="12"/>
        <v>0</v>
      </c>
      <c r="EL64" s="166">
        <f t="shared" si="12"/>
        <v>0</v>
      </c>
      <c r="EM64" s="166">
        <f t="shared" si="12"/>
        <v>0</v>
      </c>
      <c r="EN64" s="166">
        <f t="shared" si="12"/>
        <v>0</v>
      </c>
      <c r="EO64" s="166">
        <f t="shared" si="12"/>
        <v>0</v>
      </c>
      <c r="EP64" s="166">
        <f t="shared" si="12"/>
        <v>0</v>
      </c>
      <c r="EQ64" s="166">
        <f t="shared" si="12"/>
        <v>0</v>
      </c>
      <c r="ER64" s="166">
        <f t="shared" si="12"/>
        <v>0</v>
      </c>
      <c r="ES64" s="166">
        <f t="shared" si="12"/>
        <v>0</v>
      </c>
      <c r="ET64" s="166">
        <f t="shared" si="12"/>
        <v>0</v>
      </c>
      <c r="EU64" s="166">
        <f t="shared" si="12"/>
        <v>0</v>
      </c>
      <c r="EV64" s="166">
        <f t="shared" si="12"/>
        <v>0</v>
      </c>
      <c r="EW64" s="166">
        <f t="shared" si="12"/>
        <v>0</v>
      </c>
      <c r="EX64" s="166">
        <f t="shared" si="12"/>
        <v>0</v>
      </c>
      <c r="EY64" s="166">
        <f t="shared" si="12"/>
        <v>0</v>
      </c>
      <c r="EZ64" s="166">
        <f t="shared" si="12"/>
        <v>0</v>
      </c>
      <c r="FA64" s="166">
        <f t="shared" si="12"/>
        <v>0</v>
      </c>
      <c r="FB64" s="166">
        <f t="shared" si="12"/>
        <v>0</v>
      </c>
      <c r="FC64" s="166">
        <f t="shared" si="12"/>
        <v>0</v>
      </c>
      <c r="FD64" s="166">
        <f t="shared" si="12"/>
        <v>0</v>
      </c>
      <c r="FE64" s="166">
        <f t="shared" si="12"/>
        <v>0</v>
      </c>
      <c r="FF64" s="166">
        <f t="shared" si="12"/>
        <v>0</v>
      </c>
      <c r="FG64" s="166">
        <f t="shared" si="12"/>
        <v>0</v>
      </c>
      <c r="FH64" s="166">
        <f t="shared" si="12"/>
        <v>0</v>
      </c>
      <c r="FI64" s="166">
        <f t="shared" si="12"/>
        <v>0</v>
      </c>
      <c r="FJ64" s="166">
        <f t="shared" si="12"/>
        <v>0</v>
      </c>
      <c r="FK64" s="166">
        <f t="shared" si="12"/>
        <v>0</v>
      </c>
      <c r="FL64" s="166">
        <f t="shared" si="12"/>
        <v>0</v>
      </c>
      <c r="FM64" s="166">
        <f t="shared" si="12"/>
        <v>0</v>
      </c>
      <c r="FN64" s="166">
        <f t="shared" si="12"/>
        <v>0</v>
      </c>
      <c r="FO64" s="166">
        <f t="shared" si="12"/>
        <v>0</v>
      </c>
      <c r="FP64" s="166">
        <f t="shared" si="12"/>
        <v>0</v>
      </c>
      <c r="FQ64" s="166">
        <f t="shared" si="12"/>
        <v>0</v>
      </c>
      <c r="FR64" s="166">
        <f t="shared" si="12"/>
        <v>0</v>
      </c>
      <c r="FS64" s="166">
        <f t="shared" si="12"/>
        <v>0</v>
      </c>
      <c r="FT64" s="166">
        <f t="shared" si="12"/>
        <v>0</v>
      </c>
      <c r="FU64" s="166">
        <f t="shared" si="12"/>
        <v>0</v>
      </c>
      <c r="FV64" s="166">
        <f t="shared" si="12"/>
        <v>0</v>
      </c>
      <c r="FW64" s="166">
        <f t="shared" si="12"/>
        <v>0</v>
      </c>
      <c r="FX64" s="166">
        <f t="shared" si="12"/>
        <v>0</v>
      </c>
      <c r="FY64" s="166">
        <f t="shared" si="12"/>
        <v>0</v>
      </c>
      <c r="FZ64" s="166">
        <f t="shared" si="12"/>
        <v>0</v>
      </c>
      <c r="GA64" s="166">
        <f t="shared" si="12"/>
        <v>0</v>
      </c>
      <c r="GB64" s="166">
        <f t="shared" si="12"/>
        <v>0</v>
      </c>
      <c r="GC64" s="166">
        <f t="shared" si="12"/>
        <v>0</v>
      </c>
      <c r="GD64" s="166">
        <f t="shared" si="12"/>
        <v>0</v>
      </c>
      <c r="GE64" s="166">
        <f t="shared" si="12"/>
        <v>0</v>
      </c>
      <c r="GF64" s="166">
        <f t="shared" si="12"/>
        <v>0</v>
      </c>
      <c r="GG64" s="166">
        <f t="shared" si="12"/>
        <v>0</v>
      </c>
      <c r="GH64" s="166">
        <f t="shared" si="12"/>
        <v>0</v>
      </c>
      <c r="GI64" s="166">
        <f t="shared" si="12"/>
        <v>0</v>
      </c>
      <c r="GJ64" s="166">
        <f t="shared" si="12"/>
        <v>0</v>
      </c>
      <c r="GK64" s="166">
        <f t="shared" si="12"/>
        <v>0</v>
      </c>
      <c r="GL64" s="166">
        <f t="shared" si="12"/>
        <v>0</v>
      </c>
      <c r="GM64" s="166">
        <f t="shared" si="12"/>
        <v>0</v>
      </c>
      <c r="GN64" s="166">
        <f t="shared" si="12"/>
        <v>0</v>
      </c>
      <c r="GO64" s="166">
        <f t="shared" ref="GO64:IV64" si="13">GO61+GO62-GO63</f>
        <v>0</v>
      </c>
      <c r="GP64" s="166">
        <f t="shared" si="13"/>
        <v>0</v>
      </c>
      <c r="GQ64" s="166">
        <f t="shared" si="13"/>
        <v>0</v>
      </c>
      <c r="GR64" s="166">
        <f t="shared" si="13"/>
        <v>0</v>
      </c>
      <c r="GS64" s="166">
        <f t="shared" si="13"/>
        <v>0</v>
      </c>
      <c r="GT64" s="166">
        <f t="shared" si="13"/>
        <v>0</v>
      </c>
      <c r="GU64" s="166">
        <f t="shared" si="13"/>
        <v>0</v>
      </c>
      <c r="GV64" s="166">
        <f t="shared" si="13"/>
        <v>0</v>
      </c>
      <c r="GW64" s="166">
        <f t="shared" si="13"/>
        <v>0</v>
      </c>
      <c r="GX64" s="166">
        <f t="shared" si="13"/>
        <v>0</v>
      </c>
      <c r="GY64" s="166">
        <f t="shared" si="13"/>
        <v>0</v>
      </c>
      <c r="GZ64" s="166">
        <f t="shared" si="13"/>
        <v>0</v>
      </c>
      <c r="HA64" s="166">
        <f t="shared" si="13"/>
        <v>0</v>
      </c>
      <c r="HB64" s="166">
        <f t="shared" si="13"/>
        <v>0</v>
      </c>
      <c r="HC64" s="166">
        <f t="shared" si="13"/>
        <v>0</v>
      </c>
      <c r="HD64" s="166">
        <f t="shared" si="13"/>
        <v>0</v>
      </c>
      <c r="HE64" s="166">
        <f t="shared" si="13"/>
        <v>0</v>
      </c>
      <c r="HF64" s="166">
        <f t="shared" si="13"/>
        <v>0</v>
      </c>
      <c r="HG64" s="166">
        <f t="shared" si="13"/>
        <v>0</v>
      </c>
      <c r="HH64" s="166">
        <f t="shared" si="13"/>
        <v>0</v>
      </c>
      <c r="HI64" s="166">
        <f t="shared" si="13"/>
        <v>0</v>
      </c>
      <c r="HJ64" s="166">
        <f t="shared" si="13"/>
        <v>0</v>
      </c>
      <c r="HK64" s="166">
        <f t="shared" si="13"/>
        <v>0</v>
      </c>
      <c r="HL64" s="166">
        <f t="shared" si="13"/>
        <v>0</v>
      </c>
      <c r="HM64" s="166">
        <f t="shared" si="13"/>
        <v>0</v>
      </c>
      <c r="HN64" s="166">
        <f t="shared" si="13"/>
        <v>0</v>
      </c>
      <c r="HO64" s="166">
        <f t="shared" si="13"/>
        <v>0</v>
      </c>
      <c r="HP64" s="166">
        <f t="shared" si="13"/>
        <v>0</v>
      </c>
      <c r="HQ64" s="166">
        <f t="shared" si="13"/>
        <v>0</v>
      </c>
      <c r="HR64" s="166">
        <f t="shared" si="13"/>
        <v>0</v>
      </c>
      <c r="HS64" s="166">
        <f t="shared" si="13"/>
        <v>0</v>
      </c>
      <c r="HT64" s="166">
        <f t="shared" si="13"/>
        <v>0</v>
      </c>
      <c r="HU64" s="166">
        <f t="shared" si="13"/>
        <v>0</v>
      </c>
      <c r="HV64" s="166">
        <f t="shared" si="13"/>
        <v>0</v>
      </c>
      <c r="HW64" s="166">
        <f t="shared" si="13"/>
        <v>0</v>
      </c>
      <c r="HX64" s="166">
        <f t="shared" si="13"/>
        <v>0</v>
      </c>
      <c r="HY64" s="166">
        <f t="shared" si="13"/>
        <v>0</v>
      </c>
      <c r="HZ64" s="166">
        <f t="shared" si="13"/>
        <v>0</v>
      </c>
      <c r="IA64" s="166">
        <f t="shared" si="13"/>
        <v>0</v>
      </c>
      <c r="IB64" s="166">
        <f t="shared" si="13"/>
        <v>0</v>
      </c>
      <c r="IC64" s="166">
        <f t="shared" si="13"/>
        <v>0</v>
      </c>
      <c r="ID64" s="166">
        <f t="shared" si="13"/>
        <v>0</v>
      </c>
      <c r="IE64" s="166">
        <f t="shared" si="13"/>
        <v>0</v>
      </c>
      <c r="IF64" s="166">
        <f t="shared" si="13"/>
        <v>0</v>
      </c>
      <c r="IG64" s="166">
        <f t="shared" si="13"/>
        <v>0</v>
      </c>
      <c r="IH64" s="166">
        <f t="shared" si="13"/>
        <v>0</v>
      </c>
      <c r="II64" s="166">
        <f t="shared" si="13"/>
        <v>0</v>
      </c>
      <c r="IJ64" s="166">
        <f t="shared" si="13"/>
        <v>0</v>
      </c>
      <c r="IK64" s="166">
        <f t="shared" si="13"/>
        <v>0</v>
      </c>
      <c r="IL64" s="166">
        <f t="shared" si="13"/>
        <v>0</v>
      </c>
      <c r="IM64" s="166">
        <f t="shared" si="13"/>
        <v>0</v>
      </c>
      <c r="IN64" s="166">
        <f t="shared" si="13"/>
        <v>0</v>
      </c>
      <c r="IO64" s="166">
        <f t="shared" si="13"/>
        <v>0</v>
      </c>
      <c r="IP64" s="166">
        <f t="shared" si="13"/>
        <v>0</v>
      </c>
      <c r="IQ64" s="166">
        <f t="shared" si="13"/>
        <v>0</v>
      </c>
      <c r="IR64" s="166">
        <f t="shared" si="13"/>
        <v>0</v>
      </c>
      <c r="IS64" s="166">
        <f t="shared" si="13"/>
        <v>0</v>
      </c>
      <c r="IT64" s="166">
        <f t="shared" si="13"/>
        <v>0</v>
      </c>
      <c r="IU64" s="166">
        <f t="shared" si="13"/>
        <v>0</v>
      </c>
      <c r="IV64" s="166">
        <f t="shared" si="13"/>
        <v>0</v>
      </c>
    </row>
    <row r="65" spans="1:256" ht="16.5" customHeight="1">
      <c r="A65" s="26" t="s">
        <v>845</v>
      </c>
      <c r="B65" s="5"/>
      <c r="C65" s="5"/>
      <c r="D65" s="12">
        <f>Input!F29</f>
        <v>0</v>
      </c>
      <c r="E65" s="12">
        <f>D65-D63+E63-'c &amp; d'!D52</f>
        <v>0</v>
      </c>
      <c r="F65" s="12">
        <f>E65-E63+F63-'c &amp; d'!E52</f>
        <v>0</v>
      </c>
      <c r="G65" s="12">
        <f>F65-F63+G63-'c &amp; d'!F52</f>
        <v>0</v>
      </c>
      <c r="H65" s="12">
        <f>G65-G63+H63-'c &amp; d'!G52</f>
        <v>0</v>
      </c>
      <c r="I65" s="12">
        <f>H65-H63+I63-'c &amp; d'!H52</f>
        <v>0</v>
      </c>
      <c r="J65" s="12">
        <f>I65-I63+J63-'c &amp; d'!I52</f>
        <v>0</v>
      </c>
      <c r="K65" s="12">
        <f>J65-J63+K63-'c &amp; d'!J52</f>
        <v>0</v>
      </c>
      <c r="L65" s="12">
        <f>K65-K63+L63-'c &amp; d'!K52</f>
        <v>0</v>
      </c>
      <c r="M65" s="12">
        <f>L65-L63+M63-'c &amp; d'!L52</f>
        <v>0</v>
      </c>
      <c r="N65" s="12">
        <f>M65-M63+N63-'c &amp; d'!M52</f>
        <v>0</v>
      </c>
    </row>
    <row r="66" spans="1:256" ht="16.5" customHeight="1">
      <c r="A66" s="26" t="s">
        <v>846</v>
      </c>
      <c r="B66" s="5"/>
      <c r="C66" s="5"/>
      <c r="D66" s="12">
        <f>D55+D64+D65</f>
        <v>0</v>
      </c>
      <c r="E66" s="12" t="e">
        <f t="shared" ref="E66:BP66" si="14">E55+E64+E65</f>
        <v>#DIV/0!</v>
      </c>
      <c r="F66" s="12" t="e">
        <f t="shared" si="14"/>
        <v>#DIV/0!</v>
      </c>
      <c r="G66" s="12" t="e">
        <f t="shared" si="14"/>
        <v>#DIV/0!</v>
      </c>
      <c r="H66" s="12" t="e">
        <f t="shared" si="14"/>
        <v>#DIV/0!</v>
      </c>
      <c r="I66" s="12" t="e">
        <f t="shared" si="14"/>
        <v>#DIV/0!</v>
      </c>
      <c r="J66" s="12" t="e">
        <f t="shared" si="14"/>
        <v>#DIV/0!</v>
      </c>
      <c r="K66" s="12" t="e">
        <f t="shared" si="14"/>
        <v>#DIV/0!</v>
      </c>
      <c r="L66" s="12" t="e">
        <f t="shared" si="14"/>
        <v>#DIV/0!</v>
      </c>
      <c r="M66" s="12" t="e">
        <f t="shared" si="14"/>
        <v>#DIV/0!</v>
      </c>
      <c r="N66" s="12" t="e">
        <f t="shared" si="14"/>
        <v>#DIV/0!</v>
      </c>
      <c r="O66" s="166">
        <f t="shared" si="14"/>
        <v>0</v>
      </c>
      <c r="P66" s="166">
        <f t="shared" si="14"/>
        <v>0</v>
      </c>
      <c r="Q66" s="166">
        <f t="shared" si="14"/>
        <v>0</v>
      </c>
      <c r="R66" s="166">
        <f t="shared" si="14"/>
        <v>0</v>
      </c>
      <c r="S66" s="166">
        <f t="shared" si="14"/>
        <v>0</v>
      </c>
      <c r="T66" s="166">
        <f t="shared" si="14"/>
        <v>0</v>
      </c>
      <c r="U66" s="166">
        <f t="shared" si="14"/>
        <v>0</v>
      </c>
      <c r="V66" s="166">
        <f t="shared" si="14"/>
        <v>0</v>
      </c>
      <c r="W66" s="166">
        <f t="shared" si="14"/>
        <v>0</v>
      </c>
      <c r="X66" s="166">
        <f t="shared" si="14"/>
        <v>0</v>
      </c>
      <c r="Y66" s="166">
        <f t="shared" si="14"/>
        <v>0</v>
      </c>
      <c r="Z66" s="166">
        <f t="shared" si="14"/>
        <v>0</v>
      </c>
      <c r="AA66" s="166">
        <f t="shared" si="14"/>
        <v>0</v>
      </c>
      <c r="AB66" s="166">
        <f t="shared" si="14"/>
        <v>0</v>
      </c>
      <c r="AC66" s="166">
        <f t="shared" si="14"/>
        <v>0</v>
      </c>
      <c r="AD66" s="166">
        <f t="shared" si="14"/>
        <v>0</v>
      </c>
      <c r="AE66" s="166">
        <f t="shared" si="14"/>
        <v>0</v>
      </c>
      <c r="AF66" s="166">
        <f t="shared" si="14"/>
        <v>0</v>
      </c>
      <c r="AG66" s="166">
        <f t="shared" si="14"/>
        <v>0</v>
      </c>
      <c r="AH66" s="166">
        <f t="shared" si="14"/>
        <v>0</v>
      </c>
      <c r="AI66" s="166">
        <f t="shared" si="14"/>
        <v>0</v>
      </c>
      <c r="AJ66" s="166">
        <f t="shared" si="14"/>
        <v>0</v>
      </c>
      <c r="AK66" s="166">
        <f t="shared" si="14"/>
        <v>0</v>
      </c>
      <c r="AL66" s="166">
        <f t="shared" si="14"/>
        <v>0</v>
      </c>
      <c r="AM66" s="166">
        <f t="shared" si="14"/>
        <v>0</v>
      </c>
      <c r="AN66" s="166">
        <f t="shared" si="14"/>
        <v>0</v>
      </c>
      <c r="AO66" s="166">
        <f t="shared" si="14"/>
        <v>0</v>
      </c>
      <c r="AP66" s="166">
        <f t="shared" si="14"/>
        <v>0</v>
      </c>
      <c r="AQ66" s="166">
        <f t="shared" si="14"/>
        <v>0</v>
      </c>
      <c r="AR66" s="166">
        <f t="shared" si="14"/>
        <v>0</v>
      </c>
      <c r="AS66" s="166">
        <f t="shared" si="14"/>
        <v>0</v>
      </c>
      <c r="AT66" s="166">
        <f t="shared" si="14"/>
        <v>0</v>
      </c>
      <c r="AU66" s="166">
        <f t="shared" si="14"/>
        <v>0</v>
      </c>
      <c r="AV66" s="166">
        <f t="shared" si="14"/>
        <v>0</v>
      </c>
      <c r="AW66" s="166">
        <f t="shared" si="14"/>
        <v>0</v>
      </c>
      <c r="AX66" s="166">
        <f t="shared" si="14"/>
        <v>0</v>
      </c>
      <c r="AY66" s="166">
        <f t="shared" si="14"/>
        <v>0</v>
      </c>
      <c r="AZ66" s="166">
        <f t="shared" si="14"/>
        <v>0</v>
      </c>
      <c r="BA66" s="166">
        <f t="shared" si="14"/>
        <v>0</v>
      </c>
      <c r="BB66" s="166">
        <f t="shared" si="14"/>
        <v>0</v>
      </c>
      <c r="BC66" s="166">
        <f t="shared" si="14"/>
        <v>0</v>
      </c>
      <c r="BD66" s="166">
        <f t="shared" si="14"/>
        <v>0</v>
      </c>
      <c r="BE66" s="166">
        <f t="shared" si="14"/>
        <v>0</v>
      </c>
      <c r="BF66" s="166">
        <f t="shared" si="14"/>
        <v>0</v>
      </c>
      <c r="BG66" s="166">
        <f t="shared" si="14"/>
        <v>0</v>
      </c>
      <c r="BH66" s="166">
        <f t="shared" si="14"/>
        <v>0</v>
      </c>
      <c r="BI66" s="166">
        <f t="shared" si="14"/>
        <v>0</v>
      </c>
      <c r="BJ66" s="166">
        <f t="shared" si="14"/>
        <v>0</v>
      </c>
      <c r="BK66" s="166">
        <f t="shared" si="14"/>
        <v>0</v>
      </c>
      <c r="BL66" s="166">
        <f t="shared" si="14"/>
        <v>0</v>
      </c>
      <c r="BM66" s="166">
        <f t="shared" si="14"/>
        <v>0</v>
      </c>
      <c r="BN66" s="166">
        <f t="shared" si="14"/>
        <v>0</v>
      </c>
      <c r="BO66" s="166">
        <f t="shared" si="14"/>
        <v>0</v>
      </c>
      <c r="BP66" s="166">
        <f t="shared" si="14"/>
        <v>0</v>
      </c>
      <c r="BQ66" s="166">
        <f t="shared" ref="BQ66:EB66" si="15">BQ55+BQ64+BQ65</f>
        <v>0</v>
      </c>
      <c r="BR66" s="166">
        <f t="shared" si="15"/>
        <v>0</v>
      </c>
      <c r="BS66" s="166">
        <f t="shared" si="15"/>
        <v>0</v>
      </c>
      <c r="BT66" s="166">
        <f t="shared" si="15"/>
        <v>0</v>
      </c>
      <c r="BU66" s="166">
        <f t="shared" si="15"/>
        <v>0</v>
      </c>
      <c r="BV66" s="166">
        <f t="shared" si="15"/>
        <v>0</v>
      </c>
      <c r="BW66" s="166">
        <f t="shared" si="15"/>
        <v>0</v>
      </c>
      <c r="BX66" s="166">
        <f t="shared" si="15"/>
        <v>0</v>
      </c>
      <c r="BY66" s="166">
        <f t="shared" si="15"/>
        <v>0</v>
      </c>
      <c r="BZ66" s="166">
        <f t="shared" si="15"/>
        <v>0</v>
      </c>
      <c r="CA66" s="166">
        <f t="shared" si="15"/>
        <v>0</v>
      </c>
      <c r="CB66" s="166">
        <f t="shared" si="15"/>
        <v>0</v>
      </c>
      <c r="CC66" s="166">
        <f t="shared" si="15"/>
        <v>0</v>
      </c>
      <c r="CD66" s="166">
        <f t="shared" si="15"/>
        <v>0</v>
      </c>
      <c r="CE66" s="166">
        <f t="shared" si="15"/>
        <v>0</v>
      </c>
      <c r="CF66" s="166">
        <f t="shared" si="15"/>
        <v>0</v>
      </c>
      <c r="CG66" s="166">
        <f t="shared" si="15"/>
        <v>0</v>
      </c>
      <c r="CH66" s="166">
        <f t="shared" si="15"/>
        <v>0</v>
      </c>
      <c r="CI66" s="166">
        <f t="shared" si="15"/>
        <v>0</v>
      </c>
      <c r="CJ66" s="166">
        <f t="shared" si="15"/>
        <v>0</v>
      </c>
      <c r="CK66" s="166">
        <f t="shared" si="15"/>
        <v>0</v>
      </c>
      <c r="CL66" s="166">
        <f t="shared" si="15"/>
        <v>0</v>
      </c>
      <c r="CM66" s="166">
        <f t="shared" si="15"/>
        <v>0</v>
      </c>
      <c r="CN66" s="166">
        <f t="shared" si="15"/>
        <v>0</v>
      </c>
      <c r="CO66" s="166">
        <f t="shared" si="15"/>
        <v>0</v>
      </c>
      <c r="CP66" s="166">
        <f t="shared" si="15"/>
        <v>0</v>
      </c>
      <c r="CQ66" s="166">
        <f t="shared" si="15"/>
        <v>0</v>
      </c>
      <c r="CR66" s="166">
        <f t="shared" si="15"/>
        <v>0</v>
      </c>
      <c r="CS66" s="166">
        <f t="shared" si="15"/>
        <v>0</v>
      </c>
      <c r="CT66" s="166">
        <f t="shared" si="15"/>
        <v>0</v>
      </c>
      <c r="CU66" s="166">
        <f t="shared" si="15"/>
        <v>0</v>
      </c>
      <c r="CV66" s="166">
        <f t="shared" si="15"/>
        <v>0</v>
      </c>
      <c r="CW66" s="166">
        <f t="shared" si="15"/>
        <v>0</v>
      </c>
      <c r="CX66" s="166">
        <f t="shared" si="15"/>
        <v>0</v>
      </c>
      <c r="CY66" s="166">
        <f t="shared" si="15"/>
        <v>0</v>
      </c>
      <c r="CZ66" s="166">
        <f t="shared" si="15"/>
        <v>0</v>
      </c>
      <c r="DA66" s="166">
        <f t="shared" si="15"/>
        <v>0</v>
      </c>
      <c r="DB66" s="166">
        <f t="shared" si="15"/>
        <v>0</v>
      </c>
      <c r="DC66" s="166">
        <f t="shared" si="15"/>
        <v>0</v>
      </c>
      <c r="DD66" s="166">
        <f t="shared" si="15"/>
        <v>0</v>
      </c>
      <c r="DE66" s="166">
        <f t="shared" si="15"/>
        <v>0</v>
      </c>
      <c r="DF66" s="166">
        <f t="shared" si="15"/>
        <v>0</v>
      </c>
      <c r="DG66" s="166">
        <f t="shared" si="15"/>
        <v>0</v>
      </c>
      <c r="DH66" s="166">
        <f t="shared" si="15"/>
        <v>0</v>
      </c>
      <c r="DI66" s="166">
        <f t="shared" si="15"/>
        <v>0</v>
      </c>
      <c r="DJ66" s="166">
        <f t="shared" si="15"/>
        <v>0</v>
      </c>
      <c r="DK66" s="166">
        <f t="shared" si="15"/>
        <v>0</v>
      </c>
      <c r="DL66" s="166">
        <f t="shared" si="15"/>
        <v>0</v>
      </c>
      <c r="DM66" s="166">
        <f t="shared" si="15"/>
        <v>0</v>
      </c>
      <c r="DN66" s="166">
        <f t="shared" si="15"/>
        <v>0</v>
      </c>
      <c r="DO66" s="166">
        <f t="shared" si="15"/>
        <v>0</v>
      </c>
      <c r="DP66" s="166">
        <f t="shared" si="15"/>
        <v>0</v>
      </c>
      <c r="DQ66" s="166">
        <f t="shared" si="15"/>
        <v>0</v>
      </c>
      <c r="DR66" s="166">
        <f t="shared" si="15"/>
        <v>0</v>
      </c>
      <c r="DS66" s="166">
        <f t="shared" si="15"/>
        <v>0</v>
      </c>
      <c r="DT66" s="166">
        <f t="shared" si="15"/>
        <v>0</v>
      </c>
      <c r="DU66" s="166">
        <f t="shared" si="15"/>
        <v>0</v>
      </c>
      <c r="DV66" s="166">
        <f t="shared" si="15"/>
        <v>0</v>
      </c>
      <c r="DW66" s="166">
        <f t="shared" si="15"/>
        <v>0</v>
      </c>
      <c r="DX66" s="166">
        <f t="shared" si="15"/>
        <v>0</v>
      </c>
      <c r="DY66" s="166">
        <f t="shared" si="15"/>
        <v>0</v>
      </c>
      <c r="DZ66" s="166">
        <f t="shared" si="15"/>
        <v>0</v>
      </c>
      <c r="EA66" s="166">
        <f t="shared" si="15"/>
        <v>0</v>
      </c>
      <c r="EB66" s="166">
        <f t="shared" si="15"/>
        <v>0</v>
      </c>
      <c r="EC66" s="166">
        <f t="shared" ref="EC66:GN66" si="16">EC55+EC64+EC65</f>
        <v>0</v>
      </c>
      <c r="ED66" s="166">
        <f t="shared" si="16"/>
        <v>0</v>
      </c>
      <c r="EE66" s="166">
        <f t="shared" si="16"/>
        <v>0</v>
      </c>
      <c r="EF66" s="166">
        <f t="shared" si="16"/>
        <v>0</v>
      </c>
      <c r="EG66" s="166">
        <f t="shared" si="16"/>
        <v>0</v>
      </c>
      <c r="EH66" s="166">
        <f t="shared" si="16"/>
        <v>0</v>
      </c>
      <c r="EI66" s="166">
        <f t="shared" si="16"/>
        <v>0</v>
      </c>
      <c r="EJ66" s="166">
        <f t="shared" si="16"/>
        <v>0</v>
      </c>
      <c r="EK66" s="166">
        <f t="shared" si="16"/>
        <v>0</v>
      </c>
      <c r="EL66" s="166">
        <f t="shared" si="16"/>
        <v>0</v>
      </c>
      <c r="EM66" s="166">
        <f t="shared" si="16"/>
        <v>0</v>
      </c>
      <c r="EN66" s="166">
        <f t="shared" si="16"/>
        <v>0</v>
      </c>
      <c r="EO66" s="166">
        <f t="shared" si="16"/>
        <v>0</v>
      </c>
      <c r="EP66" s="166">
        <f t="shared" si="16"/>
        <v>0</v>
      </c>
      <c r="EQ66" s="166">
        <f t="shared" si="16"/>
        <v>0</v>
      </c>
      <c r="ER66" s="166">
        <f t="shared" si="16"/>
        <v>0</v>
      </c>
      <c r="ES66" s="166">
        <f t="shared" si="16"/>
        <v>0</v>
      </c>
      <c r="ET66" s="166">
        <f t="shared" si="16"/>
        <v>0</v>
      </c>
      <c r="EU66" s="166">
        <f t="shared" si="16"/>
        <v>0</v>
      </c>
      <c r="EV66" s="166">
        <f t="shared" si="16"/>
        <v>0</v>
      </c>
      <c r="EW66" s="166">
        <f t="shared" si="16"/>
        <v>0</v>
      </c>
      <c r="EX66" s="166">
        <f t="shared" si="16"/>
        <v>0</v>
      </c>
      <c r="EY66" s="166">
        <f t="shared" si="16"/>
        <v>0</v>
      </c>
      <c r="EZ66" s="166">
        <f t="shared" si="16"/>
        <v>0</v>
      </c>
      <c r="FA66" s="166">
        <f t="shared" si="16"/>
        <v>0</v>
      </c>
      <c r="FB66" s="166">
        <f t="shared" si="16"/>
        <v>0</v>
      </c>
      <c r="FC66" s="166">
        <f t="shared" si="16"/>
        <v>0</v>
      </c>
      <c r="FD66" s="166">
        <f t="shared" si="16"/>
        <v>0</v>
      </c>
      <c r="FE66" s="166">
        <f t="shared" si="16"/>
        <v>0</v>
      </c>
      <c r="FF66" s="166">
        <f t="shared" si="16"/>
        <v>0</v>
      </c>
      <c r="FG66" s="166">
        <f t="shared" si="16"/>
        <v>0</v>
      </c>
      <c r="FH66" s="166">
        <f t="shared" si="16"/>
        <v>0</v>
      </c>
      <c r="FI66" s="166">
        <f t="shared" si="16"/>
        <v>0</v>
      </c>
      <c r="FJ66" s="166">
        <f t="shared" si="16"/>
        <v>0</v>
      </c>
      <c r="FK66" s="166">
        <f t="shared" si="16"/>
        <v>0</v>
      </c>
      <c r="FL66" s="166">
        <f t="shared" si="16"/>
        <v>0</v>
      </c>
      <c r="FM66" s="166">
        <f t="shared" si="16"/>
        <v>0</v>
      </c>
      <c r="FN66" s="166">
        <f t="shared" si="16"/>
        <v>0</v>
      </c>
      <c r="FO66" s="166">
        <f t="shared" si="16"/>
        <v>0</v>
      </c>
      <c r="FP66" s="166">
        <f t="shared" si="16"/>
        <v>0</v>
      </c>
      <c r="FQ66" s="166">
        <f t="shared" si="16"/>
        <v>0</v>
      </c>
      <c r="FR66" s="166">
        <f t="shared" si="16"/>
        <v>0</v>
      </c>
      <c r="FS66" s="166">
        <f t="shared" si="16"/>
        <v>0</v>
      </c>
      <c r="FT66" s="166">
        <f t="shared" si="16"/>
        <v>0</v>
      </c>
      <c r="FU66" s="166">
        <f t="shared" si="16"/>
        <v>0</v>
      </c>
      <c r="FV66" s="166">
        <f t="shared" si="16"/>
        <v>0</v>
      </c>
      <c r="FW66" s="166">
        <f t="shared" si="16"/>
        <v>0</v>
      </c>
      <c r="FX66" s="166">
        <f t="shared" si="16"/>
        <v>0</v>
      </c>
      <c r="FY66" s="166">
        <f t="shared" si="16"/>
        <v>0</v>
      </c>
      <c r="FZ66" s="166">
        <f t="shared" si="16"/>
        <v>0</v>
      </c>
      <c r="GA66" s="166">
        <f t="shared" si="16"/>
        <v>0</v>
      </c>
      <c r="GB66" s="166">
        <f t="shared" si="16"/>
        <v>0</v>
      </c>
      <c r="GC66" s="166">
        <f t="shared" si="16"/>
        <v>0</v>
      </c>
      <c r="GD66" s="166">
        <f t="shared" si="16"/>
        <v>0</v>
      </c>
      <c r="GE66" s="166">
        <f t="shared" si="16"/>
        <v>0</v>
      </c>
      <c r="GF66" s="166">
        <f t="shared" si="16"/>
        <v>0</v>
      </c>
      <c r="GG66" s="166">
        <f t="shared" si="16"/>
        <v>0</v>
      </c>
      <c r="GH66" s="166">
        <f t="shared" si="16"/>
        <v>0</v>
      </c>
      <c r="GI66" s="166">
        <f t="shared" si="16"/>
        <v>0</v>
      </c>
      <c r="GJ66" s="166">
        <f t="shared" si="16"/>
        <v>0</v>
      </c>
      <c r="GK66" s="166">
        <f t="shared" si="16"/>
        <v>0</v>
      </c>
      <c r="GL66" s="166">
        <f t="shared" si="16"/>
        <v>0</v>
      </c>
      <c r="GM66" s="166">
        <f t="shared" si="16"/>
        <v>0</v>
      </c>
      <c r="GN66" s="166">
        <f t="shared" si="16"/>
        <v>0</v>
      </c>
      <c r="GO66" s="166">
        <f t="shared" ref="GO66:IV66" si="17">GO55+GO64+GO65</f>
        <v>0</v>
      </c>
      <c r="GP66" s="166">
        <f t="shared" si="17"/>
        <v>0</v>
      </c>
      <c r="GQ66" s="166">
        <f t="shared" si="17"/>
        <v>0</v>
      </c>
      <c r="GR66" s="166">
        <f t="shared" si="17"/>
        <v>0</v>
      </c>
      <c r="GS66" s="166">
        <f t="shared" si="17"/>
        <v>0</v>
      </c>
      <c r="GT66" s="166">
        <f t="shared" si="17"/>
        <v>0</v>
      </c>
      <c r="GU66" s="166">
        <f t="shared" si="17"/>
        <v>0</v>
      </c>
      <c r="GV66" s="166">
        <f t="shared" si="17"/>
        <v>0</v>
      </c>
      <c r="GW66" s="166">
        <f t="shared" si="17"/>
        <v>0</v>
      </c>
      <c r="GX66" s="166">
        <f t="shared" si="17"/>
        <v>0</v>
      </c>
      <c r="GY66" s="166">
        <f t="shared" si="17"/>
        <v>0</v>
      </c>
      <c r="GZ66" s="166">
        <f t="shared" si="17"/>
        <v>0</v>
      </c>
      <c r="HA66" s="166">
        <f t="shared" si="17"/>
        <v>0</v>
      </c>
      <c r="HB66" s="166">
        <f t="shared" si="17"/>
        <v>0</v>
      </c>
      <c r="HC66" s="166">
        <f t="shared" si="17"/>
        <v>0</v>
      </c>
      <c r="HD66" s="166">
        <f t="shared" si="17"/>
        <v>0</v>
      </c>
      <c r="HE66" s="166">
        <f t="shared" si="17"/>
        <v>0</v>
      </c>
      <c r="HF66" s="166">
        <f t="shared" si="17"/>
        <v>0</v>
      </c>
      <c r="HG66" s="166">
        <f t="shared" si="17"/>
        <v>0</v>
      </c>
      <c r="HH66" s="166">
        <f t="shared" si="17"/>
        <v>0</v>
      </c>
      <c r="HI66" s="166">
        <f t="shared" si="17"/>
        <v>0</v>
      </c>
      <c r="HJ66" s="166">
        <f t="shared" si="17"/>
        <v>0</v>
      </c>
      <c r="HK66" s="166">
        <f t="shared" si="17"/>
        <v>0</v>
      </c>
      <c r="HL66" s="166">
        <f t="shared" si="17"/>
        <v>0</v>
      </c>
      <c r="HM66" s="166">
        <f t="shared" si="17"/>
        <v>0</v>
      </c>
      <c r="HN66" s="166">
        <f t="shared" si="17"/>
        <v>0</v>
      </c>
      <c r="HO66" s="166">
        <f t="shared" si="17"/>
        <v>0</v>
      </c>
      <c r="HP66" s="166">
        <f t="shared" si="17"/>
        <v>0</v>
      </c>
      <c r="HQ66" s="166">
        <f t="shared" si="17"/>
        <v>0</v>
      </c>
      <c r="HR66" s="166">
        <f t="shared" si="17"/>
        <v>0</v>
      </c>
      <c r="HS66" s="166">
        <f t="shared" si="17"/>
        <v>0</v>
      </c>
      <c r="HT66" s="166">
        <f t="shared" si="17"/>
        <v>0</v>
      </c>
      <c r="HU66" s="166">
        <f t="shared" si="17"/>
        <v>0</v>
      </c>
      <c r="HV66" s="166">
        <f t="shared" si="17"/>
        <v>0</v>
      </c>
      <c r="HW66" s="166">
        <f t="shared" si="17"/>
        <v>0</v>
      </c>
      <c r="HX66" s="166">
        <f t="shared" si="17"/>
        <v>0</v>
      </c>
      <c r="HY66" s="166">
        <f t="shared" si="17"/>
        <v>0</v>
      </c>
      <c r="HZ66" s="166">
        <f t="shared" si="17"/>
        <v>0</v>
      </c>
      <c r="IA66" s="166">
        <f t="shared" si="17"/>
        <v>0</v>
      </c>
      <c r="IB66" s="166">
        <f t="shared" si="17"/>
        <v>0</v>
      </c>
      <c r="IC66" s="166">
        <f t="shared" si="17"/>
        <v>0</v>
      </c>
      <c r="ID66" s="166">
        <f t="shared" si="17"/>
        <v>0</v>
      </c>
      <c r="IE66" s="166">
        <f t="shared" si="17"/>
        <v>0</v>
      </c>
      <c r="IF66" s="166">
        <f t="shared" si="17"/>
        <v>0</v>
      </c>
      <c r="IG66" s="166">
        <f t="shared" si="17"/>
        <v>0</v>
      </c>
      <c r="IH66" s="166">
        <f t="shared" si="17"/>
        <v>0</v>
      </c>
      <c r="II66" s="166">
        <f t="shared" si="17"/>
        <v>0</v>
      </c>
      <c r="IJ66" s="166">
        <f t="shared" si="17"/>
        <v>0</v>
      </c>
      <c r="IK66" s="166">
        <f t="shared" si="17"/>
        <v>0</v>
      </c>
      <c r="IL66" s="166">
        <f t="shared" si="17"/>
        <v>0</v>
      </c>
      <c r="IM66" s="166">
        <f t="shared" si="17"/>
        <v>0</v>
      </c>
      <c r="IN66" s="166">
        <f t="shared" si="17"/>
        <v>0</v>
      </c>
      <c r="IO66" s="166">
        <f t="shared" si="17"/>
        <v>0</v>
      </c>
      <c r="IP66" s="166">
        <f t="shared" si="17"/>
        <v>0</v>
      </c>
      <c r="IQ66" s="166">
        <f t="shared" si="17"/>
        <v>0</v>
      </c>
      <c r="IR66" s="166">
        <f t="shared" si="17"/>
        <v>0</v>
      </c>
      <c r="IS66" s="166">
        <f t="shared" si="17"/>
        <v>0</v>
      </c>
      <c r="IT66" s="166">
        <f t="shared" si="17"/>
        <v>0</v>
      </c>
      <c r="IU66" s="166">
        <f t="shared" si="17"/>
        <v>0</v>
      </c>
      <c r="IV66" s="166">
        <f t="shared" si="17"/>
        <v>0</v>
      </c>
    </row>
    <row r="67" spans="1:256" ht="16.5" customHeight="1">
      <c r="A67" s="5"/>
      <c r="B67" s="5"/>
      <c r="C67" s="5"/>
      <c r="D67" s="5"/>
      <c r="E67" s="5"/>
      <c r="F67" s="5"/>
      <c r="G67" s="5"/>
      <c r="H67" s="5"/>
      <c r="I67" s="5"/>
      <c r="J67" s="5"/>
      <c r="K67" s="5"/>
      <c r="L67" s="5"/>
      <c r="M67" s="5"/>
      <c r="N67" s="5"/>
    </row>
    <row r="115"/>
  </sheetData>
  <sheetProtection algorithmName="SHA-512" hashValue="MF/Ec4uNa34pSxwk8ybVK/77NG0jjmChcYfR/kd4WS80vLzJjx+UeBPQOPIcbsTFQ+EU3I53l7eDc728CvIlbQ==" saltValue="syylghINcn3kPmY9zrmXzQ==" spinCount="100000" sheet="1" objects="1" scenarios="1"/>
  <mergeCells count="8">
    <mergeCell ref="H10:I10"/>
    <mergeCell ref="H41:I41"/>
    <mergeCell ref="A9:B9"/>
    <mergeCell ref="A1:N1"/>
    <mergeCell ref="A2:N2"/>
    <mergeCell ref="A3:N3"/>
    <mergeCell ref="A4:N4"/>
    <mergeCell ref="A5:N5"/>
  </mergeCells>
  <phoneticPr fontId="0" type="noConversion"/>
  <pageMargins left="0.55000000000000004" right="0.47" top="0.46" bottom="0.36" header="0.44" footer="0.4"/>
  <pageSetup scale="51"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M109"/>
  <sheetViews>
    <sheetView showGridLines="0" zoomScale="116" zoomScaleNormal="116" workbookViewId="0">
      <pane xSplit="3" ySplit="4" topLeftCell="D5" activePane="bottomRight" state="frozen"/>
      <selection pane="topRight" activeCell="D1" sqref="D1"/>
      <selection pane="bottomLeft" activeCell="A5" sqref="A5"/>
      <selection pane="bottomRight" activeCell="D6" sqref="D6"/>
    </sheetView>
  </sheetViews>
  <sheetFormatPr defaultColWidth="0" defaultRowHeight="12.5" zeroHeight="1"/>
  <cols>
    <col min="1" max="1" width="5.7265625" customWidth="1"/>
    <col min="2" max="2" width="14.54296875" customWidth="1"/>
    <col min="3" max="3" width="42" customWidth="1"/>
    <col min="4" max="13" width="15.81640625" customWidth="1"/>
  </cols>
  <sheetData>
    <row r="1" spans="1:13" ht="16.5" customHeight="1">
      <c r="F1" s="1" t="s">
        <v>42</v>
      </c>
      <c r="H1" s="1" t="s">
        <v>220</v>
      </c>
    </row>
    <row r="2" spans="1:13" ht="16.5" customHeight="1"/>
    <row r="3" spans="1:13" ht="16.5" customHeight="1">
      <c r="D3" s="2">
        <f>Input!G8</f>
        <v>2024</v>
      </c>
      <c r="E3" s="2">
        <f t="shared" ref="E3:M3" si="0">D3+1</f>
        <v>2025</v>
      </c>
      <c r="F3" s="2">
        <f t="shared" si="0"/>
        <v>2026</v>
      </c>
      <c r="G3" s="2">
        <f t="shared" si="0"/>
        <v>2027</v>
      </c>
      <c r="H3" s="2">
        <f t="shared" si="0"/>
        <v>2028</v>
      </c>
      <c r="I3" s="2">
        <f t="shared" si="0"/>
        <v>2029</v>
      </c>
      <c r="J3" s="2">
        <f t="shared" si="0"/>
        <v>2030</v>
      </c>
      <c r="K3" s="2">
        <f t="shared" si="0"/>
        <v>2031</v>
      </c>
      <c r="L3" s="2">
        <f t="shared" si="0"/>
        <v>2032</v>
      </c>
      <c r="M3" s="2">
        <f t="shared" si="0"/>
        <v>2033</v>
      </c>
    </row>
    <row r="4" spans="1:13" ht="16.5" customHeight="1">
      <c r="D4" s="2" t="s">
        <v>46</v>
      </c>
      <c r="E4" s="2" t="s">
        <v>46</v>
      </c>
      <c r="F4" s="2" t="s">
        <v>46</v>
      </c>
      <c r="G4" s="2" t="s">
        <v>46</v>
      </c>
      <c r="H4" s="2" t="s">
        <v>46</v>
      </c>
      <c r="I4" s="2" t="s">
        <v>46</v>
      </c>
      <c r="J4" s="2" t="s">
        <v>46</v>
      </c>
      <c r="K4" s="2" t="s">
        <v>46</v>
      </c>
      <c r="L4" s="2" t="s">
        <v>46</v>
      </c>
      <c r="M4" s="2" t="s">
        <v>46</v>
      </c>
    </row>
    <row r="5" spans="1:13" ht="16.5" customHeight="1">
      <c r="A5" s="1" t="s">
        <v>221</v>
      </c>
    </row>
    <row r="6" spans="1:13" ht="16.5" customHeight="1">
      <c r="A6" s="1" t="s">
        <v>222</v>
      </c>
      <c r="D6" s="3" t="e">
        <f>IF(Summary!D18&lt;0,Input!G18*Summary!D18,Summary!D18)</f>
        <v>#DIV/0!</v>
      </c>
      <c r="E6" s="3" t="e">
        <f>IF(Summary!E18&lt;0,Input!H18*Summary!E18,Summary!E18)</f>
        <v>#DIV/0!</v>
      </c>
      <c r="F6" s="3" t="e">
        <f>IF(Summary!F18&lt;0,Input!I18*Summary!F18,Summary!F18)</f>
        <v>#DIV/0!</v>
      </c>
      <c r="G6" s="3" t="e">
        <f>IF(Summary!G18&lt;0,Input!J18*Summary!G18,Summary!G18)</f>
        <v>#DIV/0!</v>
      </c>
      <c r="H6" s="3" t="e">
        <f>IF(Summary!H18&lt;0,Input!K18*Summary!H18,Summary!H18)</f>
        <v>#DIV/0!</v>
      </c>
      <c r="I6" s="3" t="e">
        <f>IF(Summary!I18&lt;0,Input!L18*Summary!I18,Summary!I18)</f>
        <v>#DIV/0!</v>
      </c>
      <c r="J6" s="3" t="e">
        <f>IF(Summary!J18&lt;0,Input!M18*Summary!J18,Summary!J18)</f>
        <v>#DIV/0!</v>
      </c>
      <c r="K6" s="3" t="e">
        <f>IF(Summary!K18&lt;0,Input!N18*Summary!K18,Summary!K18)</f>
        <v>#DIV/0!</v>
      </c>
      <c r="L6" s="3" t="e">
        <f>IF(Summary!L18&lt;0,Input!O18*Summary!L18,Summary!L18)</f>
        <v>#DIV/0!</v>
      </c>
      <c r="M6" s="3" t="e">
        <f>IF(Summary!M18&lt;0,Input!P18*Summary!M18,Summary!M18)</f>
        <v>#DIV/0!</v>
      </c>
    </row>
    <row r="7" spans="1:13" ht="16.5" customHeight="1">
      <c r="A7" s="1" t="s">
        <v>223</v>
      </c>
    </row>
    <row r="8" spans="1:13" ht="16.5" customHeight="1">
      <c r="A8" s="1" t="s">
        <v>224</v>
      </c>
      <c r="D8" s="3">
        <f>'f - Rev'!G166+Input!F19-Input!G19</f>
        <v>0</v>
      </c>
      <c r="E8" s="3">
        <f>'f - Rev'!H166+Input!G19-Input!H19</f>
        <v>0</v>
      </c>
      <c r="F8" s="3">
        <f>'f - Rev'!I166+Input!H19-Input!I19</f>
        <v>0</v>
      </c>
      <c r="G8" s="3">
        <f>'f - Rev'!J166+Input!I19-Input!J19</f>
        <v>0</v>
      </c>
      <c r="H8" s="3">
        <f>'f - Rev'!K166+Input!J19-Input!K19</f>
        <v>0</v>
      </c>
      <c r="I8" s="3">
        <f>'f - Rev'!L166+Input!K19-Input!L19</f>
        <v>0</v>
      </c>
      <c r="J8" s="3">
        <f>'f - Rev'!M166+Input!L19-Input!M19</f>
        <v>0</v>
      </c>
      <c r="K8" s="3">
        <f>'f - Rev'!N166+Input!M19-Input!N19</f>
        <v>0</v>
      </c>
      <c r="L8" s="3">
        <f>'f - Rev'!O166+Input!N19-Input!O19</f>
        <v>0</v>
      </c>
      <c r="M8" s="3">
        <f>'f - Rev'!P166+Input!O19-Input!P19</f>
        <v>0</v>
      </c>
    </row>
    <row r="9" spans="1:13" ht="16.5" customHeight="1">
      <c r="A9" s="1" t="s">
        <v>225</v>
      </c>
      <c r="D9" s="3">
        <f>'k - Exp'!G11</f>
        <v>0</v>
      </c>
      <c r="E9" s="3">
        <f>'k - Exp'!H11</f>
        <v>0</v>
      </c>
      <c r="F9" s="3">
        <f>'k - Exp'!I11</f>
        <v>0</v>
      </c>
      <c r="G9" s="3">
        <f>'k - Exp'!J11</f>
        <v>0</v>
      </c>
      <c r="H9" s="3">
        <f>'k - Exp'!K11</f>
        <v>0</v>
      </c>
      <c r="I9" s="3">
        <f>'k - Exp'!L11</f>
        <v>0</v>
      </c>
      <c r="J9" s="3">
        <f>'k - Exp'!M11</f>
        <v>0</v>
      </c>
      <c r="K9" s="3">
        <f>'k - Exp'!N11</f>
        <v>0</v>
      </c>
      <c r="L9" s="3">
        <f>'k - Exp'!O11</f>
        <v>0</v>
      </c>
      <c r="M9" s="3">
        <f>'k - Exp'!P11</f>
        <v>0</v>
      </c>
    </row>
    <row r="10" spans="1:13" ht="16.5" customHeight="1">
      <c r="A10" s="1" t="s">
        <v>226</v>
      </c>
      <c r="D10" s="3" t="e">
        <f t="shared" ref="D10:M10" si="1">D6+D8-D9</f>
        <v>#DIV/0!</v>
      </c>
      <c r="E10" s="3" t="e">
        <f t="shared" si="1"/>
        <v>#DIV/0!</v>
      </c>
      <c r="F10" s="3" t="e">
        <f t="shared" si="1"/>
        <v>#DIV/0!</v>
      </c>
      <c r="G10" s="3" t="e">
        <f t="shared" si="1"/>
        <v>#DIV/0!</v>
      </c>
      <c r="H10" s="3" t="e">
        <f t="shared" si="1"/>
        <v>#DIV/0!</v>
      </c>
      <c r="I10" s="3" t="e">
        <f t="shared" si="1"/>
        <v>#DIV/0!</v>
      </c>
      <c r="J10" s="3" t="e">
        <f t="shared" si="1"/>
        <v>#DIV/0!</v>
      </c>
      <c r="K10" s="3" t="e">
        <f t="shared" si="1"/>
        <v>#DIV/0!</v>
      </c>
      <c r="L10" s="3" t="e">
        <f t="shared" si="1"/>
        <v>#DIV/0!</v>
      </c>
      <c r="M10" s="3" t="e">
        <f t="shared" si="1"/>
        <v>#DIV/0!</v>
      </c>
    </row>
    <row r="11" spans="1:13" ht="16.5" customHeight="1">
      <c r="A11" s="1" t="s">
        <v>227</v>
      </c>
      <c r="D11" s="3" t="e">
        <f>'k - Exp'!G13</f>
        <v>#DIV/0!</v>
      </c>
      <c r="E11" s="3" t="e">
        <f>'k - Exp'!H13</f>
        <v>#DIV/0!</v>
      </c>
      <c r="F11" s="3" t="e">
        <f>'k - Exp'!I13</f>
        <v>#DIV/0!</v>
      </c>
      <c r="G11" s="3" t="e">
        <f>'k - Exp'!J13</f>
        <v>#DIV/0!</v>
      </c>
      <c r="H11" s="3" t="e">
        <f>'k - Exp'!K13</f>
        <v>#DIV/0!</v>
      </c>
      <c r="I11" s="3" t="e">
        <f>'k - Exp'!L13</f>
        <v>#DIV/0!</v>
      </c>
      <c r="J11" s="3" t="e">
        <f>'k - Exp'!M13</f>
        <v>#DIV/0!</v>
      </c>
      <c r="K11" s="3" t="e">
        <f>'k - Exp'!N13</f>
        <v>#DIV/0!</v>
      </c>
      <c r="L11" s="3" t="e">
        <f>'k - Exp'!O13</f>
        <v>#DIV/0!</v>
      </c>
      <c r="M11" s="3" t="e">
        <f>'k - Exp'!P13</f>
        <v>#DIV/0!</v>
      </c>
    </row>
    <row r="12" spans="1:13" ht="16.5" customHeight="1">
      <c r="A12" s="1" t="s">
        <v>228</v>
      </c>
      <c r="D12" s="3" t="e">
        <f>'k - Exp'!G27</f>
        <v>#DIV/0!</v>
      </c>
      <c r="E12" s="3" t="e">
        <f>'k - Exp'!H27</f>
        <v>#DIV/0!</v>
      </c>
      <c r="F12" s="3" t="e">
        <f>'k - Exp'!I27</f>
        <v>#DIV/0!</v>
      </c>
      <c r="G12" s="3" t="e">
        <f>'k - Exp'!J27</f>
        <v>#DIV/0!</v>
      </c>
      <c r="H12" s="3" t="e">
        <f>'k - Exp'!K27</f>
        <v>#DIV/0!</v>
      </c>
      <c r="I12" s="3" t="e">
        <f>'k - Exp'!L27</f>
        <v>#DIV/0!</v>
      </c>
      <c r="J12" s="3" t="e">
        <f>'k - Exp'!M27</f>
        <v>#DIV/0!</v>
      </c>
      <c r="K12" s="3" t="e">
        <f>'k - Exp'!N27</f>
        <v>#DIV/0!</v>
      </c>
      <c r="L12" s="3" t="e">
        <f>'k - Exp'!O27</f>
        <v>#DIV/0!</v>
      </c>
      <c r="M12" s="3" t="e">
        <f>'k - Exp'!P27</f>
        <v>#DIV/0!</v>
      </c>
    </row>
    <row r="13" spans="1:13" ht="16.5" customHeight="1">
      <c r="A13" s="1" t="s">
        <v>229</v>
      </c>
      <c r="D13" s="3" t="e">
        <f>'k - Exp'!G16</f>
        <v>#DIV/0!</v>
      </c>
      <c r="E13" s="3" t="e">
        <f>'k - Exp'!H16</f>
        <v>#DIV/0!</v>
      </c>
      <c r="F13" s="3" t="e">
        <f>'k - Exp'!I16</f>
        <v>#DIV/0!</v>
      </c>
      <c r="G13" s="3" t="e">
        <f>'k - Exp'!J16</f>
        <v>#DIV/0!</v>
      </c>
      <c r="H13" s="3" t="e">
        <f>'k - Exp'!K16</f>
        <v>#DIV/0!</v>
      </c>
      <c r="I13" s="3" t="e">
        <f>'k - Exp'!L16</f>
        <v>#DIV/0!</v>
      </c>
      <c r="J13" s="3" t="e">
        <f>'k - Exp'!M16</f>
        <v>#DIV/0!</v>
      </c>
      <c r="K13" s="3" t="e">
        <f>'k - Exp'!N16</f>
        <v>#DIV/0!</v>
      </c>
      <c r="L13" s="3" t="e">
        <f>'k - Exp'!O16</f>
        <v>#DIV/0!</v>
      </c>
      <c r="M13" s="3" t="e">
        <f>'k - Exp'!P16</f>
        <v>#DIV/0!</v>
      </c>
    </row>
    <row r="14" spans="1:13" ht="16.5" customHeight="1">
      <c r="A14" s="1" t="s">
        <v>230</v>
      </c>
      <c r="D14" s="3" t="e">
        <f>'k - Exp'!G19</f>
        <v>#DIV/0!</v>
      </c>
      <c r="E14" s="3" t="e">
        <f>'k - Exp'!H19</f>
        <v>#DIV/0!</v>
      </c>
      <c r="F14" s="3" t="e">
        <f>'k - Exp'!I19</f>
        <v>#DIV/0!</v>
      </c>
      <c r="G14" s="3" t="e">
        <f>'k - Exp'!J19</f>
        <v>#DIV/0!</v>
      </c>
      <c r="H14" s="3" t="e">
        <f>'k - Exp'!K19</f>
        <v>#DIV/0!</v>
      </c>
      <c r="I14" s="3" t="e">
        <f>'k - Exp'!L19</f>
        <v>#DIV/0!</v>
      </c>
      <c r="J14" s="3" t="e">
        <f>'k - Exp'!M19</f>
        <v>#DIV/0!</v>
      </c>
      <c r="K14" s="3" t="e">
        <f>'k - Exp'!N19</f>
        <v>#DIV/0!</v>
      </c>
      <c r="L14" s="3" t="e">
        <f>'k - Exp'!O19</f>
        <v>#DIV/0!</v>
      </c>
      <c r="M14" s="3" t="e">
        <f>'k - Exp'!P19</f>
        <v>#DIV/0!</v>
      </c>
    </row>
    <row r="15" spans="1:13" ht="16.5" customHeight="1">
      <c r="A15" s="1" t="s">
        <v>231</v>
      </c>
      <c r="D15" s="3" t="e">
        <f>'k - Exp'!G22</f>
        <v>#DIV/0!</v>
      </c>
      <c r="E15" s="3" t="e">
        <f>'k - Exp'!H22</f>
        <v>#DIV/0!</v>
      </c>
      <c r="F15" s="3" t="e">
        <f>'k - Exp'!I22</f>
        <v>#DIV/0!</v>
      </c>
      <c r="G15" s="3" t="e">
        <f>'k - Exp'!J22</f>
        <v>#DIV/0!</v>
      </c>
      <c r="H15" s="3" t="e">
        <f>'k - Exp'!K22</f>
        <v>#DIV/0!</v>
      </c>
      <c r="I15" s="3" t="e">
        <f>'k - Exp'!L22</f>
        <v>#DIV/0!</v>
      </c>
      <c r="J15" s="3" t="e">
        <f>'k - Exp'!M22</f>
        <v>#DIV/0!</v>
      </c>
      <c r="K15" s="3" t="e">
        <f>'k - Exp'!N22</f>
        <v>#DIV/0!</v>
      </c>
      <c r="L15" s="3" t="e">
        <f>'k - Exp'!O22</f>
        <v>#DIV/0!</v>
      </c>
      <c r="M15" s="3" t="e">
        <f>'k - Exp'!P22</f>
        <v>#DIV/0!</v>
      </c>
    </row>
    <row r="16" spans="1:13" ht="16.5" customHeight="1">
      <c r="A16" s="1" t="s">
        <v>700</v>
      </c>
      <c r="D16" s="3">
        <f>'j - Debt Sum'!D67</f>
        <v>0</v>
      </c>
      <c r="E16" s="3">
        <f>'j - Debt Sum'!E67</f>
        <v>0</v>
      </c>
      <c r="F16" s="3">
        <f>'j - Debt Sum'!F67</f>
        <v>0</v>
      </c>
      <c r="G16" s="3">
        <f>'j - Debt Sum'!G67</f>
        <v>0</v>
      </c>
      <c r="H16" s="3">
        <f>'j - Debt Sum'!H67</f>
        <v>0</v>
      </c>
      <c r="I16" s="3">
        <f>'j - Debt Sum'!I67</f>
        <v>0</v>
      </c>
      <c r="J16" s="3">
        <f>'j - Debt Sum'!J67</f>
        <v>0</v>
      </c>
      <c r="K16" s="3">
        <f>'j - Debt Sum'!K67</f>
        <v>0</v>
      </c>
      <c r="L16" s="3">
        <f>'j - Debt Sum'!L67</f>
        <v>0</v>
      </c>
      <c r="M16" s="3">
        <f>'j - Debt Sum'!M67</f>
        <v>0</v>
      </c>
    </row>
    <row r="17" spans="1:13" ht="16.5" customHeight="1">
      <c r="A17" s="1" t="s">
        <v>701</v>
      </c>
      <c r="D17" s="3" t="e">
        <f t="shared" ref="D17:M17" si="2">SUM(D11:D16)+D9</f>
        <v>#DIV/0!</v>
      </c>
      <c r="E17" s="3" t="e">
        <f t="shared" si="2"/>
        <v>#DIV/0!</v>
      </c>
      <c r="F17" s="3" t="e">
        <f t="shared" si="2"/>
        <v>#DIV/0!</v>
      </c>
      <c r="G17" s="3" t="e">
        <f t="shared" si="2"/>
        <v>#DIV/0!</v>
      </c>
      <c r="H17" s="3" t="e">
        <f t="shared" si="2"/>
        <v>#DIV/0!</v>
      </c>
      <c r="I17" s="3" t="e">
        <f t="shared" si="2"/>
        <v>#DIV/0!</v>
      </c>
      <c r="J17" s="3" t="e">
        <f t="shared" si="2"/>
        <v>#DIV/0!</v>
      </c>
      <c r="K17" s="3" t="e">
        <f t="shared" si="2"/>
        <v>#DIV/0!</v>
      </c>
      <c r="L17" s="3" t="e">
        <f t="shared" si="2"/>
        <v>#DIV/0!</v>
      </c>
      <c r="M17" s="3" t="e">
        <f t="shared" si="2"/>
        <v>#DIV/0!</v>
      </c>
    </row>
    <row r="18" spans="1:13" ht="16.5" customHeight="1">
      <c r="A18" s="1" t="s">
        <v>232</v>
      </c>
      <c r="D18" s="3" t="e">
        <f t="shared" ref="D18:M18" si="3">D6+D8-D17</f>
        <v>#DIV/0!</v>
      </c>
      <c r="E18" s="3" t="e">
        <f t="shared" si="3"/>
        <v>#DIV/0!</v>
      </c>
      <c r="F18" s="3" t="e">
        <f t="shared" si="3"/>
        <v>#DIV/0!</v>
      </c>
      <c r="G18" s="3" t="e">
        <f t="shared" si="3"/>
        <v>#DIV/0!</v>
      </c>
      <c r="H18" s="3" t="e">
        <f t="shared" si="3"/>
        <v>#DIV/0!</v>
      </c>
      <c r="I18" s="3" t="e">
        <f t="shared" si="3"/>
        <v>#DIV/0!</v>
      </c>
      <c r="J18" s="3" t="e">
        <f t="shared" si="3"/>
        <v>#DIV/0!</v>
      </c>
      <c r="K18" s="3" t="e">
        <f t="shared" si="3"/>
        <v>#DIV/0!</v>
      </c>
      <c r="L18" s="3" t="e">
        <f t="shared" si="3"/>
        <v>#DIV/0!</v>
      </c>
      <c r="M18" s="3" t="e">
        <f t="shared" si="3"/>
        <v>#DIV/0!</v>
      </c>
    </row>
    <row r="19" spans="1:13" ht="16.5" customHeight="1">
      <c r="A19" s="1" t="s">
        <v>702</v>
      </c>
      <c r="D19" s="3">
        <f>(Input!G34)+(Input!G33*'a &amp; b'!D49)+Input!G37*Input!F27</f>
        <v>0</v>
      </c>
      <c r="E19" s="3" t="e">
        <f>(Input!H34)+(Input!H33*'a &amp; b'!E49)+Input!H37*Summary!D65</f>
        <v>#DIV/0!</v>
      </c>
      <c r="F19" s="3" t="e">
        <f>(Input!I34)+(Input!I33*'a &amp; b'!F49)+Input!I37*Summary!E65</f>
        <v>#DIV/0!</v>
      </c>
      <c r="G19" s="3" t="e">
        <f>(Input!J34)+(Input!J33*'a &amp; b'!G49)+Input!J37*Summary!F65</f>
        <v>#DIV/0!</v>
      </c>
      <c r="H19" s="3" t="e">
        <f>(Input!K34)+(Input!K33*'a &amp; b'!H49)+Input!K37*Summary!G65</f>
        <v>#DIV/0!</v>
      </c>
      <c r="I19" s="3" t="e">
        <f>(Input!L34)+(Input!L33*'a &amp; b'!I49)+Input!L37*Summary!H65</f>
        <v>#DIV/0!</v>
      </c>
      <c r="J19" s="3" t="e">
        <f>(Input!M34)+(Input!M33*'a &amp; b'!J49)+Input!M37*Summary!I65</f>
        <v>#DIV/0!</v>
      </c>
      <c r="K19" s="3" t="e">
        <f>(Input!N34)+(Input!N33*'a &amp; b'!K49)+Input!N37*Summary!J65</f>
        <v>#DIV/0!</v>
      </c>
      <c r="L19" s="3" t="e">
        <f>(Input!O34)+(Input!O33*'a &amp; b'!L49)+Input!O37*Summary!K65</f>
        <v>#DIV/0!</v>
      </c>
      <c r="M19" s="3" t="e">
        <f>(Input!P34)+(Input!P33*'a &amp; b'!M49)+Input!P37*Summary!L65</f>
        <v>#DIV/0!</v>
      </c>
    </row>
    <row r="20" spans="1:13" ht="16.5" customHeight="1">
      <c r="A20" s="1" t="s">
        <v>233</v>
      </c>
      <c r="D20" s="3">
        <f>Input!G35+Input!G36</f>
        <v>0</v>
      </c>
      <c r="E20" s="3">
        <f>Input!H35+Input!H36</f>
        <v>0</v>
      </c>
      <c r="F20" s="3">
        <f>Input!I35+Input!I36</f>
        <v>0</v>
      </c>
      <c r="G20" s="3">
        <f>Input!J35+Input!J36</f>
        <v>0</v>
      </c>
      <c r="H20" s="3">
        <f>Input!K35+Input!K36</f>
        <v>0</v>
      </c>
      <c r="I20" s="3">
        <f>Input!L35+Input!L36</f>
        <v>0</v>
      </c>
      <c r="J20" s="3">
        <f>Input!M35+Input!M36</f>
        <v>0</v>
      </c>
      <c r="K20" s="3">
        <f>Input!N35+Input!N36</f>
        <v>0</v>
      </c>
      <c r="L20" s="3">
        <f>Input!O35+Input!O36</f>
        <v>0</v>
      </c>
      <c r="M20" s="3">
        <f>Input!P35+Input!P36</f>
        <v>0</v>
      </c>
    </row>
    <row r="21" spans="1:13" ht="16.5" customHeight="1">
      <c r="A21" s="1" t="s">
        <v>234</v>
      </c>
      <c r="D21" s="3" t="e">
        <f t="shared" ref="D21:M21" si="4">SUM(D18:D20)</f>
        <v>#DIV/0!</v>
      </c>
      <c r="E21" s="3" t="e">
        <f t="shared" si="4"/>
        <v>#DIV/0!</v>
      </c>
      <c r="F21" s="3" t="e">
        <f t="shared" si="4"/>
        <v>#DIV/0!</v>
      </c>
      <c r="G21" s="3" t="e">
        <f t="shared" si="4"/>
        <v>#DIV/0!</v>
      </c>
      <c r="H21" s="3" t="e">
        <f t="shared" si="4"/>
        <v>#DIV/0!</v>
      </c>
      <c r="I21" s="3" t="e">
        <f t="shared" si="4"/>
        <v>#DIV/0!</v>
      </c>
      <c r="J21" s="3" t="e">
        <f t="shared" si="4"/>
        <v>#DIV/0!</v>
      </c>
      <c r="K21" s="3" t="e">
        <f t="shared" si="4"/>
        <v>#DIV/0!</v>
      </c>
      <c r="L21" s="3" t="e">
        <f t="shared" si="4"/>
        <v>#DIV/0!</v>
      </c>
      <c r="M21" s="3" t="e">
        <f t="shared" si="4"/>
        <v>#DIV/0!</v>
      </c>
    </row>
    <row r="22" spans="1:13" ht="16.5" customHeight="1"/>
    <row r="23" spans="1:13" ht="16.5" customHeight="1">
      <c r="A23" s="1" t="s">
        <v>235</v>
      </c>
    </row>
    <row r="24" spans="1:13" ht="16.5" customHeight="1">
      <c r="A24" s="1" t="s">
        <v>236</v>
      </c>
      <c r="D24" s="3" t="e">
        <f t="shared" ref="D24:M24" si="5">D14+D16+D21-D20</f>
        <v>#DIV/0!</v>
      </c>
      <c r="E24" s="3" t="e">
        <f t="shared" si="5"/>
        <v>#DIV/0!</v>
      </c>
      <c r="F24" s="3" t="e">
        <f t="shared" si="5"/>
        <v>#DIV/0!</v>
      </c>
      <c r="G24" s="3" t="e">
        <f t="shared" si="5"/>
        <v>#DIV/0!</v>
      </c>
      <c r="H24" s="3" t="e">
        <f t="shared" si="5"/>
        <v>#DIV/0!</v>
      </c>
      <c r="I24" s="3" t="e">
        <f t="shared" si="5"/>
        <v>#DIV/0!</v>
      </c>
      <c r="J24" s="3" t="e">
        <f t="shared" si="5"/>
        <v>#DIV/0!</v>
      </c>
      <c r="K24" s="3" t="e">
        <f t="shared" si="5"/>
        <v>#DIV/0!</v>
      </c>
      <c r="L24" s="3" t="e">
        <f t="shared" si="5"/>
        <v>#DIV/0!</v>
      </c>
      <c r="M24" s="3" t="e">
        <f t="shared" si="5"/>
        <v>#DIV/0!</v>
      </c>
    </row>
    <row r="25" spans="1:13" ht="16.5" customHeight="1">
      <c r="A25" s="1" t="s">
        <v>237</v>
      </c>
      <c r="D25" s="3">
        <f>'j - Debt Sum'!D68</f>
        <v>0</v>
      </c>
      <c r="E25" s="3">
        <f>'j - Debt Sum'!E68</f>
        <v>0</v>
      </c>
      <c r="F25" s="3">
        <f>'j - Debt Sum'!F68</f>
        <v>0</v>
      </c>
      <c r="G25" s="3">
        <f>'j - Debt Sum'!G68</f>
        <v>0</v>
      </c>
      <c r="H25" s="3">
        <f>'j - Debt Sum'!H68</f>
        <v>0</v>
      </c>
      <c r="I25" s="3">
        <f>'j - Debt Sum'!I68</f>
        <v>0</v>
      </c>
      <c r="J25" s="3">
        <f>'j - Debt Sum'!J68</f>
        <v>0</v>
      </c>
      <c r="K25" s="3">
        <f>'j - Debt Sum'!K68</f>
        <v>0</v>
      </c>
      <c r="L25" s="3">
        <f>'j - Debt Sum'!L68</f>
        <v>0</v>
      </c>
      <c r="M25" s="3">
        <f>'j - Debt Sum'!M68</f>
        <v>0</v>
      </c>
    </row>
    <row r="26" spans="1:13" ht="16.5" customHeight="1">
      <c r="A26" s="1" t="s">
        <v>238</v>
      </c>
      <c r="D26" s="3" t="e">
        <f t="shared" ref="D26:M26" si="6">D24-D25</f>
        <v>#DIV/0!</v>
      </c>
      <c r="E26" s="3" t="e">
        <f t="shared" si="6"/>
        <v>#DIV/0!</v>
      </c>
      <c r="F26" s="3" t="e">
        <f t="shared" si="6"/>
        <v>#DIV/0!</v>
      </c>
      <c r="G26" s="3" t="e">
        <f t="shared" si="6"/>
        <v>#DIV/0!</v>
      </c>
      <c r="H26" s="3" t="e">
        <f t="shared" si="6"/>
        <v>#DIV/0!</v>
      </c>
      <c r="I26" s="3" t="e">
        <f t="shared" si="6"/>
        <v>#DIV/0!</v>
      </c>
      <c r="J26" s="3" t="e">
        <f t="shared" si="6"/>
        <v>#DIV/0!</v>
      </c>
      <c r="K26" s="3" t="e">
        <f t="shared" si="6"/>
        <v>#DIV/0!</v>
      </c>
      <c r="L26" s="3" t="e">
        <f t="shared" si="6"/>
        <v>#DIV/0!</v>
      </c>
      <c r="M26" s="3" t="e">
        <f t="shared" si="6"/>
        <v>#DIV/0!</v>
      </c>
    </row>
    <row r="27" spans="1:13" ht="16.5" customHeight="1">
      <c r="A27" s="1"/>
      <c r="D27" s="3"/>
      <c r="E27" s="3"/>
      <c r="F27" s="3"/>
      <c r="G27" s="3"/>
      <c r="H27" s="3"/>
      <c r="I27" s="3"/>
      <c r="J27" s="3"/>
      <c r="K27" s="3"/>
      <c r="L27" s="3"/>
      <c r="M27" s="3"/>
    </row>
    <row r="28" spans="1:13" ht="16.5" customHeight="1">
      <c r="A28" s="1"/>
      <c r="D28" s="3"/>
      <c r="E28" s="3"/>
      <c r="F28" s="3"/>
      <c r="G28" s="3"/>
      <c r="H28" s="3"/>
      <c r="I28" s="3"/>
      <c r="J28" s="3"/>
      <c r="K28" s="3"/>
      <c r="L28" s="3"/>
      <c r="M28" s="3"/>
    </row>
    <row r="29" spans="1:13" ht="16.5" customHeight="1">
      <c r="A29" s="1"/>
      <c r="D29" s="3"/>
      <c r="E29" s="3"/>
      <c r="F29" s="3"/>
      <c r="G29" s="3"/>
      <c r="H29" s="3"/>
      <c r="I29" s="3"/>
      <c r="J29" s="3"/>
      <c r="K29" s="3"/>
      <c r="L29" s="3"/>
      <c r="M29" s="3"/>
    </row>
    <row r="30" spans="1:13" ht="16.5" customHeight="1"/>
    <row r="31" spans="1:13" ht="16.5" customHeight="1"/>
    <row r="32" spans="1:13" ht="16.5" customHeight="1">
      <c r="F32" s="1" t="s">
        <v>42</v>
      </c>
      <c r="H32" s="1" t="s">
        <v>333</v>
      </c>
    </row>
    <row r="33" spans="1:13" ht="16.5" customHeight="1"/>
    <row r="34" spans="1:13" ht="16.5" customHeight="1"/>
    <row r="35" spans="1:13" ht="16.5" customHeight="1">
      <c r="D35" s="2">
        <f>Input!G8</f>
        <v>2024</v>
      </c>
      <c r="E35" s="2">
        <f t="shared" ref="E35:M35" si="7">D35+1</f>
        <v>2025</v>
      </c>
      <c r="F35" s="2">
        <f t="shared" si="7"/>
        <v>2026</v>
      </c>
      <c r="G35" s="2">
        <f t="shared" si="7"/>
        <v>2027</v>
      </c>
      <c r="H35" s="2">
        <f t="shared" si="7"/>
        <v>2028</v>
      </c>
      <c r="I35" s="2">
        <f t="shared" si="7"/>
        <v>2029</v>
      </c>
      <c r="J35" s="2">
        <f t="shared" si="7"/>
        <v>2030</v>
      </c>
      <c r="K35" s="2">
        <f t="shared" si="7"/>
        <v>2031</v>
      </c>
      <c r="L35" s="2">
        <f t="shared" si="7"/>
        <v>2032</v>
      </c>
      <c r="M35" s="2">
        <f t="shared" si="7"/>
        <v>2033</v>
      </c>
    </row>
    <row r="36" spans="1:13" ht="16.5" customHeight="1">
      <c r="D36" s="2" t="s">
        <v>46</v>
      </c>
      <c r="E36" s="2" t="s">
        <v>46</v>
      </c>
      <c r="F36" s="2" t="s">
        <v>46</v>
      </c>
      <c r="G36" s="2" t="s">
        <v>46</v>
      </c>
      <c r="H36" s="2" t="s">
        <v>46</v>
      </c>
      <c r="I36" s="2" t="s">
        <v>46</v>
      </c>
      <c r="J36" s="2" t="s">
        <v>46</v>
      </c>
      <c r="K36" s="2" t="s">
        <v>46</v>
      </c>
      <c r="L36" s="2" t="s">
        <v>46</v>
      </c>
      <c r="M36" s="2" t="s">
        <v>46</v>
      </c>
    </row>
    <row r="37" spans="1:13" ht="16.5" customHeight="1">
      <c r="A37" s="1" t="s">
        <v>334</v>
      </c>
    </row>
    <row r="38" spans="1:13" ht="16.5" customHeight="1">
      <c r="A38" s="1" t="s">
        <v>335</v>
      </c>
      <c r="D38" s="3">
        <f>'a &amp; b'!D49</f>
        <v>0</v>
      </c>
      <c r="E38" s="3" t="e">
        <f>'a &amp; b'!E49</f>
        <v>#DIV/0!</v>
      </c>
      <c r="F38" s="3" t="e">
        <f>'a &amp; b'!F49</f>
        <v>#DIV/0!</v>
      </c>
      <c r="G38" s="3" t="e">
        <f>'a &amp; b'!G49</f>
        <v>#DIV/0!</v>
      </c>
      <c r="H38" s="3" t="e">
        <f>'a &amp; b'!H49</f>
        <v>#DIV/0!</v>
      </c>
      <c r="I38" s="3" t="e">
        <f>'a &amp; b'!I49</f>
        <v>#DIV/0!</v>
      </c>
      <c r="J38" s="3" t="e">
        <f>'a &amp; b'!J49</f>
        <v>#DIV/0!</v>
      </c>
      <c r="K38" s="3" t="e">
        <f>'a &amp; b'!K49</f>
        <v>#DIV/0!</v>
      </c>
      <c r="L38" s="3" t="e">
        <f>'a &amp; b'!L49</f>
        <v>#DIV/0!</v>
      </c>
      <c r="M38" s="3" t="e">
        <f>'a &amp; b'!M49</f>
        <v>#DIV/0!</v>
      </c>
    </row>
    <row r="39" spans="1:13" ht="16.5" customHeight="1">
      <c r="A39" s="1" t="s">
        <v>336</v>
      </c>
      <c r="D39" s="3" t="e">
        <f t="shared" ref="D39:M39" si="8">D26</f>
        <v>#DIV/0!</v>
      </c>
      <c r="E39" s="3" t="e">
        <f t="shared" si="8"/>
        <v>#DIV/0!</v>
      </c>
      <c r="F39" s="3" t="e">
        <f t="shared" si="8"/>
        <v>#DIV/0!</v>
      </c>
      <c r="G39" s="3" t="e">
        <f t="shared" si="8"/>
        <v>#DIV/0!</v>
      </c>
      <c r="H39" s="3" t="e">
        <f t="shared" si="8"/>
        <v>#DIV/0!</v>
      </c>
      <c r="I39" s="3" t="e">
        <f t="shared" si="8"/>
        <v>#DIV/0!</v>
      </c>
      <c r="J39" s="3" t="e">
        <f t="shared" si="8"/>
        <v>#DIV/0!</v>
      </c>
      <c r="K39" s="3" t="e">
        <f t="shared" si="8"/>
        <v>#DIV/0!</v>
      </c>
      <c r="L39" s="3" t="e">
        <f t="shared" si="8"/>
        <v>#DIV/0!</v>
      </c>
      <c r="M39" s="3" t="e">
        <f t="shared" si="8"/>
        <v>#DIV/0!</v>
      </c>
    </row>
    <row r="40" spans="1:13" ht="16.5" customHeight="1">
      <c r="A40" s="1" t="s">
        <v>337</v>
      </c>
      <c r="D40" s="3">
        <f>Input!G40+Input!G41+Input!G42</f>
        <v>0</v>
      </c>
      <c r="E40" s="3">
        <f>Input!H40+Input!H41+Input!H42</f>
        <v>0</v>
      </c>
      <c r="F40" s="3">
        <f>Input!I40+Input!I41+Input!I42</f>
        <v>0</v>
      </c>
      <c r="G40" s="3">
        <f>Input!J40+Input!J41+Input!J42</f>
        <v>0</v>
      </c>
      <c r="H40" s="3">
        <f>Input!K40+Input!K41+Input!K42</f>
        <v>0</v>
      </c>
      <c r="I40" s="3">
        <f>Input!L40+Input!L41+Input!L42</f>
        <v>0</v>
      </c>
      <c r="J40" s="3">
        <f>Input!M40+Input!M41+Input!M42</f>
        <v>0</v>
      </c>
      <c r="K40" s="3">
        <f>Input!N40+Input!N41+Input!N42</f>
        <v>0</v>
      </c>
      <c r="L40" s="3">
        <f>Input!O40+Input!O41+Input!O42</f>
        <v>0</v>
      </c>
      <c r="M40" s="3">
        <f>Input!P40+Input!P41+Input!P42</f>
        <v>0</v>
      </c>
    </row>
    <row r="41" spans="1:13" ht="16.5" customHeight="1">
      <c r="A41" s="1" t="s">
        <v>338</v>
      </c>
      <c r="D41" s="3">
        <f>Input!G43</f>
        <v>0</v>
      </c>
      <c r="E41" s="3">
        <f>Input!H43</f>
        <v>0</v>
      </c>
      <c r="F41" s="3">
        <f>Input!I43</f>
        <v>0</v>
      </c>
      <c r="G41" s="3">
        <f>Input!J43</f>
        <v>0</v>
      </c>
      <c r="H41" s="3">
        <f>Input!K43</f>
        <v>0</v>
      </c>
      <c r="I41" s="3">
        <f>Input!L43</f>
        <v>0</v>
      </c>
      <c r="J41" s="3">
        <f>Input!M43</f>
        <v>0</v>
      </c>
      <c r="K41" s="3">
        <f>Input!N43</f>
        <v>0</v>
      </c>
      <c r="L41" s="3">
        <f>Input!O43</f>
        <v>0</v>
      </c>
      <c r="M41" s="3">
        <f>Input!P43</f>
        <v>0</v>
      </c>
    </row>
    <row r="42" spans="1:13" ht="16.5" customHeight="1">
      <c r="A42" s="24" t="s">
        <v>354</v>
      </c>
      <c r="D42" s="3">
        <f>+'g - Plant'!H32</f>
        <v>0</v>
      </c>
      <c r="E42" s="3">
        <f>+'g - Plant'!I32</f>
        <v>0</v>
      </c>
      <c r="F42" s="3">
        <f>+'g - Plant'!J32</f>
        <v>0</v>
      </c>
      <c r="G42" s="3">
        <f>+'g - Plant'!K32</f>
        <v>0</v>
      </c>
      <c r="H42" s="3">
        <f>+'g - Plant'!L32</f>
        <v>0</v>
      </c>
      <c r="I42" s="3">
        <f>+'g - Plant'!M32</f>
        <v>0</v>
      </c>
      <c r="J42" s="3">
        <f>+'g - Plant'!N32</f>
        <v>0</v>
      </c>
      <c r="K42" s="3">
        <f>+'g - Plant'!O32</f>
        <v>0</v>
      </c>
      <c r="L42" s="3">
        <f>+'g - Plant'!P32</f>
        <v>0</v>
      </c>
      <c r="M42" s="3">
        <f>+'g - Plant'!Q32</f>
        <v>0</v>
      </c>
    </row>
    <row r="43" spans="1:13" ht="16.5" customHeight="1">
      <c r="A43" s="1" t="s">
        <v>339</v>
      </c>
      <c r="D43" s="3">
        <f>+'g - Plant'!H51</f>
        <v>0</v>
      </c>
      <c r="E43" s="3">
        <f>+'g - Plant'!I51</f>
        <v>0</v>
      </c>
      <c r="F43" s="3">
        <f>+'g - Plant'!J51</f>
        <v>0</v>
      </c>
      <c r="G43" s="3">
        <f>+'g - Plant'!K51</f>
        <v>0</v>
      </c>
      <c r="H43" s="3">
        <f>+'g - Plant'!L51</f>
        <v>0</v>
      </c>
      <c r="I43" s="3">
        <f>+'g - Plant'!M51</f>
        <v>0</v>
      </c>
      <c r="J43" s="3">
        <f>+'g - Plant'!N51</f>
        <v>0</v>
      </c>
      <c r="K43" s="3">
        <f>+'g - Plant'!O51</f>
        <v>0</v>
      </c>
      <c r="L43" s="3">
        <f>+'g - Plant'!P51</f>
        <v>0</v>
      </c>
      <c r="M43" s="3">
        <f>+'g - Plant'!Q51</f>
        <v>0</v>
      </c>
    </row>
    <row r="44" spans="1:13" ht="16.5" customHeight="1">
      <c r="A44" s="1" t="s">
        <v>839</v>
      </c>
      <c r="D44" s="3">
        <f>Input!G44</f>
        <v>0</v>
      </c>
      <c r="E44" s="3">
        <f>Input!H44</f>
        <v>0</v>
      </c>
      <c r="F44" s="3">
        <f>Input!I44</f>
        <v>0</v>
      </c>
      <c r="G44" s="3">
        <f>Input!J44</f>
        <v>0</v>
      </c>
      <c r="H44" s="3">
        <f>Input!K44</f>
        <v>0</v>
      </c>
      <c r="I44" s="3">
        <f>Input!L44</f>
        <v>0</v>
      </c>
      <c r="J44" s="3">
        <f>Input!M44</f>
        <v>0</v>
      </c>
      <c r="K44" s="3">
        <f>Input!N44</f>
        <v>0</v>
      </c>
      <c r="L44" s="3">
        <f>Input!O44</f>
        <v>0</v>
      </c>
      <c r="M44" s="3">
        <f>Input!P44</f>
        <v>0</v>
      </c>
    </row>
    <row r="45" spans="1:13" ht="16.5" customHeight="1"/>
    <row r="46" spans="1:13" ht="16.5" customHeight="1">
      <c r="A46" s="1" t="s">
        <v>340</v>
      </c>
      <c r="D46" s="3" t="e">
        <f>SUM(D38:D44)</f>
        <v>#DIV/0!</v>
      </c>
      <c r="E46" s="3" t="e">
        <f t="shared" ref="E46:M46" si="9">SUM(E38:E44)</f>
        <v>#DIV/0!</v>
      </c>
      <c r="F46" s="3" t="e">
        <f t="shared" si="9"/>
        <v>#DIV/0!</v>
      </c>
      <c r="G46" s="3" t="e">
        <f t="shared" si="9"/>
        <v>#DIV/0!</v>
      </c>
      <c r="H46" s="3" t="e">
        <f t="shared" si="9"/>
        <v>#DIV/0!</v>
      </c>
      <c r="I46" s="3" t="e">
        <f t="shared" si="9"/>
        <v>#DIV/0!</v>
      </c>
      <c r="J46" s="3" t="e">
        <f t="shared" si="9"/>
        <v>#DIV/0!</v>
      </c>
      <c r="K46" s="3" t="e">
        <f t="shared" si="9"/>
        <v>#DIV/0!</v>
      </c>
      <c r="L46" s="3" t="e">
        <f t="shared" si="9"/>
        <v>#DIV/0!</v>
      </c>
      <c r="M46" s="3" t="e">
        <f t="shared" si="9"/>
        <v>#DIV/0!</v>
      </c>
    </row>
    <row r="47" spans="1:13" ht="16.5" customHeight="1"/>
    <row r="48" spans="1:13" ht="16.5" customHeight="1">
      <c r="A48" s="1" t="s">
        <v>341</v>
      </c>
    </row>
    <row r="49" spans="1:13" ht="16.5" customHeight="1">
      <c r="A49" s="1" t="s">
        <v>342</v>
      </c>
      <c r="D49" s="3">
        <f>Input!G45</f>
        <v>0</v>
      </c>
      <c r="E49" s="3">
        <f>Input!H45</f>
        <v>0</v>
      </c>
      <c r="F49" s="3">
        <f>Input!I45</f>
        <v>0</v>
      </c>
      <c r="G49" s="3">
        <f>Input!J45</f>
        <v>0</v>
      </c>
      <c r="H49" s="3">
        <f>Input!K45</f>
        <v>0</v>
      </c>
      <c r="I49" s="3">
        <f>Input!L45</f>
        <v>0</v>
      </c>
      <c r="J49" s="3">
        <f>Input!M45</f>
        <v>0</v>
      </c>
      <c r="K49" s="3">
        <f>Input!N45</f>
        <v>0</v>
      </c>
      <c r="L49" s="3">
        <f>Input!O45</f>
        <v>0</v>
      </c>
      <c r="M49" s="3">
        <f>Input!P45</f>
        <v>0</v>
      </c>
    </row>
    <row r="50" spans="1:13" ht="16.5" customHeight="1">
      <c r="A50" s="1" t="s">
        <v>343</v>
      </c>
      <c r="D50" s="3">
        <f>Input!G46</f>
        <v>0</v>
      </c>
      <c r="E50" s="3">
        <f>Input!H46</f>
        <v>0</v>
      </c>
      <c r="F50" s="3">
        <f>Input!I46</f>
        <v>0</v>
      </c>
      <c r="G50" s="3">
        <f>Input!J46</f>
        <v>0</v>
      </c>
      <c r="H50" s="3">
        <f>Input!K46</f>
        <v>0</v>
      </c>
      <c r="I50" s="3">
        <f>Input!L46</f>
        <v>0</v>
      </c>
      <c r="J50" s="3">
        <f>Input!M46</f>
        <v>0</v>
      </c>
      <c r="K50" s="3">
        <f>Input!N46</f>
        <v>0</v>
      </c>
      <c r="L50" s="3">
        <f>Input!O46</f>
        <v>0</v>
      </c>
      <c r="M50" s="3">
        <f>Input!P46</f>
        <v>0</v>
      </c>
    </row>
    <row r="51" spans="1:13" ht="16.5" customHeight="1">
      <c r="A51" s="1" t="s">
        <v>344</v>
      </c>
      <c r="D51" s="3">
        <f>+'g - Plant'!H61</f>
        <v>0</v>
      </c>
      <c r="E51" s="3">
        <f>+'g - Plant'!I61</f>
        <v>0</v>
      </c>
      <c r="F51" s="3">
        <f>+'g - Plant'!J61</f>
        <v>0</v>
      </c>
      <c r="G51" s="3">
        <f>+'g - Plant'!K61</f>
        <v>0</v>
      </c>
      <c r="H51" s="3">
        <f>+'g - Plant'!L61</f>
        <v>0</v>
      </c>
      <c r="I51" s="3">
        <f>+'g - Plant'!M61</f>
        <v>0</v>
      </c>
      <c r="J51" s="3">
        <f>+'g - Plant'!N61</f>
        <v>0</v>
      </c>
      <c r="K51" s="3">
        <f>+'g - Plant'!O61</f>
        <v>0</v>
      </c>
      <c r="L51" s="3">
        <f>+'g - Plant'!P61</f>
        <v>0</v>
      </c>
      <c r="M51" s="3">
        <f>+'g - Plant'!Q61</f>
        <v>0</v>
      </c>
    </row>
    <row r="52" spans="1:13" ht="16.5" customHeight="1">
      <c r="A52" s="1" t="s">
        <v>345</v>
      </c>
      <c r="D52" s="3">
        <f>Input!G47</f>
        <v>0</v>
      </c>
      <c r="E52" s="3">
        <f>Input!H47</f>
        <v>0</v>
      </c>
      <c r="F52" s="3">
        <f>Input!I47</f>
        <v>0</v>
      </c>
      <c r="G52" s="3">
        <f>Input!J47</f>
        <v>0</v>
      </c>
      <c r="H52" s="3">
        <f>Input!K47</f>
        <v>0</v>
      </c>
      <c r="I52" s="3">
        <f>Input!L47</f>
        <v>0</v>
      </c>
      <c r="J52" s="3">
        <f>Input!M47</f>
        <v>0</v>
      </c>
      <c r="K52" s="3">
        <f>Input!N47</f>
        <v>0</v>
      </c>
      <c r="L52" s="3">
        <f>Input!O47</f>
        <v>0</v>
      </c>
      <c r="M52" s="3">
        <f>Input!P47</f>
        <v>0</v>
      </c>
    </row>
    <row r="53" spans="1:13" ht="16.5" customHeight="1">
      <c r="A53" s="252" t="s">
        <v>970</v>
      </c>
      <c r="D53" s="3">
        <f>'j - Debt Sum'!D69</f>
        <v>0</v>
      </c>
      <c r="E53" s="3">
        <f>'j - Debt Sum'!E69</f>
        <v>0</v>
      </c>
      <c r="F53" s="3">
        <f>'j - Debt Sum'!F69</f>
        <v>0</v>
      </c>
      <c r="G53" s="3">
        <f>'j - Debt Sum'!G69</f>
        <v>0</v>
      </c>
      <c r="H53" s="3">
        <f>'j - Debt Sum'!H69</f>
        <v>0</v>
      </c>
      <c r="I53" s="3">
        <f>'j - Debt Sum'!I69</f>
        <v>0</v>
      </c>
      <c r="J53" s="3">
        <f>'j - Debt Sum'!J69</f>
        <v>0</v>
      </c>
      <c r="K53" s="3">
        <f>'j - Debt Sum'!K69</f>
        <v>0</v>
      </c>
      <c r="L53" s="3">
        <f>'j - Debt Sum'!L69</f>
        <v>0</v>
      </c>
      <c r="M53" s="3">
        <f>'j - Debt Sum'!M69</f>
        <v>0</v>
      </c>
    </row>
    <row r="54" spans="1:13" ht="16.5" customHeight="1"/>
    <row r="55" spans="1:13" ht="16.5" customHeight="1">
      <c r="A55" s="1" t="s">
        <v>346</v>
      </c>
      <c r="D55" s="3">
        <f t="shared" ref="D55:M55" si="10">SUM(D49:D53)</f>
        <v>0</v>
      </c>
      <c r="E55" s="3">
        <f t="shared" si="10"/>
        <v>0</v>
      </c>
      <c r="F55" s="3">
        <f t="shared" si="10"/>
        <v>0</v>
      </c>
      <c r="G55" s="3">
        <f t="shared" si="10"/>
        <v>0</v>
      </c>
      <c r="H55" s="3">
        <f t="shared" si="10"/>
        <v>0</v>
      </c>
      <c r="I55" s="3">
        <f t="shared" si="10"/>
        <v>0</v>
      </c>
      <c r="J55" s="3">
        <f t="shared" si="10"/>
        <v>0</v>
      </c>
      <c r="K55" s="3">
        <f t="shared" si="10"/>
        <v>0</v>
      </c>
      <c r="L55" s="3">
        <f t="shared" si="10"/>
        <v>0</v>
      </c>
      <c r="M55" s="3">
        <f t="shared" si="10"/>
        <v>0</v>
      </c>
    </row>
    <row r="56" spans="1:13" ht="16.5" customHeight="1"/>
    <row r="57" spans="1:13" ht="16.5" customHeight="1">
      <c r="A57" s="1" t="s">
        <v>347</v>
      </c>
      <c r="D57" s="3" t="e">
        <f t="shared" ref="D57:M57" si="11">D46-D55</f>
        <v>#DIV/0!</v>
      </c>
      <c r="E57" s="3" t="e">
        <f t="shared" si="11"/>
        <v>#DIV/0!</v>
      </c>
      <c r="F57" s="3" t="e">
        <f t="shared" si="11"/>
        <v>#DIV/0!</v>
      </c>
      <c r="G57" s="3" t="e">
        <f t="shared" si="11"/>
        <v>#DIV/0!</v>
      </c>
      <c r="H57" s="3" t="e">
        <f t="shared" si="11"/>
        <v>#DIV/0!</v>
      </c>
      <c r="I57" s="3" t="e">
        <f t="shared" si="11"/>
        <v>#DIV/0!</v>
      </c>
      <c r="J57" s="3" t="e">
        <f t="shared" si="11"/>
        <v>#DIV/0!</v>
      </c>
      <c r="K57" s="3" t="e">
        <f t="shared" si="11"/>
        <v>#DIV/0!</v>
      </c>
      <c r="L57" s="3" t="e">
        <f t="shared" si="11"/>
        <v>#DIV/0!</v>
      </c>
      <c r="M57" s="3" t="e">
        <f t="shared" si="11"/>
        <v>#DIV/0!</v>
      </c>
    </row>
    <row r="58" spans="1:13" ht="16.5" customHeight="1"/>
    <row r="106"/>
    <row r="107"/>
    <row r="108"/>
    <row r="109"/>
  </sheetData>
  <sheetProtection algorithmName="SHA-512" hashValue="+VWw6cl6JxZnNHwQ5KPAswO8NkbqrXsWTP5K9VffNnIxvREE7WG4++1kEqgRUiDIFuhndZC2Pg8jRR45p2V6yg==" saltValue="uVWgQ6ty1GaFHn7apiaCvw==" spinCount="100000" sheet="1" objects="1" scenarios="1"/>
  <phoneticPr fontId="0" type="noConversion"/>
  <pageMargins left="0.5" right="0.32" top="0.5" bottom="0.34" header="0.5" footer="0.36"/>
  <pageSetup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P62"/>
  <sheetViews>
    <sheetView showGridLines="0" zoomScale="83" zoomScaleNormal="83" workbookViewId="0">
      <pane xSplit="3" ySplit="6" topLeftCell="D7" activePane="bottomRight" state="frozen"/>
      <selection pane="topRight" activeCell="D1" sqref="D1"/>
      <selection pane="bottomLeft" activeCell="A7" sqref="A7"/>
      <selection pane="bottomRight" activeCell="D7" sqref="D7"/>
    </sheetView>
  </sheetViews>
  <sheetFormatPr defaultColWidth="0" defaultRowHeight="12.5" zeroHeight="1"/>
  <cols>
    <col min="1" max="1" width="5.7265625" customWidth="1"/>
    <col min="2" max="2" width="14.453125" customWidth="1"/>
    <col min="3" max="3" width="30.81640625" customWidth="1"/>
    <col min="4" max="6" width="14.54296875" customWidth="1"/>
    <col min="7" max="7" width="16.7265625" bestFit="1" customWidth="1"/>
    <col min="8" max="16" width="14.54296875" customWidth="1"/>
    <col min="17" max="17" width="9.1796875" customWidth="1"/>
  </cols>
  <sheetData>
    <row r="1" spans="1:16" ht="16.5" customHeight="1">
      <c r="A1" s="13"/>
      <c r="B1" s="13"/>
      <c r="C1" s="13"/>
      <c r="D1" s="13"/>
      <c r="E1" s="13"/>
      <c r="F1" s="13" t="s">
        <v>42</v>
      </c>
      <c r="G1" s="13"/>
      <c r="H1" s="13" t="s">
        <v>43</v>
      </c>
      <c r="I1" s="13"/>
      <c r="J1" s="13"/>
      <c r="K1" s="13"/>
      <c r="L1" s="13"/>
      <c r="M1" s="13"/>
      <c r="N1" s="13"/>
      <c r="O1" s="13"/>
      <c r="P1" s="13"/>
    </row>
    <row r="2" spans="1:16" ht="16.5" customHeight="1">
      <c r="A2" s="13"/>
      <c r="B2" s="13"/>
      <c r="C2" s="13"/>
      <c r="D2" s="13"/>
      <c r="E2" s="13"/>
      <c r="F2" s="13"/>
      <c r="G2" s="13"/>
      <c r="H2" s="13"/>
      <c r="I2" s="13"/>
      <c r="J2" s="13"/>
      <c r="K2" s="13"/>
      <c r="L2" s="13"/>
      <c r="M2" s="13"/>
      <c r="N2" s="13"/>
      <c r="O2" s="13"/>
      <c r="P2" s="13"/>
    </row>
    <row r="3" spans="1:16" ht="16.5" customHeight="1">
      <c r="A3" s="13"/>
      <c r="B3" s="13"/>
      <c r="C3" s="13"/>
      <c r="D3" s="18" t="s">
        <v>44</v>
      </c>
      <c r="E3" s="264" t="s">
        <v>687</v>
      </c>
      <c r="F3" s="260"/>
      <c r="G3" s="18" t="s">
        <v>44</v>
      </c>
      <c r="H3" s="18"/>
      <c r="I3" s="260" t="s">
        <v>45</v>
      </c>
      <c r="J3" s="260"/>
      <c r="K3" s="18" t="s">
        <v>44</v>
      </c>
      <c r="L3" s="18"/>
      <c r="M3" s="18"/>
      <c r="N3" s="18"/>
      <c r="O3" s="18"/>
      <c r="P3" s="18"/>
    </row>
    <row r="4" spans="1:16" ht="16.5" customHeight="1">
      <c r="A4" s="13"/>
      <c r="B4" s="13"/>
      <c r="C4" s="13"/>
      <c r="D4" s="13"/>
      <c r="E4" s="22" t="s">
        <v>64</v>
      </c>
      <c r="F4" s="13"/>
      <c r="G4" s="13"/>
      <c r="H4" s="13"/>
      <c r="I4" s="13"/>
      <c r="J4" s="13"/>
      <c r="K4" s="13"/>
      <c r="L4" s="13"/>
      <c r="M4" s="13"/>
      <c r="N4" s="13"/>
      <c r="O4" s="13"/>
      <c r="P4" s="13"/>
    </row>
    <row r="5" spans="1:16" ht="16.5" customHeight="1">
      <c r="A5" s="13"/>
      <c r="B5" s="13"/>
      <c r="C5" s="13"/>
      <c r="D5" s="15">
        <f>E5-1</f>
        <v>2021</v>
      </c>
      <c r="E5" s="15">
        <f>F5-1</f>
        <v>2022</v>
      </c>
      <c r="F5" s="15">
        <f>G5-1</f>
        <v>2023</v>
      </c>
      <c r="G5" s="15">
        <f>Input!G8</f>
        <v>2024</v>
      </c>
      <c r="H5" s="15">
        <f t="shared" ref="H5:P5" si="0">G5+1</f>
        <v>2025</v>
      </c>
      <c r="I5" s="15">
        <f t="shared" si="0"/>
        <v>2026</v>
      </c>
      <c r="J5" s="15">
        <f t="shared" si="0"/>
        <v>2027</v>
      </c>
      <c r="K5" s="15">
        <f t="shared" si="0"/>
        <v>2028</v>
      </c>
      <c r="L5" s="15">
        <f t="shared" si="0"/>
        <v>2029</v>
      </c>
      <c r="M5" s="15">
        <f t="shared" si="0"/>
        <v>2030</v>
      </c>
      <c r="N5" s="15">
        <f t="shared" si="0"/>
        <v>2031</v>
      </c>
      <c r="O5" s="15">
        <f t="shared" si="0"/>
        <v>2032</v>
      </c>
      <c r="P5" s="15">
        <f t="shared" si="0"/>
        <v>2033</v>
      </c>
    </row>
    <row r="6" spans="1:16" ht="16.5" customHeight="1">
      <c r="A6" s="13"/>
      <c r="B6" s="13"/>
      <c r="C6" s="13"/>
      <c r="D6" s="15" t="s">
        <v>46</v>
      </c>
      <c r="E6" s="15" t="s">
        <v>46</v>
      </c>
      <c r="F6" s="15" t="s">
        <v>46</v>
      </c>
      <c r="G6" s="15" t="s">
        <v>46</v>
      </c>
      <c r="H6" s="15" t="s">
        <v>46</v>
      </c>
      <c r="I6" s="15" t="s">
        <v>46</v>
      </c>
      <c r="J6" s="15" t="s">
        <v>46</v>
      </c>
      <c r="K6" s="15" t="s">
        <v>46</v>
      </c>
      <c r="L6" s="15" t="s">
        <v>46</v>
      </c>
      <c r="M6" s="15" t="s">
        <v>46</v>
      </c>
      <c r="N6" s="15" t="s">
        <v>46</v>
      </c>
      <c r="O6" s="15" t="s">
        <v>46</v>
      </c>
      <c r="P6" s="15" t="s">
        <v>46</v>
      </c>
    </row>
    <row r="7" spans="1:16" ht="16.5" customHeight="1">
      <c r="A7" s="14" t="s">
        <v>848</v>
      </c>
      <c r="B7" s="13"/>
      <c r="C7" s="13"/>
      <c r="D7" s="13"/>
      <c r="E7" s="13"/>
      <c r="F7" s="13"/>
      <c r="G7" s="13"/>
      <c r="H7" s="13"/>
      <c r="I7" s="13"/>
      <c r="J7" s="13"/>
      <c r="K7" s="13"/>
      <c r="L7" s="13"/>
      <c r="M7" s="13"/>
      <c r="N7" s="13"/>
      <c r="O7" s="13"/>
      <c r="P7" s="13"/>
    </row>
    <row r="8" spans="1:16" ht="16.5" customHeight="1">
      <c r="A8" s="167" t="s">
        <v>118</v>
      </c>
      <c r="B8" s="23" t="s">
        <v>975</v>
      </c>
      <c r="C8" s="13"/>
      <c r="D8" s="214">
        <v>0</v>
      </c>
      <c r="E8" s="214">
        <v>0</v>
      </c>
      <c r="F8" s="214">
        <v>0</v>
      </c>
      <c r="G8" s="215">
        <v>0</v>
      </c>
      <c r="H8" s="215">
        <v>0</v>
      </c>
      <c r="I8" s="215">
        <v>0</v>
      </c>
      <c r="J8" s="215">
        <v>0</v>
      </c>
      <c r="K8" s="215">
        <v>0</v>
      </c>
      <c r="L8" s="215">
        <v>0</v>
      </c>
      <c r="M8" s="215">
        <v>0</v>
      </c>
      <c r="N8" s="215">
        <v>0</v>
      </c>
      <c r="O8" s="215">
        <v>0</v>
      </c>
      <c r="P8" s="215">
        <v>0</v>
      </c>
    </row>
    <row r="9" spans="1:16" ht="16.5" customHeight="1">
      <c r="A9" s="22" t="s">
        <v>126</v>
      </c>
      <c r="B9" s="23" t="s">
        <v>47</v>
      </c>
      <c r="C9" s="13"/>
      <c r="D9" s="214">
        <v>0</v>
      </c>
      <c r="E9" s="214">
        <v>0</v>
      </c>
      <c r="F9" s="214">
        <v>0</v>
      </c>
      <c r="G9" s="215">
        <v>0</v>
      </c>
      <c r="H9" s="215">
        <v>0</v>
      </c>
      <c r="I9" s="215">
        <v>0</v>
      </c>
      <c r="J9" s="215">
        <v>0</v>
      </c>
      <c r="K9" s="215">
        <v>0</v>
      </c>
      <c r="L9" s="215">
        <v>0</v>
      </c>
      <c r="M9" s="215">
        <v>0</v>
      </c>
      <c r="N9" s="215">
        <v>0</v>
      </c>
      <c r="O9" s="215">
        <v>0</v>
      </c>
      <c r="P9" s="215">
        <v>0</v>
      </c>
    </row>
    <row r="10" spans="1:16" ht="16.5" customHeight="1">
      <c r="A10" s="22" t="s">
        <v>127</v>
      </c>
      <c r="B10" s="23" t="s">
        <v>48</v>
      </c>
      <c r="C10" s="13"/>
      <c r="D10" s="214">
        <v>0</v>
      </c>
      <c r="E10" s="214">
        <v>0</v>
      </c>
      <c r="F10" s="214">
        <v>0</v>
      </c>
      <c r="G10" s="215">
        <v>0</v>
      </c>
      <c r="H10" s="215">
        <v>0</v>
      </c>
      <c r="I10" s="215">
        <v>0</v>
      </c>
      <c r="J10" s="215">
        <v>0</v>
      </c>
      <c r="K10" s="215">
        <v>0</v>
      </c>
      <c r="L10" s="215">
        <v>0</v>
      </c>
      <c r="M10" s="215">
        <v>0</v>
      </c>
      <c r="N10" s="215">
        <v>0</v>
      </c>
      <c r="O10" s="215">
        <v>0</v>
      </c>
      <c r="P10" s="215">
        <v>0</v>
      </c>
    </row>
    <row r="11" spans="1:16" ht="16.5" customHeight="1">
      <c r="A11" s="22" t="s">
        <v>128</v>
      </c>
      <c r="B11" s="23" t="s">
        <v>853</v>
      </c>
      <c r="C11" s="13"/>
      <c r="D11" s="214">
        <v>0</v>
      </c>
      <c r="E11" s="214">
        <v>0</v>
      </c>
      <c r="F11" s="214">
        <v>0</v>
      </c>
      <c r="G11" s="215">
        <v>0</v>
      </c>
      <c r="H11" s="215">
        <v>0</v>
      </c>
      <c r="I11" s="215">
        <v>0</v>
      </c>
      <c r="J11" s="215">
        <v>0</v>
      </c>
      <c r="K11" s="215">
        <v>0</v>
      </c>
      <c r="L11" s="215">
        <v>0</v>
      </c>
      <c r="M11" s="215">
        <v>0</v>
      </c>
      <c r="N11" s="215">
        <v>0</v>
      </c>
      <c r="O11" s="215">
        <v>0</v>
      </c>
      <c r="P11" s="215">
        <v>0</v>
      </c>
    </row>
    <row r="12" spans="1:16" ht="16.5" customHeight="1">
      <c r="A12" s="22" t="s">
        <v>129</v>
      </c>
      <c r="B12" s="23" t="s">
        <v>850</v>
      </c>
      <c r="C12" s="13"/>
      <c r="D12" s="214">
        <v>0</v>
      </c>
      <c r="E12" s="214">
        <v>0</v>
      </c>
      <c r="F12" s="214">
        <v>0</v>
      </c>
      <c r="G12" s="215">
        <v>0</v>
      </c>
      <c r="H12" s="215">
        <v>0</v>
      </c>
      <c r="I12" s="215">
        <v>0</v>
      </c>
      <c r="J12" s="215">
        <v>0</v>
      </c>
      <c r="K12" s="215">
        <v>0</v>
      </c>
      <c r="L12" s="215">
        <v>0</v>
      </c>
      <c r="M12" s="215">
        <v>0</v>
      </c>
      <c r="N12" s="215">
        <v>0</v>
      </c>
      <c r="O12" s="215">
        <v>0</v>
      </c>
      <c r="P12" s="215">
        <v>0</v>
      </c>
    </row>
    <row r="13" spans="1:16" ht="16.5" customHeight="1">
      <c r="A13" s="22" t="s">
        <v>131</v>
      </c>
      <c r="B13" s="23" t="s">
        <v>852</v>
      </c>
      <c r="C13" s="13"/>
      <c r="D13" s="8">
        <v>0</v>
      </c>
      <c r="E13" s="8">
        <v>0</v>
      </c>
      <c r="F13" s="8">
        <v>0</v>
      </c>
      <c r="G13" s="215">
        <v>0</v>
      </c>
      <c r="H13" s="215">
        <v>0</v>
      </c>
      <c r="I13" s="215">
        <v>0</v>
      </c>
      <c r="J13" s="215">
        <v>0</v>
      </c>
      <c r="K13" s="215">
        <v>0</v>
      </c>
      <c r="L13" s="215">
        <v>0</v>
      </c>
      <c r="M13" s="215">
        <v>0</v>
      </c>
      <c r="N13" s="215">
        <v>0</v>
      </c>
      <c r="O13" s="215">
        <v>0</v>
      </c>
      <c r="P13" s="215">
        <v>0</v>
      </c>
    </row>
    <row r="14" spans="1:16" ht="16.5" customHeight="1">
      <c r="A14" s="22" t="s">
        <v>132</v>
      </c>
      <c r="B14" s="23" t="s">
        <v>852</v>
      </c>
      <c r="C14" s="13"/>
      <c r="D14" s="8">
        <v>0</v>
      </c>
      <c r="E14" s="8">
        <v>0</v>
      </c>
      <c r="F14" s="8">
        <v>0</v>
      </c>
      <c r="G14" s="215">
        <v>0</v>
      </c>
      <c r="H14" s="215">
        <v>0</v>
      </c>
      <c r="I14" s="215">
        <v>0</v>
      </c>
      <c r="J14" s="215">
        <v>0</v>
      </c>
      <c r="K14" s="215">
        <v>0</v>
      </c>
      <c r="L14" s="215">
        <v>0</v>
      </c>
      <c r="M14" s="215">
        <v>0</v>
      </c>
      <c r="N14" s="215">
        <v>0</v>
      </c>
      <c r="O14" s="215">
        <v>0</v>
      </c>
      <c r="P14" s="215">
        <v>0</v>
      </c>
    </row>
    <row r="15" spans="1:16" ht="16.5" customHeight="1">
      <c r="A15" s="22" t="s">
        <v>133</v>
      </c>
      <c r="B15" s="23" t="s">
        <v>852</v>
      </c>
      <c r="C15" s="13"/>
      <c r="D15" s="8">
        <v>0</v>
      </c>
      <c r="E15" s="8">
        <v>0</v>
      </c>
      <c r="F15" s="8">
        <v>0</v>
      </c>
      <c r="G15" s="215">
        <v>0</v>
      </c>
      <c r="H15" s="215">
        <v>0</v>
      </c>
      <c r="I15" s="215">
        <v>0</v>
      </c>
      <c r="J15" s="215">
        <v>0</v>
      </c>
      <c r="K15" s="215">
        <v>0</v>
      </c>
      <c r="L15" s="215">
        <v>0</v>
      </c>
      <c r="M15" s="215">
        <v>0</v>
      </c>
      <c r="N15" s="215">
        <v>0</v>
      </c>
      <c r="O15" s="215">
        <v>0</v>
      </c>
      <c r="P15" s="215">
        <v>0</v>
      </c>
    </row>
    <row r="16" spans="1:16" ht="16.5" customHeight="1">
      <c r="A16" s="22" t="s">
        <v>134</v>
      </c>
      <c r="B16" s="23" t="s">
        <v>49</v>
      </c>
      <c r="C16" s="13"/>
      <c r="D16" s="214">
        <v>0</v>
      </c>
      <c r="E16" s="214">
        <v>0</v>
      </c>
      <c r="F16" s="214">
        <v>0</v>
      </c>
      <c r="G16" s="215">
        <v>0</v>
      </c>
      <c r="H16" s="215">
        <v>0</v>
      </c>
      <c r="I16" s="215">
        <v>0</v>
      </c>
      <c r="J16" s="215">
        <v>0</v>
      </c>
      <c r="K16" s="215">
        <v>0</v>
      </c>
      <c r="L16" s="215">
        <v>0</v>
      </c>
      <c r="M16" s="215">
        <v>0</v>
      </c>
      <c r="N16" s="215">
        <v>0</v>
      </c>
      <c r="O16" s="215">
        <v>0</v>
      </c>
      <c r="P16" s="215">
        <v>0</v>
      </c>
    </row>
    <row r="17" spans="1:16" ht="16.5" customHeight="1">
      <c r="A17" s="22" t="s">
        <v>857</v>
      </c>
      <c r="B17" s="23" t="s">
        <v>50</v>
      </c>
      <c r="C17" s="13"/>
      <c r="D17" s="214">
        <v>0</v>
      </c>
      <c r="E17" s="214">
        <v>0</v>
      </c>
      <c r="F17" s="214">
        <v>0</v>
      </c>
      <c r="G17" s="215">
        <v>0</v>
      </c>
      <c r="H17" s="215">
        <v>0</v>
      </c>
      <c r="I17" s="215">
        <v>0</v>
      </c>
      <c r="J17" s="215">
        <v>0</v>
      </c>
      <c r="K17" s="215">
        <v>0</v>
      </c>
      <c r="L17" s="215">
        <v>0</v>
      </c>
      <c r="M17" s="215">
        <v>0</v>
      </c>
      <c r="N17" s="215">
        <v>0</v>
      </c>
      <c r="O17" s="215">
        <v>0</v>
      </c>
      <c r="P17" s="215">
        <v>0</v>
      </c>
    </row>
    <row r="18" spans="1:16" ht="16.5" customHeight="1">
      <c r="A18" s="22" t="s">
        <v>137</v>
      </c>
      <c r="B18" s="23" t="s">
        <v>854</v>
      </c>
      <c r="C18" s="13"/>
      <c r="D18" s="214">
        <v>0</v>
      </c>
      <c r="E18" s="214">
        <v>0</v>
      </c>
      <c r="F18" s="214">
        <v>0</v>
      </c>
      <c r="G18" s="215">
        <v>0</v>
      </c>
      <c r="H18" s="215">
        <v>0</v>
      </c>
      <c r="I18" s="215">
        <v>0</v>
      </c>
      <c r="J18" s="215">
        <v>0</v>
      </c>
      <c r="K18" s="215">
        <v>0</v>
      </c>
      <c r="L18" s="215">
        <v>0</v>
      </c>
      <c r="M18" s="215">
        <v>0</v>
      </c>
      <c r="N18" s="215">
        <v>0</v>
      </c>
      <c r="O18" s="215">
        <v>0</v>
      </c>
      <c r="P18" s="215">
        <v>0</v>
      </c>
    </row>
    <row r="19" spans="1:16" ht="16.5" customHeight="1">
      <c r="A19" s="22" t="s">
        <v>138</v>
      </c>
      <c r="B19" s="23" t="s">
        <v>855</v>
      </c>
      <c r="C19" s="13"/>
      <c r="D19" s="214">
        <v>0</v>
      </c>
      <c r="E19" s="214">
        <v>0</v>
      </c>
      <c r="F19" s="214">
        <v>0</v>
      </c>
      <c r="G19" s="215">
        <v>0</v>
      </c>
      <c r="H19" s="215">
        <v>0</v>
      </c>
      <c r="I19" s="215">
        <v>0</v>
      </c>
      <c r="J19" s="215">
        <v>0</v>
      </c>
      <c r="K19" s="215">
        <v>0</v>
      </c>
      <c r="L19" s="215">
        <v>0</v>
      </c>
      <c r="M19" s="215">
        <v>0</v>
      </c>
      <c r="N19" s="215">
        <v>0</v>
      </c>
      <c r="O19" s="215">
        <v>0</v>
      </c>
      <c r="P19" s="215">
        <v>0</v>
      </c>
    </row>
    <row r="20" spans="1:16" ht="16.5" customHeight="1">
      <c r="A20" s="22" t="s">
        <v>849</v>
      </c>
      <c r="B20" s="23" t="s">
        <v>51</v>
      </c>
      <c r="C20" s="13"/>
      <c r="D20" s="8">
        <v>0</v>
      </c>
      <c r="E20" s="8">
        <v>0</v>
      </c>
      <c r="F20" s="8">
        <v>0</v>
      </c>
      <c r="G20" s="215">
        <v>0</v>
      </c>
      <c r="H20" s="215">
        <v>0</v>
      </c>
      <c r="I20" s="215">
        <v>0</v>
      </c>
      <c r="J20" s="215">
        <v>0</v>
      </c>
      <c r="K20" s="215">
        <v>0</v>
      </c>
      <c r="L20" s="215">
        <v>0</v>
      </c>
      <c r="M20" s="215">
        <v>0</v>
      </c>
      <c r="N20" s="215">
        <v>0</v>
      </c>
      <c r="O20" s="215">
        <v>0</v>
      </c>
      <c r="P20" s="215">
        <v>0</v>
      </c>
    </row>
    <row r="21" spans="1:16" ht="16.5" customHeight="1">
      <c r="A21" s="14" t="s">
        <v>52</v>
      </c>
      <c r="B21" s="107" t="s">
        <v>53</v>
      </c>
      <c r="C21" s="13"/>
      <c r="D21" s="16">
        <f t="shared" ref="D21:P21" si="1">SUM(D8:D20)</f>
        <v>0</v>
      </c>
      <c r="E21" s="16">
        <f t="shared" si="1"/>
        <v>0</v>
      </c>
      <c r="F21" s="16">
        <f t="shared" si="1"/>
        <v>0</v>
      </c>
      <c r="G21" s="16">
        <f t="shared" si="1"/>
        <v>0</v>
      </c>
      <c r="H21" s="16">
        <f t="shared" si="1"/>
        <v>0</v>
      </c>
      <c r="I21" s="16">
        <f t="shared" si="1"/>
        <v>0</v>
      </c>
      <c r="J21" s="16">
        <f t="shared" si="1"/>
        <v>0</v>
      </c>
      <c r="K21" s="16">
        <f t="shared" si="1"/>
        <v>0</v>
      </c>
      <c r="L21" s="16">
        <f t="shared" si="1"/>
        <v>0</v>
      </c>
      <c r="M21" s="16">
        <f t="shared" si="1"/>
        <v>0</v>
      </c>
      <c r="N21" s="16">
        <f t="shared" si="1"/>
        <v>0</v>
      </c>
      <c r="O21" s="16">
        <f t="shared" si="1"/>
        <v>0</v>
      </c>
      <c r="P21" s="16">
        <f t="shared" si="1"/>
        <v>0</v>
      </c>
    </row>
    <row r="22" spans="1:16" ht="16.5" customHeight="1">
      <c r="A22" s="13"/>
      <c r="B22" s="13"/>
      <c r="C22" s="13"/>
      <c r="D22" s="13"/>
      <c r="E22" s="13"/>
      <c r="F22" s="13"/>
      <c r="G22" s="13"/>
      <c r="H22" s="13"/>
      <c r="I22" s="13"/>
      <c r="J22" s="13"/>
      <c r="K22" s="13"/>
      <c r="L22" s="13"/>
      <c r="M22" s="13"/>
      <c r="N22" s="13"/>
      <c r="O22" s="13"/>
      <c r="P22" s="13"/>
    </row>
    <row r="23" spans="1:16" ht="16.5" customHeight="1">
      <c r="A23" s="14" t="s">
        <v>54</v>
      </c>
      <c r="B23" s="13"/>
      <c r="C23" s="13"/>
      <c r="D23" s="13"/>
      <c r="E23" s="13"/>
      <c r="F23" s="13"/>
      <c r="G23" s="13"/>
      <c r="H23" s="13"/>
      <c r="I23" s="13"/>
      <c r="J23" s="13"/>
      <c r="K23" s="13"/>
      <c r="L23" s="13"/>
      <c r="M23" s="13"/>
      <c r="N23" s="13"/>
      <c r="O23" s="13"/>
      <c r="P23" s="13"/>
    </row>
    <row r="24" spans="1:16" ht="16.5" customHeight="1">
      <c r="A24" s="13" t="str">
        <f t="shared" ref="A24:B36" si="2">A8</f>
        <v>1.</v>
      </c>
      <c r="B24" s="13" t="str">
        <f t="shared" si="2"/>
        <v>RESIDENTIAL</v>
      </c>
      <c r="C24" s="13"/>
      <c r="D24" s="16">
        <f t="shared" ref="D24:P24" si="3">IF(ISERR(D39/12/D8),0,D39/12/D8)</f>
        <v>0</v>
      </c>
      <c r="E24" s="16">
        <f t="shared" si="3"/>
        <v>0</v>
      </c>
      <c r="F24" s="16">
        <f t="shared" si="3"/>
        <v>0</v>
      </c>
      <c r="G24" s="16">
        <f t="shared" si="3"/>
        <v>0</v>
      </c>
      <c r="H24" s="16">
        <f t="shared" si="3"/>
        <v>0</v>
      </c>
      <c r="I24" s="16">
        <f t="shared" si="3"/>
        <v>0</v>
      </c>
      <c r="J24" s="16">
        <f t="shared" si="3"/>
        <v>0</v>
      </c>
      <c r="K24" s="16">
        <f t="shared" si="3"/>
        <v>0</v>
      </c>
      <c r="L24" s="16">
        <f t="shared" si="3"/>
        <v>0</v>
      </c>
      <c r="M24" s="16">
        <f t="shared" si="3"/>
        <v>0</v>
      </c>
      <c r="N24" s="16">
        <f t="shared" si="3"/>
        <v>0</v>
      </c>
      <c r="O24" s="16">
        <f t="shared" si="3"/>
        <v>0</v>
      </c>
      <c r="P24" s="16">
        <f t="shared" si="3"/>
        <v>0</v>
      </c>
    </row>
    <row r="25" spans="1:16" ht="16.5" customHeight="1">
      <c r="A25" s="13" t="str">
        <f t="shared" si="2"/>
        <v>2.</v>
      </c>
      <c r="B25" s="13" t="str">
        <f t="shared" si="2"/>
        <v>RESIDENTIAL SEASONAL</v>
      </c>
      <c r="C25" s="13"/>
      <c r="D25" s="16">
        <f t="shared" ref="D25:P25" si="4">IF(ISERR(D40/12/D9),0,D40/12/D9)</f>
        <v>0</v>
      </c>
      <c r="E25" s="16">
        <f t="shared" si="4"/>
        <v>0</v>
      </c>
      <c r="F25" s="16">
        <f t="shared" si="4"/>
        <v>0</v>
      </c>
      <c r="G25" s="16">
        <f t="shared" si="4"/>
        <v>0</v>
      </c>
      <c r="H25" s="16">
        <f t="shared" si="4"/>
        <v>0</v>
      </c>
      <c r="I25" s="16">
        <f t="shared" si="4"/>
        <v>0</v>
      </c>
      <c r="J25" s="16">
        <f t="shared" si="4"/>
        <v>0</v>
      </c>
      <c r="K25" s="16">
        <f t="shared" si="4"/>
        <v>0</v>
      </c>
      <c r="L25" s="16">
        <f t="shared" si="4"/>
        <v>0</v>
      </c>
      <c r="M25" s="16">
        <f t="shared" si="4"/>
        <v>0</v>
      </c>
      <c r="N25" s="16">
        <f t="shared" si="4"/>
        <v>0</v>
      </c>
      <c r="O25" s="16">
        <f t="shared" si="4"/>
        <v>0</v>
      </c>
      <c r="P25" s="16">
        <f t="shared" si="4"/>
        <v>0</v>
      </c>
    </row>
    <row r="26" spans="1:16" ht="16.5" customHeight="1">
      <c r="A26" s="13" t="str">
        <f t="shared" si="2"/>
        <v>3.</v>
      </c>
      <c r="B26" s="13" t="str">
        <f t="shared" si="2"/>
        <v>IRRIGATION</v>
      </c>
      <c r="C26" s="13"/>
      <c r="D26" s="16">
        <f t="shared" ref="D26:P27" si="5">IF(ISERR(D41/12/D10),0,D41/12/D10)</f>
        <v>0</v>
      </c>
      <c r="E26" s="16">
        <f t="shared" si="5"/>
        <v>0</v>
      </c>
      <c r="F26" s="16">
        <f t="shared" si="5"/>
        <v>0</v>
      </c>
      <c r="G26" s="16">
        <f t="shared" si="5"/>
        <v>0</v>
      </c>
      <c r="H26" s="16">
        <f t="shared" si="5"/>
        <v>0</v>
      </c>
      <c r="I26" s="16">
        <f t="shared" si="5"/>
        <v>0</v>
      </c>
      <c r="J26" s="16">
        <f t="shared" si="5"/>
        <v>0</v>
      </c>
      <c r="K26" s="16">
        <f t="shared" si="5"/>
        <v>0</v>
      </c>
      <c r="L26" s="16">
        <f t="shared" si="5"/>
        <v>0</v>
      </c>
      <c r="M26" s="16">
        <f t="shared" si="5"/>
        <v>0</v>
      </c>
      <c r="N26" s="16">
        <f t="shared" si="5"/>
        <v>0</v>
      </c>
      <c r="O26" s="16">
        <f t="shared" si="5"/>
        <v>0</v>
      </c>
      <c r="P26" s="16">
        <f t="shared" si="5"/>
        <v>0</v>
      </c>
    </row>
    <row r="27" spans="1:16" ht="16.5" customHeight="1">
      <c r="A27" s="13" t="str">
        <f t="shared" si="2"/>
        <v>4.</v>
      </c>
      <c r="B27" s="13" t="str">
        <f t="shared" si="2"/>
        <v>COMMERCIAL:  1000 KVA OR LESS</v>
      </c>
      <c r="C27" s="13"/>
      <c r="D27" s="16">
        <f t="shared" si="5"/>
        <v>0</v>
      </c>
      <c r="E27" s="16">
        <f t="shared" si="5"/>
        <v>0</v>
      </c>
      <c r="F27" s="16">
        <f t="shared" si="5"/>
        <v>0</v>
      </c>
      <c r="G27" s="16">
        <f t="shared" si="5"/>
        <v>0</v>
      </c>
      <c r="H27" s="16">
        <f t="shared" si="5"/>
        <v>0</v>
      </c>
      <c r="I27" s="16">
        <f t="shared" si="5"/>
        <v>0</v>
      </c>
      <c r="J27" s="16">
        <f t="shared" si="5"/>
        <v>0</v>
      </c>
      <c r="K27" s="16">
        <f t="shared" si="5"/>
        <v>0</v>
      </c>
      <c r="L27" s="16">
        <f t="shared" si="5"/>
        <v>0</v>
      </c>
      <c r="M27" s="16">
        <f t="shared" si="5"/>
        <v>0</v>
      </c>
      <c r="N27" s="16">
        <f t="shared" si="5"/>
        <v>0</v>
      </c>
      <c r="O27" s="16">
        <f t="shared" si="5"/>
        <v>0</v>
      </c>
      <c r="P27" s="16">
        <f t="shared" si="5"/>
        <v>0</v>
      </c>
    </row>
    <row r="28" spans="1:16" ht="16.5" customHeight="1">
      <c r="A28" s="13" t="str">
        <f t="shared" si="2"/>
        <v>5.</v>
      </c>
      <c r="B28" s="13" t="str">
        <f t="shared" si="2"/>
        <v xml:space="preserve">COMMERCIAL:  OVER 1000 KVA </v>
      </c>
      <c r="C28" s="13"/>
      <c r="D28" s="16">
        <f t="shared" ref="D28:P28" si="6">IF(ISERR(D43/12/D12),0,D43/12/D12)</f>
        <v>0</v>
      </c>
      <c r="E28" s="16">
        <f t="shared" si="6"/>
        <v>0</v>
      </c>
      <c r="F28" s="16">
        <f t="shared" si="6"/>
        <v>0</v>
      </c>
      <c r="G28" s="16">
        <f t="shared" si="6"/>
        <v>0</v>
      </c>
      <c r="H28" s="16">
        <f t="shared" si="6"/>
        <v>0</v>
      </c>
      <c r="I28" s="16">
        <f t="shared" si="6"/>
        <v>0</v>
      </c>
      <c r="J28" s="16">
        <f t="shared" si="6"/>
        <v>0</v>
      </c>
      <c r="K28" s="16">
        <f t="shared" si="6"/>
        <v>0</v>
      </c>
      <c r="L28" s="16">
        <f t="shared" si="6"/>
        <v>0</v>
      </c>
      <c r="M28" s="16">
        <f t="shared" si="6"/>
        <v>0</v>
      </c>
      <c r="N28" s="16">
        <f t="shared" si="6"/>
        <v>0</v>
      </c>
      <c r="O28" s="16">
        <f t="shared" si="6"/>
        <v>0</v>
      </c>
      <c r="P28" s="16">
        <f t="shared" si="6"/>
        <v>0</v>
      </c>
    </row>
    <row r="29" spans="1:16" ht="16.5" customHeight="1">
      <c r="A29" s="13" t="str">
        <f t="shared" si="2"/>
        <v>6.</v>
      </c>
      <c r="B29" s="13" t="str">
        <f t="shared" si="2"/>
        <v>COMMERCIAL:</v>
      </c>
      <c r="C29" s="13"/>
      <c r="D29" s="16">
        <f t="shared" ref="D29:P29" si="7">IF(ISERR(D44/12/D13),0,D44/12/D13)</f>
        <v>0</v>
      </c>
      <c r="E29" s="16">
        <f t="shared" si="7"/>
        <v>0</v>
      </c>
      <c r="F29" s="16">
        <f t="shared" si="7"/>
        <v>0</v>
      </c>
      <c r="G29" s="16">
        <f t="shared" si="7"/>
        <v>0</v>
      </c>
      <c r="H29" s="16">
        <f t="shared" si="7"/>
        <v>0</v>
      </c>
      <c r="I29" s="16">
        <f t="shared" si="7"/>
        <v>0</v>
      </c>
      <c r="J29" s="16">
        <f t="shared" si="7"/>
        <v>0</v>
      </c>
      <c r="K29" s="16">
        <f t="shared" si="7"/>
        <v>0</v>
      </c>
      <c r="L29" s="16">
        <f t="shared" si="7"/>
        <v>0</v>
      </c>
      <c r="M29" s="16">
        <f t="shared" si="7"/>
        <v>0</v>
      </c>
      <c r="N29" s="16">
        <f t="shared" si="7"/>
        <v>0</v>
      </c>
      <c r="O29" s="16">
        <f t="shared" si="7"/>
        <v>0</v>
      </c>
      <c r="P29" s="16">
        <f t="shared" si="7"/>
        <v>0</v>
      </c>
    </row>
    <row r="30" spans="1:16" ht="16.5" customHeight="1">
      <c r="A30" s="13" t="str">
        <f t="shared" si="2"/>
        <v>7.</v>
      </c>
      <c r="B30" s="13" t="str">
        <f t="shared" si="2"/>
        <v>COMMERCIAL:</v>
      </c>
      <c r="C30" s="13"/>
      <c r="D30" s="16">
        <f t="shared" ref="D30:P30" si="8">IF(ISERR(D45/12/D14),0,D45/12/D14)</f>
        <v>0</v>
      </c>
      <c r="E30" s="16">
        <f t="shared" si="8"/>
        <v>0</v>
      </c>
      <c r="F30" s="16">
        <f t="shared" si="8"/>
        <v>0</v>
      </c>
      <c r="G30" s="16">
        <f t="shared" si="8"/>
        <v>0</v>
      </c>
      <c r="H30" s="16">
        <f t="shared" si="8"/>
        <v>0</v>
      </c>
      <c r="I30" s="16">
        <f t="shared" si="8"/>
        <v>0</v>
      </c>
      <c r="J30" s="16">
        <f t="shared" si="8"/>
        <v>0</v>
      </c>
      <c r="K30" s="16">
        <f t="shared" si="8"/>
        <v>0</v>
      </c>
      <c r="L30" s="16">
        <f t="shared" si="8"/>
        <v>0</v>
      </c>
      <c r="M30" s="16">
        <f t="shared" si="8"/>
        <v>0</v>
      </c>
      <c r="N30" s="16">
        <f t="shared" si="8"/>
        <v>0</v>
      </c>
      <c r="O30" s="16">
        <f t="shared" si="8"/>
        <v>0</v>
      </c>
      <c r="P30" s="16">
        <f t="shared" si="8"/>
        <v>0</v>
      </c>
    </row>
    <row r="31" spans="1:16" ht="16.5" customHeight="1">
      <c r="A31" s="13" t="str">
        <f t="shared" si="2"/>
        <v>8.</v>
      </c>
      <c r="B31" s="13" t="str">
        <f t="shared" si="2"/>
        <v>COMMERCIAL:</v>
      </c>
      <c r="C31" s="13"/>
      <c r="D31" s="16">
        <f t="shared" ref="D31:P31" si="9">IF(ISERR(D46/12/D15),0,D46/12/D15)</f>
        <v>0</v>
      </c>
      <c r="E31" s="16">
        <f t="shared" si="9"/>
        <v>0</v>
      </c>
      <c r="F31" s="16">
        <f t="shared" si="9"/>
        <v>0</v>
      </c>
      <c r="G31" s="16">
        <f t="shared" si="9"/>
        <v>0</v>
      </c>
      <c r="H31" s="16">
        <f t="shared" si="9"/>
        <v>0</v>
      </c>
      <c r="I31" s="16">
        <f t="shared" si="9"/>
        <v>0</v>
      </c>
      <c r="J31" s="16">
        <f t="shared" si="9"/>
        <v>0</v>
      </c>
      <c r="K31" s="16">
        <f t="shared" si="9"/>
        <v>0</v>
      </c>
      <c r="L31" s="16">
        <f t="shared" si="9"/>
        <v>0</v>
      </c>
      <c r="M31" s="16">
        <f t="shared" si="9"/>
        <v>0</v>
      </c>
      <c r="N31" s="16">
        <f t="shared" si="9"/>
        <v>0</v>
      </c>
      <c r="O31" s="16">
        <f t="shared" si="9"/>
        <v>0</v>
      </c>
      <c r="P31" s="16">
        <f t="shared" si="9"/>
        <v>0</v>
      </c>
    </row>
    <row r="32" spans="1:16" ht="16.5" customHeight="1">
      <c r="A32" s="13" t="str">
        <f t="shared" si="2"/>
        <v>9.</v>
      </c>
      <c r="B32" s="13" t="str">
        <f t="shared" si="2"/>
        <v>PUBLIC STREET &amp; HIGHWAY LIGHTING</v>
      </c>
      <c r="C32" s="13"/>
      <c r="D32" s="16">
        <f t="shared" ref="D32:P32" si="10">IF(ISERR(D47/12/D16),0,D47/12/D16)</f>
        <v>0</v>
      </c>
      <c r="E32" s="16">
        <f t="shared" si="10"/>
        <v>0</v>
      </c>
      <c r="F32" s="16">
        <f t="shared" si="10"/>
        <v>0</v>
      </c>
      <c r="G32" s="16">
        <f t="shared" si="10"/>
        <v>0</v>
      </c>
      <c r="H32" s="16">
        <f t="shared" si="10"/>
        <v>0</v>
      </c>
      <c r="I32" s="16">
        <f t="shared" si="10"/>
        <v>0</v>
      </c>
      <c r="J32" s="16">
        <f t="shared" si="10"/>
        <v>0</v>
      </c>
      <c r="K32" s="16">
        <f t="shared" si="10"/>
        <v>0</v>
      </c>
      <c r="L32" s="16">
        <f t="shared" si="10"/>
        <v>0</v>
      </c>
      <c r="M32" s="16">
        <f t="shared" si="10"/>
        <v>0</v>
      </c>
      <c r="N32" s="16">
        <f t="shared" si="10"/>
        <v>0</v>
      </c>
      <c r="O32" s="16">
        <f t="shared" si="10"/>
        <v>0</v>
      </c>
      <c r="P32" s="16">
        <f t="shared" si="10"/>
        <v>0</v>
      </c>
    </row>
    <row r="33" spans="1:16" ht="16.5" customHeight="1">
      <c r="A33" s="13" t="str">
        <f t="shared" si="2"/>
        <v>10</v>
      </c>
      <c r="B33" s="13" t="str">
        <f t="shared" si="2"/>
        <v>PUBLIC BUILDING &amp; OTHER PUBLIC AUTH.</v>
      </c>
      <c r="C33" s="13"/>
      <c r="D33" s="16">
        <f t="shared" ref="D33:P33" si="11">IF(ISERR(D48/12/D17),0,D48/12/D17)</f>
        <v>0</v>
      </c>
      <c r="E33" s="16">
        <f t="shared" si="11"/>
        <v>0</v>
      </c>
      <c r="F33" s="16">
        <f t="shared" si="11"/>
        <v>0</v>
      </c>
      <c r="G33" s="16">
        <f t="shared" si="11"/>
        <v>0</v>
      </c>
      <c r="H33" s="16">
        <f t="shared" si="11"/>
        <v>0</v>
      </c>
      <c r="I33" s="16">
        <f t="shared" si="11"/>
        <v>0</v>
      </c>
      <c r="J33" s="16">
        <f t="shared" si="11"/>
        <v>0</v>
      </c>
      <c r="K33" s="16">
        <f t="shared" si="11"/>
        <v>0</v>
      </c>
      <c r="L33" s="16">
        <f t="shared" si="11"/>
        <v>0</v>
      </c>
      <c r="M33" s="16">
        <f t="shared" si="11"/>
        <v>0</v>
      </c>
      <c r="N33" s="16">
        <f t="shared" si="11"/>
        <v>0</v>
      </c>
      <c r="O33" s="16">
        <f t="shared" si="11"/>
        <v>0</v>
      </c>
      <c r="P33" s="16">
        <f t="shared" si="11"/>
        <v>0</v>
      </c>
    </row>
    <row r="34" spans="1:16" ht="16.5" customHeight="1">
      <c r="A34" s="13" t="str">
        <f t="shared" si="2"/>
        <v>11.</v>
      </c>
      <c r="B34" s="13" t="str">
        <f t="shared" si="2"/>
        <v>SALES FOR RESALE - RUS BORROWERS</v>
      </c>
      <c r="C34" s="13"/>
      <c r="D34" s="16">
        <f t="shared" ref="D34:P34" si="12">IF(ISERR(D49/12/D18),0,D49/12/D18)</f>
        <v>0</v>
      </c>
      <c r="E34" s="16">
        <f t="shared" si="12"/>
        <v>0</v>
      </c>
      <c r="F34" s="16">
        <f t="shared" si="12"/>
        <v>0</v>
      </c>
      <c r="G34" s="16">
        <f t="shared" si="12"/>
        <v>0</v>
      </c>
      <c r="H34" s="16">
        <f t="shared" si="12"/>
        <v>0</v>
      </c>
      <c r="I34" s="16">
        <f t="shared" si="12"/>
        <v>0</v>
      </c>
      <c r="J34" s="16">
        <f t="shared" si="12"/>
        <v>0</v>
      </c>
      <c r="K34" s="16">
        <f t="shared" si="12"/>
        <v>0</v>
      </c>
      <c r="L34" s="16">
        <f t="shared" si="12"/>
        <v>0</v>
      </c>
      <c r="M34" s="16">
        <f t="shared" si="12"/>
        <v>0</v>
      </c>
      <c r="N34" s="16">
        <f t="shared" si="12"/>
        <v>0</v>
      </c>
      <c r="O34" s="16">
        <f t="shared" si="12"/>
        <v>0</v>
      </c>
      <c r="P34" s="16">
        <f t="shared" si="12"/>
        <v>0</v>
      </c>
    </row>
    <row r="35" spans="1:16" ht="16.5" customHeight="1">
      <c r="A35" s="13" t="str">
        <f t="shared" si="2"/>
        <v>12.</v>
      </c>
      <c r="B35" s="13" t="str">
        <f t="shared" si="2"/>
        <v>SALES FOR RESALE - OTHER</v>
      </c>
      <c r="C35" s="13"/>
      <c r="D35" s="16">
        <f t="shared" ref="D35:P35" si="13">IF(ISERR(D50/12/D19),0,D50/12/D19)</f>
        <v>0</v>
      </c>
      <c r="E35" s="16">
        <f t="shared" si="13"/>
        <v>0</v>
      </c>
      <c r="F35" s="16">
        <f t="shared" si="13"/>
        <v>0</v>
      </c>
      <c r="G35" s="16">
        <f t="shared" si="13"/>
        <v>0</v>
      </c>
      <c r="H35" s="16">
        <f t="shared" si="13"/>
        <v>0</v>
      </c>
      <c r="I35" s="16">
        <f t="shared" si="13"/>
        <v>0</v>
      </c>
      <c r="J35" s="16">
        <f t="shared" si="13"/>
        <v>0</v>
      </c>
      <c r="K35" s="16">
        <f t="shared" si="13"/>
        <v>0</v>
      </c>
      <c r="L35" s="16">
        <f t="shared" si="13"/>
        <v>0</v>
      </c>
      <c r="M35" s="16">
        <f t="shared" si="13"/>
        <v>0</v>
      </c>
      <c r="N35" s="16">
        <f t="shared" si="13"/>
        <v>0</v>
      </c>
      <c r="O35" s="16">
        <f t="shared" si="13"/>
        <v>0</v>
      </c>
      <c r="P35" s="16">
        <f t="shared" si="13"/>
        <v>0</v>
      </c>
    </row>
    <row r="36" spans="1:16" ht="16.5" customHeight="1">
      <c r="A36" s="13" t="str">
        <f t="shared" si="2"/>
        <v>13.</v>
      </c>
      <c r="B36" s="13" t="str">
        <f t="shared" si="2"/>
        <v>OTHER - 1</v>
      </c>
      <c r="C36" s="13"/>
      <c r="D36" s="16">
        <f t="shared" ref="D36:P36" si="14">IF(ISERR(D51/12/D20),0,D51/12/D20)</f>
        <v>0</v>
      </c>
      <c r="E36" s="16">
        <f t="shared" si="14"/>
        <v>0</v>
      </c>
      <c r="F36" s="16">
        <f t="shared" si="14"/>
        <v>0</v>
      </c>
      <c r="G36" s="16">
        <f t="shared" si="14"/>
        <v>0</v>
      </c>
      <c r="H36" s="16">
        <f t="shared" si="14"/>
        <v>0</v>
      </c>
      <c r="I36" s="16">
        <f t="shared" si="14"/>
        <v>0</v>
      </c>
      <c r="J36" s="16">
        <f t="shared" si="14"/>
        <v>0</v>
      </c>
      <c r="K36" s="16">
        <f t="shared" si="14"/>
        <v>0</v>
      </c>
      <c r="L36" s="16">
        <f t="shared" si="14"/>
        <v>0</v>
      </c>
      <c r="M36" s="16">
        <f t="shared" si="14"/>
        <v>0</v>
      </c>
      <c r="N36" s="16">
        <f t="shared" si="14"/>
        <v>0</v>
      </c>
      <c r="O36" s="16">
        <f t="shared" si="14"/>
        <v>0</v>
      </c>
      <c r="P36" s="16">
        <f t="shared" si="14"/>
        <v>0</v>
      </c>
    </row>
    <row r="37" spans="1:16" ht="16.5" customHeight="1">
      <c r="A37" s="13"/>
      <c r="B37" s="13"/>
      <c r="C37" s="13"/>
      <c r="D37" s="13"/>
      <c r="E37" s="13"/>
      <c r="F37" s="13"/>
      <c r="G37" s="13"/>
      <c r="H37" s="13"/>
      <c r="I37" s="13"/>
      <c r="J37" s="13"/>
      <c r="K37" s="13"/>
      <c r="L37" s="13"/>
      <c r="M37" s="13"/>
      <c r="N37" s="13"/>
      <c r="O37" s="13"/>
      <c r="P37" s="13"/>
    </row>
    <row r="38" spans="1:16" ht="16.5" customHeight="1">
      <c r="A38" s="14" t="s">
        <v>55</v>
      </c>
      <c r="B38" s="13"/>
      <c r="C38" s="13"/>
      <c r="D38" s="13"/>
      <c r="E38" s="13"/>
      <c r="F38" s="13"/>
      <c r="G38" s="13"/>
      <c r="H38" s="13"/>
      <c r="I38" s="13"/>
      <c r="J38" s="13"/>
      <c r="K38" s="13"/>
      <c r="L38" s="13"/>
      <c r="M38" s="13"/>
      <c r="N38" s="13"/>
      <c r="O38" s="13"/>
      <c r="P38" s="13"/>
    </row>
    <row r="39" spans="1:16" ht="16.5" customHeight="1">
      <c r="A39" s="13" t="str">
        <f t="shared" ref="A39:B51" si="15">A8</f>
        <v>1.</v>
      </c>
      <c r="B39" s="13" t="str">
        <f t="shared" si="15"/>
        <v>RESIDENTIAL</v>
      </c>
      <c r="C39" s="13"/>
      <c r="D39" s="214">
        <v>0</v>
      </c>
      <c r="E39" s="214">
        <v>0</v>
      </c>
      <c r="F39" s="214">
        <v>0</v>
      </c>
      <c r="G39" s="215">
        <v>0</v>
      </c>
      <c r="H39" s="215">
        <v>0</v>
      </c>
      <c r="I39" s="215">
        <v>0</v>
      </c>
      <c r="J39" s="215">
        <v>0</v>
      </c>
      <c r="K39" s="215">
        <v>0</v>
      </c>
      <c r="L39" s="215">
        <v>0</v>
      </c>
      <c r="M39" s="215">
        <v>0</v>
      </c>
      <c r="N39" s="215">
        <v>0</v>
      </c>
      <c r="O39" s="215">
        <v>0</v>
      </c>
      <c r="P39" s="215">
        <v>0</v>
      </c>
    </row>
    <row r="40" spans="1:16" ht="16.5" customHeight="1">
      <c r="A40" s="13" t="str">
        <f t="shared" si="15"/>
        <v>2.</v>
      </c>
      <c r="B40" s="13" t="str">
        <f t="shared" si="15"/>
        <v>RESIDENTIAL SEASONAL</v>
      </c>
      <c r="C40" s="13"/>
      <c r="D40" s="214">
        <v>0</v>
      </c>
      <c r="E40" s="214">
        <v>0</v>
      </c>
      <c r="F40" s="214">
        <v>0</v>
      </c>
      <c r="G40" s="215">
        <v>0</v>
      </c>
      <c r="H40" s="215">
        <v>0</v>
      </c>
      <c r="I40" s="215">
        <v>0</v>
      </c>
      <c r="J40" s="215">
        <v>0</v>
      </c>
      <c r="K40" s="215">
        <v>0</v>
      </c>
      <c r="L40" s="215">
        <v>0</v>
      </c>
      <c r="M40" s="215">
        <v>0</v>
      </c>
      <c r="N40" s="215">
        <v>0</v>
      </c>
      <c r="O40" s="215">
        <v>0</v>
      </c>
      <c r="P40" s="215">
        <v>0</v>
      </c>
    </row>
    <row r="41" spans="1:16" ht="16.5" customHeight="1">
      <c r="A41" s="13" t="str">
        <f t="shared" si="15"/>
        <v>3.</v>
      </c>
      <c r="B41" s="13" t="str">
        <f t="shared" si="15"/>
        <v>IRRIGATION</v>
      </c>
      <c r="C41" s="13"/>
      <c r="D41" s="214">
        <v>0</v>
      </c>
      <c r="E41" s="214">
        <v>0</v>
      </c>
      <c r="F41" s="214">
        <v>0</v>
      </c>
      <c r="G41" s="215">
        <v>0</v>
      </c>
      <c r="H41" s="215">
        <v>0</v>
      </c>
      <c r="I41" s="215">
        <v>0</v>
      </c>
      <c r="J41" s="215">
        <v>0</v>
      </c>
      <c r="K41" s="215">
        <v>0</v>
      </c>
      <c r="L41" s="215">
        <v>0</v>
      </c>
      <c r="M41" s="215">
        <v>0</v>
      </c>
      <c r="N41" s="215">
        <v>0</v>
      </c>
      <c r="O41" s="215">
        <v>0</v>
      </c>
      <c r="P41" s="215">
        <v>0</v>
      </c>
    </row>
    <row r="42" spans="1:16" ht="16.5" customHeight="1">
      <c r="A42" s="13" t="str">
        <f t="shared" si="15"/>
        <v>4.</v>
      </c>
      <c r="B42" s="13" t="str">
        <f t="shared" si="15"/>
        <v>COMMERCIAL:  1000 KVA OR LESS</v>
      </c>
      <c r="C42" s="13"/>
      <c r="D42" s="214">
        <v>0</v>
      </c>
      <c r="E42" s="214">
        <v>0</v>
      </c>
      <c r="F42" s="214">
        <v>0</v>
      </c>
      <c r="G42" s="215">
        <v>0</v>
      </c>
      <c r="H42" s="215">
        <v>0</v>
      </c>
      <c r="I42" s="215">
        <v>0</v>
      </c>
      <c r="J42" s="215">
        <v>0</v>
      </c>
      <c r="K42" s="215">
        <v>0</v>
      </c>
      <c r="L42" s="215">
        <v>0</v>
      </c>
      <c r="M42" s="215">
        <v>0</v>
      </c>
      <c r="N42" s="215">
        <v>0</v>
      </c>
      <c r="O42" s="215">
        <v>0</v>
      </c>
      <c r="P42" s="215">
        <v>0</v>
      </c>
    </row>
    <row r="43" spans="1:16" ht="16.5" customHeight="1">
      <c r="A43" s="13" t="str">
        <f t="shared" si="15"/>
        <v>5.</v>
      </c>
      <c r="B43" s="13" t="str">
        <f t="shared" si="15"/>
        <v xml:space="preserve">COMMERCIAL:  OVER 1000 KVA </v>
      </c>
      <c r="C43" s="13"/>
      <c r="D43" s="214">
        <v>0</v>
      </c>
      <c r="E43" s="214">
        <v>0</v>
      </c>
      <c r="F43" s="214">
        <v>0</v>
      </c>
      <c r="G43" s="215">
        <v>0</v>
      </c>
      <c r="H43" s="215">
        <v>0</v>
      </c>
      <c r="I43" s="215">
        <v>0</v>
      </c>
      <c r="J43" s="215">
        <v>0</v>
      </c>
      <c r="K43" s="215">
        <v>0</v>
      </c>
      <c r="L43" s="215">
        <v>0</v>
      </c>
      <c r="M43" s="215">
        <v>0</v>
      </c>
      <c r="N43" s="215">
        <v>0</v>
      </c>
      <c r="O43" s="215">
        <v>0</v>
      </c>
      <c r="P43" s="215">
        <v>0</v>
      </c>
    </row>
    <row r="44" spans="1:16" ht="16.5" customHeight="1">
      <c r="A44" s="13" t="str">
        <f t="shared" si="15"/>
        <v>6.</v>
      </c>
      <c r="B44" s="13" t="str">
        <f t="shared" si="15"/>
        <v>COMMERCIAL:</v>
      </c>
      <c r="C44" s="13"/>
      <c r="D44" s="8">
        <v>0</v>
      </c>
      <c r="E44" s="8">
        <v>0</v>
      </c>
      <c r="F44" s="8">
        <v>0</v>
      </c>
      <c r="G44" s="215">
        <v>0</v>
      </c>
      <c r="H44" s="215">
        <v>0</v>
      </c>
      <c r="I44" s="215">
        <v>0</v>
      </c>
      <c r="J44" s="215">
        <v>0</v>
      </c>
      <c r="K44" s="215">
        <v>0</v>
      </c>
      <c r="L44" s="215">
        <v>0</v>
      </c>
      <c r="M44" s="215">
        <v>0</v>
      </c>
      <c r="N44" s="215">
        <v>0</v>
      </c>
      <c r="O44" s="215">
        <v>0</v>
      </c>
      <c r="P44" s="215">
        <v>0</v>
      </c>
    </row>
    <row r="45" spans="1:16" ht="16.5" customHeight="1">
      <c r="A45" s="13" t="str">
        <f t="shared" si="15"/>
        <v>7.</v>
      </c>
      <c r="B45" s="13" t="str">
        <f t="shared" si="15"/>
        <v>COMMERCIAL:</v>
      </c>
      <c r="C45" s="13"/>
      <c r="D45" s="8">
        <v>0</v>
      </c>
      <c r="E45" s="8">
        <v>0</v>
      </c>
      <c r="F45" s="8">
        <v>0</v>
      </c>
      <c r="G45" s="215">
        <v>0</v>
      </c>
      <c r="H45" s="215">
        <v>0</v>
      </c>
      <c r="I45" s="215">
        <v>0</v>
      </c>
      <c r="J45" s="215">
        <v>0</v>
      </c>
      <c r="K45" s="215">
        <v>0</v>
      </c>
      <c r="L45" s="215">
        <v>0</v>
      </c>
      <c r="M45" s="215">
        <v>0</v>
      </c>
      <c r="N45" s="215">
        <v>0</v>
      </c>
      <c r="O45" s="215">
        <v>0</v>
      </c>
      <c r="P45" s="215">
        <v>0</v>
      </c>
    </row>
    <row r="46" spans="1:16" ht="16.5" customHeight="1">
      <c r="A46" s="13" t="str">
        <f t="shared" si="15"/>
        <v>8.</v>
      </c>
      <c r="B46" s="13" t="str">
        <f t="shared" si="15"/>
        <v>COMMERCIAL:</v>
      </c>
      <c r="C46" s="13"/>
      <c r="D46" s="8">
        <v>0</v>
      </c>
      <c r="E46" s="8">
        <v>0</v>
      </c>
      <c r="F46" s="8">
        <v>0</v>
      </c>
      <c r="G46" s="215">
        <v>0</v>
      </c>
      <c r="H46" s="215">
        <v>0</v>
      </c>
      <c r="I46" s="215">
        <v>0</v>
      </c>
      <c r="J46" s="215">
        <v>0</v>
      </c>
      <c r="K46" s="215">
        <v>0</v>
      </c>
      <c r="L46" s="215">
        <v>0</v>
      </c>
      <c r="M46" s="215">
        <v>0</v>
      </c>
      <c r="N46" s="215">
        <v>0</v>
      </c>
      <c r="O46" s="215">
        <v>0</v>
      </c>
      <c r="P46" s="215">
        <v>0</v>
      </c>
    </row>
    <row r="47" spans="1:16" ht="16.5" customHeight="1">
      <c r="A47" s="13" t="str">
        <f t="shared" si="15"/>
        <v>9.</v>
      </c>
      <c r="B47" s="13" t="str">
        <f t="shared" si="15"/>
        <v>PUBLIC STREET &amp; HIGHWAY LIGHTING</v>
      </c>
      <c r="C47" s="13"/>
      <c r="D47" s="214">
        <v>0</v>
      </c>
      <c r="E47" s="214">
        <v>0</v>
      </c>
      <c r="F47" s="214">
        <v>0</v>
      </c>
      <c r="G47" s="215">
        <v>0</v>
      </c>
      <c r="H47" s="215">
        <v>0</v>
      </c>
      <c r="I47" s="215">
        <v>0</v>
      </c>
      <c r="J47" s="215">
        <v>0</v>
      </c>
      <c r="K47" s="215">
        <v>0</v>
      </c>
      <c r="L47" s="215">
        <v>0</v>
      </c>
      <c r="M47" s="215">
        <v>0</v>
      </c>
      <c r="N47" s="215">
        <v>0</v>
      </c>
      <c r="O47" s="215">
        <v>0</v>
      </c>
      <c r="P47" s="215">
        <v>0</v>
      </c>
    </row>
    <row r="48" spans="1:16" ht="16.5" customHeight="1">
      <c r="A48" s="13" t="str">
        <f t="shared" si="15"/>
        <v>10</v>
      </c>
      <c r="B48" s="13" t="str">
        <f t="shared" si="15"/>
        <v>PUBLIC BUILDING &amp; OTHER PUBLIC AUTH.</v>
      </c>
      <c r="C48" s="13"/>
      <c r="D48" s="214">
        <v>0</v>
      </c>
      <c r="E48" s="214">
        <v>0</v>
      </c>
      <c r="F48" s="214">
        <v>0</v>
      </c>
      <c r="G48" s="215">
        <v>0</v>
      </c>
      <c r="H48" s="215">
        <v>0</v>
      </c>
      <c r="I48" s="215">
        <v>0</v>
      </c>
      <c r="J48" s="215">
        <v>0</v>
      </c>
      <c r="K48" s="215">
        <v>0</v>
      </c>
      <c r="L48" s="215">
        <v>0</v>
      </c>
      <c r="M48" s="215">
        <v>0</v>
      </c>
      <c r="N48" s="215">
        <v>0</v>
      </c>
      <c r="O48" s="215">
        <v>0</v>
      </c>
      <c r="P48" s="215">
        <v>0</v>
      </c>
    </row>
    <row r="49" spans="1:16" ht="16.5" customHeight="1">
      <c r="A49" s="13" t="str">
        <f t="shared" si="15"/>
        <v>11.</v>
      </c>
      <c r="B49" s="13" t="str">
        <f t="shared" si="15"/>
        <v>SALES FOR RESALE - RUS BORROWERS</v>
      </c>
      <c r="C49" s="13"/>
      <c r="D49" s="214">
        <v>0</v>
      </c>
      <c r="E49" s="214">
        <v>0</v>
      </c>
      <c r="F49" s="214">
        <v>0</v>
      </c>
      <c r="G49" s="215">
        <v>0</v>
      </c>
      <c r="H49" s="215">
        <v>0</v>
      </c>
      <c r="I49" s="215">
        <v>0</v>
      </c>
      <c r="J49" s="215">
        <v>0</v>
      </c>
      <c r="K49" s="215">
        <v>0</v>
      </c>
      <c r="L49" s="215">
        <v>0</v>
      </c>
      <c r="M49" s="215">
        <v>0</v>
      </c>
      <c r="N49" s="215">
        <v>0</v>
      </c>
      <c r="O49" s="215">
        <v>0</v>
      </c>
      <c r="P49" s="215">
        <v>0</v>
      </c>
    </row>
    <row r="50" spans="1:16" ht="16.5" customHeight="1">
      <c r="A50" s="13" t="str">
        <f t="shared" si="15"/>
        <v>12.</v>
      </c>
      <c r="B50" s="13" t="str">
        <f t="shared" si="15"/>
        <v>SALES FOR RESALE - OTHER</v>
      </c>
      <c r="C50" s="13"/>
      <c r="D50" s="214">
        <v>0</v>
      </c>
      <c r="E50" s="214">
        <v>0</v>
      </c>
      <c r="F50" s="214">
        <v>0</v>
      </c>
      <c r="G50" s="215">
        <v>0</v>
      </c>
      <c r="H50" s="215">
        <v>0</v>
      </c>
      <c r="I50" s="215">
        <v>0</v>
      </c>
      <c r="J50" s="215">
        <v>0</v>
      </c>
      <c r="K50" s="215">
        <v>0</v>
      </c>
      <c r="L50" s="215">
        <v>0</v>
      </c>
      <c r="M50" s="215">
        <v>0</v>
      </c>
      <c r="N50" s="215">
        <v>0</v>
      </c>
      <c r="O50" s="215">
        <v>0</v>
      </c>
      <c r="P50" s="215">
        <v>0</v>
      </c>
    </row>
    <row r="51" spans="1:16" ht="16.5" customHeight="1">
      <c r="A51" s="13" t="str">
        <f t="shared" si="15"/>
        <v>13.</v>
      </c>
      <c r="B51" s="13" t="str">
        <f t="shared" si="15"/>
        <v>OTHER - 1</v>
      </c>
      <c r="C51" s="13"/>
      <c r="D51" s="8">
        <v>0</v>
      </c>
      <c r="E51" s="8">
        <v>0</v>
      </c>
      <c r="F51" s="8">
        <v>0</v>
      </c>
      <c r="G51" s="215">
        <v>0</v>
      </c>
      <c r="H51" s="215">
        <v>0</v>
      </c>
      <c r="I51" s="215">
        <v>0</v>
      </c>
      <c r="J51" s="215">
        <v>0</v>
      </c>
      <c r="K51" s="215">
        <v>0</v>
      </c>
      <c r="L51" s="215">
        <v>0</v>
      </c>
      <c r="M51" s="215">
        <v>0</v>
      </c>
      <c r="N51" s="215">
        <v>0</v>
      </c>
      <c r="O51" s="215">
        <v>0</v>
      </c>
      <c r="P51" s="215">
        <v>0</v>
      </c>
    </row>
    <row r="52" spans="1:16" ht="16.5" customHeight="1">
      <c r="A52" s="13"/>
      <c r="B52" s="13"/>
      <c r="C52" s="13"/>
      <c r="D52" s="13"/>
      <c r="E52" s="13"/>
      <c r="F52" s="13"/>
      <c r="G52" s="13"/>
      <c r="H52" s="13"/>
      <c r="I52" s="13"/>
      <c r="J52" s="13"/>
      <c r="K52" s="13"/>
      <c r="L52" s="13"/>
      <c r="M52" s="13"/>
      <c r="N52" s="13"/>
      <c r="O52" s="13"/>
      <c r="P52" s="13"/>
    </row>
    <row r="53" spans="1:16" ht="16.5" customHeight="1">
      <c r="A53" s="14" t="s">
        <v>56</v>
      </c>
      <c r="B53" s="13"/>
      <c r="C53" s="13"/>
      <c r="D53" s="13"/>
      <c r="E53" s="13"/>
      <c r="F53" s="13"/>
      <c r="G53" s="13"/>
      <c r="H53" s="13"/>
      <c r="I53" s="13"/>
      <c r="J53" s="13"/>
      <c r="K53" s="13"/>
      <c r="L53" s="13"/>
      <c r="M53" s="13"/>
      <c r="N53" s="13"/>
      <c r="O53" s="13"/>
      <c r="P53" s="13"/>
    </row>
    <row r="54" spans="1:16" ht="16.5" customHeight="1">
      <c r="A54" s="14" t="s">
        <v>57</v>
      </c>
      <c r="B54" s="13"/>
      <c r="C54" s="13"/>
      <c r="D54" s="16">
        <f t="shared" ref="D54:P54" si="16">SUM(D39:D51)</f>
        <v>0</v>
      </c>
      <c r="E54" s="16">
        <f t="shared" si="16"/>
        <v>0</v>
      </c>
      <c r="F54" s="16">
        <f t="shared" si="16"/>
        <v>0</v>
      </c>
      <c r="G54" s="16">
        <f t="shared" si="16"/>
        <v>0</v>
      </c>
      <c r="H54" s="16">
        <f t="shared" si="16"/>
        <v>0</v>
      </c>
      <c r="I54" s="16">
        <f t="shared" si="16"/>
        <v>0</v>
      </c>
      <c r="J54" s="16">
        <f t="shared" si="16"/>
        <v>0</v>
      </c>
      <c r="K54" s="16">
        <f t="shared" si="16"/>
        <v>0</v>
      </c>
      <c r="L54" s="16">
        <f t="shared" si="16"/>
        <v>0</v>
      </c>
      <c r="M54" s="16">
        <f t="shared" si="16"/>
        <v>0</v>
      </c>
      <c r="N54" s="16">
        <f t="shared" si="16"/>
        <v>0</v>
      </c>
      <c r="O54" s="16">
        <f t="shared" si="16"/>
        <v>0</v>
      </c>
      <c r="P54" s="16">
        <f t="shared" si="16"/>
        <v>0</v>
      </c>
    </row>
    <row r="55" spans="1:16" ht="16.5" customHeight="1">
      <c r="A55" s="14" t="s">
        <v>58</v>
      </c>
      <c r="B55" s="13"/>
      <c r="C55" s="13"/>
      <c r="D55" s="8">
        <v>0</v>
      </c>
      <c r="E55" s="8">
        <v>0</v>
      </c>
      <c r="F55" s="8">
        <v>0</v>
      </c>
      <c r="G55" s="8">
        <v>0</v>
      </c>
      <c r="H55" s="8">
        <v>0</v>
      </c>
      <c r="I55" s="8">
        <v>0</v>
      </c>
      <c r="J55" s="8">
        <v>0</v>
      </c>
      <c r="K55" s="8">
        <v>0</v>
      </c>
      <c r="L55" s="8">
        <v>0</v>
      </c>
      <c r="M55" s="8">
        <v>0</v>
      </c>
      <c r="N55" s="8">
        <v>0</v>
      </c>
      <c r="O55" s="8">
        <v>0</v>
      </c>
      <c r="P55" s="8">
        <v>0</v>
      </c>
    </row>
    <row r="56" spans="1:16" ht="16.5" customHeight="1">
      <c r="A56" s="14" t="s">
        <v>856</v>
      </c>
      <c r="B56" s="13"/>
      <c r="C56" s="13"/>
      <c r="D56" s="8">
        <v>0</v>
      </c>
      <c r="E56" s="8">
        <v>0</v>
      </c>
      <c r="F56" s="8">
        <v>0</v>
      </c>
      <c r="G56" s="8">
        <v>0</v>
      </c>
      <c r="H56" s="8">
        <v>0</v>
      </c>
      <c r="I56" s="8">
        <v>0</v>
      </c>
      <c r="J56" s="8">
        <v>0</v>
      </c>
      <c r="K56" s="8">
        <v>0</v>
      </c>
      <c r="L56" s="8">
        <v>0</v>
      </c>
      <c r="M56" s="8">
        <v>0</v>
      </c>
      <c r="N56" s="8">
        <v>0</v>
      </c>
      <c r="O56" s="8">
        <v>0</v>
      </c>
      <c r="P56" s="8">
        <v>0</v>
      </c>
    </row>
    <row r="57" spans="1:16" ht="16.5" customHeight="1">
      <c r="A57" s="14" t="s">
        <v>59</v>
      </c>
      <c r="B57" s="13"/>
      <c r="C57" s="13"/>
      <c r="D57" s="214">
        <v>0</v>
      </c>
      <c r="E57" s="214">
        <v>0</v>
      </c>
      <c r="F57" s="214">
        <v>0</v>
      </c>
      <c r="G57" s="215">
        <v>0</v>
      </c>
      <c r="H57" s="215">
        <v>0</v>
      </c>
      <c r="I57" s="215">
        <v>0</v>
      </c>
      <c r="J57" s="215">
        <v>0</v>
      </c>
      <c r="K57" s="215">
        <v>0</v>
      </c>
      <c r="L57" s="215">
        <v>0</v>
      </c>
      <c r="M57" s="215">
        <v>0</v>
      </c>
      <c r="N57" s="215">
        <v>0</v>
      </c>
      <c r="O57" s="215">
        <v>0</v>
      </c>
      <c r="P57" s="215">
        <v>0</v>
      </c>
    </row>
    <row r="58" spans="1:16" ht="16.5" customHeight="1">
      <c r="A58" s="14" t="s">
        <v>60</v>
      </c>
      <c r="B58" s="13"/>
      <c r="C58" s="13"/>
      <c r="D58" s="13"/>
      <c r="E58" s="13"/>
      <c r="F58" s="13"/>
      <c r="G58" s="13"/>
      <c r="H58" s="13"/>
      <c r="I58" s="13"/>
      <c r="J58" s="13"/>
      <c r="K58" s="13"/>
      <c r="L58" s="13"/>
      <c r="M58" s="13"/>
      <c r="N58" s="13"/>
      <c r="O58" s="13"/>
      <c r="P58" s="13"/>
    </row>
    <row r="59" spans="1:16" ht="16.5" customHeight="1">
      <c r="A59" s="14" t="s">
        <v>61</v>
      </c>
      <c r="B59" s="13"/>
      <c r="C59" s="13"/>
      <c r="D59" s="92" t="e">
        <f>D60/(D61-D55)</f>
        <v>#DIV/0!</v>
      </c>
      <c r="E59" s="92" t="e">
        <f>E60/(E61-E55)</f>
        <v>#DIV/0!</v>
      </c>
      <c r="F59" s="92" t="e">
        <f>F60/(F61-F55)</f>
        <v>#DIV/0!</v>
      </c>
      <c r="G59" s="216">
        <v>0.08</v>
      </c>
      <c r="H59" s="216">
        <v>0.08</v>
      </c>
      <c r="I59" s="216">
        <v>0.08</v>
      </c>
      <c r="J59" s="216">
        <v>0.08</v>
      </c>
      <c r="K59" s="216">
        <v>0.08</v>
      </c>
      <c r="L59" s="216">
        <v>0.08</v>
      </c>
      <c r="M59" s="216">
        <v>0.08</v>
      </c>
      <c r="N59" s="216">
        <v>0.08</v>
      </c>
      <c r="O59" s="216">
        <v>0.08</v>
      </c>
      <c r="P59" s="216">
        <f>O59</f>
        <v>0.08</v>
      </c>
    </row>
    <row r="60" spans="1:16" ht="16.5" customHeight="1">
      <c r="A60" s="14" t="s">
        <v>62</v>
      </c>
      <c r="B60" s="13"/>
      <c r="C60" s="13"/>
      <c r="D60" s="16">
        <f>D61+D56-D54-D57</f>
        <v>0</v>
      </c>
      <c r="E60" s="16">
        <f t="shared" ref="E60:P60" si="17">E61+E56-E54-E57</f>
        <v>0</v>
      </c>
      <c r="F60" s="16">
        <f t="shared" si="17"/>
        <v>0</v>
      </c>
      <c r="G60" s="16">
        <f t="shared" si="17"/>
        <v>0</v>
      </c>
      <c r="H60" s="16">
        <f t="shared" si="17"/>
        <v>0</v>
      </c>
      <c r="I60" s="16">
        <f t="shared" si="17"/>
        <v>0</v>
      </c>
      <c r="J60" s="16">
        <f t="shared" si="17"/>
        <v>0</v>
      </c>
      <c r="K60" s="16">
        <f t="shared" si="17"/>
        <v>0</v>
      </c>
      <c r="L60" s="16">
        <f t="shared" si="17"/>
        <v>0</v>
      </c>
      <c r="M60" s="16">
        <f t="shared" si="17"/>
        <v>0</v>
      </c>
      <c r="N60" s="16">
        <f t="shared" si="17"/>
        <v>0</v>
      </c>
      <c r="O60" s="16">
        <f t="shared" si="17"/>
        <v>0</v>
      </c>
      <c r="P60" s="16">
        <f t="shared" si="17"/>
        <v>0</v>
      </c>
    </row>
    <row r="61" spans="1:16" ht="16.5" customHeight="1">
      <c r="A61" s="14" t="s">
        <v>63</v>
      </c>
      <c r="B61" s="13"/>
      <c r="C61" s="13"/>
      <c r="D61" s="214">
        <v>0</v>
      </c>
      <c r="E61" s="214">
        <v>0</v>
      </c>
      <c r="F61" s="214">
        <v>0</v>
      </c>
      <c r="G61" s="227">
        <f>(G54-G55-G56+G57)/(1-G59)+G55</f>
        <v>0</v>
      </c>
      <c r="H61" s="227">
        <f t="shared" ref="H61:P61" si="18">(H54-H55-H56+H57)/(1-H59)+H55</f>
        <v>0</v>
      </c>
      <c r="I61" s="227">
        <f t="shared" si="18"/>
        <v>0</v>
      </c>
      <c r="J61" s="227">
        <f t="shared" si="18"/>
        <v>0</v>
      </c>
      <c r="K61" s="227">
        <f t="shared" si="18"/>
        <v>0</v>
      </c>
      <c r="L61" s="227">
        <f t="shared" si="18"/>
        <v>0</v>
      </c>
      <c r="M61" s="227">
        <f t="shared" si="18"/>
        <v>0</v>
      </c>
      <c r="N61" s="227">
        <f t="shared" si="18"/>
        <v>0</v>
      </c>
      <c r="O61" s="227">
        <f t="shared" si="18"/>
        <v>0</v>
      </c>
      <c r="P61" s="227">
        <f t="shared" si="18"/>
        <v>0</v>
      </c>
    </row>
    <row r="62" spans="1:16" ht="16.5" customHeight="1">
      <c r="A62" s="13"/>
      <c r="B62" s="13"/>
      <c r="C62" s="13"/>
      <c r="D62" s="13"/>
      <c r="E62" s="13"/>
      <c r="F62" s="13"/>
      <c r="G62" s="13"/>
      <c r="H62" s="13"/>
      <c r="I62" s="13"/>
      <c r="J62" s="13"/>
      <c r="K62" s="13"/>
      <c r="L62" s="13"/>
      <c r="M62" s="13"/>
      <c r="N62" s="13"/>
      <c r="O62" s="13"/>
      <c r="P62" s="13"/>
    </row>
  </sheetData>
  <mergeCells count="2">
    <mergeCell ref="E3:F3"/>
    <mergeCell ref="I3:J3"/>
  </mergeCells>
  <phoneticPr fontId="0" type="noConversion"/>
  <pageMargins left="0.5" right="0.37" top="0.4" bottom="0.26" header="0.42" footer="0.26"/>
  <pageSetup scale="54" orientation="landscape"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T167"/>
  <sheetViews>
    <sheetView showGridLines="0" zoomScale="72" zoomScaleNormal="72" zoomScaleSheetLayoutView="75" workbookViewId="0">
      <pane xSplit="3" ySplit="6" topLeftCell="D7" activePane="bottomRight" state="frozen"/>
      <selection pane="topRight" activeCell="D1" sqref="D1"/>
      <selection pane="bottomLeft" activeCell="A7" sqref="A7"/>
      <selection pane="bottomRight" activeCell="IM7" sqref="IM7"/>
    </sheetView>
  </sheetViews>
  <sheetFormatPr defaultRowHeight="12.5" zeroHeight="1"/>
  <cols>
    <col min="1" max="1" width="5.7265625" customWidth="1"/>
    <col min="2" max="2" width="14.54296875" customWidth="1"/>
    <col min="3" max="3" width="36" customWidth="1"/>
    <col min="4" max="6" width="14.54296875" customWidth="1"/>
    <col min="7" max="7" width="18" bestFit="1" customWidth="1"/>
    <col min="8" max="16" width="14.54296875" customWidth="1"/>
    <col min="17" max="20" width="14.54296875" hidden="1" customWidth="1"/>
    <col min="21" max="243" width="0" hidden="1" customWidth="1"/>
  </cols>
  <sheetData>
    <row r="1" spans="1:18" ht="16.5" customHeight="1">
      <c r="A1" s="13"/>
      <c r="B1" s="13"/>
      <c r="C1" s="13"/>
      <c r="D1" s="13"/>
      <c r="E1" s="13"/>
      <c r="F1" s="14" t="s">
        <v>42</v>
      </c>
      <c r="G1" s="13"/>
      <c r="H1" s="14" t="s">
        <v>112</v>
      </c>
      <c r="I1" s="13"/>
      <c r="J1" s="13"/>
      <c r="K1" s="13"/>
      <c r="L1" s="13"/>
      <c r="M1" s="13"/>
      <c r="N1" s="13"/>
      <c r="O1" s="13"/>
      <c r="P1" s="14" t="s">
        <v>113</v>
      </c>
      <c r="Q1" s="13"/>
      <c r="R1" s="13"/>
    </row>
    <row r="2" spans="1:18" ht="16.5" customHeight="1">
      <c r="A2" s="13"/>
      <c r="B2" s="13"/>
      <c r="C2" s="17" t="s">
        <v>114</v>
      </c>
      <c r="D2" s="13"/>
      <c r="E2" s="13"/>
      <c r="F2" s="13"/>
      <c r="G2" s="13"/>
      <c r="H2" s="13"/>
      <c r="I2" s="13"/>
      <c r="J2" s="13"/>
      <c r="K2" s="13"/>
      <c r="L2" s="13"/>
      <c r="M2" s="13"/>
      <c r="N2" s="13"/>
      <c r="O2" s="13"/>
      <c r="P2" s="13"/>
      <c r="Q2" s="13"/>
      <c r="R2" s="13"/>
    </row>
    <row r="3" spans="1:18" ht="16.5" customHeight="1">
      <c r="A3" s="13"/>
      <c r="B3" s="13"/>
      <c r="C3" s="17" t="s">
        <v>115</v>
      </c>
      <c r="D3" s="18" t="s">
        <v>44</v>
      </c>
      <c r="E3" s="260" t="s">
        <v>688</v>
      </c>
      <c r="F3" s="260"/>
      <c r="G3" s="18" t="s">
        <v>44</v>
      </c>
      <c r="H3" s="18"/>
      <c r="I3" s="260" t="s">
        <v>45</v>
      </c>
      <c r="J3" s="260"/>
      <c r="K3" s="18" t="s">
        <v>44</v>
      </c>
      <c r="L3" s="18"/>
      <c r="M3" s="18"/>
      <c r="N3" s="18"/>
      <c r="O3" s="18"/>
      <c r="P3" s="18"/>
      <c r="Q3" s="13"/>
      <c r="R3" s="13"/>
    </row>
    <row r="4" spans="1:18" ht="16.5" customHeight="1">
      <c r="A4" s="13"/>
      <c r="B4" s="13"/>
      <c r="C4" s="17" t="s">
        <v>116</v>
      </c>
      <c r="D4" s="13"/>
      <c r="E4" s="13"/>
      <c r="F4" s="13"/>
      <c r="G4" s="13"/>
      <c r="H4" s="13"/>
      <c r="I4" s="13"/>
      <c r="J4" s="13"/>
      <c r="K4" s="13"/>
      <c r="L4" s="13"/>
      <c r="M4" s="13"/>
      <c r="N4" s="13"/>
      <c r="O4" s="13"/>
      <c r="P4" s="13"/>
      <c r="Q4" s="13"/>
      <c r="R4" s="13"/>
    </row>
    <row r="5" spans="1:18" ht="16.5" customHeight="1">
      <c r="A5" s="13"/>
      <c r="B5" s="13"/>
      <c r="C5" s="17" t="s">
        <v>117</v>
      </c>
      <c r="D5" s="15">
        <f>E5-1</f>
        <v>2021</v>
      </c>
      <c r="E5" s="15">
        <f>F5-1</f>
        <v>2022</v>
      </c>
      <c r="F5" s="15">
        <f>G5-1</f>
        <v>2023</v>
      </c>
      <c r="G5" s="15">
        <f>Input!G8</f>
        <v>2024</v>
      </c>
      <c r="H5" s="15">
        <f t="shared" ref="H5:P5" si="0">G5+1</f>
        <v>2025</v>
      </c>
      <c r="I5" s="15">
        <f t="shared" si="0"/>
        <v>2026</v>
      </c>
      <c r="J5" s="15">
        <f t="shared" si="0"/>
        <v>2027</v>
      </c>
      <c r="K5" s="15">
        <f t="shared" si="0"/>
        <v>2028</v>
      </c>
      <c r="L5" s="15">
        <f t="shared" si="0"/>
        <v>2029</v>
      </c>
      <c r="M5" s="15">
        <f t="shared" si="0"/>
        <v>2030</v>
      </c>
      <c r="N5" s="15">
        <f t="shared" si="0"/>
        <v>2031</v>
      </c>
      <c r="O5" s="15">
        <f t="shared" si="0"/>
        <v>2032</v>
      </c>
      <c r="P5" s="15">
        <f t="shared" si="0"/>
        <v>2033</v>
      </c>
      <c r="Q5" s="13"/>
      <c r="R5" s="15"/>
    </row>
    <row r="6" spans="1:18" ht="16.5" customHeight="1">
      <c r="A6" s="13"/>
      <c r="B6" s="13"/>
      <c r="C6" s="63" t="s">
        <v>363</v>
      </c>
      <c r="D6" s="15" t="s">
        <v>46</v>
      </c>
      <c r="E6" s="15" t="s">
        <v>46</v>
      </c>
      <c r="F6" s="15" t="s">
        <v>46</v>
      </c>
      <c r="G6" s="15" t="s">
        <v>46</v>
      </c>
      <c r="H6" s="15" t="s">
        <v>46</v>
      </c>
      <c r="I6" s="15" t="s">
        <v>46</v>
      </c>
      <c r="J6" s="15" t="s">
        <v>46</v>
      </c>
      <c r="K6" s="15" t="s">
        <v>46</v>
      </c>
      <c r="L6" s="15" t="s">
        <v>46</v>
      </c>
      <c r="M6" s="15" t="s">
        <v>46</v>
      </c>
      <c r="N6" s="15" t="s">
        <v>46</v>
      </c>
      <c r="O6" s="15" t="s">
        <v>46</v>
      </c>
      <c r="P6" s="15" t="s">
        <v>46</v>
      </c>
      <c r="Q6" s="13"/>
      <c r="R6" s="14"/>
    </row>
    <row r="7" spans="1:18" ht="16.5" customHeight="1">
      <c r="A7" s="13"/>
      <c r="B7" s="13"/>
      <c r="C7" s="17"/>
      <c r="D7" s="13"/>
      <c r="E7" s="13"/>
      <c r="F7" s="13"/>
      <c r="G7" s="13"/>
      <c r="H7" s="13"/>
      <c r="I7" s="13"/>
      <c r="J7" s="13"/>
      <c r="K7" s="13"/>
      <c r="L7" s="13"/>
      <c r="M7" s="13"/>
      <c r="N7" s="13"/>
      <c r="O7" s="13"/>
      <c r="P7" s="13"/>
      <c r="Q7" s="13"/>
      <c r="R7" s="13"/>
    </row>
    <row r="8" spans="1:18" ht="16.5" customHeight="1">
      <c r="A8" s="14" t="s">
        <v>118</v>
      </c>
      <c r="B8" s="13" t="str">
        <f>'e - Sales'!B8</f>
        <v>RESIDENTIAL</v>
      </c>
      <c r="C8" s="13"/>
      <c r="D8" s="13"/>
      <c r="E8" s="13"/>
      <c r="F8" s="13"/>
      <c r="G8" s="13"/>
      <c r="H8" s="13"/>
      <c r="I8" s="13"/>
      <c r="J8" s="13"/>
      <c r="K8" s="13"/>
      <c r="L8" s="13"/>
      <c r="M8" s="13"/>
      <c r="N8" s="13"/>
      <c r="O8" s="13"/>
      <c r="P8" s="13"/>
      <c r="Q8" s="13"/>
      <c r="R8" s="13"/>
    </row>
    <row r="9" spans="1:18" ht="16.5" customHeight="1">
      <c r="A9" s="14" t="s">
        <v>119</v>
      </c>
      <c r="B9" s="13"/>
      <c r="C9" s="13"/>
      <c r="D9" s="16">
        <f>'e - Sales'!D39</f>
        <v>0</v>
      </c>
      <c r="E9" s="16">
        <f>'e - Sales'!E39</f>
        <v>0</v>
      </c>
      <c r="F9" s="16">
        <f>'e - Sales'!F39</f>
        <v>0</v>
      </c>
      <c r="G9" s="16">
        <f>'e - Sales'!G39</f>
        <v>0</v>
      </c>
      <c r="H9" s="16">
        <f>'e - Sales'!H39</f>
        <v>0</v>
      </c>
      <c r="I9" s="16">
        <f>'e - Sales'!I39</f>
        <v>0</v>
      </c>
      <c r="J9" s="16">
        <f>'e - Sales'!J39</f>
        <v>0</v>
      </c>
      <c r="K9" s="16">
        <f>'e - Sales'!K39</f>
        <v>0</v>
      </c>
      <c r="L9" s="16">
        <f>'e - Sales'!L39</f>
        <v>0</v>
      </c>
      <c r="M9" s="16">
        <f>'e - Sales'!M39</f>
        <v>0</v>
      </c>
      <c r="N9" s="16">
        <f>'e - Sales'!N39</f>
        <v>0</v>
      </c>
      <c r="O9" s="16">
        <f>'e - Sales'!O39</f>
        <v>0</v>
      </c>
      <c r="P9" s="16">
        <f>'e - Sales'!P39</f>
        <v>0</v>
      </c>
      <c r="Q9" s="13"/>
      <c r="R9" s="14"/>
    </row>
    <row r="10" spans="1:18" ht="16.5" customHeight="1">
      <c r="A10" s="14" t="s">
        <v>120</v>
      </c>
      <c r="B10" s="13"/>
      <c r="C10" s="13"/>
      <c r="D10" s="19">
        <f>IF(ISERR((D13-(D11*D12*12))/D9),0,((D13-(D11*D12*12))/D9))</f>
        <v>0</v>
      </c>
      <c r="E10" s="19">
        <f>IF(ISERR((E13-(E11*E12*12))/E9),0,((E13-(E11*E12*12))/E9))</f>
        <v>0</v>
      </c>
      <c r="F10" s="19">
        <f>IF(ISERR((F13-(F11*F12*12))/F9),0,((F13-(F11*F12*12))/F9))</f>
        <v>0</v>
      </c>
      <c r="G10" s="9">
        <v>0</v>
      </c>
      <c r="H10" s="9">
        <v>0</v>
      </c>
      <c r="I10" s="9">
        <v>0</v>
      </c>
      <c r="J10" s="9">
        <v>0</v>
      </c>
      <c r="K10" s="9">
        <v>0</v>
      </c>
      <c r="L10" s="9">
        <v>0</v>
      </c>
      <c r="M10" s="9">
        <v>0</v>
      </c>
      <c r="N10" s="9">
        <v>0</v>
      </c>
      <c r="O10" s="9">
        <v>0</v>
      </c>
      <c r="P10" s="9">
        <v>0</v>
      </c>
      <c r="Q10" s="13"/>
      <c r="R10" s="14"/>
    </row>
    <row r="11" spans="1:18" ht="16.5" customHeight="1">
      <c r="A11" s="14" t="s">
        <v>121</v>
      </c>
      <c r="B11" s="13"/>
      <c r="C11" s="13"/>
      <c r="D11" s="7">
        <v>0</v>
      </c>
      <c r="E11" s="7">
        <v>0</v>
      </c>
      <c r="F11" s="7">
        <v>0</v>
      </c>
      <c r="G11" s="7">
        <v>0</v>
      </c>
      <c r="H11" s="7">
        <v>0</v>
      </c>
      <c r="I11" s="7">
        <v>0</v>
      </c>
      <c r="J11" s="7">
        <v>0</v>
      </c>
      <c r="K11" s="7">
        <v>0</v>
      </c>
      <c r="L11" s="7">
        <v>0</v>
      </c>
      <c r="M11" s="7">
        <v>0</v>
      </c>
      <c r="N11" s="7">
        <v>0</v>
      </c>
      <c r="O11" s="7">
        <v>0</v>
      </c>
      <c r="P11" s="7">
        <v>0</v>
      </c>
      <c r="Q11" s="13"/>
      <c r="R11" s="14"/>
    </row>
    <row r="12" spans="1:18" ht="16.5" customHeight="1">
      <c r="A12" s="14" t="s">
        <v>122</v>
      </c>
      <c r="B12" s="13"/>
      <c r="C12" s="13"/>
      <c r="D12" s="16">
        <f>'e - Sales'!D8</f>
        <v>0</v>
      </c>
      <c r="E12" s="16">
        <f>'e - Sales'!E8</f>
        <v>0</v>
      </c>
      <c r="F12" s="16">
        <f>'e - Sales'!F8</f>
        <v>0</v>
      </c>
      <c r="G12" s="16">
        <f>'e - Sales'!G8</f>
        <v>0</v>
      </c>
      <c r="H12" s="16">
        <f>'e - Sales'!H8</f>
        <v>0</v>
      </c>
      <c r="I12" s="16">
        <f>'e - Sales'!I8</f>
        <v>0</v>
      </c>
      <c r="J12" s="16">
        <f>'e - Sales'!J8</f>
        <v>0</v>
      </c>
      <c r="K12" s="16">
        <f>'e - Sales'!K8</f>
        <v>0</v>
      </c>
      <c r="L12" s="16">
        <f>'e - Sales'!L8</f>
        <v>0</v>
      </c>
      <c r="M12" s="16">
        <f>'e - Sales'!M8</f>
        <v>0</v>
      </c>
      <c r="N12" s="16">
        <f>'e - Sales'!N8</f>
        <v>0</v>
      </c>
      <c r="O12" s="16">
        <f>'e - Sales'!O8</f>
        <v>0</v>
      </c>
      <c r="P12" s="16">
        <f>'e - Sales'!P8</f>
        <v>0</v>
      </c>
      <c r="Q12" s="13"/>
      <c r="R12" s="14"/>
    </row>
    <row r="13" spans="1:18" ht="16.5" customHeight="1">
      <c r="A13" s="14" t="s">
        <v>123</v>
      </c>
      <c r="B13" s="13"/>
      <c r="C13" s="13"/>
      <c r="D13" s="16">
        <f>D15-D14</f>
        <v>0</v>
      </c>
      <c r="E13" s="16">
        <f>E15-E14</f>
        <v>0</v>
      </c>
      <c r="F13" s="16">
        <f>F15-F14</f>
        <v>0</v>
      </c>
      <c r="G13" s="16">
        <f t="shared" ref="G13:N13" si="1">ROUND(G9*G10+(G11*G12*12),0)</f>
        <v>0</v>
      </c>
      <c r="H13" s="16">
        <f t="shared" si="1"/>
        <v>0</v>
      </c>
      <c r="I13" s="16">
        <f t="shared" si="1"/>
        <v>0</v>
      </c>
      <c r="J13" s="16">
        <f t="shared" si="1"/>
        <v>0</v>
      </c>
      <c r="K13" s="16">
        <f t="shared" si="1"/>
        <v>0</v>
      </c>
      <c r="L13" s="16">
        <f t="shared" si="1"/>
        <v>0</v>
      </c>
      <c r="M13" s="16">
        <f t="shared" si="1"/>
        <v>0</v>
      </c>
      <c r="N13" s="16">
        <f t="shared" si="1"/>
        <v>0</v>
      </c>
      <c r="O13" s="16">
        <f t="shared" ref="O13:P13" si="2">ROUND(O9*O10+(O11*O12*12),0)</f>
        <v>0</v>
      </c>
      <c r="P13" s="16">
        <f t="shared" si="2"/>
        <v>0</v>
      </c>
      <c r="Q13" s="13"/>
      <c r="R13" s="14"/>
    </row>
    <row r="14" spans="1:18" ht="16.5" customHeight="1">
      <c r="A14" s="14" t="s">
        <v>124</v>
      </c>
      <c r="B14" s="13"/>
      <c r="C14" s="13"/>
      <c r="D14" s="16">
        <f>CHOOSE($C16+1,0,D$156,D$159,D$156+D$159)*D9</f>
        <v>0</v>
      </c>
      <c r="E14" s="16">
        <f>CHOOSE($C16+1,0,E$156,E$159,E$156+E$159)*E9</f>
        <v>0</v>
      </c>
      <c r="F14" s="16">
        <f>CHOOSE($C16+1,0,F$156,F$159,F$156+F$159)*F9</f>
        <v>0</v>
      </c>
      <c r="G14" s="16">
        <f t="shared" ref="G14:O14" si="3">CHOOSE($C16+1,0,G$156,G$159,G$156+G$159)*G9</f>
        <v>0</v>
      </c>
      <c r="H14" s="16">
        <f t="shared" si="3"/>
        <v>0</v>
      </c>
      <c r="I14" s="16">
        <f t="shared" si="3"/>
        <v>0</v>
      </c>
      <c r="J14" s="16">
        <f t="shared" si="3"/>
        <v>0</v>
      </c>
      <c r="K14" s="16">
        <f t="shared" si="3"/>
        <v>0</v>
      </c>
      <c r="L14" s="16">
        <f t="shared" si="3"/>
        <v>0</v>
      </c>
      <c r="M14" s="16">
        <f t="shared" si="3"/>
        <v>0</v>
      </c>
      <c r="N14" s="16">
        <f t="shared" si="3"/>
        <v>0</v>
      </c>
      <c r="O14" s="16">
        <f t="shared" si="3"/>
        <v>0</v>
      </c>
      <c r="P14" s="16">
        <f t="shared" ref="P14" si="4">CHOOSE($C16+1,0,P$156,P$159,P$156+P$159)*P9</f>
        <v>0</v>
      </c>
      <c r="Q14" s="13"/>
      <c r="R14" s="14"/>
    </row>
    <row r="15" spans="1:18" ht="16.5" customHeight="1">
      <c r="A15" s="14" t="s">
        <v>125</v>
      </c>
      <c r="B15" s="13"/>
      <c r="C15" s="13"/>
      <c r="D15" s="214">
        <v>0</v>
      </c>
      <c r="E15" s="214">
        <v>0</v>
      </c>
      <c r="F15" s="214">
        <v>0</v>
      </c>
      <c r="G15" s="16">
        <f t="shared" ref="G15:N15" si="5">G13+G14</f>
        <v>0</v>
      </c>
      <c r="H15" s="16">
        <f t="shared" si="5"/>
        <v>0</v>
      </c>
      <c r="I15" s="16">
        <f t="shared" si="5"/>
        <v>0</v>
      </c>
      <c r="J15" s="16">
        <f t="shared" si="5"/>
        <v>0</v>
      </c>
      <c r="K15" s="16">
        <f t="shared" si="5"/>
        <v>0</v>
      </c>
      <c r="L15" s="16">
        <f t="shared" si="5"/>
        <v>0</v>
      </c>
      <c r="M15" s="16">
        <f t="shared" si="5"/>
        <v>0</v>
      </c>
      <c r="N15" s="16">
        <f t="shared" si="5"/>
        <v>0</v>
      </c>
      <c r="O15" s="16">
        <f t="shared" ref="O15:P15" si="6">O13+O14</f>
        <v>0</v>
      </c>
      <c r="P15" s="16">
        <f t="shared" si="6"/>
        <v>0</v>
      </c>
      <c r="Q15" s="13"/>
      <c r="R15" s="14"/>
    </row>
    <row r="16" spans="1:18" ht="16.5" customHeight="1">
      <c r="A16" s="13"/>
      <c r="B16" s="13"/>
      <c r="C16" s="35">
        <v>3</v>
      </c>
      <c r="D16" s="13"/>
      <c r="E16" s="13"/>
      <c r="F16" s="13"/>
      <c r="G16" s="13"/>
      <c r="H16" s="13"/>
      <c r="I16" s="13"/>
      <c r="J16" s="13"/>
      <c r="K16" s="13"/>
      <c r="L16" s="13"/>
      <c r="M16" s="13"/>
      <c r="N16" s="13"/>
      <c r="O16" s="13"/>
      <c r="P16" s="13"/>
      <c r="Q16" s="13"/>
      <c r="R16" s="13"/>
    </row>
    <row r="17" spans="1:18" ht="16.5" customHeight="1">
      <c r="A17" s="14" t="s">
        <v>126</v>
      </c>
      <c r="B17" s="13" t="str">
        <f>'e - Sales'!B9</f>
        <v>RESIDENTIAL SEASONAL</v>
      </c>
      <c r="C17" s="13"/>
      <c r="D17" s="13"/>
      <c r="E17" s="13"/>
      <c r="F17" s="13"/>
      <c r="G17" s="13"/>
      <c r="H17" s="13"/>
      <c r="I17" s="13"/>
      <c r="J17" s="13"/>
      <c r="K17" s="13"/>
      <c r="L17" s="13"/>
      <c r="M17" s="13"/>
      <c r="N17" s="13"/>
      <c r="O17" s="13"/>
      <c r="P17" s="13"/>
      <c r="Q17" s="13"/>
      <c r="R17" s="13"/>
    </row>
    <row r="18" spans="1:18" ht="16.5" customHeight="1">
      <c r="A18" s="14" t="s">
        <v>119</v>
      </c>
      <c r="B18" s="13"/>
      <c r="C18" s="13"/>
      <c r="D18" s="16">
        <f>'e - Sales'!D40</f>
        <v>0</v>
      </c>
      <c r="E18" s="16">
        <f>'e - Sales'!E40</f>
        <v>0</v>
      </c>
      <c r="F18" s="16">
        <f>'e - Sales'!F40</f>
        <v>0</v>
      </c>
      <c r="G18" s="16">
        <f>'e - Sales'!G40</f>
        <v>0</v>
      </c>
      <c r="H18" s="16">
        <f>'e - Sales'!H40</f>
        <v>0</v>
      </c>
      <c r="I18" s="16">
        <f>'e - Sales'!I40</f>
        <v>0</v>
      </c>
      <c r="J18" s="16">
        <f>'e - Sales'!J40</f>
        <v>0</v>
      </c>
      <c r="K18" s="16">
        <f>'e - Sales'!K40</f>
        <v>0</v>
      </c>
      <c r="L18" s="16">
        <f>'e - Sales'!L40</f>
        <v>0</v>
      </c>
      <c r="M18" s="16">
        <f>'e - Sales'!M40</f>
        <v>0</v>
      </c>
      <c r="N18" s="16">
        <f>'e - Sales'!N40</f>
        <v>0</v>
      </c>
      <c r="O18" s="16">
        <f>'e - Sales'!O40</f>
        <v>0</v>
      </c>
      <c r="P18" s="16">
        <f>'e - Sales'!P40</f>
        <v>0</v>
      </c>
      <c r="Q18" s="13"/>
      <c r="R18" s="13"/>
    </row>
    <row r="19" spans="1:18" ht="16.5" customHeight="1">
      <c r="A19" s="14" t="s">
        <v>120</v>
      </c>
      <c r="B19" s="13"/>
      <c r="C19" s="13"/>
      <c r="D19" s="19">
        <f>IF(ISERR((D22-(D20*D21*12))/D18),0,((D22-(D20*D21*12))/D18))</f>
        <v>0</v>
      </c>
      <c r="E19" s="19">
        <f>IF(ISERR((E22-(E20*E21*12))/E18),0,((E22-(E20*E21*12))/E18))</f>
        <v>0</v>
      </c>
      <c r="F19" s="19">
        <f>IF(ISERR((F22-(F20*F21*12))/F18),0,((F22-(F20*F21*12))/F18))</f>
        <v>0</v>
      </c>
      <c r="G19" s="9">
        <v>0</v>
      </c>
      <c r="H19" s="9">
        <v>0</v>
      </c>
      <c r="I19" s="9">
        <v>0</v>
      </c>
      <c r="J19" s="9">
        <v>0</v>
      </c>
      <c r="K19" s="9">
        <v>0</v>
      </c>
      <c r="L19" s="9">
        <v>0</v>
      </c>
      <c r="M19" s="9">
        <v>0</v>
      </c>
      <c r="N19" s="9">
        <v>0</v>
      </c>
      <c r="O19" s="9">
        <v>0</v>
      </c>
      <c r="P19" s="9">
        <v>0</v>
      </c>
      <c r="Q19" s="13"/>
      <c r="R19" s="14"/>
    </row>
    <row r="20" spans="1:18" ht="16.5" customHeight="1">
      <c r="A20" s="14" t="s">
        <v>121</v>
      </c>
      <c r="B20" s="13"/>
      <c r="C20" s="13"/>
      <c r="D20" s="7">
        <v>0</v>
      </c>
      <c r="E20" s="7">
        <v>0</v>
      </c>
      <c r="F20" s="7">
        <v>0</v>
      </c>
      <c r="G20" s="7">
        <v>0</v>
      </c>
      <c r="H20" s="7">
        <v>0</v>
      </c>
      <c r="I20" s="7">
        <v>0</v>
      </c>
      <c r="J20" s="7">
        <v>0</v>
      </c>
      <c r="K20" s="7">
        <v>0</v>
      </c>
      <c r="L20" s="7">
        <v>0</v>
      </c>
      <c r="M20" s="7">
        <v>0</v>
      </c>
      <c r="N20" s="7">
        <v>0</v>
      </c>
      <c r="O20" s="7">
        <v>0</v>
      </c>
      <c r="P20" s="7">
        <v>0</v>
      </c>
      <c r="Q20" s="13"/>
      <c r="R20" s="14"/>
    </row>
    <row r="21" spans="1:18" ht="16.5" customHeight="1">
      <c r="A21" s="14" t="s">
        <v>122</v>
      </c>
      <c r="B21" s="13"/>
      <c r="C21" s="13"/>
      <c r="D21" s="16">
        <f>'e - Sales'!D9</f>
        <v>0</v>
      </c>
      <c r="E21" s="16">
        <f>'e - Sales'!E9</f>
        <v>0</v>
      </c>
      <c r="F21" s="16">
        <f>'e - Sales'!F9</f>
        <v>0</v>
      </c>
      <c r="G21" s="16">
        <f>'e - Sales'!G9</f>
        <v>0</v>
      </c>
      <c r="H21" s="16">
        <f>'e - Sales'!H9</f>
        <v>0</v>
      </c>
      <c r="I21" s="16">
        <f>'e - Sales'!I9</f>
        <v>0</v>
      </c>
      <c r="J21" s="16">
        <f>'e - Sales'!J9</f>
        <v>0</v>
      </c>
      <c r="K21" s="16">
        <f>'e - Sales'!K9</f>
        <v>0</v>
      </c>
      <c r="L21" s="16">
        <f>'e - Sales'!L9</f>
        <v>0</v>
      </c>
      <c r="M21" s="16">
        <f>'e - Sales'!M9</f>
        <v>0</v>
      </c>
      <c r="N21" s="16">
        <f>'e - Sales'!N9</f>
        <v>0</v>
      </c>
      <c r="O21" s="16">
        <f>'e - Sales'!O9</f>
        <v>0</v>
      </c>
      <c r="P21" s="16">
        <f>'e - Sales'!P9</f>
        <v>0</v>
      </c>
      <c r="Q21" s="13"/>
      <c r="R21" s="13"/>
    </row>
    <row r="22" spans="1:18" ht="16.5" customHeight="1">
      <c r="A22" s="14" t="s">
        <v>123</v>
      </c>
      <c r="B22" s="13"/>
      <c r="C22" s="13"/>
      <c r="D22" s="16">
        <f>D24-D23</f>
        <v>0</v>
      </c>
      <c r="E22" s="16">
        <f>E24-E23</f>
        <v>0</v>
      </c>
      <c r="F22" s="16">
        <f>F24-F23</f>
        <v>0</v>
      </c>
      <c r="G22" s="16">
        <f t="shared" ref="G22:N22" si="7">ROUND(G18*G19+(G20*G21*12),0)</f>
        <v>0</v>
      </c>
      <c r="H22" s="16">
        <f t="shared" si="7"/>
        <v>0</v>
      </c>
      <c r="I22" s="16">
        <f t="shared" si="7"/>
        <v>0</v>
      </c>
      <c r="J22" s="16">
        <f t="shared" si="7"/>
        <v>0</v>
      </c>
      <c r="K22" s="16">
        <f t="shared" si="7"/>
        <v>0</v>
      </c>
      <c r="L22" s="16">
        <f t="shared" si="7"/>
        <v>0</v>
      </c>
      <c r="M22" s="16">
        <f t="shared" si="7"/>
        <v>0</v>
      </c>
      <c r="N22" s="16">
        <f t="shared" si="7"/>
        <v>0</v>
      </c>
      <c r="O22" s="16">
        <f t="shared" ref="O22:P22" si="8">ROUND(O18*O19+(O20*O21*12),0)</f>
        <v>0</v>
      </c>
      <c r="P22" s="16">
        <f t="shared" si="8"/>
        <v>0</v>
      </c>
      <c r="Q22" s="13"/>
      <c r="R22" s="13"/>
    </row>
    <row r="23" spans="1:18" ht="16.5" customHeight="1">
      <c r="A23" s="14" t="s">
        <v>124</v>
      </c>
      <c r="B23" s="13"/>
      <c r="C23" s="13"/>
      <c r="D23" s="16">
        <f>CHOOSE($C25+1,0,D$156,D$159,D$156+D$159)*D18</f>
        <v>0</v>
      </c>
      <c r="E23" s="16">
        <f>CHOOSE($C25+1,0,E$156,E$159,E$156+E$159)*E18</f>
        <v>0</v>
      </c>
      <c r="F23" s="16">
        <f>CHOOSE($C25+1,0,F$156,F$159,F$156+F$159)*F18</f>
        <v>0</v>
      </c>
      <c r="G23" s="16">
        <f t="shared" ref="G23:O23" si="9">CHOOSE($C25+1,0,G$156,G$159,G$156+G$159)*G18</f>
        <v>0</v>
      </c>
      <c r="H23" s="16">
        <f t="shared" si="9"/>
        <v>0</v>
      </c>
      <c r="I23" s="16">
        <f t="shared" si="9"/>
        <v>0</v>
      </c>
      <c r="J23" s="16">
        <f t="shared" si="9"/>
        <v>0</v>
      </c>
      <c r="K23" s="16">
        <f t="shared" si="9"/>
        <v>0</v>
      </c>
      <c r="L23" s="16">
        <f t="shared" si="9"/>
        <v>0</v>
      </c>
      <c r="M23" s="16">
        <f t="shared" si="9"/>
        <v>0</v>
      </c>
      <c r="N23" s="16">
        <f t="shared" si="9"/>
        <v>0</v>
      </c>
      <c r="O23" s="16">
        <f t="shared" si="9"/>
        <v>0</v>
      </c>
      <c r="P23" s="16">
        <f t="shared" ref="P23" si="10">CHOOSE($C25+1,0,P$156,P$159,P$156+P$159)*P18</f>
        <v>0</v>
      </c>
      <c r="Q23" s="13"/>
      <c r="R23" s="13"/>
    </row>
    <row r="24" spans="1:18" ht="16.5" customHeight="1">
      <c r="A24" s="14" t="s">
        <v>125</v>
      </c>
      <c r="B24" s="13"/>
      <c r="C24" s="13"/>
      <c r="D24" s="214">
        <v>0</v>
      </c>
      <c r="E24" s="214">
        <v>0</v>
      </c>
      <c r="F24" s="214">
        <v>0</v>
      </c>
      <c r="G24" s="16">
        <f t="shared" ref="G24:N24" si="11">G22+G23</f>
        <v>0</v>
      </c>
      <c r="H24" s="16">
        <f t="shared" si="11"/>
        <v>0</v>
      </c>
      <c r="I24" s="16">
        <f t="shared" si="11"/>
        <v>0</v>
      </c>
      <c r="J24" s="16">
        <f t="shared" si="11"/>
        <v>0</v>
      </c>
      <c r="K24" s="16">
        <f t="shared" si="11"/>
        <v>0</v>
      </c>
      <c r="L24" s="16">
        <f t="shared" si="11"/>
        <v>0</v>
      </c>
      <c r="M24" s="16">
        <f t="shared" si="11"/>
        <v>0</v>
      </c>
      <c r="N24" s="16">
        <f t="shared" si="11"/>
        <v>0</v>
      </c>
      <c r="O24" s="16">
        <f t="shared" ref="O24:P24" si="12">O22+O23</f>
        <v>0</v>
      </c>
      <c r="P24" s="16">
        <f t="shared" si="12"/>
        <v>0</v>
      </c>
      <c r="Q24" s="13"/>
      <c r="R24" s="13"/>
    </row>
    <row r="25" spans="1:18" ht="16.5" customHeight="1">
      <c r="A25" s="13"/>
      <c r="B25" s="13"/>
      <c r="C25" s="35">
        <v>3</v>
      </c>
      <c r="D25" s="13"/>
      <c r="E25" s="13"/>
      <c r="F25" s="13"/>
      <c r="G25" s="13"/>
      <c r="H25" s="13"/>
      <c r="I25" s="13"/>
      <c r="J25" s="13"/>
      <c r="K25" s="13"/>
      <c r="L25" s="13"/>
      <c r="M25" s="13"/>
      <c r="N25" s="13"/>
      <c r="O25" s="13"/>
      <c r="P25" s="13"/>
      <c r="Q25" s="13"/>
      <c r="R25" s="13"/>
    </row>
    <row r="26" spans="1:18" ht="16.5" customHeight="1">
      <c r="A26" s="14" t="s">
        <v>127</v>
      </c>
      <c r="B26" s="13" t="str">
        <f>'e - Sales'!B10</f>
        <v>IRRIGATION</v>
      </c>
      <c r="C26" s="13"/>
      <c r="D26" s="13"/>
      <c r="E26" s="13"/>
      <c r="F26" s="13"/>
      <c r="G26" s="13"/>
      <c r="H26" s="13"/>
      <c r="I26" s="13"/>
      <c r="J26" s="13"/>
      <c r="K26" s="13"/>
      <c r="L26" s="13"/>
      <c r="M26" s="13"/>
      <c r="N26" s="13"/>
      <c r="O26" s="13"/>
      <c r="P26" s="13"/>
      <c r="Q26" s="13"/>
      <c r="R26" s="13"/>
    </row>
    <row r="27" spans="1:18" ht="16.5" customHeight="1">
      <c r="A27" s="14" t="s">
        <v>119</v>
      </c>
      <c r="B27" s="13"/>
      <c r="C27" s="13"/>
      <c r="D27" s="16">
        <f>'e - Sales'!D41</f>
        <v>0</v>
      </c>
      <c r="E27" s="16">
        <f>'e - Sales'!E41</f>
        <v>0</v>
      </c>
      <c r="F27" s="16">
        <f>'e - Sales'!F41</f>
        <v>0</v>
      </c>
      <c r="G27" s="16">
        <f>'e - Sales'!G41</f>
        <v>0</v>
      </c>
      <c r="H27" s="16">
        <f>'e - Sales'!H41</f>
        <v>0</v>
      </c>
      <c r="I27" s="16">
        <f>'e - Sales'!I41</f>
        <v>0</v>
      </c>
      <c r="J27" s="16">
        <f>'e - Sales'!J41</f>
        <v>0</v>
      </c>
      <c r="K27" s="16">
        <f>'e - Sales'!K41</f>
        <v>0</v>
      </c>
      <c r="L27" s="16">
        <f>'e - Sales'!L41</f>
        <v>0</v>
      </c>
      <c r="M27" s="16">
        <f>'e - Sales'!M41</f>
        <v>0</v>
      </c>
      <c r="N27" s="16">
        <f>'e - Sales'!N41</f>
        <v>0</v>
      </c>
      <c r="O27" s="16">
        <f>'e - Sales'!O41</f>
        <v>0</v>
      </c>
      <c r="P27" s="16">
        <f>'e - Sales'!P41</f>
        <v>0</v>
      </c>
      <c r="Q27" s="13"/>
      <c r="R27" s="13"/>
    </row>
    <row r="28" spans="1:18" ht="16.5" customHeight="1">
      <c r="A28" s="14" t="s">
        <v>120</v>
      </c>
      <c r="B28" s="13"/>
      <c r="C28" s="13"/>
      <c r="D28" s="19">
        <f>IF(ISERR((D31-(D29*D30*12))/D27),0,((D31-(D29*D30*12))/D27))</f>
        <v>0</v>
      </c>
      <c r="E28" s="19">
        <f>IF(ISERR((E31-(E29*E30*12))/E27),0,((E31-(E29*E30*12))/E27))</f>
        <v>0</v>
      </c>
      <c r="F28" s="19">
        <f>IF(ISERR((F31-(F29*F30*12))/F27),0,((F31-(F29*F30*12))/F27))</f>
        <v>0</v>
      </c>
      <c r="G28" s="9">
        <v>0</v>
      </c>
      <c r="H28" s="9">
        <v>0</v>
      </c>
      <c r="I28" s="9">
        <v>0</v>
      </c>
      <c r="J28" s="9">
        <v>0</v>
      </c>
      <c r="K28" s="9">
        <v>0</v>
      </c>
      <c r="L28" s="9">
        <v>0</v>
      </c>
      <c r="M28" s="9">
        <v>0</v>
      </c>
      <c r="N28" s="9">
        <v>0</v>
      </c>
      <c r="O28" s="9">
        <v>0</v>
      </c>
      <c r="P28" s="9">
        <v>0</v>
      </c>
      <c r="Q28" s="13"/>
      <c r="R28" s="14"/>
    </row>
    <row r="29" spans="1:18" ht="16.5" customHeight="1">
      <c r="A29" s="14" t="s">
        <v>121</v>
      </c>
      <c r="B29" s="13"/>
      <c r="C29" s="13"/>
      <c r="D29" s="7">
        <v>0</v>
      </c>
      <c r="E29" s="7">
        <v>0</v>
      </c>
      <c r="F29" s="7">
        <v>0</v>
      </c>
      <c r="G29" s="7">
        <v>0</v>
      </c>
      <c r="H29" s="7">
        <v>0</v>
      </c>
      <c r="I29" s="7">
        <v>0</v>
      </c>
      <c r="J29" s="7">
        <v>0</v>
      </c>
      <c r="K29" s="7">
        <v>0</v>
      </c>
      <c r="L29" s="7">
        <v>0</v>
      </c>
      <c r="M29" s="7">
        <v>0</v>
      </c>
      <c r="N29" s="7">
        <v>0</v>
      </c>
      <c r="O29" s="7">
        <v>0</v>
      </c>
      <c r="P29" s="7">
        <v>0</v>
      </c>
      <c r="Q29" s="13"/>
      <c r="R29" s="14"/>
    </row>
    <row r="30" spans="1:18" ht="16.5" customHeight="1">
      <c r="A30" s="14" t="s">
        <v>122</v>
      </c>
      <c r="B30" s="13"/>
      <c r="C30" s="13"/>
      <c r="D30" s="16">
        <f>'e - Sales'!D10</f>
        <v>0</v>
      </c>
      <c r="E30" s="16">
        <f>'e - Sales'!E10</f>
        <v>0</v>
      </c>
      <c r="F30" s="16">
        <f>'e - Sales'!F10</f>
        <v>0</v>
      </c>
      <c r="G30" s="16">
        <f>'e - Sales'!G10</f>
        <v>0</v>
      </c>
      <c r="H30" s="16">
        <f>'e - Sales'!H10</f>
        <v>0</v>
      </c>
      <c r="I30" s="16">
        <f>'e - Sales'!I10</f>
        <v>0</v>
      </c>
      <c r="J30" s="16">
        <f>'e - Sales'!J10</f>
        <v>0</v>
      </c>
      <c r="K30" s="16">
        <f>'e - Sales'!K10</f>
        <v>0</v>
      </c>
      <c r="L30" s="16">
        <f>'e - Sales'!L10</f>
        <v>0</v>
      </c>
      <c r="M30" s="16">
        <f>'e - Sales'!M10</f>
        <v>0</v>
      </c>
      <c r="N30" s="16">
        <f>'e - Sales'!N10</f>
        <v>0</v>
      </c>
      <c r="O30" s="16">
        <f>'e - Sales'!O10</f>
        <v>0</v>
      </c>
      <c r="P30" s="16">
        <f>'e - Sales'!P10</f>
        <v>0</v>
      </c>
      <c r="Q30" s="13"/>
      <c r="R30" s="13"/>
    </row>
    <row r="31" spans="1:18" ht="16.5" customHeight="1">
      <c r="A31" s="14" t="s">
        <v>123</v>
      </c>
      <c r="B31" s="13"/>
      <c r="C31" s="13"/>
      <c r="D31" s="16">
        <f>D33-D32</f>
        <v>0</v>
      </c>
      <c r="E31" s="16">
        <f>E33-E32</f>
        <v>0</v>
      </c>
      <c r="F31" s="16">
        <f>F33-F32</f>
        <v>0</v>
      </c>
      <c r="G31" s="16">
        <f t="shared" ref="G31:N31" si="13">ROUND(G27*G28+(G29*G30*12),0)</f>
        <v>0</v>
      </c>
      <c r="H31" s="16">
        <f t="shared" si="13"/>
        <v>0</v>
      </c>
      <c r="I31" s="16">
        <f t="shared" si="13"/>
        <v>0</v>
      </c>
      <c r="J31" s="16">
        <f t="shared" si="13"/>
        <v>0</v>
      </c>
      <c r="K31" s="16">
        <f t="shared" si="13"/>
        <v>0</v>
      </c>
      <c r="L31" s="16">
        <f t="shared" si="13"/>
        <v>0</v>
      </c>
      <c r="M31" s="16">
        <f t="shared" si="13"/>
        <v>0</v>
      </c>
      <c r="N31" s="16">
        <f t="shared" si="13"/>
        <v>0</v>
      </c>
      <c r="O31" s="16">
        <f t="shared" ref="O31:P31" si="14">ROUND(O27*O28+(O29*O30*12),0)</f>
        <v>0</v>
      </c>
      <c r="P31" s="16">
        <f t="shared" si="14"/>
        <v>0</v>
      </c>
      <c r="Q31" s="13"/>
      <c r="R31" s="13"/>
    </row>
    <row r="32" spans="1:18" ht="16.5" customHeight="1">
      <c r="A32" s="14" t="s">
        <v>124</v>
      </c>
      <c r="B32" s="13"/>
      <c r="C32" s="13"/>
      <c r="D32" s="16">
        <f>CHOOSE($C34+1,0,D$156,D$159,D$156+D$159)*D27</f>
        <v>0</v>
      </c>
      <c r="E32" s="16">
        <f>CHOOSE($C34+1,0,E$156,E$159,E$156+E$159)*E27</f>
        <v>0</v>
      </c>
      <c r="F32" s="16">
        <f>CHOOSE($C34+1,0,F$156,F$159,F$156+F$159)*F27</f>
        <v>0</v>
      </c>
      <c r="G32" s="16">
        <f t="shared" ref="G32:O32" si="15">CHOOSE($C34+1,0,G$156,G$159,G$156+G$159)*G27</f>
        <v>0</v>
      </c>
      <c r="H32" s="16">
        <f t="shared" si="15"/>
        <v>0</v>
      </c>
      <c r="I32" s="16">
        <f t="shared" si="15"/>
        <v>0</v>
      </c>
      <c r="J32" s="16">
        <f t="shared" si="15"/>
        <v>0</v>
      </c>
      <c r="K32" s="16">
        <f t="shared" si="15"/>
        <v>0</v>
      </c>
      <c r="L32" s="16">
        <f t="shared" si="15"/>
        <v>0</v>
      </c>
      <c r="M32" s="16">
        <f t="shared" si="15"/>
        <v>0</v>
      </c>
      <c r="N32" s="16">
        <f t="shared" si="15"/>
        <v>0</v>
      </c>
      <c r="O32" s="16">
        <f t="shared" si="15"/>
        <v>0</v>
      </c>
      <c r="P32" s="16">
        <f t="shared" ref="P32" si="16">CHOOSE($C34+1,0,P$156,P$159,P$156+P$159)*P27</f>
        <v>0</v>
      </c>
      <c r="Q32" s="13"/>
      <c r="R32" s="13"/>
    </row>
    <row r="33" spans="1:18" ht="16.5" customHeight="1">
      <c r="A33" s="14" t="s">
        <v>125</v>
      </c>
      <c r="B33" s="13"/>
      <c r="C33" s="13"/>
      <c r="D33" s="214">
        <v>0</v>
      </c>
      <c r="E33" s="214">
        <v>0</v>
      </c>
      <c r="F33" s="214">
        <v>0</v>
      </c>
      <c r="G33" s="16">
        <f t="shared" ref="G33:N33" si="17">G31+G32</f>
        <v>0</v>
      </c>
      <c r="H33" s="16">
        <f t="shared" si="17"/>
        <v>0</v>
      </c>
      <c r="I33" s="16">
        <f t="shared" si="17"/>
        <v>0</v>
      </c>
      <c r="J33" s="16">
        <f t="shared" si="17"/>
        <v>0</v>
      </c>
      <c r="K33" s="16">
        <f t="shared" si="17"/>
        <v>0</v>
      </c>
      <c r="L33" s="16">
        <f t="shared" si="17"/>
        <v>0</v>
      </c>
      <c r="M33" s="16">
        <f t="shared" si="17"/>
        <v>0</v>
      </c>
      <c r="N33" s="16">
        <f t="shared" si="17"/>
        <v>0</v>
      </c>
      <c r="O33" s="16">
        <f t="shared" ref="O33:P33" si="18">O31+O32</f>
        <v>0</v>
      </c>
      <c r="P33" s="16">
        <f t="shared" si="18"/>
        <v>0</v>
      </c>
      <c r="Q33" s="13"/>
      <c r="R33" s="13"/>
    </row>
    <row r="34" spans="1:18" ht="16.5" customHeight="1">
      <c r="A34" s="13"/>
      <c r="B34" s="13"/>
      <c r="C34" s="35">
        <v>3</v>
      </c>
      <c r="D34" s="13"/>
      <c r="E34" s="13"/>
      <c r="F34" s="13"/>
      <c r="G34" s="13"/>
      <c r="H34" s="13"/>
      <c r="I34" s="13"/>
      <c r="J34" s="13"/>
      <c r="K34" s="13"/>
      <c r="L34" s="13"/>
      <c r="M34" s="13"/>
      <c r="N34" s="13"/>
      <c r="O34" s="13"/>
      <c r="P34" s="13"/>
      <c r="Q34" s="13"/>
      <c r="R34" s="13"/>
    </row>
    <row r="35" spans="1:18" ht="16.5" customHeight="1">
      <c r="A35" s="14" t="s">
        <v>128</v>
      </c>
      <c r="B35" s="13" t="str">
        <f>'e - Sales'!B11</f>
        <v>COMMERCIAL:  1000 KVA OR LESS</v>
      </c>
      <c r="C35" s="13"/>
      <c r="D35" s="13"/>
      <c r="E35" s="13"/>
      <c r="F35" s="13"/>
      <c r="G35" s="13"/>
      <c r="H35" s="13"/>
      <c r="I35" s="13"/>
      <c r="J35" s="13"/>
      <c r="K35" s="13"/>
      <c r="L35" s="13"/>
      <c r="M35" s="13"/>
      <c r="N35" s="13"/>
      <c r="O35" s="13"/>
      <c r="P35" s="13"/>
      <c r="Q35" s="13"/>
      <c r="R35" s="13"/>
    </row>
    <row r="36" spans="1:18" ht="16.5" customHeight="1">
      <c r="A36" s="14" t="s">
        <v>119</v>
      </c>
      <c r="B36" s="13"/>
      <c r="C36" s="13"/>
      <c r="D36" s="16">
        <f>'e - Sales'!D42</f>
        <v>0</v>
      </c>
      <c r="E36" s="16">
        <f>'e - Sales'!E42</f>
        <v>0</v>
      </c>
      <c r="F36" s="16">
        <f>'e - Sales'!F42</f>
        <v>0</v>
      </c>
      <c r="G36" s="16">
        <f>'e - Sales'!G42</f>
        <v>0</v>
      </c>
      <c r="H36" s="16">
        <f>'e - Sales'!H42</f>
        <v>0</v>
      </c>
      <c r="I36" s="16">
        <f>'e - Sales'!I42</f>
        <v>0</v>
      </c>
      <c r="J36" s="16">
        <f>'e - Sales'!J42</f>
        <v>0</v>
      </c>
      <c r="K36" s="16">
        <f>'e - Sales'!K42</f>
        <v>0</v>
      </c>
      <c r="L36" s="16">
        <f>'e - Sales'!L42</f>
        <v>0</v>
      </c>
      <c r="M36" s="16">
        <f>'e - Sales'!M42</f>
        <v>0</v>
      </c>
      <c r="N36" s="16">
        <f>'e - Sales'!N42</f>
        <v>0</v>
      </c>
      <c r="O36" s="16">
        <f>'e - Sales'!O42</f>
        <v>0</v>
      </c>
      <c r="P36" s="16">
        <f>'e - Sales'!P42</f>
        <v>0</v>
      </c>
      <c r="Q36" s="13"/>
      <c r="R36" s="13"/>
    </row>
    <row r="37" spans="1:18" ht="16.5" customHeight="1">
      <c r="A37" s="14" t="s">
        <v>120</v>
      </c>
      <c r="B37" s="13"/>
      <c r="C37" s="13"/>
      <c r="D37" s="19">
        <f>IF(ISERR((D40-(D38*D39*12))/D36),0,((D40-(D38*D39*12))/D36))</f>
        <v>0</v>
      </c>
      <c r="E37" s="19">
        <f>IF(ISERR((E40-(E38*E39*12))/E36),0,((E40-(E38*E39*12))/E36))</f>
        <v>0</v>
      </c>
      <c r="F37" s="19">
        <f>IF(ISERR((F40-(F38*F39*12))/F36),0,((F40-(F38*F39*12))/F36))</f>
        <v>0</v>
      </c>
      <c r="G37" s="9">
        <v>0</v>
      </c>
      <c r="H37" s="9">
        <v>0</v>
      </c>
      <c r="I37" s="9">
        <v>0</v>
      </c>
      <c r="J37" s="9">
        <v>0</v>
      </c>
      <c r="K37" s="9">
        <v>0</v>
      </c>
      <c r="L37" s="9">
        <v>0</v>
      </c>
      <c r="M37" s="9">
        <v>0</v>
      </c>
      <c r="N37" s="9">
        <v>0</v>
      </c>
      <c r="O37" s="9">
        <v>0</v>
      </c>
      <c r="P37" s="9">
        <v>0</v>
      </c>
      <c r="Q37" s="13"/>
      <c r="R37" s="14"/>
    </row>
    <row r="38" spans="1:18" ht="16.5" customHeight="1">
      <c r="A38" s="14" t="s">
        <v>121</v>
      </c>
      <c r="B38" s="13"/>
      <c r="C38" s="13"/>
      <c r="D38" s="7">
        <v>0</v>
      </c>
      <c r="E38" s="7">
        <v>0</v>
      </c>
      <c r="F38" s="7">
        <v>0</v>
      </c>
      <c r="G38" s="7">
        <v>0</v>
      </c>
      <c r="H38" s="7">
        <v>0</v>
      </c>
      <c r="I38" s="7">
        <v>0</v>
      </c>
      <c r="J38" s="7">
        <v>0</v>
      </c>
      <c r="K38" s="7">
        <v>0</v>
      </c>
      <c r="L38" s="7">
        <v>0</v>
      </c>
      <c r="M38" s="7">
        <v>0</v>
      </c>
      <c r="N38" s="7">
        <v>0</v>
      </c>
      <c r="O38" s="7">
        <v>0</v>
      </c>
      <c r="P38" s="7">
        <v>0</v>
      </c>
      <c r="Q38" s="13"/>
      <c r="R38" s="14"/>
    </row>
    <row r="39" spans="1:18" ht="16.5" customHeight="1">
      <c r="A39" s="14" t="s">
        <v>122</v>
      </c>
      <c r="B39" s="13"/>
      <c r="C39" s="13"/>
      <c r="D39" s="16">
        <f>'e - Sales'!D11</f>
        <v>0</v>
      </c>
      <c r="E39" s="16">
        <f>'e - Sales'!E11</f>
        <v>0</v>
      </c>
      <c r="F39" s="16">
        <f>'e - Sales'!F11</f>
        <v>0</v>
      </c>
      <c r="G39" s="16">
        <f>'e - Sales'!G11</f>
        <v>0</v>
      </c>
      <c r="H39" s="16">
        <f>'e - Sales'!H11</f>
        <v>0</v>
      </c>
      <c r="I39" s="16">
        <f>'e - Sales'!I11</f>
        <v>0</v>
      </c>
      <c r="J39" s="16">
        <f>'e - Sales'!J11</f>
        <v>0</v>
      </c>
      <c r="K39" s="16">
        <f>'e - Sales'!K11</f>
        <v>0</v>
      </c>
      <c r="L39" s="16">
        <f>'e - Sales'!L11</f>
        <v>0</v>
      </c>
      <c r="M39" s="16">
        <f>'e - Sales'!M11</f>
        <v>0</v>
      </c>
      <c r="N39" s="16">
        <f>'e - Sales'!N11</f>
        <v>0</v>
      </c>
      <c r="O39" s="16">
        <f>'e - Sales'!O11</f>
        <v>0</v>
      </c>
      <c r="P39" s="16">
        <f>'e - Sales'!P11</f>
        <v>0</v>
      </c>
      <c r="Q39" s="13"/>
      <c r="R39" s="13"/>
    </row>
    <row r="40" spans="1:18" ht="16.5" customHeight="1">
      <c r="A40" s="14" t="s">
        <v>123</v>
      </c>
      <c r="B40" s="13"/>
      <c r="C40" s="13"/>
      <c r="D40" s="16">
        <f>D42-D41</f>
        <v>0</v>
      </c>
      <c r="E40" s="16">
        <f>E42-E41</f>
        <v>0</v>
      </c>
      <c r="F40" s="16">
        <f>F42-F41</f>
        <v>0</v>
      </c>
      <c r="G40" s="16">
        <f t="shared" ref="G40:N40" si="19">ROUND(G36*G37+(G38*G39*12),0)</f>
        <v>0</v>
      </c>
      <c r="H40" s="16">
        <f t="shared" si="19"/>
        <v>0</v>
      </c>
      <c r="I40" s="16">
        <f t="shared" si="19"/>
        <v>0</v>
      </c>
      <c r="J40" s="16">
        <f t="shared" si="19"/>
        <v>0</v>
      </c>
      <c r="K40" s="16">
        <f t="shared" si="19"/>
        <v>0</v>
      </c>
      <c r="L40" s="16">
        <f t="shared" si="19"/>
        <v>0</v>
      </c>
      <c r="M40" s="16">
        <f t="shared" si="19"/>
        <v>0</v>
      </c>
      <c r="N40" s="16">
        <f t="shared" si="19"/>
        <v>0</v>
      </c>
      <c r="O40" s="16">
        <f t="shared" ref="O40:P40" si="20">ROUND(O36*O37+(O38*O39*12),0)</f>
        <v>0</v>
      </c>
      <c r="P40" s="16">
        <f t="shared" si="20"/>
        <v>0</v>
      </c>
      <c r="Q40" s="13"/>
      <c r="R40" s="13"/>
    </row>
    <row r="41" spans="1:18" ht="16.5" customHeight="1">
      <c r="A41" s="14" t="s">
        <v>124</v>
      </c>
      <c r="B41" s="13"/>
      <c r="C41" s="13"/>
      <c r="D41" s="16">
        <f>CHOOSE($C43+1,0,D$156,D$159,D$156+D$159)*D36</f>
        <v>0</v>
      </c>
      <c r="E41" s="16">
        <f>CHOOSE($C43+1,0,E$156,E$159,E$156+E$159)*E36</f>
        <v>0</v>
      </c>
      <c r="F41" s="16">
        <f>CHOOSE($C43+1,0,F$156,F$159,F$156+F$159)*F36</f>
        <v>0</v>
      </c>
      <c r="G41" s="16">
        <f t="shared" ref="G41:O41" si="21">CHOOSE($C43+1,0,G$156,G$159,G$156+G$159)*G36</f>
        <v>0</v>
      </c>
      <c r="H41" s="16">
        <f t="shared" si="21"/>
        <v>0</v>
      </c>
      <c r="I41" s="16">
        <f t="shared" si="21"/>
        <v>0</v>
      </c>
      <c r="J41" s="16">
        <f t="shared" si="21"/>
        <v>0</v>
      </c>
      <c r="K41" s="16">
        <f t="shared" si="21"/>
        <v>0</v>
      </c>
      <c r="L41" s="16">
        <f t="shared" si="21"/>
        <v>0</v>
      </c>
      <c r="M41" s="16">
        <f t="shared" si="21"/>
        <v>0</v>
      </c>
      <c r="N41" s="16">
        <f t="shared" si="21"/>
        <v>0</v>
      </c>
      <c r="O41" s="16">
        <f t="shared" si="21"/>
        <v>0</v>
      </c>
      <c r="P41" s="16">
        <f t="shared" ref="P41" si="22">CHOOSE($C43+1,0,P$156,P$159,P$156+P$159)*P36</f>
        <v>0</v>
      </c>
      <c r="Q41" s="13"/>
      <c r="R41" s="13"/>
    </row>
    <row r="42" spans="1:18" ht="16.5" customHeight="1">
      <c r="A42" s="14" t="s">
        <v>125</v>
      </c>
      <c r="B42" s="13"/>
      <c r="C42" s="13"/>
      <c r="D42" s="214">
        <v>0</v>
      </c>
      <c r="E42" s="214">
        <v>0</v>
      </c>
      <c r="F42" s="214">
        <v>0</v>
      </c>
      <c r="G42" s="16">
        <f t="shared" ref="G42:N42" si="23">G40+G41</f>
        <v>0</v>
      </c>
      <c r="H42" s="16">
        <f t="shared" si="23"/>
        <v>0</v>
      </c>
      <c r="I42" s="16">
        <f t="shared" si="23"/>
        <v>0</v>
      </c>
      <c r="J42" s="16">
        <f t="shared" si="23"/>
        <v>0</v>
      </c>
      <c r="K42" s="16">
        <f t="shared" si="23"/>
        <v>0</v>
      </c>
      <c r="L42" s="16">
        <f t="shared" si="23"/>
        <v>0</v>
      </c>
      <c r="M42" s="16">
        <f t="shared" si="23"/>
        <v>0</v>
      </c>
      <c r="N42" s="16">
        <f t="shared" si="23"/>
        <v>0</v>
      </c>
      <c r="O42" s="16">
        <f t="shared" ref="O42:P42" si="24">O40+O41</f>
        <v>0</v>
      </c>
      <c r="P42" s="16">
        <f t="shared" si="24"/>
        <v>0</v>
      </c>
      <c r="Q42" s="13"/>
      <c r="R42" s="13"/>
    </row>
    <row r="43" spans="1:18" ht="16.5" customHeight="1">
      <c r="A43" s="13"/>
      <c r="B43" s="13"/>
      <c r="C43" s="35">
        <v>3</v>
      </c>
      <c r="D43" s="13"/>
      <c r="E43" s="13"/>
      <c r="F43" s="13"/>
      <c r="G43" s="13"/>
      <c r="H43" s="13"/>
      <c r="I43" s="13"/>
      <c r="J43" s="13"/>
      <c r="K43" s="13"/>
      <c r="L43" s="13"/>
      <c r="M43" s="13"/>
      <c r="N43" s="13"/>
      <c r="O43" s="13"/>
      <c r="P43" s="13"/>
      <c r="Q43" s="13"/>
      <c r="R43" s="13"/>
    </row>
    <row r="44" spans="1:18" ht="16.5" customHeight="1">
      <c r="A44" s="14" t="s">
        <v>129</v>
      </c>
      <c r="B44" s="13" t="str">
        <f>'e - Sales'!B12</f>
        <v xml:space="preserve">COMMERCIAL:  OVER 1000 KVA </v>
      </c>
      <c r="C44" s="13"/>
      <c r="D44" s="13"/>
      <c r="E44" s="13"/>
      <c r="F44" s="13"/>
      <c r="G44" s="13"/>
      <c r="H44" s="13"/>
      <c r="I44" s="13"/>
      <c r="J44" s="13"/>
      <c r="K44" s="13"/>
      <c r="L44" s="13"/>
      <c r="M44" s="13"/>
      <c r="N44" s="13"/>
      <c r="O44" s="13"/>
      <c r="P44" s="13"/>
      <c r="Q44" s="13"/>
      <c r="R44" s="13"/>
    </row>
    <row r="45" spans="1:18" ht="16.5" customHeight="1">
      <c r="A45" s="14" t="s">
        <v>119</v>
      </c>
      <c r="B45" s="13"/>
      <c r="C45" s="13"/>
      <c r="D45" s="16">
        <f>'e - Sales'!D43</f>
        <v>0</v>
      </c>
      <c r="E45" s="16">
        <f>'e - Sales'!E43</f>
        <v>0</v>
      </c>
      <c r="F45" s="16">
        <f>'e - Sales'!F43</f>
        <v>0</v>
      </c>
      <c r="G45" s="16">
        <f>'e - Sales'!G43</f>
        <v>0</v>
      </c>
      <c r="H45" s="16">
        <f>'e - Sales'!H43</f>
        <v>0</v>
      </c>
      <c r="I45" s="16">
        <f>'e - Sales'!I43</f>
        <v>0</v>
      </c>
      <c r="J45" s="16">
        <f>'e - Sales'!J43</f>
        <v>0</v>
      </c>
      <c r="K45" s="16">
        <f>'e - Sales'!K43</f>
        <v>0</v>
      </c>
      <c r="L45" s="16">
        <f>'e - Sales'!L43</f>
        <v>0</v>
      </c>
      <c r="M45" s="16">
        <f>'e - Sales'!M43</f>
        <v>0</v>
      </c>
      <c r="N45" s="16">
        <f>'e - Sales'!N43</f>
        <v>0</v>
      </c>
      <c r="O45" s="16">
        <f>'e - Sales'!O43</f>
        <v>0</v>
      </c>
      <c r="P45" s="16">
        <f>'e - Sales'!P43</f>
        <v>0</v>
      </c>
      <c r="Q45" s="13"/>
      <c r="R45" s="13"/>
    </row>
    <row r="46" spans="1:18" ht="16.5" customHeight="1">
      <c r="A46" s="14" t="s">
        <v>120</v>
      </c>
      <c r="B46" s="13"/>
      <c r="C46" s="13"/>
      <c r="D46" s="19">
        <f>IF(ISERR((D49-(D47*D48*12))/D45),0,((D49-(D47*D48*12))/D45))</f>
        <v>0</v>
      </c>
      <c r="E46" s="19">
        <f>IF(ISERR((E49-(E47*E48*12))/E45),0,((E49-(E47*E48*12))/E45))</f>
        <v>0</v>
      </c>
      <c r="F46" s="19">
        <f>IF(ISERR((F49-(F47*F48*12))/F45),0,((F49-(F47*F48*12))/F45))</f>
        <v>0</v>
      </c>
      <c r="G46" s="9">
        <v>0</v>
      </c>
      <c r="H46" s="9">
        <v>0</v>
      </c>
      <c r="I46" s="9">
        <v>0</v>
      </c>
      <c r="J46" s="9">
        <v>0</v>
      </c>
      <c r="K46" s="9">
        <v>0</v>
      </c>
      <c r="L46" s="9">
        <v>0</v>
      </c>
      <c r="M46" s="9">
        <v>0</v>
      </c>
      <c r="N46" s="9">
        <v>0</v>
      </c>
      <c r="O46" s="9">
        <v>0</v>
      </c>
      <c r="P46" s="9">
        <v>0</v>
      </c>
      <c r="Q46" s="13"/>
      <c r="R46" s="14"/>
    </row>
    <row r="47" spans="1:18" ht="16.5" customHeight="1">
      <c r="A47" s="14" t="s">
        <v>121</v>
      </c>
      <c r="B47" s="13"/>
      <c r="C47" s="13"/>
      <c r="D47" s="7">
        <v>0</v>
      </c>
      <c r="E47" s="7">
        <v>0</v>
      </c>
      <c r="F47" s="7">
        <v>0</v>
      </c>
      <c r="G47" s="7">
        <v>0</v>
      </c>
      <c r="H47" s="7">
        <v>0</v>
      </c>
      <c r="I47" s="7">
        <v>0</v>
      </c>
      <c r="J47" s="7">
        <v>0</v>
      </c>
      <c r="K47" s="7">
        <v>0</v>
      </c>
      <c r="L47" s="7">
        <v>0</v>
      </c>
      <c r="M47" s="7">
        <v>0</v>
      </c>
      <c r="N47" s="7">
        <v>0</v>
      </c>
      <c r="O47" s="7">
        <v>0</v>
      </c>
      <c r="P47" s="7">
        <v>0</v>
      </c>
      <c r="Q47" s="13"/>
      <c r="R47" s="14"/>
    </row>
    <row r="48" spans="1:18" ht="16.5" customHeight="1">
      <c r="A48" s="14" t="s">
        <v>122</v>
      </c>
      <c r="B48" s="13"/>
      <c r="C48" s="13"/>
      <c r="D48" s="16">
        <f>'e - Sales'!D12</f>
        <v>0</v>
      </c>
      <c r="E48" s="16">
        <f>'e - Sales'!E12</f>
        <v>0</v>
      </c>
      <c r="F48" s="16">
        <f>'e - Sales'!F12</f>
        <v>0</v>
      </c>
      <c r="G48" s="16">
        <f>'e - Sales'!G12</f>
        <v>0</v>
      </c>
      <c r="H48" s="16">
        <f>'e - Sales'!H12</f>
        <v>0</v>
      </c>
      <c r="I48" s="16">
        <f>'e - Sales'!I12</f>
        <v>0</v>
      </c>
      <c r="J48" s="16">
        <f>'e - Sales'!J12</f>
        <v>0</v>
      </c>
      <c r="K48" s="16">
        <f>'e - Sales'!K12</f>
        <v>0</v>
      </c>
      <c r="L48" s="16">
        <f>'e - Sales'!L12</f>
        <v>0</v>
      </c>
      <c r="M48" s="16">
        <f>'e - Sales'!M12</f>
        <v>0</v>
      </c>
      <c r="N48" s="16">
        <f>'e - Sales'!N12</f>
        <v>0</v>
      </c>
      <c r="O48" s="16">
        <f>'e - Sales'!O12</f>
        <v>0</v>
      </c>
      <c r="P48" s="16">
        <f>'e - Sales'!P12</f>
        <v>0</v>
      </c>
      <c r="Q48" s="13"/>
      <c r="R48" s="13"/>
    </row>
    <row r="49" spans="1:18" ht="16.5" customHeight="1">
      <c r="A49" s="14" t="s">
        <v>123</v>
      </c>
      <c r="B49" s="13"/>
      <c r="C49" s="13"/>
      <c r="D49" s="16">
        <f>D51-D50</f>
        <v>0</v>
      </c>
      <c r="E49" s="16">
        <f>E51-E50</f>
        <v>0</v>
      </c>
      <c r="F49" s="16">
        <f>F51-F50</f>
        <v>0</v>
      </c>
      <c r="G49" s="16">
        <f t="shared" ref="G49:N49" si="25">ROUND(G45*G46+(G47*G48*12),0)</f>
        <v>0</v>
      </c>
      <c r="H49" s="16">
        <f t="shared" si="25"/>
        <v>0</v>
      </c>
      <c r="I49" s="16">
        <f t="shared" si="25"/>
        <v>0</v>
      </c>
      <c r="J49" s="16">
        <f t="shared" si="25"/>
        <v>0</v>
      </c>
      <c r="K49" s="16">
        <f t="shared" si="25"/>
        <v>0</v>
      </c>
      <c r="L49" s="16">
        <f t="shared" si="25"/>
        <v>0</v>
      </c>
      <c r="M49" s="16">
        <f t="shared" si="25"/>
        <v>0</v>
      </c>
      <c r="N49" s="16">
        <f t="shared" si="25"/>
        <v>0</v>
      </c>
      <c r="O49" s="16">
        <f t="shared" ref="O49:P49" si="26">ROUND(O45*O46+(O47*O48*12),0)</f>
        <v>0</v>
      </c>
      <c r="P49" s="16">
        <f t="shared" si="26"/>
        <v>0</v>
      </c>
      <c r="Q49" s="13"/>
      <c r="R49" s="13"/>
    </row>
    <row r="50" spans="1:18" ht="16.5" customHeight="1">
      <c r="A50" s="14" t="s">
        <v>124</v>
      </c>
      <c r="B50" s="13"/>
      <c r="C50" s="13"/>
      <c r="D50" s="16">
        <f>CHOOSE($C52+1,0,D$156,D$159,D$156+D$159)*D45</f>
        <v>0</v>
      </c>
      <c r="E50" s="16">
        <f>CHOOSE($C52+1,0,E$156,E$159,E$156+E$159)*E45</f>
        <v>0</v>
      </c>
      <c r="F50" s="16">
        <f>CHOOSE($C52+1,0,F$156,F$159,F$156+F$159)*F45</f>
        <v>0</v>
      </c>
      <c r="G50" s="16">
        <f t="shared" ref="G50:O50" si="27">CHOOSE($C52+1,0,G$156,G$159,G$156+G$159)*G45</f>
        <v>0</v>
      </c>
      <c r="H50" s="16">
        <f t="shared" si="27"/>
        <v>0</v>
      </c>
      <c r="I50" s="16">
        <f t="shared" si="27"/>
        <v>0</v>
      </c>
      <c r="J50" s="16">
        <f t="shared" si="27"/>
        <v>0</v>
      </c>
      <c r="K50" s="16">
        <f t="shared" si="27"/>
        <v>0</v>
      </c>
      <c r="L50" s="16">
        <f t="shared" si="27"/>
        <v>0</v>
      </c>
      <c r="M50" s="16">
        <f t="shared" si="27"/>
        <v>0</v>
      </c>
      <c r="N50" s="16">
        <f t="shared" si="27"/>
        <v>0</v>
      </c>
      <c r="O50" s="16">
        <f t="shared" si="27"/>
        <v>0</v>
      </c>
      <c r="P50" s="16">
        <f t="shared" ref="P50" si="28">CHOOSE($C52+1,0,P$156,P$159,P$156+P$159)*P45</f>
        <v>0</v>
      </c>
      <c r="Q50" s="13"/>
      <c r="R50" s="13"/>
    </row>
    <row r="51" spans="1:18" ht="16.5" customHeight="1">
      <c r="A51" s="14" t="s">
        <v>125</v>
      </c>
      <c r="B51" s="13"/>
      <c r="C51" s="13"/>
      <c r="D51" s="214">
        <v>0</v>
      </c>
      <c r="E51" s="214">
        <v>0</v>
      </c>
      <c r="F51" s="214">
        <v>0</v>
      </c>
      <c r="G51" s="16">
        <f t="shared" ref="G51:N51" si="29">G49+G50</f>
        <v>0</v>
      </c>
      <c r="H51" s="16">
        <f t="shared" si="29"/>
        <v>0</v>
      </c>
      <c r="I51" s="16">
        <f t="shared" si="29"/>
        <v>0</v>
      </c>
      <c r="J51" s="16">
        <f t="shared" si="29"/>
        <v>0</v>
      </c>
      <c r="K51" s="16">
        <f t="shared" si="29"/>
        <v>0</v>
      </c>
      <c r="L51" s="16">
        <f t="shared" si="29"/>
        <v>0</v>
      </c>
      <c r="M51" s="16">
        <f t="shared" si="29"/>
        <v>0</v>
      </c>
      <c r="N51" s="16">
        <f t="shared" si="29"/>
        <v>0</v>
      </c>
      <c r="O51" s="16">
        <f t="shared" ref="O51:P51" si="30">O49+O50</f>
        <v>0</v>
      </c>
      <c r="P51" s="16">
        <f t="shared" si="30"/>
        <v>0</v>
      </c>
      <c r="Q51" s="13"/>
      <c r="R51" s="13"/>
    </row>
    <row r="52" spans="1:18" ht="16.5" customHeight="1">
      <c r="A52" s="13"/>
      <c r="B52" s="13"/>
      <c r="C52" s="35">
        <v>3</v>
      </c>
      <c r="D52" s="13"/>
      <c r="E52" s="13"/>
      <c r="F52" s="13"/>
      <c r="G52" s="13"/>
      <c r="H52" s="13"/>
      <c r="I52" s="13"/>
      <c r="J52" s="13"/>
      <c r="K52" s="13"/>
      <c r="L52" s="13"/>
      <c r="M52" s="13"/>
      <c r="N52" s="13"/>
      <c r="O52" s="13"/>
      <c r="P52" s="13"/>
      <c r="Q52" s="13"/>
      <c r="R52" s="13"/>
    </row>
    <row r="53" spans="1:18" ht="16.5" customHeight="1">
      <c r="A53" s="13"/>
      <c r="B53" s="13"/>
      <c r="C53" s="13"/>
      <c r="D53" s="13"/>
      <c r="E53" s="13"/>
      <c r="F53" s="13"/>
      <c r="G53" s="13"/>
      <c r="H53" s="13"/>
      <c r="I53" s="13"/>
      <c r="J53" s="13"/>
      <c r="K53" s="13"/>
      <c r="L53" s="13"/>
      <c r="M53" s="13"/>
      <c r="N53" s="13"/>
      <c r="O53" s="13"/>
      <c r="P53" s="13"/>
      <c r="Q53" s="13"/>
      <c r="R53" s="13"/>
    </row>
    <row r="54" spans="1:18" ht="16.5" customHeight="1">
      <c r="A54" s="13"/>
      <c r="B54" s="13"/>
      <c r="C54" s="13"/>
      <c r="D54" s="13"/>
      <c r="E54" s="13"/>
      <c r="F54" s="13"/>
      <c r="G54" s="13"/>
      <c r="H54" s="13"/>
      <c r="I54" s="13"/>
      <c r="J54" s="13"/>
      <c r="K54" s="13"/>
      <c r="L54" s="13"/>
      <c r="M54" s="13"/>
      <c r="N54" s="13"/>
      <c r="O54" s="13"/>
      <c r="P54" s="13"/>
      <c r="Q54" s="13"/>
      <c r="R54" s="13"/>
    </row>
    <row r="55" spans="1:18" ht="16.5" customHeight="1">
      <c r="A55" s="13"/>
      <c r="B55" s="13"/>
      <c r="C55" s="13"/>
      <c r="D55" s="13"/>
      <c r="E55" s="13"/>
      <c r="F55" s="13"/>
      <c r="G55" s="13"/>
      <c r="H55" s="13"/>
      <c r="I55" s="13"/>
      <c r="J55" s="13"/>
      <c r="K55" s="13"/>
      <c r="L55" s="13"/>
      <c r="M55" s="13"/>
      <c r="N55" s="13"/>
      <c r="O55" s="13"/>
      <c r="P55" s="13"/>
      <c r="Q55" s="13"/>
      <c r="R55" s="13"/>
    </row>
    <row r="56" spans="1:18" ht="16.5" customHeight="1">
      <c r="A56" s="13"/>
      <c r="B56" s="13"/>
      <c r="C56" s="13"/>
      <c r="D56" s="13"/>
      <c r="E56" s="13"/>
      <c r="F56" s="13"/>
      <c r="G56" s="13"/>
      <c r="H56" s="13"/>
      <c r="I56" s="13"/>
      <c r="J56" s="13"/>
      <c r="K56" s="13"/>
      <c r="L56" s="13"/>
      <c r="M56" s="13"/>
      <c r="N56" s="13"/>
      <c r="O56" s="13"/>
      <c r="P56" s="13"/>
      <c r="Q56" s="13"/>
      <c r="R56" s="13"/>
    </row>
    <row r="57" spans="1:18" ht="16.5" customHeight="1">
      <c r="A57" s="13"/>
      <c r="B57" s="13"/>
      <c r="C57" s="13"/>
      <c r="D57" s="13"/>
      <c r="E57" s="13"/>
      <c r="F57" s="13"/>
      <c r="G57" s="13"/>
      <c r="H57" s="13"/>
      <c r="I57" s="13"/>
      <c r="J57" s="13"/>
      <c r="K57" s="13"/>
      <c r="L57" s="13"/>
      <c r="M57" s="13"/>
      <c r="N57" s="13"/>
      <c r="O57" s="13"/>
      <c r="P57" s="13"/>
      <c r="Q57" s="13"/>
      <c r="R57" s="13"/>
    </row>
    <row r="58" spans="1:18" ht="16.5" customHeight="1">
      <c r="A58" s="13"/>
      <c r="B58" s="13"/>
      <c r="C58" s="13"/>
      <c r="D58" s="13"/>
      <c r="E58" s="13"/>
      <c r="F58" s="13"/>
      <c r="G58" s="13"/>
      <c r="H58" s="13"/>
      <c r="I58" s="13"/>
      <c r="J58" s="13"/>
      <c r="K58" s="13"/>
      <c r="L58" s="13"/>
      <c r="M58" s="13"/>
      <c r="N58" s="13"/>
      <c r="O58" s="13"/>
      <c r="P58" s="13"/>
      <c r="Q58" s="13"/>
      <c r="R58" s="13"/>
    </row>
    <row r="59" spans="1:18" ht="16.5" customHeight="1">
      <c r="A59" s="13"/>
      <c r="B59" s="13"/>
      <c r="C59" s="13"/>
      <c r="D59" s="13"/>
      <c r="E59" s="13"/>
      <c r="F59" s="13"/>
      <c r="G59" s="13"/>
      <c r="H59" s="13"/>
      <c r="I59" s="13"/>
      <c r="J59" s="13"/>
      <c r="K59" s="13"/>
      <c r="L59" s="13"/>
      <c r="M59" s="13"/>
      <c r="N59" s="13"/>
      <c r="O59" s="13"/>
      <c r="P59" s="13"/>
      <c r="Q59" s="13"/>
      <c r="R59" s="13"/>
    </row>
    <row r="60" spans="1:18" ht="16.5" customHeight="1">
      <c r="A60" s="13"/>
      <c r="B60" s="13"/>
      <c r="C60" s="13"/>
      <c r="D60" s="13"/>
      <c r="E60" s="13"/>
      <c r="F60" s="176" t="s">
        <v>42</v>
      </c>
      <c r="G60" s="13"/>
      <c r="H60" s="176" t="s">
        <v>112</v>
      </c>
      <c r="I60" s="13"/>
      <c r="J60" s="13"/>
      <c r="K60" s="13"/>
      <c r="L60" s="13"/>
      <c r="M60" s="13"/>
      <c r="N60" s="13"/>
      <c r="O60" s="13"/>
      <c r="P60" s="176" t="s">
        <v>130</v>
      </c>
      <c r="Q60" s="13"/>
      <c r="R60" s="13"/>
    </row>
    <row r="61" spans="1:18" ht="16.5" customHeight="1">
      <c r="A61" s="13"/>
      <c r="B61" s="13"/>
      <c r="C61" s="17" t="s">
        <v>114</v>
      </c>
      <c r="D61" s="13"/>
      <c r="E61" s="13"/>
      <c r="F61" s="13"/>
      <c r="G61" s="13"/>
      <c r="H61" s="13"/>
      <c r="I61" s="13"/>
      <c r="J61" s="13"/>
      <c r="K61" s="13"/>
      <c r="L61" s="13"/>
      <c r="M61" s="13"/>
      <c r="N61" s="13"/>
      <c r="O61" s="13"/>
      <c r="P61" s="13"/>
      <c r="Q61" s="13"/>
      <c r="R61" s="13"/>
    </row>
    <row r="62" spans="1:18" ht="16.5" customHeight="1">
      <c r="A62" s="13"/>
      <c r="B62" s="13"/>
      <c r="C62" s="17" t="s">
        <v>115</v>
      </c>
      <c r="D62" s="177" t="s">
        <v>44</v>
      </c>
      <c r="E62" s="265" t="s">
        <v>689</v>
      </c>
      <c r="F62" s="265"/>
      <c r="G62" s="177" t="s">
        <v>44</v>
      </c>
      <c r="H62" s="177"/>
      <c r="I62" s="265" t="s">
        <v>45</v>
      </c>
      <c r="J62" s="265"/>
      <c r="K62" s="177" t="s">
        <v>44</v>
      </c>
      <c r="L62" s="177"/>
      <c r="M62" s="177"/>
      <c r="N62" s="177"/>
      <c r="O62" s="177"/>
      <c r="P62" s="177"/>
      <c r="Q62" s="13"/>
      <c r="R62" s="13"/>
    </row>
    <row r="63" spans="1:18" ht="16.5" customHeight="1">
      <c r="A63" s="13"/>
      <c r="B63" s="13"/>
      <c r="C63" s="17" t="s">
        <v>116</v>
      </c>
      <c r="D63" s="13"/>
      <c r="E63" s="13"/>
      <c r="F63" s="13"/>
      <c r="G63" s="13"/>
      <c r="H63" s="13"/>
      <c r="I63" s="13"/>
      <c r="J63" s="13"/>
      <c r="K63" s="13"/>
      <c r="L63" s="13"/>
      <c r="M63" s="13"/>
      <c r="N63" s="13"/>
      <c r="O63" s="13"/>
      <c r="P63" s="13"/>
      <c r="Q63" s="13"/>
      <c r="R63" s="13"/>
    </row>
    <row r="64" spans="1:18" ht="16.5" customHeight="1">
      <c r="A64" s="13"/>
      <c r="B64" s="13"/>
      <c r="C64" s="17" t="s">
        <v>117</v>
      </c>
      <c r="D64" s="15">
        <f>E64-1</f>
        <v>2021</v>
      </c>
      <c r="E64" s="15">
        <f>F64-1</f>
        <v>2022</v>
      </c>
      <c r="F64" s="15">
        <f>G64-1</f>
        <v>2023</v>
      </c>
      <c r="G64" s="15">
        <f>Input!G8</f>
        <v>2024</v>
      </c>
      <c r="H64" s="15">
        <f t="shared" ref="H64:P64" si="31">G64+1</f>
        <v>2025</v>
      </c>
      <c r="I64" s="15">
        <f t="shared" si="31"/>
        <v>2026</v>
      </c>
      <c r="J64" s="15">
        <f t="shared" si="31"/>
        <v>2027</v>
      </c>
      <c r="K64" s="15">
        <f t="shared" si="31"/>
        <v>2028</v>
      </c>
      <c r="L64" s="15">
        <f t="shared" si="31"/>
        <v>2029</v>
      </c>
      <c r="M64" s="15">
        <f t="shared" si="31"/>
        <v>2030</v>
      </c>
      <c r="N64" s="15">
        <f t="shared" si="31"/>
        <v>2031</v>
      </c>
      <c r="O64" s="15">
        <f t="shared" si="31"/>
        <v>2032</v>
      </c>
      <c r="P64" s="15">
        <f t="shared" si="31"/>
        <v>2033</v>
      </c>
      <c r="Q64" s="13"/>
      <c r="R64" s="15"/>
    </row>
    <row r="65" spans="1:18" ht="16.5" customHeight="1">
      <c r="A65" s="13"/>
      <c r="B65" s="13"/>
      <c r="C65" s="63" t="s">
        <v>363</v>
      </c>
      <c r="D65" s="178" t="s">
        <v>46</v>
      </c>
      <c r="E65" s="178" t="s">
        <v>46</v>
      </c>
      <c r="F65" s="178" t="s">
        <v>46</v>
      </c>
      <c r="G65" s="178" t="s">
        <v>46</v>
      </c>
      <c r="H65" s="178" t="s">
        <v>46</v>
      </c>
      <c r="I65" s="178" t="s">
        <v>46</v>
      </c>
      <c r="J65" s="178" t="s">
        <v>46</v>
      </c>
      <c r="K65" s="178" t="s">
        <v>46</v>
      </c>
      <c r="L65" s="178" t="s">
        <v>46</v>
      </c>
      <c r="M65" s="178" t="s">
        <v>46</v>
      </c>
      <c r="N65" s="178" t="s">
        <v>46</v>
      </c>
      <c r="O65" s="178" t="s">
        <v>46</v>
      </c>
      <c r="P65" s="178" t="s">
        <v>46</v>
      </c>
      <c r="Q65" s="13"/>
      <c r="R65" s="14"/>
    </row>
    <row r="66" spans="1:18" ht="16.5" customHeight="1">
      <c r="A66" s="13"/>
      <c r="B66" s="13"/>
      <c r="C66" s="17"/>
      <c r="D66" s="13"/>
      <c r="E66" s="13"/>
      <c r="F66" s="13"/>
      <c r="G66" s="13"/>
      <c r="H66" s="13"/>
      <c r="I66" s="13"/>
      <c r="J66" s="13"/>
      <c r="K66" s="13"/>
      <c r="L66" s="13"/>
      <c r="M66" s="13"/>
      <c r="N66" s="13"/>
      <c r="O66" s="13"/>
      <c r="P66" s="13"/>
      <c r="Q66" s="13"/>
      <c r="R66" s="13"/>
    </row>
    <row r="67" spans="1:18" ht="16.5" customHeight="1">
      <c r="A67" s="14" t="s">
        <v>131</v>
      </c>
      <c r="B67" s="13" t="str">
        <f>'e - Sales'!B13</f>
        <v>COMMERCIAL:</v>
      </c>
      <c r="C67" s="13"/>
      <c r="D67" s="13"/>
      <c r="E67" s="13"/>
      <c r="F67" s="13"/>
      <c r="G67" s="13"/>
      <c r="H67" s="13"/>
      <c r="I67" s="13"/>
      <c r="J67" s="13"/>
      <c r="K67" s="13"/>
      <c r="L67" s="13"/>
      <c r="M67" s="13"/>
      <c r="N67" s="13"/>
      <c r="O67" s="13"/>
      <c r="P67" s="13"/>
      <c r="Q67" s="13"/>
      <c r="R67" s="13"/>
    </row>
    <row r="68" spans="1:18" ht="16.5" customHeight="1">
      <c r="A68" s="14" t="s">
        <v>119</v>
      </c>
      <c r="B68" s="13"/>
      <c r="C68" s="13"/>
      <c r="D68" s="16">
        <f>'e - Sales'!D44</f>
        <v>0</v>
      </c>
      <c r="E68" s="16">
        <f>'e - Sales'!E44</f>
        <v>0</v>
      </c>
      <c r="F68" s="16">
        <f>'e - Sales'!F44</f>
        <v>0</v>
      </c>
      <c r="G68" s="16">
        <f>'e - Sales'!G44</f>
        <v>0</v>
      </c>
      <c r="H68" s="16">
        <f>'e - Sales'!H44</f>
        <v>0</v>
      </c>
      <c r="I68" s="16">
        <f>'e - Sales'!I44</f>
        <v>0</v>
      </c>
      <c r="J68" s="16">
        <f>'e - Sales'!J44</f>
        <v>0</v>
      </c>
      <c r="K68" s="16">
        <f>'e - Sales'!K44</f>
        <v>0</v>
      </c>
      <c r="L68" s="16">
        <f>'e - Sales'!L44</f>
        <v>0</v>
      </c>
      <c r="M68" s="16">
        <f>'e - Sales'!M44</f>
        <v>0</v>
      </c>
      <c r="N68" s="16">
        <f>'e - Sales'!N44</f>
        <v>0</v>
      </c>
      <c r="O68" s="16">
        <f>'e - Sales'!O44</f>
        <v>0</v>
      </c>
      <c r="P68" s="16">
        <f>'e - Sales'!P44</f>
        <v>0</v>
      </c>
      <c r="Q68" s="13"/>
      <c r="R68" s="13"/>
    </row>
    <row r="69" spans="1:18" ht="16.5" customHeight="1">
      <c r="A69" s="14" t="s">
        <v>120</v>
      </c>
      <c r="B69" s="13"/>
      <c r="C69" s="13"/>
      <c r="D69" s="19">
        <f>IF(ISERR((D72-(D70*D71*12))/D68),0,((D72-(D70*D71*12))/D68))</f>
        <v>0</v>
      </c>
      <c r="E69" s="19">
        <f>IF(ISERR((E72-(E70*E71*12))/E68),0,((E72-(E70*E71*12))/E68))</f>
        <v>0</v>
      </c>
      <c r="F69" s="19">
        <f>IF(ISERR((F72-(F70*F71*12))/F68),0,((F72-(F70*F71*12))/F68))</f>
        <v>0</v>
      </c>
      <c r="G69" s="9">
        <v>0</v>
      </c>
      <c r="H69" s="9">
        <v>0</v>
      </c>
      <c r="I69" s="9">
        <v>0</v>
      </c>
      <c r="J69" s="9">
        <v>0</v>
      </c>
      <c r="K69" s="9">
        <v>0</v>
      </c>
      <c r="L69" s="9">
        <v>0</v>
      </c>
      <c r="M69" s="9">
        <v>0</v>
      </c>
      <c r="N69" s="9">
        <v>0</v>
      </c>
      <c r="O69" s="9">
        <v>0</v>
      </c>
      <c r="P69" s="9">
        <v>0</v>
      </c>
      <c r="Q69" s="13"/>
      <c r="R69" s="14"/>
    </row>
    <row r="70" spans="1:18" ht="16.5" customHeight="1">
      <c r="A70" s="14" t="s">
        <v>121</v>
      </c>
      <c r="B70" s="13"/>
      <c r="C70" s="13"/>
      <c r="D70" s="7">
        <v>0</v>
      </c>
      <c r="E70" s="7">
        <v>0</v>
      </c>
      <c r="F70" s="7">
        <v>0</v>
      </c>
      <c r="G70" s="7">
        <v>0</v>
      </c>
      <c r="H70" s="7">
        <v>0</v>
      </c>
      <c r="I70" s="7">
        <v>0</v>
      </c>
      <c r="J70" s="7">
        <v>0</v>
      </c>
      <c r="K70" s="7">
        <v>0</v>
      </c>
      <c r="L70" s="7">
        <v>0</v>
      </c>
      <c r="M70" s="7">
        <v>0</v>
      </c>
      <c r="N70" s="7">
        <v>0</v>
      </c>
      <c r="O70" s="7">
        <v>0</v>
      </c>
      <c r="P70" s="7">
        <v>0</v>
      </c>
      <c r="Q70" s="13"/>
      <c r="R70" s="14"/>
    </row>
    <row r="71" spans="1:18" ht="16.5" customHeight="1">
      <c r="A71" s="14" t="s">
        <v>122</v>
      </c>
      <c r="B71" s="13"/>
      <c r="C71" s="13"/>
      <c r="D71" s="16">
        <f>'e - Sales'!D13</f>
        <v>0</v>
      </c>
      <c r="E71" s="16">
        <f>'e - Sales'!E13</f>
        <v>0</v>
      </c>
      <c r="F71" s="16">
        <f>'e - Sales'!F13</f>
        <v>0</v>
      </c>
      <c r="G71" s="16">
        <f>'e - Sales'!G13</f>
        <v>0</v>
      </c>
      <c r="H71" s="16">
        <f>'e - Sales'!H13</f>
        <v>0</v>
      </c>
      <c r="I71" s="16">
        <f>'e - Sales'!I13</f>
        <v>0</v>
      </c>
      <c r="J71" s="16">
        <f>'e - Sales'!J13</f>
        <v>0</v>
      </c>
      <c r="K71" s="16">
        <f>'e - Sales'!K13</f>
        <v>0</v>
      </c>
      <c r="L71" s="16">
        <f>'e - Sales'!L13</f>
        <v>0</v>
      </c>
      <c r="M71" s="16">
        <f>'e - Sales'!M13</f>
        <v>0</v>
      </c>
      <c r="N71" s="16">
        <f>'e - Sales'!N13</f>
        <v>0</v>
      </c>
      <c r="O71" s="16">
        <f>'e - Sales'!O13</f>
        <v>0</v>
      </c>
      <c r="P71" s="16">
        <f>'e - Sales'!P13</f>
        <v>0</v>
      </c>
      <c r="Q71" s="13"/>
      <c r="R71" s="13"/>
    </row>
    <row r="72" spans="1:18" ht="16.5" customHeight="1">
      <c r="A72" s="14" t="s">
        <v>123</v>
      </c>
      <c r="B72" s="13"/>
      <c r="C72" s="13"/>
      <c r="D72" s="16">
        <f>D74-D73</f>
        <v>0</v>
      </c>
      <c r="E72" s="16">
        <f>E74-E73</f>
        <v>0</v>
      </c>
      <c r="F72" s="16">
        <f>F74-F73</f>
        <v>0</v>
      </c>
      <c r="G72" s="16">
        <f t="shared" ref="G72:N72" si="32">ROUND(G68*G69+(G70*G71*12),0)</f>
        <v>0</v>
      </c>
      <c r="H72" s="16">
        <f t="shared" si="32"/>
        <v>0</v>
      </c>
      <c r="I72" s="16">
        <f t="shared" si="32"/>
        <v>0</v>
      </c>
      <c r="J72" s="16">
        <f t="shared" si="32"/>
        <v>0</v>
      </c>
      <c r="K72" s="16">
        <f t="shared" si="32"/>
        <v>0</v>
      </c>
      <c r="L72" s="16">
        <f t="shared" si="32"/>
        <v>0</v>
      </c>
      <c r="M72" s="16">
        <f t="shared" si="32"/>
        <v>0</v>
      </c>
      <c r="N72" s="16">
        <f t="shared" si="32"/>
        <v>0</v>
      </c>
      <c r="O72" s="16">
        <f t="shared" ref="O72:P72" si="33">ROUND(O68*O69+(O70*O71*12),0)</f>
        <v>0</v>
      </c>
      <c r="P72" s="16">
        <f t="shared" si="33"/>
        <v>0</v>
      </c>
      <c r="Q72" s="13"/>
      <c r="R72" s="13"/>
    </row>
    <row r="73" spans="1:18" ht="16.5" customHeight="1">
      <c r="A73" s="14" t="s">
        <v>124</v>
      </c>
      <c r="B73" s="13"/>
      <c r="C73" s="13"/>
      <c r="D73" s="16">
        <f>CHOOSE($C75+1,0,D$156,D$159,D$156+D$159)*D68</f>
        <v>0</v>
      </c>
      <c r="E73" s="16">
        <f>CHOOSE($C75+1,0,E$156,E$159,E$156+E$159)*E68</f>
        <v>0</v>
      </c>
      <c r="F73" s="16">
        <f>CHOOSE($C75+1,0,F$156,F$159,F$156+F$159)*F68</f>
        <v>0</v>
      </c>
      <c r="G73" s="16">
        <f t="shared" ref="G73:O73" si="34">CHOOSE($C75+1,0,G$156,G$159,G$156+G$159)*G68</f>
        <v>0</v>
      </c>
      <c r="H73" s="16">
        <f t="shared" si="34"/>
        <v>0</v>
      </c>
      <c r="I73" s="16">
        <f t="shared" si="34"/>
        <v>0</v>
      </c>
      <c r="J73" s="16">
        <f t="shared" si="34"/>
        <v>0</v>
      </c>
      <c r="K73" s="16">
        <f t="shared" si="34"/>
        <v>0</v>
      </c>
      <c r="L73" s="16">
        <f t="shared" si="34"/>
        <v>0</v>
      </c>
      <c r="M73" s="16">
        <f t="shared" si="34"/>
        <v>0</v>
      </c>
      <c r="N73" s="16">
        <f t="shared" si="34"/>
        <v>0</v>
      </c>
      <c r="O73" s="16">
        <f t="shared" si="34"/>
        <v>0</v>
      </c>
      <c r="P73" s="16">
        <f t="shared" ref="P73" si="35">CHOOSE($C75+1,0,P$156,P$159,P$156+P$159)*P68</f>
        <v>0</v>
      </c>
      <c r="Q73" s="13"/>
      <c r="R73" s="13"/>
    </row>
    <row r="74" spans="1:18" ht="16.5" customHeight="1">
      <c r="A74" s="14" t="s">
        <v>125</v>
      </c>
      <c r="B74" s="13"/>
      <c r="C74" s="13"/>
      <c r="D74" s="214">
        <v>0</v>
      </c>
      <c r="E74" s="214">
        <v>0</v>
      </c>
      <c r="F74" s="214">
        <v>0</v>
      </c>
      <c r="G74" s="16">
        <f t="shared" ref="G74:N74" si="36">G72+G73</f>
        <v>0</v>
      </c>
      <c r="H74" s="16">
        <f t="shared" si="36"/>
        <v>0</v>
      </c>
      <c r="I74" s="16">
        <f t="shared" si="36"/>
        <v>0</v>
      </c>
      <c r="J74" s="16">
        <f t="shared" si="36"/>
        <v>0</v>
      </c>
      <c r="K74" s="16">
        <f t="shared" si="36"/>
        <v>0</v>
      </c>
      <c r="L74" s="16">
        <f t="shared" si="36"/>
        <v>0</v>
      </c>
      <c r="M74" s="16">
        <f t="shared" si="36"/>
        <v>0</v>
      </c>
      <c r="N74" s="16">
        <f t="shared" si="36"/>
        <v>0</v>
      </c>
      <c r="O74" s="16">
        <f t="shared" ref="O74:P74" si="37">O72+O73</f>
        <v>0</v>
      </c>
      <c r="P74" s="16">
        <f t="shared" si="37"/>
        <v>0</v>
      </c>
      <c r="Q74" s="13"/>
      <c r="R74" s="13"/>
    </row>
    <row r="75" spans="1:18" ht="16.5" customHeight="1">
      <c r="A75" s="13"/>
      <c r="B75" s="13"/>
      <c r="C75" s="35">
        <v>3</v>
      </c>
      <c r="D75" s="13"/>
      <c r="E75" s="13"/>
      <c r="F75" s="13"/>
      <c r="G75" s="13"/>
      <c r="H75" s="13"/>
      <c r="I75" s="13"/>
      <c r="J75" s="13"/>
      <c r="K75" s="13"/>
      <c r="L75" s="13"/>
      <c r="M75" s="13"/>
      <c r="N75" s="13"/>
      <c r="O75" s="13"/>
      <c r="P75" s="13"/>
      <c r="Q75" s="13"/>
      <c r="R75" s="13"/>
    </row>
    <row r="76" spans="1:18" ht="16.5" customHeight="1">
      <c r="A76" s="14" t="s">
        <v>132</v>
      </c>
      <c r="B76" s="13" t="str">
        <f>'e - Sales'!B14</f>
        <v>COMMERCIAL:</v>
      </c>
      <c r="C76" s="13"/>
      <c r="D76" s="13"/>
      <c r="E76" s="13"/>
      <c r="F76" s="13"/>
      <c r="G76" s="13"/>
      <c r="H76" s="13"/>
      <c r="I76" s="13"/>
      <c r="J76" s="13"/>
      <c r="K76" s="13"/>
      <c r="L76" s="13"/>
      <c r="M76" s="13"/>
      <c r="N76" s="13"/>
      <c r="O76" s="13"/>
      <c r="P76" s="13"/>
      <c r="Q76" s="13"/>
      <c r="R76" s="13"/>
    </row>
    <row r="77" spans="1:18" ht="16.5" customHeight="1">
      <c r="A77" s="14" t="s">
        <v>119</v>
      </c>
      <c r="B77" s="13"/>
      <c r="C77" s="13"/>
      <c r="D77" s="16">
        <f>'e - Sales'!D45</f>
        <v>0</v>
      </c>
      <c r="E77" s="16">
        <f>'e - Sales'!E45</f>
        <v>0</v>
      </c>
      <c r="F77" s="16">
        <f>'e - Sales'!F45</f>
        <v>0</v>
      </c>
      <c r="G77" s="16">
        <f>'e - Sales'!G45</f>
        <v>0</v>
      </c>
      <c r="H77" s="16">
        <f>'e - Sales'!H45</f>
        <v>0</v>
      </c>
      <c r="I77" s="16">
        <f>'e - Sales'!I45</f>
        <v>0</v>
      </c>
      <c r="J77" s="16">
        <f>'e - Sales'!J45</f>
        <v>0</v>
      </c>
      <c r="K77" s="16">
        <f>'e - Sales'!K45</f>
        <v>0</v>
      </c>
      <c r="L77" s="16">
        <f>'e - Sales'!L45</f>
        <v>0</v>
      </c>
      <c r="M77" s="16">
        <f>'e - Sales'!M45</f>
        <v>0</v>
      </c>
      <c r="N77" s="16">
        <f>'e - Sales'!N45</f>
        <v>0</v>
      </c>
      <c r="O77" s="16">
        <f>'e - Sales'!O45</f>
        <v>0</v>
      </c>
      <c r="P77" s="16">
        <f>'e - Sales'!P45</f>
        <v>0</v>
      </c>
      <c r="Q77" s="13"/>
      <c r="R77" s="13"/>
    </row>
    <row r="78" spans="1:18" ht="16.5" customHeight="1">
      <c r="A78" s="14" t="s">
        <v>120</v>
      </c>
      <c r="B78" s="13"/>
      <c r="C78" s="13"/>
      <c r="D78" s="19">
        <f>IF(ISERR((D81-(D79*D80*12))/D77),0,((D81-(D79*D80*12))/D77))</f>
        <v>0</v>
      </c>
      <c r="E78" s="19">
        <f>IF(ISERR((E81-(E79*E80*12))/E77),0,((E81-(E79*E80*12))/E77))</f>
        <v>0</v>
      </c>
      <c r="F78" s="19">
        <f>IF(ISERR((F81-(F79*F80*12))/F77),0,((F81-(F79*F80*12))/F77))</f>
        <v>0</v>
      </c>
      <c r="G78" s="9">
        <v>0</v>
      </c>
      <c r="H78" s="9">
        <v>0</v>
      </c>
      <c r="I78" s="9">
        <v>0</v>
      </c>
      <c r="J78" s="9">
        <v>0</v>
      </c>
      <c r="K78" s="9">
        <v>0</v>
      </c>
      <c r="L78" s="9">
        <v>0</v>
      </c>
      <c r="M78" s="9">
        <v>0</v>
      </c>
      <c r="N78" s="9">
        <v>0</v>
      </c>
      <c r="O78" s="9">
        <v>0</v>
      </c>
      <c r="P78" s="9">
        <v>0</v>
      </c>
      <c r="Q78" s="13"/>
      <c r="R78" s="14"/>
    </row>
    <row r="79" spans="1:18" ht="16.5" customHeight="1">
      <c r="A79" s="14" t="s">
        <v>121</v>
      </c>
      <c r="B79" s="13"/>
      <c r="C79" s="13"/>
      <c r="D79" s="7">
        <v>0</v>
      </c>
      <c r="E79" s="7">
        <v>0</v>
      </c>
      <c r="F79" s="7">
        <v>0</v>
      </c>
      <c r="G79" s="7">
        <v>0</v>
      </c>
      <c r="H79" s="7">
        <v>0</v>
      </c>
      <c r="I79" s="7">
        <v>0</v>
      </c>
      <c r="J79" s="7">
        <v>0</v>
      </c>
      <c r="K79" s="7">
        <v>0</v>
      </c>
      <c r="L79" s="7">
        <v>0</v>
      </c>
      <c r="M79" s="7">
        <v>0</v>
      </c>
      <c r="N79" s="7">
        <v>0</v>
      </c>
      <c r="O79" s="7">
        <v>0</v>
      </c>
      <c r="P79" s="7">
        <v>0</v>
      </c>
      <c r="Q79" s="13"/>
      <c r="R79" s="14"/>
    </row>
    <row r="80" spans="1:18" ht="16.5" customHeight="1">
      <c r="A80" s="14" t="s">
        <v>122</v>
      </c>
      <c r="B80" s="13"/>
      <c r="C80" s="13"/>
      <c r="D80" s="16">
        <f>'e - Sales'!D14</f>
        <v>0</v>
      </c>
      <c r="E80" s="16">
        <f>'e - Sales'!E14</f>
        <v>0</v>
      </c>
      <c r="F80" s="16">
        <f>'e - Sales'!F14</f>
        <v>0</v>
      </c>
      <c r="G80" s="16">
        <f>'e - Sales'!G14</f>
        <v>0</v>
      </c>
      <c r="H80" s="16">
        <f>'e - Sales'!H14</f>
        <v>0</v>
      </c>
      <c r="I80" s="16">
        <f>'e - Sales'!I14</f>
        <v>0</v>
      </c>
      <c r="J80" s="16">
        <f>'e - Sales'!J14</f>
        <v>0</v>
      </c>
      <c r="K80" s="16">
        <f>'e - Sales'!K14</f>
        <v>0</v>
      </c>
      <c r="L80" s="16">
        <f>'e - Sales'!L14</f>
        <v>0</v>
      </c>
      <c r="M80" s="16">
        <f>'e - Sales'!M14</f>
        <v>0</v>
      </c>
      <c r="N80" s="16">
        <f>'e - Sales'!N14</f>
        <v>0</v>
      </c>
      <c r="O80" s="16">
        <f>'e - Sales'!O14</f>
        <v>0</v>
      </c>
      <c r="P80" s="16">
        <f>'e - Sales'!P14</f>
        <v>0</v>
      </c>
      <c r="Q80" s="13"/>
      <c r="R80" s="13"/>
    </row>
    <row r="81" spans="1:18" ht="16.5" customHeight="1">
      <c r="A81" s="14" t="s">
        <v>123</v>
      </c>
      <c r="B81" s="13"/>
      <c r="C81" s="13"/>
      <c r="D81" s="16">
        <f>D83-D82</f>
        <v>0</v>
      </c>
      <c r="E81" s="16">
        <f>E83-E82</f>
        <v>0</v>
      </c>
      <c r="F81" s="16">
        <f>F83-F82</f>
        <v>0</v>
      </c>
      <c r="G81" s="16">
        <f t="shared" ref="G81:N81" si="38">ROUND(G77*G78+(G79*G80*12),0)</f>
        <v>0</v>
      </c>
      <c r="H81" s="16">
        <f t="shared" si="38"/>
        <v>0</v>
      </c>
      <c r="I81" s="16">
        <f t="shared" si="38"/>
        <v>0</v>
      </c>
      <c r="J81" s="16">
        <f t="shared" si="38"/>
        <v>0</v>
      </c>
      <c r="K81" s="16">
        <f t="shared" si="38"/>
        <v>0</v>
      </c>
      <c r="L81" s="16">
        <f t="shared" si="38"/>
        <v>0</v>
      </c>
      <c r="M81" s="16">
        <f t="shared" si="38"/>
        <v>0</v>
      </c>
      <c r="N81" s="16">
        <f t="shared" si="38"/>
        <v>0</v>
      </c>
      <c r="O81" s="16">
        <f t="shared" ref="O81:P81" si="39">ROUND(O77*O78+(O79*O80*12),0)</f>
        <v>0</v>
      </c>
      <c r="P81" s="16">
        <f t="shared" si="39"/>
        <v>0</v>
      </c>
      <c r="Q81" s="13"/>
      <c r="R81" s="13"/>
    </row>
    <row r="82" spans="1:18" ht="16.5" customHeight="1">
      <c r="A82" s="14" t="s">
        <v>124</v>
      </c>
      <c r="B82" s="13"/>
      <c r="C82" s="13"/>
      <c r="D82" s="16">
        <f>CHOOSE($C84+1,0,D$156,D$159,D$156+D$159)*D77</f>
        <v>0</v>
      </c>
      <c r="E82" s="16">
        <f>CHOOSE($C84+1,0,E$156,E$159,E$156+E$159)*E77</f>
        <v>0</v>
      </c>
      <c r="F82" s="16">
        <f>CHOOSE($C84+1,0,F$156,F$159,F$156+F$159)*F77</f>
        <v>0</v>
      </c>
      <c r="G82" s="16">
        <f t="shared" ref="G82:O82" si="40">CHOOSE($C84+1,0,G$156,G$159,G$156+G$159)*G77</f>
        <v>0</v>
      </c>
      <c r="H82" s="16">
        <f t="shared" si="40"/>
        <v>0</v>
      </c>
      <c r="I82" s="16">
        <f t="shared" si="40"/>
        <v>0</v>
      </c>
      <c r="J82" s="16">
        <f t="shared" si="40"/>
        <v>0</v>
      </c>
      <c r="K82" s="16">
        <f t="shared" si="40"/>
        <v>0</v>
      </c>
      <c r="L82" s="16">
        <f t="shared" si="40"/>
        <v>0</v>
      </c>
      <c r="M82" s="16">
        <f t="shared" si="40"/>
        <v>0</v>
      </c>
      <c r="N82" s="16">
        <f t="shared" si="40"/>
        <v>0</v>
      </c>
      <c r="O82" s="16">
        <f t="shared" si="40"/>
        <v>0</v>
      </c>
      <c r="P82" s="16">
        <f t="shared" ref="P82" si="41">CHOOSE($C84+1,0,P$156,P$159,P$156+P$159)*P77</f>
        <v>0</v>
      </c>
      <c r="Q82" s="13"/>
      <c r="R82" s="13"/>
    </row>
    <row r="83" spans="1:18" ht="16.5" customHeight="1">
      <c r="A83" s="14" t="s">
        <v>125</v>
      </c>
      <c r="B83" s="13"/>
      <c r="C83" s="13"/>
      <c r="D83" s="214">
        <v>0</v>
      </c>
      <c r="E83" s="214">
        <v>0</v>
      </c>
      <c r="F83" s="214">
        <v>0</v>
      </c>
      <c r="G83" s="16">
        <f t="shared" ref="G83:N83" si="42">G81+G82</f>
        <v>0</v>
      </c>
      <c r="H83" s="16">
        <f t="shared" si="42"/>
        <v>0</v>
      </c>
      <c r="I83" s="16">
        <f t="shared" si="42"/>
        <v>0</v>
      </c>
      <c r="J83" s="16">
        <f t="shared" si="42"/>
        <v>0</v>
      </c>
      <c r="K83" s="16">
        <f t="shared" si="42"/>
        <v>0</v>
      </c>
      <c r="L83" s="16">
        <f t="shared" si="42"/>
        <v>0</v>
      </c>
      <c r="M83" s="16">
        <f t="shared" si="42"/>
        <v>0</v>
      </c>
      <c r="N83" s="16">
        <f t="shared" si="42"/>
        <v>0</v>
      </c>
      <c r="O83" s="16">
        <f t="shared" ref="O83:P83" si="43">O81+O82</f>
        <v>0</v>
      </c>
      <c r="P83" s="16">
        <f t="shared" si="43"/>
        <v>0</v>
      </c>
      <c r="Q83" s="13"/>
      <c r="R83" s="13"/>
    </row>
    <row r="84" spans="1:18" ht="16.5" customHeight="1">
      <c r="A84" s="13"/>
      <c r="B84" s="13"/>
      <c r="C84" s="35">
        <v>3</v>
      </c>
      <c r="D84" s="13"/>
      <c r="E84" s="13"/>
      <c r="F84" s="13"/>
      <c r="G84" s="13"/>
      <c r="H84" s="13"/>
      <c r="I84" s="13"/>
      <c r="J84" s="13"/>
      <c r="K84" s="13"/>
      <c r="L84" s="13"/>
      <c r="M84" s="13"/>
      <c r="N84" s="13"/>
      <c r="O84" s="13"/>
      <c r="P84" s="13"/>
      <c r="Q84" s="13"/>
      <c r="R84" s="13"/>
    </row>
    <row r="85" spans="1:18" ht="16.5" customHeight="1">
      <c r="A85" s="14" t="s">
        <v>133</v>
      </c>
      <c r="B85" s="13" t="str">
        <f>'e - Sales'!B15</f>
        <v>COMMERCIAL:</v>
      </c>
      <c r="C85" s="13"/>
      <c r="D85" s="13"/>
      <c r="E85" s="13"/>
      <c r="F85" s="13"/>
      <c r="G85" s="13"/>
      <c r="H85" s="13"/>
      <c r="I85" s="13"/>
      <c r="J85" s="13"/>
      <c r="K85" s="13"/>
      <c r="L85" s="13"/>
      <c r="M85" s="13"/>
      <c r="N85" s="13"/>
      <c r="O85" s="13"/>
      <c r="P85" s="13"/>
      <c r="Q85" s="13"/>
      <c r="R85" s="13"/>
    </row>
    <row r="86" spans="1:18" ht="16.5" customHeight="1">
      <c r="A86" s="14" t="s">
        <v>119</v>
      </c>
      <c r="B86" s="13"/>
      <c r="C86" s="13"/>
      <c r="D86" s="16">
        <f>'e - Sales'!D46</f>
        <v>0</v>
      </c>
      <c r="E86" s="16">
        <f>'e - Sales'!E46</f>
        <v>0</v>
      </c>
      <c r="F86" s="16">
        <f>'e - Sales'!F46</f>
        <v>0</v>
      </c>
      <c r="G86" s="16">
        <f>'e - Sales'!G46</f>
        <v>0</v>
      </c>
      <c r="H86" s="16">
        <f>'e - Sales'!H46</f>
        <v>0</v>
      </c>
      <c r="I86" s="16">
        <f>'e - Sales'!I46</f>
        <v>0</v>
      </c>
      <c r="J86" s="16">
        <f>'e - Sales'!J46</f>
        <v>0</v>
      </c>
      <c r="K86" s="16">
        <f>'e - Sales'!K46</f>
        <v>0</v>
      </c>
      <c r="L86" s="16">
        <f>'e - Sales'!L46</f>
        <v>0</v>
      </c>
      <c r="M86" s="16">
        <f>'e - Sales'!M46</f>
        <v>0</v>
      </c>
      <c r="N86" s="16">
        <f>'e - Sales'!N46</f>
        <v>0</v>
      </c>
      <c r="O86" s="16">
        <f>'e - Sales'!O46</f>
        <v>0</v>
      </c>
      <c r="P86" s="16">
        <f>'e - Sales'!P46</f>
        <v>0</v>
      </c>
      <c r="Q86" s="13"/>
      <c r="R86" s="13"/>
    </row>
    <row r="87" spans="1:18" ht="16.5" customHeight="1">
      <c r="A87" s="14" t="s">
        <v>120</v>
      </c>
      <c r="B87" s="13"/>
      <c r="C87" s="13"/>
      <c r="D87" s="19">
        <f>IF(ISERR((D90-(D88*D89*12))/D86),0,((D90-(D88*D89*12))/D86))</f>
        <v>0</v>
      </c>
      <c r="E87" s="19">
        <f>IF(ISERR((E90-(E88*E89*12))/E86),0,((E90-(E88*E89*12))/E86))</f>
        <v>0</v>
      </c>
      <c r="F87" s="19">
        <f>IF(ISERR((F90-(F88*F89*12))/F86),0,((F90-(F88*F89*12))/F86))</f>
        <v>0</v>
      </c>
      <c r="G87" s="9">
        <v>0</v>
      </c>
      <c r="H87" s="9">
        <v>0</v>
      </c>
      <c r="I87" s="9">
        <v>0</v>
      </c>
      <c r="J87" s="9">
        <v>0</v>
      </c>
      <c r="K87" s="9">
        <v>0</v>
      </c>
      <c r="L87" s="9">
        <v>0</v>
      </c>
      <c r="M87" s="9">
        <v>0</v>
      </c>
      <c r="N87" s="9">
        <v>0</v>
      </c>
      <c r="O87" s="9">
        <v>0</v>
      </c>
      <c r="P87" s="9">
        <v>0</v>
      </c>
      <c r="Q87" s="13"/>
      <c r="R87" s="14"/>
    </row>
    <row r="88" spans="1:18" ht="16.5" customHeight="1">
      <c r="A88" s="14" t="s">
        <v>121</v>
      </c>
      <c r="B88" s="13"/>
      <c r="C88" s="13"/>
      <c r="D88" s="7">
        <v>0</v>
      </c>
      <c r="E88" s="7">
        <v>0</v>
      </c>
      <c r="F88" s="7">
        <v>0</v>
      </c>
      <c r="G88" s="7">
        <v>0</v>
      </c>
      <c r="H88" s="7">
        <v>0</v>
      </c>
      <c r="I88" s="7">
        <v>0</v>
      </c>
      <c r="J88" s="7">
        <v>0</v>
      </c>
      <c r="K88" s="7">
        <v>0</v>
      </c>
      <c r="L88" s="7">
        <v>0</v>
      </c>
      <c r="M88" s="7">
        <v>0</v>
      </c>
      <c r="N88" s="7">
        <v>0</v>
      </c>
      <c r="O88" s="7">
        <v>0</v>
      </c>
      <c r="P88" s="7">
        <v>0</v>
      </c>
      <c r="Q88" s="13"/>
      <c r="R88" s="14"/>
    </row>
    <row r="89" spans="1:18" ht="16.5" customHeight="1">
      <c r="A89" s="14" t="s">
        <v>122</v>
      </c>
      <c r="B89" s="13"/>
      <c r="C89" s="13"/>
      <c r="D89" s="16">
        <f>'e - Sales'!D15</f>
        <v>0</v>
      </c>
      <c r="E89" s="16">
        <f>'e - Sales'!E15</f>
        <v>0</v>
      </c>
      <c r="F89" s="16">
        <f>'e - Sales'!F15</f>
        <v>0</v>
      </c>
      <c r="G89" s="16">
        <f>'e - Sales'!G15</f>
        <v>0</v>
      </c>
      <c r="H89" s="16">
        <f>'e - Sales'!H15</f>
        <v>0</v>
      </c>
      <c r="I89" s="16">
        <f>'e - Sales'!I15</f>
        <v>0</v>
      </c>
      <c r="J89" s="16">
        <f>'e - Sales'!J15</f>
        <v>0</v>
      </c>
      <c r="K89" s="16">
        <f>'e - Sales'!K15</f>
        <v>0</v>
      </c>
      <c r="L89" s="16">
        <f>'e - Sales'!L15</f>
        <v>0</v>
      </c>
      <c r="M89" s="16">
        <f>'e - Sales'!M15</f>
        <v>0</v>
      </c>
      <c r="N89" s="16">
        <f>'e - Sales'!N15</f>
        <v>0</v>
      </c>
      <c r="O89" s="16">
        <f>'e - Sales'!O15</f>
        <v>0</v>
      </c>
      <c r="P89" s="16">
        <f>'e - Sales'!P15</f>
        <v>0</v>
      </c>
      <c r="Q89" s="13"/>
      <c r="R89" s="13"/>
    </row>
    <row r="90" spans="1:18" ht="16.5" customHeight="1">
      <c r="A90" s="14" t="s">
        <v>123</v>
      </c>
      <c r="B90" s="13"/>
      <c r="C90" s="13"/>
      <c r="D90" s="16">
        <f>D92-D91</f>
        <v>0</v>
      </c>
      <c r="E90" s="16">
        <f>E92-E91</f>
        <v>0</v>
      </c>
      <c r="F90" s="16">
        <f>F92-F91</f>
        <v>0</v>
      </c>
      <c r="G90" s="16">
        <f t="shared" ref="G90:N90" si="44">ROUND(G86*G87+(G88*G89*12),0)</f>
        <v>0</v>
      </c>
      <c r="H90" s="16">
        <f t="shared" si="44"/>
        <v>0</v>
      </c>
      <c r="I90" s="16">
        <f t="shared" si="44"/>
        <v>0</v>
      </c>
      <c r="J90" s="16">
        <f t="shared" si="44"/>
        <v>0</v>
      </c>
      <c r="K90" s="16">
        <f t="shared" si="44"/>
        <v>0</v>
      </c>
      <c r="L90" s="16">
        <f t="shared" si="44"/>
        <v>0</v>
      </c>
      <c r="M90" s="16">
        <f t="shared" si="44"/>
        <v>0</v>
      </c>
      <c r="N90" s="16">
        <f t="shared" si="44"/>
        <v>0</v>
      </c>
      <c r="O90" s="16">
        <f t="shared" ref="O90:P90" si="45">ROUND(O86*O87+(O88*O89*12),0)</f>
        <v>0</v>
      </c>
      <c r="P90" s="16">
        <f t="shared" si="45"/>
        <v>0</v>
      </c>
      <c r="Q90" s="13"/>
      <c r="R90" s="13"/>
    </row>
    <row r="91" spans="1:18" ht="16.5" customHeight="1">
      <c r="A91" s="14" t="s">
        <v>124</v>
      </c>
      <c r="B91" s="13"/>
      <c r="C91" s="13"/>
      <c r="D91" s="16">
        <f>CHOOSE($C93+1,0,D$156,D$159,D$156+D$159)*D86</f>
        <v>0</v>
      </c>
      <c r="E91" s="16">
        <f>CHOOSE($C93+1,0,E$156,E$159,E$156+E$159)*E86</f>
        <v>0</v>
      </c>
      <c r="F91" s="16">
        <f>CHOOSE($C93+1,0,F$156,F$159,F$156+F$159)*F86</f>
        <v>0</v>
      </c>
      <c r="G91" s="16">
        <f t="shared" ref="G91:O91" si="46">CHOOSE($C93+1,0,G$156,G$159,G$156+G$159)*G86</f>
        <v>0</v>
      </c>
      <c r="H91" s="16">
        <f t="shared" si="46"/>
        <v>0</v>
      </c>
      <c r="I91" s="16">
        <f t="shared" si="46"/>
        <v>0</v>
      </c>
      <c r="J91" s="16">
        <f t="shared" si="46"/>
        <v>0</v>
      </c>
      <c r="K91" s="16">
        <f t="shared" si="46"/>
        <v>0</v>
      </c>
      <c r="L91" s="16">
        <f t="shared" si="46"/>
        <v>0</v>
      </c>
      <c r="M91" s="16">
        <f t="shared" si="46"/>
        <v>0</v>
      </c>
      <c r="N91" s="16">
        <f t="shared" si="46"/>
        <v>0</v>
      </c>
      <c r="O91" s="16">
        <f t="shared" si="46"/>
        <v>0</v>
      </c>
      <c r="P91" s="16">
        <f t="shared" ref="P91" si="47">CHOOSE($C93+1,0,P$156,P$159,P$156+P$159)*P86</f>
        <v>0</v>
      </c>
      <c r="Q91" s="13"/>
      <c r="R91" s="13"/>
    </row>
    <row r="92" spans="1:18" ht="16.5" customHeight="1">
      <c r="A92" s="14" t="s">
        <v>125</v>
      </c>
      <c r="B92" s="13"/>
      <c r="C92" s="13"/>
      <c r="D92" s="214">
        <v>0</v>
      </c>
      <c r="E92" s="214">
        <v>0</v>
      </c>
      <c r="F92" s="214">
        <v>0</v>
      </c>
      <c r="G92" s="16">
        <f t="shared" ref="G92:N92" si="48">G90+G91</f>
        <v>0</v>
      </c>
      <c r="H92" s="16">
        <f t="shared" si="48"/>
        <v>0</v>
      </c>
      <c r="I92" s="16">
        <f t="shared" si="48"/>
        <v>0</v>
      </c>
      <c r="J92" s="16">
        <f t="shared" si="48"/>
        <v>0</v>
      </c>
      <c r="K92" s="16">
        <f t="shared" si="48"/>
        <v>0</v>
      </c>
      <c r="L92" s="16">
        <f t="shared" si="48"/>
        <v>0</v>
      </c>
      <c r="M92" s="16">
        <f t="shared" si="48"/>
        <v>0</v>
      </c>
      <c r="N92" s="16">
        <f t="shared" si="48"/>
        <v>0</v>
      </c>
      <c r="O92" s="16">
        <f t="shared" ref="O92:P92" si="49">O90+O91</f>
        <v>0</v>
      </c>
      <c r="P92" s="16">
        <f t="shared" si="49"/>
        <v>0</v>
      </c>
      <c r="Q92" s="13"/>
      <c r="R92" s="13"/>
    </row>
    <row r="93" spans="1:18" ht="16.5" customHeight="1">
      <c r="A93" s="13"/>
      <c r="B93" s="13"/>
      <c r="C93" s="35">
        <v>3</v>
      </c>
      <c r="D93" s="13"/>
      <c r="E93" s="13"/>
      <c r="F93" s="13"/>
      <c r="G93" s="13"/>
      <c r="H93" s="13"/>
      <c r="I93" s="13"/>
      <c r="J93" s="13"/>
      <c r="K93" s="13"/>
      <c r="L93" s="13"/>
      <c r="M93" s="13"/>
      <c r="N93" s="13"/>
      <c r="O93" s="13"/>
      <c r="P93" s="13"/>
      <c r="Q93" s="13"/>
      <c r="R93" s="13"/>
    </row>
    <row r="94" spans="1:18" ht="16.5" customHeight="1">
      <c r="A94" s="14" t="s">
        <v>134</v>
      </c>
      <c r="B94" s="13" t="str">
        <f>'e - Sales'!B16</f>
        <v>PUBLIC STREET &amp; HIGHWAY LIGHTING</v>
      </c>
      <c r="C94" s="13"/>
      <c r="D94" s="13"/>
      <c r="E94" s="13"/>
      <c r="F94" s="13"/>
      <c r="G94" s="13"/>
      <c r="H94" s="13"/>
      <c r="I94" s="13"/>
      <c r="J94" s="13"/>
      <c r="K94" s="13"/>
      <c r="L94" s="13"/>
      <c r="M94" s="13"/>
      <c r="N94" s="13"/>
      <c r="O94" s="13"/>
      <c r="P94" s="13"/>
      <c r="Q94" s="13"/>
      <c r="R94" s="13"/>
    </row>
    <row r="95" spans="1:18" ht="16.5" customHeight="1">
      <c r="A95" s="14" t="s">
        <v>119</v>
      </c>
      <c r="B95" s="13"/>
      <c r="C95" s="13"/>
      <c r="D95" s="16">
        <f>'e - Sales'!D47</f>
        <v>0</v>
      </c>
      <c r="E95" s="16">
        <f>'e - Sales'!E47</f>
        <v>0</v>
      </c>
      <c r="F95" s="16">
        <f>'e - Sales'!F47</f>
        <v>0</v>
      </c>
      <c r="G95" s="16">
        <f>'e - Sales'!G47</f>
        <v>0</v>
      </c>
      <c r="H95" s="16">
        <f>'e - Sales'!H47</f>
        <v>0</v>
      </c>
      <c r="I95" s="16">
        <f>'e - Sales'!I47</f>
        <v>0</v>
      </c>
      <c r="J95" s="16">
        <f>'e - Sales'!J47</f>
        <v>0</v>
      </c>
      <c r="K95" s="16">
        <f>'e - Sales'!K47</f>
        <v>0</v>
      </c>
      <c r="L95" s="16">
        <f>'e - Sales'!L47</f>
        <v>0</v>
      </c>
      <c r="M95" s="16">
        <f>'e - Sales'!M47</f>
        <v>0</v>
      </c>
      <c r="N95" s="16">
        <f>'e - Sales'!N47</f>
        <v>0</v>
      </c>
      <c r="O95" s="16">
        <f>'e - Sales'!O47</f>
        <v>0</v>
      </c>
      <c r="P95" s="16">
        <f>'e - Sales'!P47</f>
        <v>0</v>
      </c>
      <c r="Q95" s="13"/>
      <c r="R95" s="13"/>
    </row>
    <row r="96" spans="1:18" ht="16.5" customHeight="1">
      <c r="A96" s="14" t="s">
        <v>120</v>
      </c>
      <c r="B96" s="13"/>
      <c r="C96" s="13"/>
      <c r="D96" s="19">
        <f>IF(ISERR((D99-(D97*D98*12))/D95),0,((D99-(D97*D98*12))/D95))</f>
        <v>0</v>
      </c>
      <c r="E96" s="19">
        <f>IF(ISERR((E99-(E97*E98*12))/E95),0,((E99-(E97*E98*12))/E95))</f>
        <v>0</v>
      </c>
      <c r="F96" s="19">
        <f>IF(ISERR((F99-(F97*F98*12))/F95),0,((F99-(F97*F98*12))/F95))</f>
        <v>0</v>
      </c>
      <c r="G96" s="9">
        <v>0</v>
      </c>
      <c r="H96" s="9">
        <v>0</v>
      </c>
      <c r="I96" s="9">
        <v>0</v>
      </c>
      <c r="J96" s="9">
        <v>0</v>
      </c>
      <c r="K96" s="9">
        <v>0</v>
      </c>
      <c r="L96" s="9">
        <v>0</v>
      </c>
      <c r="M96" s="9">
        <v>0</v>
      </c>
      <c r="N96" s="9">
        <v>0</v>
      </c>
      <c r="O96" s="9">
        <v>0</v>
      </c>
      <c r="P96" s="9">
        <v>0</v>
      </c>
      <c r="Q96" s="13"/>
      <c r="R96" s="14"/>
    </row>
    <row r="97" spans="1:18" ht="16.5" customHeight="1">
      <c r="A97" s="14" t="s">
        <v>121</v>
      </c>
      <c r="B97" s="13"/>
      <c r="C97" s="13"/>
      <c r="D97" s="7">
        <v>0</v>
      </c>
      <c r="E97" s="7">
        <v>0</v>
      </c>
      <c r="F97" s="7">
        <v>0</v>
      </c>
      <c r="G97" s="7">
        <v>0</v>
      </c>
      <c r="H97" s="7">
        <v>0</v>
      </c>
      <c r="I97" s="7">
        <v>0</v>
      </c>
      <c r="J97" s="7">
        <v>0</v>
      </c>
      <c r="K97" s="7">
        <v>0</v>
      </c>
      <c r="L97" s="7">
        <v>0</v>
      </c>
      <c r="M97" s="7">
        <v>0</v>
      </c>
      <c r="N97" s="7">
        <v>0</v>
      </c>
      <c r="O97" s="7">
        <v>0</v>
      </c>
      <c r="P97" s="7">
        <v>0</v>
      </c>
      <c r="Q97" s="13"/>
      <c r="R97" s="14"/>
    </row>
    <row r="98" spans="1:18" ht="16.5" customHeight="1">
      <c r="A98" s="14" t="s">
        <v>122</v>
      </c>
      <c r="B98" s="13"/>
      <c r="C98" s="13"/>
      <c r="D98" s="16">
        <f>'e - Sales'!D16</f>
        <v>0</v>
      </c>
      <c r="E98" s="16">
        <f>'e - Sales'!E16</f>
        <v>0</v>
      </c>
      <c r="F98" s="16">
        <f>'e - Sales'!F16</f>
        <v>0</v>
      </c>
      <c r="G98" s="16">
        <f>'e - Sales'!G16</f>
        <v>0</v>
      </c>
      <c r="H98" s="16">
        <f>'e - Sales'!H16</f>
        <v>0</v>
      </c>
      <c r="I98" s="16">
        <f>'e - Sales'!I16</f>
        <v>0</v>
      </c>
      <c r="J98" s="16">
        <f>'e - Sales'!J16</f>
        <v>0</v>
      </c>
      <c r="K98" s="16">
        <f>'e - Sales'!K16</f>
        <v>0</v>
      </c>
      <c r="L98" s="16">
        <f>'e - Sales'!L16</f>
        <v>0</v>
      </c>
      <c r="M98" s="16">
        <f>'e - Sales'!M16</f>
        <v>0</v>
      </c>
      <c r="N98" s="16">
        <f>'e - Sales'!N16</f>
        <v>0</v>
      </c>
      <c r="O98" s="16">
        <f>'e - Sales'!O16</f>
        <v>0</v>
      </c>
      <c r="P98" s="16">
        <f>'e - Sales'!P16</f>
        <v>0</v>
      </c>
      <c r="Q98" s="13"/>
      <c r="R98" s="13"/>
    </row>
    <row r="99" spans="1:18" ht="16.5" customHeight="1">
      <c r="A99" s="14" t="s">
        <v>123</v>
      </c>
      <c r="B99" s="13"/>
      <c r="C99" s="13"/>
      <c r="D99" s="16">
        <f>D101-D100</f>
        <v>0</v>
      </c>
      <c r="E99" s="16">
        <f>E101-E100</f>
        <v>0</v>
      </c>
      <c r="F99" s="16">
        <f>F101-F100</f>
        <v>0</v>
      </c>
      <c r="G99" s="16">
        <f t="shared" ref="G99:N99" si="50">ROUND(G95*G96+(G97*G98*12),0)</f>
        <v>0</v>
      </c>
      <c r="H99" s="16">
        <f t="shared" si="50"/>
        <v>0</v>
      </c>
      <c r="I99" s="16">
        <f t="shared" si="50"/>
        <v>0</v>
      </c>
      <c r="J99" s="16">
        <f t="shared" si="50"/>
        <v>0</v>
      </c>
      <c r="K99" s="16">
        <f t="shared" si="50"/>
        <v>0</v>
      </c>
      <c r="L99" s="16">
        <f t="shared" si="50"/>
        <v>0</v>
      </c>
      <c r="M99" s="16">
        <f t="shared" si="50"/>
        <v>0</v>
      </c>
      <c r="N99" s="16">
        <f t="shared" si="50"/>
        <v>0</v>
      </c>
      <c r="O99" s="16">
        <f t="shared" ref="O99:P99" si="51">ROUND(O95*O96+(O97*O98*12),0)</f>
        <v>0</v>
      </c>
      <c r="P99" s="16">
        <f t="shared" si="51"/>
        <v>0</v>
      </c>
      <c r="Q99" s="13"/>
      <c r="R99" s="13"/>
    </row>
    <row r="100" spans="1:18" ht="16.5" customHeight="1">
      <c r="A100" s="14" t="s">
        <v>124</v>
      </c>
      <c r="B100" s="13"/>
      <c r="C100" s="13"/>
      <c r="D100" s="16">
        <f>CHOOSE($C102+1,0,D$156,D$159,D$156+D$159)*D95</f>
        <v>0</v>
      </c>
      <c r="E100" s="16">
        <f>CHOOSE($C102+1,0,E$156,E$159,E$156+E$159)*E95</f>
        <v>0</v>
      </c>
      <c r="F100" s="16">
        <f>CHOOSE($C102+1,0,F$156,F$159,F$156+F$159)*F95</f>
        <v>0</v>
      </c>
      <c r="G100" s="16">
        <f t="shared" ref="G100:O100" si="52">CHOOSE($C102+1,0,G$156,G$159,G$156+G$159)*G95</f>
        <v>0</v>
      </c>
      <c r="H100" s="16">
        <f t="shared" si="52"/>
        <v>0</v>
      </c>
      <c r="I100" s="16">
        <f t="shared" si="52"/>
        <v>0</v>
      </c>
      <c r="J100" s="16">
        <f t="shared" si="52"/>
        <v>0</v>
      </c>
      <c r="K100" s="16">
        <f t="shared" si="52"/>
        <v>0</v>
      </c>
      <c r="L100" s="16">
        <f t="shared" si="52"/>
        <v>0</v>
      </c>
      <c r="M100" s="16">
        <f t="shared" si="52"/>
        <v>0</v>
      </c>
      <c r="N100" s="16">
        <f t="shared" si="52"/>
        <v>0</v>
      </c>
      <c r="O100" s="16">
        <f t="shared" si="52"/>
        <v>0</v>
      </c>
      <c r="P100" s="16">
        <f t="shared" ref="P100" si="53">CHOOSE($C102+1,0,P$156,P$159,P$156+P$159)*P95</f>
        <v>0</v>
      </c>
      <c r="Q100" s="13"/>
      <c r="R100" s="13"/>
    </row>
    <row r="101" spans="1:18" ht="16.5" customHeight="1">
      <c r="A101" s="14" t="s">
        <v>125</v>
      </c>
      <c r="B101" s="13"/>
      <c r="C101" s="13"/>
      <c r="D101" s="214">
        <v>0</v>
      </c>
      <c r="E101" s="214">
        <v>0</v>
      </c>
      <c r="F101" s="214">
        <v>0</v>
      </c>
      <c r="G101" s="16">
        <f t="shared" ref="G101:N101" si="54">G99+G100</f>
        <v>0</v>
      </c>
      <c r="H101" s="16">
        <f t="shared" si="54"/>
        <v>0</v>
      </c>
      <c r="I101" s="16">
        <f t="shared" si="54"/>
        <v>0</v>
      </c>
      <c r="J101" s="16">
        <f t="shared" si="54"/>
        <v>0</v>
      </c>
      <c r="K101" s="16">
        <f t="shared" si="54"/>
        <v>0</v>
      </c>
      <c r="L101" s="16">
        <f t="shared" si="54"/>
        <v>0</v>
      </c>
      <c r="M101" s="16">
        <f t="shared" si="54"/>
        <v>0</v>
      </c>
      <c r="N101" s="16">
        <f t="shared" si="54"/>
        <v>0</v>
      </c>
      <c r="O101" s="16">
        <f t="shared" ref="O101:P101" si="55">O99+O100</f>
        <v>0</v>
      </c>
      <c r="P101" s="16">
        <f t="shared" si="55"/>
        <v>0</v>
      </c>
      <c r="Q101" s="13"/>
      <c r="R101" s="13"/>
    </row>
    <row r="102" spans="1:18" ht="16.5" customHeight="1">
      <c r="A102" s="13"/>
      <c r="B102" s="13"/>
      <c r="C102" s="35">
        <v>3</v>
      </c>
      <c r="D102" s="13"/>
      <c r="E102" s="13"/>
      <c r="F102" s="13"/>
      <c r="G102" s="13"/>
      <c r="H102" s="13"/>
      <c r="I102" s="13"/>
      <c r="J102" s="13"/>
      <c r="K102" s="13"/>
      <c r="L102" s="13"/>
      <c r="M102" s="13"/>
      <c r="N102" s="13"/>
      <c r="O102" s="13"/>
      <c r="P102" s="13"/>
      <c r="Q102" s="13"/>
      <c r="R102" s="13"/>
    </row>
    <row r="103" spans="1:18" ht="16.5" customHeight="1">
      <c r="A103" s="14" t="s">
        <v>135</v>
      </c>
      <c r="B103" s="13" t="str">
        <f>'e - Sales'!B17</f>
        <v>PUBLIC BUILDING &amp; OTHER PUBLIC AUTH.</v>
      </c>
      <c r="C103" s="13"/>
      <c r="D103" s="13"/>
      <c r="E103" s="13"/>
      <c r="F103" s="13"/>
      <c r="G103" s="13"/>
      <c r="H103" s="13"/>
      <c r="I103" s="13"/>
      <c r="J103" s="13"/>
      <c r="K103" s="13"/>
      <c r="L103" s="13"/>
      <c r="M103" s="13"/>
      <c r="N103" s="13"/>
      <c r="O103" s="13"/>
      <c r="P103" s="13"/>
      <c r="Q103" s="13"/>
      <c r="R103" s="13"/>
    </row>
    <row r="104" spans="1:18" ht="16.5" customHeight="1">
      <c r="A104" s="14" t="s">
        <v>119</v>
      </c>
      <c r="B104" s="13"/>
      <c r="C104" s="13"/>
      <c r="D104" s="16">
        <f>'e - Sales'!D48</f>
        <v>0</v>
      </c>
      <c r="E104" s="16">
        <f>'e - Sales'!E48</f>
        <v>0</v>
      </c>
      <c r="F104" s="16">
        <f>'e - Sales'!F48</f>
        <v>0</v>
      </c>
      <c r="G104" s="16">
        <f>'e - Sales'!G48</f>
        <v>0</v>
      </c>
      <c r="H104" s="16">
        <f>'e - Sales'!H48</f>
        <v>0</v>
      </c>
      <c r="I104" s="16">
        <f>'e - Sales'!I48</f>
        <v>0</v>
      </c>
      <c r="J104" s="16">
        <f>'e - Sales'!J48</f>
        <v>0</v>
      </c>
      <c r="K104" s="16">
        <f>'e - Sales'!K48</f>
        <v>0</v>
      </c>
      <c r="L104" s="16">
        <f>'e - Sales'!L48</f>
        <v>0</v>
      </c>
      <c r="M104" s="16">
        <f>'e - Sales'!M48</f>
        <v>0</v>
      </c>
      <c r="N104" s="16">
        <f>'e - Sales'!N48</f>
        <v>0</v>
      </c>
      <c r="O104" s="16">
        <f>'e - Sales'!O48</f>
        <v>0</v>
      </c>
      <c r="P104" s="16">
        <f>'e - Sales'!P48</f>
        <v>0</v>
      </c>
      <c r="Q104" s="13"/>
      <c r="R104" s="13"/>
    </row>
    <row r="105" spans="1:18" ht="16.5" customHeight="1">
      <c r="A105" s="14" t="s">
        <v>120</v>
      </c>
      <c r="B105" s="13"/>
      <c r="C105" s="13"/>
      <c r="D105" s="19">
        <f>IF(ISERR((D108-(D106*D107*12))/D104),0,((D108-(D106*D107*12))/D104))</f>
        <v>0</v>
      </c>
      <c r="E105" s="19">
        <f>IF(ISERR((E108-(E106*E107*12))/E104),0,((E108-(E106*E107*12))/E104))</f>
        <v>0</v>
      </c>
      <c r="F105" s="19">
        <f>IF(ISERR((F108-(F106*F107*12))/F104),0,((F108-(F106*F107*12))/F104))</f>
        <v>0</v>
      </c>
      <c r="G105" s="9">
        <v>0</v>
      </c>
      <c r="H105" s="9">
        <v>0</v>
      </c>
      <c r="I105" s="9">
        <v>0</v>
      </c>
      <c r="J105" s="9">
        <v>0</v>
      </c>
      <c r="K105" s="9">
        <v>0</v>
      </c>
      <c r="L105" s="9">
        <v>0</v>
      </c>
      <c r="M105" s="9">
        <v>0</v>
      </c>
      <c r="N105" s="9">
        <v>0</v>
      </c>
      <c r="O105" s="9">
        <v>0</v>
      </c>
      <c r="P105" s="9">
        <v>0</v>
      </c>
      <c r="Q105" s="13"/>
      <c r="R105" s="14"/>
    </row>
    <row r="106" spans="1:18" ht="16.5" customHeight="1">
      <c r="A106" s="14" t="s">
        <v>121</v>
      </c>
      <c r="B106" s="13"/>
      <c r="C106" s="13"/>
      <c r="D106" s="7">
        <v>0</v>
      </c>
      <c r="E106" s="7">
        <v>0</v>
      </c>
      <c r="F106" s="7">
        <v>0</v>
      </c>
      <c r="G106" s="7">
        <v>0</v>
      </c>
      <c r="H106" s="7">
        <v>0</v>
      </c>
      <c r="I106" s="7">
        <v>0</v>
      </c>
      <c r="J106" s="7">
        <v>0</v>
      </c>
      <c r="K106" s="7">
        <v>0</v>
      </c>
      <c r="L106" s="7">
        <v>0</v>
      </c>
      <c r="M106" s="7">
        <v>0</v>
      </c>
      <c r="N106" s="7">
        <v>0</v>
      </c>
      <c r="O106" s="7">
        <v>0</v>
      </c>
      <c r="P106" s="7">
        <v>0</v>
      </c>
      <c r="Q106" s="13"/>
      <c r="R106" s="14"/>
    </row>
    <row r="107" spans="1:18" ht="16.5" customHeight="1">
      <c r="A107" s="14" t="s">
        <v>122</v>
      </c>
      <c r="B107" s="13"/>
      <c r="C107" s="13"/>
      <c r="D107" s="16">
        <f>'e - Sales'!D17</f>
        <v>0</v>
      </c>
      <c r="E107" s="16">
        <f>'e - Sales'!E17</f>
        <v>0</v>
      </c>
      <c r="F107" s="16">
        <f>'e - Sales'!F17</f>
        <v>0</v>
      </c>
      <c r="G107" s="16">
        <f>'e - Sales'!G17</f>
        <v>0</v>
      </c>
      <c r="H107" s="16">
        <f>'e - Sales'!H17</f>
        <v>0</v>
      </c>
      <c r="I107" s="16">
        <f>'e - Sales'!I17</f>
        <v>0</v>
      </c>
      <c r="J107" s="16">
        <f>'e - Sales'!J17</f>
        <v>0</v>
      </c>
      <c r="K107" s="16">
        <f>'e - Sales'!K17</f>
        <v>0</v>
      </c>
      <c r="L107" s="16">
        <f>'e - Sales'!L17</f>
        <v>0</v>
      </c>
      <c r="M107" s="16">
        <f>'e - Sales'!M17</f>
        <v>0</v>
      </c>
      <c r="N107" s="16">
        <f>'e - Sales'!N17</f>
        <v>0</v>
      </c>
      <c r="O107" s="16">
        <f>'e - Sales'!O17</f>
        <v>0</v>
      </c>
      <c r="P107" s="16">
        <f>'e - Sales'!P17</f>
        <v>0</v>
      </c>
      <c r="Q107" s="13"/>
      <c r="R107" s="13"/>
    </row>
    <row r="108" spans="1:18" ht="16.5" customHeight="1">
      <c r="A108" s="14" t="s">
        <v>123</v>
      </c>
      <c r="B108" s="13"/>
      <c r="C108" s="13"/>
      <c r="D108" s="16">
        <f>D110-D109</f>
        <v>0</v>
      </c>
      <c r="E108" s="16">
        <f>E110-E109</f>
        <v>0</v>
      </c>
      <c r="F108" s="16">
        <f>F110-F109</f>
        <v>0</v>
      </c>
      <c r="G108" s="16">
        <f t="shared" ref="G108:N108" si="56">ROUND(G104*G105+(G106*G107*12),0)</f>
        <v>0</v>
      </c>
      <c r="H108" s="16">
        <f t="shared" si="56"/>
        <v>0</v>
      </c>
      <c r="I108" s="16">
        <f t="shared" si="56"/>
        <v>0</v>
      </c>
      <c r="J108" s="16">
        <f t="shared" si="56"/>
        <v>0</v>
      </c>
      <c r="K108" s="16">
        <f t="shared" si="56"/>
        <v>0</v>
      </c>
      <c r="L108" s="16">
        <f t="shared" si="56"/>
        <v>0</v>
      </c>
      <c r="M108" s="16">
        <f t="shared" si="56"/>
        <v>0</v>
      </c>
      <c r="N108" s="16">
        <f t="shared" si="56"/>
        <v>0</v>
      </c>
      <c r="O108" s="16">
        <f t="shared" ref="O108:P108" si="57">ROUND(O104*O105+(O106*O107*12),0)</f>
        <v>0</v>
      </c>
      <c r="P108" s="16">
        <f t="shared" si="57"/>
        <v>0</v>
      </c>
      <c r="Q108" s="13"/>
      <c r="R108" s="13"/>
    </row>
    <row r="109" spans="1:18" ht="16.5" customHeight="1">
      <c r="A109" s="14" t="s">
        <v>124</v>
      </c>
      <c r="B109" s="13"/>
      <c r="C109" s="13"/>
      <c r="D109" s="16">
        <f>CHOOSE($C111+1,0,D$156,D$159,D$156+D$159)*D104</f>
        <v>0</v>
      </c>
      <c r="E109" s="16">
        <f>CHOOSE($C111+1,0,E$156,E$159,E$156+E$159)*E104</f>
        <v>0</v>
      </c>
      <c r="F109" s="16">
        <f>CHOOSE($C111+1,0,F$156,F$159,F$156+F$159)*F104</f>
        <v>0</v>
      </c>
      <c r="G109" s="16">
        <f t="shared" ref="G109:O109" si="58">CHOOSE($C111+1,0,G$156,G$159,G$156+G$159)*G104</f>
        <v>0</v>
      </c>
      <c r="H109" s="16">
        <f t="shared" si="58"/>
        <v>0</v>
      </c>
      <c r="I109" s="16">
        <f t="shared" si="58"/>
        <v>0</v>
      </c>
      <c r="J109" s="16">
        <f t="shared" si="58"/>
        <v>0</v>
      </c>
      <c r="K109" s="16">
        <f t="shared" si="58"/>
        <v>0</v>
      </c>
      <c r="L109" s="16">
        <f t="shared" si="58"/>
        <v>0</v>
      </c>
      <c r="M109" s="16">
        <f t="shared" si="58"/>
        <v>0</v>
      </c>
      <c r="N109" s="16">
        <f t="shared" si="58"/>
        <v>0</v>
      </c>
      <c r="O109" s="16">
        <f t="shared" si="58"/>
        <v>0</v>
      </c>
      <c r="P109" s="16">
        <f t="shared" ref="P109" si="59">CHOOSE($C111+1,0,P$156,P$159,P$156+P$159)*P104</f>
        <v>0</v>
      </c>
      <c r="Q109" s="13"/>
      <c r="R109" s="13"/>
    </row>
    <row r="110" spans="1:18" ht="16.5" customHeight="1">
      <c r="A110" s="14" t="s">
        <v>125</v>
      </c>
      <c r="B110" s="13"/>
      <c r="C110" s="13"/>
      <c r="D110" s="214">
        <v>0</v>
      </c>
      <c r="E110" s="214">
        <v>0</v>
      </c>
      <c r="F110" s="214">
        <v>0</v>
      </c>
      <c r="G110" s="16">
        <f t="shared" ref="G110:N110" si="60">G108+G109</f>
        <v>0</v>
      </c>
      <c r="H110" s="16">
        <f t="shared" si="60"/>
        <v>0</v>
      </c>
      <c r="I110" s="16">
        <f t="shared" si="60"/>
        <v>0</v>
      </c>
      <c r="J110" s="16">
        <f t="shared" si="60"/>
        <v>0</v>
      </c>
      <c r="K110" s="16">
        <f t="shared" si="60"/>
        <v>0</v>
      </c>
      <c r="L110" s="16">
        <f t="shared" si="60"/>
        <v>0</v>
      </c>
      <c r="M110" s="16">
        <f t="shared" si="60"/>
        <v>0</v>
      </c>
      <c r="N110" s="16">
        <f t="shared" si="60"/>
        <v>0</v>
      </c>
      <c r="O110" s="16">
        <f t="shared" ref="O110:P110" si="61">O108+O109</f>
        <v>0</v>
      </c>
      <c r="P110" s="16">
        <f t="shared" si="61"/>
        <v>0</v>
      </c>
      <c r="Q110" s="13"/>
      <c r="R110" s="13"/>
    </row>
    <row r="111" spans="1:18" ht="16.5" customHeight="1">
      <c r="A111" s="13"/>
      <c r="B111" s="13"/>
      <c r="C111" s="35">
        <v>3</v>
      </c>
      <c r="D111" s="13"/>
      <c r="E111" s="13"/>
      <c r="F111" s="13"/>
      <c r="G111" s="13"/>
      <c r="H111" s="13"/>
      <c r="I111" s="13"/>
      <c r="J111" s="13"/>
      <c r="K111" s="13"/>
      <c r="L111" s="13"/>
      <c r="M111" s="13"/>
      <c r="N111" s="13"/>
      <c r="O111" s="13"/>
      <c r="P111" s="13"/>
      <c r="Q111" s="13"/>
      <c r="R111" s="13"/>
    </row>
    <row r="112" spans="1:18" ht="16.5" customHeight="1">
      <c r="A112" s="13"/>
      <c r="B112" s="13"/>
      <c r="C112" s="13"/>
      <c r="D112" s="13"/>
      <c r="E112" s="13"/>
      <c r="F112" s="13"/>
      <c r="G112" s="13"/>
      <c r="H112" s="13"/>
      <c r="I112" s="13"/>
      <c r="J112" s="13"/>
      <c r="K112" s="13"/>
      <c r="L112" s="13"/>
      <c r="M112" s="13"/>
      <c r="N112" s="13"/>
      <c r="O112" s="13"/>
      <c r="P112" s="13"/>
      <c r="Q112" s="13"/>
      <c r="R112" s="13"/>
    </row>
    <row r="113" spans="1:18" ht="16.5" customHeight="1">
      <c r="A113" s="13"/>
      <c r="B113" s="13"/>
      <c r="C113" s="13"/>
      <c r="D113" s="13"/>
      <c r="E113" s="13"/>
      <c r="F113" s="13"/>
      <c r="G113" s="13"/>
      <c r="H113" s="13"/>
      <c r="I113" s="13"/>
      <c r="J113" s="13"/>
      <c r="K113" s="13"/>
      <c r="L113" s="13"/>
      <c r="M113" s="13"/>
      <c r="N113" s="13"/>
      <c r="O113" s="13"/>
      <c r="P113" s="13"/>
      <c r="Q113" s="13"/>
      <c r="R113" s="13"/>
    </row>
    <row r="114" spans="1:18" ht="16.5" customHeight="1">
      <c r="A114" s="13"/>
      <c r="B114" s="13"/>
      <c r="C114" s="13"/>
      <c r="D114" s="13"/>
      <c r="E114" s="13"/>
      <c r="F114" s="13"/>
      <c r="G114" s="13"/>
      <c r="H114" s="13"/>
      <c r="I114" s="13"/>
      <c r="J114" s="13"/>
      <c r="K114" s="13"/>
      <c r="L114" s="13"/>
      <c r="M114" s="13"/>
      <c r="N114" s="13"/>
      <c r="O114" s="13"/>
      <c r="P114" s="13"/>
      <c r="Q114" s="13"/>
      <c r="R114" s="13"/>
    </row>
    <row r="115" spans="1:18" ht="16.5" customHeight="1">
      <c r="A115" s="13"/>
      <c r="B115" s="13"/>
      <c r="C115" s="13"/>
      <c r="D115" s="13"/>
      <c r="E115" s="13"/>
      <c r="F115" s="13"/>
      <c r="G115" s="13"/>
      <c r="H115" s="13"/>
      <c r="I115" s="13"/>
      <c r="J115" s="13"/>
      <c r="K115" s="13"/>
      <c r="L115" s="13"/>
      <c r="M115" s="13"/>
      <c r="N115" s="13"/>
      <c r="O115" s="13"/>
      <c r="P115" s="13"/>
      <c r="Q115" s="13"/>
      <c r="R115" s="13"/>
    </row>
    <row r="116" spans="1:18" ht="16.5" customHeight="1">
      <c r="A116" s="13"/>
      <c r="B116" s="13"/>
      <c r="C116" s="13"/>
      <c r="D116" s="13"/>
      <c r="E116" s="13"/>
      <c r="F116" s="13"/>
      <c r="G116" s="13"/>
      <c r="H116" s="13"/>
      <c r="I116" s="13"/>
      <c r="J116" s="13"/>
      <c r="K116" s="13"/>
      <c r="L116" s="13"/>
      <c r="M116" s="13"/>
      <c r="N116" s="13"/>
      <c r="O116" s="13"/>
      <c r="P116" s="13"/>
      <c r="Q116" s="13"/>
      <c r="R116" s="13"/>
    </row>
    <row r="117" spans="1:18" ht="16.5" customHeight="1">
      <c r="A117" s="13"/>
      <c r="B117" s="13"/>
      <c r="C117" s="13"/>
      <c r="D117" s="13"/>
      <c r="E117" s="13"/>
      <c r="F117" s="13"/>
      <c r="G117" s="13"/>
      <c r="H117" s="13"/>
      <c r="I117" s="13"/>
      <c r="J117" s="13"/>
      <c r="K117" s="13"/>
      <c r="L117" s="13"/>
      <c r="M117" s="13"/>
      <c r="N117" s="13"/>
      <c r="O117" s="13"/>
      <c r="P117" s="13"/>
      <c r="Q117" s="13"/>
      <c r="R117" s="13"/>
    </row>
    <row r="118" spans="1:18" ht="16.5" customHeight="1">
      <c r="A118" s="13"/>
      <c r="B118" s="13"/>
      <c r="C118" s="13"/>
      <c r="D118" s="13"/>
      <c r="E118" s="13"/>
      <c r="F118" s="13"/>
      <c r="G118" s="13"/>
      <c r="H118" s="13"/>
      <c r="I118" s="13"/>
      <c r="J118" s="13"/>
      <c r="K118" s="13"/>
      <c r="L118" s="13"/>
      <c r="M118" s="13"/>
      <c r="N118" s="13"/>
      <c r="O118" s="13"/>
      <c r="P118" s="13"/>
      <c r="Q118" s="13"/>
      <c r="R118" s="13"/>
    </row>
    <row r="119" spans="1:18" ht="16.5" customHeight="1">
      <c r="A119" s="13"/>
      <c r="B119" s="13"/>
      <c r="C119" s="13"/>
      <c r="D119" s="13"/>
      <c r="E119" s="13"/>
      <c r="F119" s="13"/>
      <c r="G119" s="13"/>
      <c r="H119" s="13"/>
      <c r="I119" s="13"/>
      <c r="J119" s="13"/>
      <c r="K119" s="13"/>
      <c r="L119" s="13"/>
      <c r="M119" s="13"/>
      <c r="N119" s="13"/>
      <c r="O119" s="13"/>
      <c r="P119" s="13"/>
      <c r="Q119" s="13"/>
      <c r="R119" s="13"/>
    </row>
    <row r="120" spans="1:18" ht="16.5" customHeight="1">
      <c r="A120" s="13"/>
      <c r="B120" s="13"/>
      <c r="C120" s="13"/>
      <c r="D120" s="13"/>
      <c r="E120" s="13"/>
      <c r="F120" s="176" t="s">
        <v>42</v>
      </c>
      <c r="G120" s="13"/>
      <c r="H120" s="176" t="s">
        <v>112</v>
      </c>
      <c r="I120" s="13"/>
      <c r="J120" s="13"/>
      <c r="K120" s="13"/>
      <c r="L120" s="13"/>
      <c r="M120" s="13"/>
      <c r="N120" s="13"/>
      <c r="O120" s="13"/>
      <c r="P120" s="176" t="s">
        <v>136</v>
      </c>
      <c r="Q120" s="13"/>
      <c r="R120" s="13"/>
    </row>
    <row r="121" spans="1:18" ht="16.5" customHeight="1">
      <c r="A121" s="13"/>
      <c r="B121" s="13"/>
      <c r="C121" s="17" t="s">
        <v>114</v>
      </c>
      <c r="D121" s="13"/>
      <c r="E121" s="13"/>
      <c r="F121" s="13"/>
      <c r="G121" s="13"/>
      <c r="H121" s="13"/>
      <c r="I121" s="13"/>
      <c r="J121" s="13"/>
      <c r="K121" s="13"/>
      <c r="L121" s="13"/>
      <c r="M121" s="13"/>
      <c r="N121" s="13"/>
      <c r="O121" s="13"/>
      <c r="P121" s="13"/>
      <c r="Q121" s="13"/>
      <c r="R121" s="13"/>
    </row>
    <row r="122" spans="1:18" ht="16.5" customHeight="1">
      <c r="A122" s="13"/>
      <c r="B122" s="13"/>
      <c r="C122" s="17" t="s">
        <v>115</v>
      </c>
      <c r="D122" s="177" t="s">
        <v>44</v>
      </c>
      <c r="E122" s="265" t="s">
        <v>689</v>
      </c>
      <c r="F122" s="265"/>
      <c r="G122" s="177" t="s">
        <v>44</v>
      </c>
      <c r="H122" s="177"/>
      <c r="I122" s="265" t="s">
        <v>45</v>
      </c>
      <c r="J122" s="265"/>
      <c r="K122" s="177" t="s">
        <v>44</v>
      </c>
      <c r="L122" s="177"/>
      <c r="M122" s="177"/>
      <c r="N122" s="177"/>
      <c r="O122" s="177"/>
      <c r="P122" s="177"/>
      <c r="Q122" s="13"/>
      <c r="R122" s="13"/>
    </row>
    <row r="123" spans="1:18" ht="16.5" customHeight="1">
      <c r="A123" s="13"/>
      <c r="B123" s="13"/>
      <c r="C123" s="17" t="s">
        <v>116</v>
      </c>
      <c r="D123" s="13"/>
      <c r="E123" s="13"/>
      <c r="F123" s="13"/>
      <c r="G123" s="13"/>
      <c r="H123" s="13"/>
      <c r="I123" s="13"/>
      <c r="J123" s="13"/>
      <c r="K123" s="13"/>
      <c r="L123" s="13"/>
      <c r="M123" s="13"/>
      <c r="N123" s="13"/>
      <c r="O123" s="13"/>
      <c r="P123" s="13"/>
      <c r="Q123" s="13"/>
      <c r="R123" s="13"/>
    </row>
    <row r="124" spans="1:18" ht="16.5" customHeight="1">
      <c r="A124" s="13"/>
      <c r="B124" s="13"/>
      <c r="C124" s="17" t="s">
        <v>117</v>
      </c>
      <c r="D124" s="15">
        <f>E124-1</f>
        <v>2021</v>
      </c>
      <c r="E124" s="15">
        <f>F124-1</f>
        <v>2022</v>
      </c>
      <c r="F124" s="15">
        <f>G124-1</f>
        <v>2023</v>
      </c>
      <c r="G124" s="15">
        <f>Input!G8</f>
        <v>2024</v>
      </c>
      <c r="H124" s="15">
        <f t="shared" ref="H124:P124" si="62">G124+1</f>
        <v>2025</v>
      </c>
      <c r="I124" s="15">
        <f t="shared" si="62"/>
        <v>2026</v>
      </c>
      <c r="J124" s="15">
        <f t="shared" si="62"/>
        <v>2027</v>
      </c>
      <c r="K124" s="15">
        <f t="shared" si="62"/>
        <v>2028</v>
      </c>
      <c r="L124" s="15">
        <f t="shared" si="62"/>
        <v>2029</v>
      </c>
      <c r="M124" s="15">
        <f t="shared" si="62"/>
        <v>2030</v>
      </c>
      <c r="N124" s="15">
        <f t="shared" si="62"/>
        <v>2031</v>
      </c>
      <c r="O124" s="15">
        <f t="shared" si="62"/>
        <v>2032</v>
      </c>
      <c r="P124" s="15">
        <f t="shared" si="62"/>
        <v>2033</v>
      </c>
      <c r="Q124" s="13"/>
      <c r="R124" s="15"/>
    </row>
    <row r="125" spans="1:18" ht="16.5" customHeight="1">
      <c r="A125" s="13"/>
      <c r="B125" s="13"/>
      <c r="C125" s="63" t="s">
        <v>363</v>
      </c>
      <c r="D125" s="178" t="s">
        <v>46</v>
      </c>
      <c r="E125" s="178" t="s">
        <v>46</v>
      </c>
      <c r="F125" s="178" t="s">
        <v>46</v>
      </c>
      <c r="G125" s="178" t="s">
        <v>46</v>
      </c>
      <c r="H125" s="178" t="s">
        <v>46</v>
      </c>
      <c r="I125" s="178" t="s">
        <v>46</v>
      </c>
      <c r="J125" s="178" t="s">
        <v>46</v>
      </c>
      <c r="K125" s="178" t="s">
        <v>46</v>
      </c>
      <c r="L125" s="178" t="s">
        <v>46</v>
      </c>
      <c r="M125" s="178" t="s">
        <v>46</v>
      </c>
      <c r="N125" s="178" t="s">
        <v>46</v>
      </c>
      <c r="O125" s="178" t="s">
        <v>46</v>
      </c>
      <c r="P125" s="178" t="s">
        <v>46</v>
      </c>
      <c r="Q125" s="13"/>
      <c r="R125" s="14"/>
    </row>
    <row r="126" spans="1:18" ht="16.5" customHeight="1">
      <c r="A126" s="13"/>
      <c r="B126" s="13"/>
      <c r="C126" s="17"/>
      <c r="D126" s="13"/>
      <c r="E126" s="13"/>
      <c r="F126" s="13"/>
      <c r="G126" s="13"/>
      <c r="H126" s="13"/>
      <c r="I126" s="13"/>
      <c r="J126" s="13"/>
      <c r="K126" s="13"/>
      <c r="L126" s="13"/>
      <c r="M126" s="13"/>
      <c r="N126" s="13"/>
      <c r="O126" s="13"/>
      <c r="P126" s="13"/>
      <c r="Q126" s="13"/>
      <c r="R126" s="13"/>
    </row>
    <row r="127" spans="1:18" ht="16.5" customHeight="1">
      <c r="A127" s="14" t="s">
        <v>137</v>
      </c>
      <c r="B127" s="13" t="str">
        <f>'e - Sales'!B18</f>
        <v>SALES FOR RESALE - RUS BORROWERS</v>
      </c>
      <c r="C127" s="13"/>
      <c r="D127" s="13"/>
      <c r="E127" s="13"/>
      <c r="F127" s="13"/>
      <c r="G127" s="13"/>
      <c r="H127" s="13"/>
      <c r="I127" s="13"/>
      <c r="J127" s="13"/>
      <c r="K127" s="13"/>
      <c r="L127" s="13"/>
      <c r="M127" s="13"/>
      <c r="N127" s="13"/>
      <c r="O127" s="13"/>
      <c r="P127" s="13"/>
      <c r="Q127" s="13"/>
      <c r="R127" s="13"/>
    </row>
    <row r="128" spans="1:18" ht="16.5" customHeight="1">
      <c r="A128" s="14" t="s">
        <v>119</v>
      </c>
      <c r="B128" s="13"/>
      <c r="C128" s="13"/>
      <c r="D128" s="16">
        <f>'e - Sales'!D49</f>
        <v>0</v>
      </c>
      <c r="E128" s="16">
        <f>'e - Sales'!E49</f>
        <v>0</v>
      </c>
      <c r="F128" s="16">
        <f>'e - Sales'!F49</f>
        <v>0</v>
      </c>
      <c r="G128" s="16">
        <f>'e - Sales'!G49</f>
        <v>0</v>
      </c>
      <c r="H128" s="16">
        <f>'e - Sales'!H49</f>
        <v>0</v>
      </c>
      <c r="I128" s="16">
        <f>'e - Sales'!I49</f>
        <v>0</v>
      </c>
      <c r="J128" s="16">
        <f>'e - Sales'!J49</f>
        <v>0</v>
      </c>
      <c r="K128" s="16">
        <f>'e - Sales'!K49</f>
        <v>0</v>
      </c>
      <c r="L128" s="16">
        <f>'e - Sales'!L49</f>
        <v>0</v>
      </c>
      <c r="M128" s="16">
        <f>'e - Sales'!M49</f>
        <v>0</v>
      </c>
      <c r="N128" s="16">
        <f>'e - Sales'!N49</f>
        <v>0</v>
      </c>
      <c r="O128" s="16">
        <f>'e - Sales'!O49</f>
        <v>0</v>
      </c>
      <c r="P128" s="16">
        <f>'e - Sales'!P49</f>
        <v>0</v>
      </c>
      <c r="Q128" s="13"/>
      <c r="R128" s="13"/>
    </row>
    <row r="129" spans="1:18" ht="16.5" customHeight="1">
      <c r="A129" s="14" t="s">
        <v>120</v>
      </c>
      <c r="B129" s="13"/>
      <c r="C129" s="13"/>
      <c r="D129" s="19">
        <f>IF(ISERR((D132-(D130*D131*12))/D128),0,((D132-(D130*D131*12))/D128))</f>
        <v>0</v>
      </c>
      <c r="E129" s="19">
        <f>IF(ISERR((E132-(E130*E131*12))/E128),0,((E132-(E130*E131*12))/E128))</f>
        <v>0</v>
      </c>
      <c r="F129" s="19">
        <f>IF(ISERR((F132-(F130*F131*12))/F128),0,((F132-(F130*F131*12))/F128))</f>
        <v>0</v>
      </c>
      <c r="G129" s="9">
        <v>0</v>
      </c>
      <c r="H129" s="9">
        <v>0</v>
      </c>
      <c r="I129" s="9">
        <v>0</v>
      </c>
      <c r="J129" s="9">
        <v>0</v>
      </c>
      <c r="K129" s="9">
        <v>0</v>
      </c>
      <c r="L129" s="9">
        <v>0</v>
      </c>
      <c r="M129" s="9">
        <v>0</v>
      </c>
      <c r="N129" s="9">
        <v>0</v>
      </c>
      <c r="O129" s="9">
        <v>0</v>
      </c>
      <c r="P129" s="9">
        <v>0</v>
      </c>
      <c r="Q129" s="13"/>
      <c r="R129" s="14"/>
    </row>
    <row r="130" spans="1:18" ht="16.5" customHeight="1">
      <c r="A130" s="14" t="s">
        <v>121</v>
      </c>
      <c r="B130" s="13"/>
      <c r="C130" s="13"/>
      <c r="D130" s="7">
        <v>0</v>
      </c>
      <c r="E130" s="7">
        <v>0</v>
      </c>
      <c r="F130" s="7">
        <v>0</v>
      </c>
      <c r="G130" s="7">
        <v>0</v>
      </c>
      <c r="H130" s="7">
        <v>0</v>
      </c>
      <c r="I130" s="7">
        <v>0</v>
      </c>
      <c r="J130" s="7">
        <v>0</v>
      </c>
      <c r="K130" s="7">
        <v>0</v>
      </c>
      <c r="L130" s="7">
        <v>0</v>
      </c>
      <c r="M130" s="7">
        <v>0</v>
      </c>
      <c r="N130" s="7">
        <v>0</v>
      </c>
      <c r="O130" s="7">
        <v>0</v>
      </c>
      <c r="P130" s="7">
        <v>0</v>
      </c>
      <c r="Q130" s="13"/>
      <c r="R130" s="14"/>
    </row>
    <row r="131" spans="1:18" ht="16.5" customHeight="1">
      <c r="A131" s="14" t="s">
        <v>122</v>
      </c>
      <c r="B131" s="13"/>
      <c r="C131" s="13"/>
      <c r="D131" s="16">
        <f>'e - Sales'!D18</f>
        <v>0</v>
      </c>
      <c r="E131" s="16">
        <f>'e - Sales'!E18</f>
        <v>0</v>
      </c>
      <c r="F131" s="16">
        <f>'e - Sales'!F18</f>
        <v>0</v>
      </c>
      <c r="G131" s="16">
        <f>'e - Sales'!G18</f>
        <v>0</v>
      </c>
      <c r="H131" s="16">
        <f>'e - Sales'!H18</f>
        <v>0</v>
      </c>
      <c r="I131" s="16">
        <f>'e - Sales'!I18</f>
        <v>0</v>
      </c>
      <c r="J131" s="16">
        <f>'e - Sales'!J18</f>
        <v>0</v>
      </c>
      <c r="K131" s="16">
        <f>'e - Sales'!K18</f>
        <v>0</v>
      </c>
      <c r="L131" s="16">
        <f>'e - Sales'!L18</f>
        <v>0</v>
      </c>
      <c r="M131" s="16">
        <f>'e - Sales'!M18</f>
        <v>0</v>
      </c>
      <c r="N131" s="16">
        <f>'e - Sales'!N18</f>
        <v>0</v>
      </c>
      <c r="O131" s="16">
        <f>'e - Sales'!O18</f>
        <v>0</v>
      </c>
      <c r="P131" s="16">
        <f>'e - Sales'!P18</f>
        <v>0</v>
      </c>
      <c r="Q131" s="13"/>
      <c r="R131" s="13"/>
    </row>
    <row r="132" spans="1:18" ht="16.5" customHeight="1">
      <c r="A132" s="14" t="s">
        <v>123</v>
      </c>
      <c r="B132" s="13"/>
      <c r="C132" s="13"/>
      <c r="D132" s="16">
        <f>D134-D133</f>
        <v>0</v>
      </c>
      <c r="E132" s="16">
        <f>E134-E133</f>
        <v>0</v>
      </c>
      <c r="F132" s="16">
        <f>F134-F133</f>
        <v>0</v>
      </c>
      <c r="G132" s="16">
        <f t="shared" ref="G132:N132" si="63">ROUND(G128*G129+(G130*G131*12),0)</f>
        <v>0</v>
      </c>
      <c r="H132" s="16">
        <f t="shared" si="63"/>
        <v>0</v>
      </c>
      <c r="I132" s="16">
        <f t="shared" si="63"/>
        <v>0</v>
      </c>
      <c r="J132" s="16">
        <f t="shared" si="63"/>
        <v>0</v>
      </c>
      <c r="K132" s="16">
        <f t="shared" si="63"/>
        <v>0</v>
      </c>
      <c r="L132" s="16">
        <f t="shared" si="63"/>
        <v>0</v>
      </c>
      <c r="M132" s="16">
        <f t="shared" si="63"/>
        <v>0</v>
      </c>
      <c r="N132" s="16">
        <f t="shared" si="63"/>
        <v>0</v>
      </c>
      <c r="O132" s="16">
        <f t="shared" ref="O132:P132" si="64">ROUND(O128*O129+(O130*O131*12),0)</f>
        <v>0</v>
      </c>
      <c r="P132" s="16">
        <f t="shared" si="64"/>
        <v>0</v>
      </c>
      <c r="Q132" s="13"/>
      <c r="R132" s="13"/>
    </row>
    <row r="133" spans="1:18" ht="16.5" customHeight="1">
      <c r="A133" s="14" t="s">
        <v>124</v>
      </c>
      <c r="B133" s="13"/>
      <c r="C133" s="13"/>
      <c r="D133" s="16">
        <f>CHOOSE($C135+1,0,D$156,D$159,D$156+D$159)*D128</f>
        <v>0</v>
      </c>
      <c r="E133" s="16">
        <f>CHOOSE($C135+1,0,E$156,E$159,E$156+E$159)*E128</f>
        <v>0</v>
      </c>
      <c r="F133" s="16">
        <f>CHOOSE($C135+1,0,F$156,F$159,F$156+F$159)*F128</f>
        <v>0</v>
      </c>
      <c r="G133" s="16">
        <f t="shared" ref="G133:O133" si="65">CHOOSE($C135+1,0,G$156,G$159,G$156+G$159)*G128</f>
        <v>0</v>
      </c>
      <c r="H133" s="16">
        <f t="shared" si="65"/>
        <v>0</v>
      </c>
      <c r="I133" s="16">
        <f t="shared" si="65"/>
        <v>0</v>
      </c>
      <c r="J133" s="16">
        <f t="shared" si="65"/>
        <v>0</v>
      </c>
      <c r="K133" s="16">
        <f t="shared" si="65"/>
        <v>0</v>
      </c>
      <c r="L133" s="16">
        <f t="shared" si="65"/>
        <v>0</v>
      </c>
      <c r="M133" s="16">
        <f t="shared" si="65"/>
        <v>0</v>
      </c>
      <c r="N133" s="16">
        <f t="shared" si="65"/>
        <v>0</v>
      </c>
      <c r="O133" s="16">
        <f t="shared" si="65"/>
        <v>0</v>
      </c>
      <c r="P133" s="16">
        <f t="shared" ref="P133" si="66">CHOOSE($C135+1,0,P$156,P$159,P$156+P$159)*P128</f>
        <v>0</v>
      </c>
      <c r="Q133" s="13"/>
      <c r="R133" s="13"/>
    </row>
    <row r="134" spans="1:18" ht="16.5" customHeight="1">
      <c r="A134" s="14" t="s">
        <v>125</v>
      </c>
      <c r="B134" s="13"/>
      <c r="C134" s="13"/>
      <c r="D134" s="214">
        <v>0</v>
      </c>
      <c r="E134" s="214">
        <v>0</v>
      </c>
      <c r="F134" s="214">
        <v>0</v>
      </c>
      <c r="G134" s="16">
        <f t="shared" ref="G134:N134" si="67">G132+G133</f>
        <v>0</v>
      </c>
      <c r="H134" s="16">
        <f t="shared" si="67"/>
        <v>0</v>
      </c>
      <c r="I134" s="16">
        <f t="shared" si="67"/>
        <v>0</v>
      </c>
      <c r="J134" s="16">
        <f t="shared" si="67"/>
        <v>0</v>
      </c>
      <c r="K134" s="16">
        <f t="shared" si="67"/>
        <v>0</v>
      </c>
      <c r="L134" s="16">
        <f t="shared" si="67"/>
        <v>0</v>
      </c>
      <c r="M134" s="16">
        <f t="shared" si="67"/>
        <v>0</v>
      </c>
      <c r="N134" s="16">
        <f t="shared" si="67"/>
        <v>0</v>
      </c>
      <c r="O134" s="16">
        <f t="shared" ref="O134:P134" si="68">O132+O133</f>
        <v>0</v>
      </c>
      <c r="P134" s="16">
        <f t="shared" si="68"/>
        <v>0</v>
      </c>
      <c r="Q134" s="13"/>
      <c r="R134" s="13"/>
    </row>
    <row r="135" spans="1:18" ht="16.5" customHeight="1">
      <c r="A135" s="13"/>
      <c r="B135" s="13"/>
      <c r="C135" s="35">
        <v>3</v>
      </c>
      <c r="D135" s="13"/>
      <c r="E135" s="13"/>
      <c r="F135" s="13"/>
      <c r="G135" s="13"/>
      <c r="H135" s="13"/>
      <c r="I135" s="13"/>
      <c r="J135" s="13"/>
      <c r="K135" s="13"/>
      <c r="L135" s="13"/>
      <c r="M135" s="13"/>
      <c r="N135" s="13"/>
      <c r="O135" s="13"/>
      <c r="P135" s="13"/>
      <c r="Q135" s="13"/>
      <c r="R135" s="13"/>
    </row>
    <row r="136" spans="1:18" ht="16.5" customHeight="1">
      <c r="A136" s="14" t="s">
        <v>138</v>
      </c>
      <c r="B136" s="13" t="str">
        <f>'e - Sales'!B19</f>
        <v>SALES FOR RESALE - OTHER</v>
      </c>
      <c r="C136" s="13"/>
      <c r="D136" s="13"/>
      <c r="E136" s="13"/>
      <c r="F136" s="13"/>
      <c r="G136" s="13"/>
      <c r="H136" s="13"/>
      <c r="I136" s="13"/>
      <c r="J136" s="13"/>
      <c r="K136" s="13"/>
      <c r="L136" s="13"/>
      <c r="M136" s="13"/>
      <c r="N136" s="13"/>
      <c r="O136" s="13"/>
      <c r="P136" s="13"/>
      <c r="Q136" s="13"/>
      <c r="R136" s="13"/>
    </row>
    <row r="137" spans="1:18" ht="16.5" customHeight="1">
      <c r="A137" s="14" t="s">
        <v>119</v>
      </c>
      <c r="B137" s="13"/>
      <c r="C137" s="13"/>
      <c r="D137" s="16">
        <f>'e - Sales'!D50</f>
        <v>0</v>
      </c>
      <c r="E137" s="16">
        <f>'e - Sales'!E50</f>
        <v>0</v>
      </c>
      <c r="F137" s="16">
        <f>'e - Sales'!F50</f>
        <v>0</v>
      </c>
      <c r="G137" s="16">
        <f>'e - Sales'!G50</f>
        <v>0</v>
      </c>
      <c r="H137" s="16">
        <f>'e - Sales'!H50</f>
        <v>0</v>
      </c>
      <c r="I137" s="16">
        <f>'e - Sales'!I50</f>
        <v>0</v>
      </c>
      <c r="J137" s="16">
        <f>'e - Sales'!J50</f>
        <v>0</v>
      </c>
      <c r="K137" s="16">
        <f>'e - Sales'!K50</f>
        <v>0</v>
      </c>
      <c r="L137" s="16">
        <f>'e - Sales'!L50</f>
        <v>0</v>
      </c>
      <c r="M137" s="16">
        <f>'e - Sales'!M50</f>
        <v>0</v>
      </c>
      <c r="N137" s="16">
        <f>'e - Sales'!N50</f>
        <v>0</v>
      </c>
      <c r="O137" s="16">
        <f>'e - Sales'!O50</f>
        <v>0</v>
      </c>
      <c r="P137" s="16">
        <f>'e - Sales'!P50</f>
        <v>0</v>
      </c>
      <c r="Q137" s="13"/>
      <c r="R137" s="13"/>
    </row>
    <row r="138" spans="1:18" ht="16.5" customHeight="1">
      <c r="A138" s="14" t="s">
        <v>120</v>
      </c>
      <c r="B138" s="13"/>
      <c r="C138" s="13"/>
      <c r="D138" s="19">
        <f>IF(ISERR((D141-(D139*D140*12))/D137),0,((D141-(D139*D140*12))/D137))</f>
        <v>0</v>
      </c>
      <c r="E138" s="19">
        <f>IF(ISERR((E141-(E139*E140*12))/E137),0,((E141-(E139*E140*12))/E137))</f>
        <v>0</v>
      </c>
      <c r="F138" s="19">
        <f>IF(ISERR((F141-(F139*F140*12))/F137),0,((F141-(F139*F140*12))/F137))</f>
        <v>0</v>
      </c>
      <c r="G138" s="9">
        <v>0</v>
      </c>
      <c r="H138" s="9">
        <v>0</v>
      </c>
      <c r="I138" s="9">
        <v>0</v>
      </c>
      <c r="J138" s="9">
        <v>0</v>
      </c>
      <c r="K138" s="9">
        <v>0</v>
      </c>
      <c r="L138" s="9">
        <v>0</v>
      </c>
      <c r="M138" s="9">
        <v>0</v>
      </c>
      <c r="N138" s="9">
        <v>0</v>
      </c>
      <c r="O138" s="9">
        <v>0</v>
      </c>
      <c r="P138" s="9">
        <v>0</v>
      </c>
      <c r="Q138" s="13"/>
      <c r="R138" s="14"/>
    </row>
    <row r="139" spans="1:18" ht="16.5" customHeight="1">
      <c r="A139" s="14" t="s">
        <v>121</v>
      </c>
      <c r="B139" s="13"/>
      <c r="C139" s="13"/>
      <c r="D139" s="7">
        <v>0</v>
      </c>
      <c r="E139" s="7">
        <v>0</v>
      </c>
      <c r="F139" s="7">
        <v>0</v>
      </c>
      <c r="G139" s="7">
        <v>0</v>
      </c>
      <c r="H139" s="7">
        <v>0</v>
      </c>
      <c r="I139" s="7">
        <v>0</v>
      </c>
      <c r="J139" s="7">
        <v>0</v>
      </c>
      <c r="K139" s="7">
        <v>0</v>
      </c>
      <c r="L139" s="7">
        <v>0</v>
      </c>
      <c r="M139" s="7">
        <v>0</v>
      </c>
      <c r="N139" s="7">
        <v>0</v>
      </c>
      <c r="O139" s="7">
        <v>0</v>
      </c>
      <c r="P139" s="7">
        <v>0</v>
      </c>
      <c r="Q139" s="13"/>
      <c r="R139" s="14"/>
    </row>
    <row r="140" spans="1:18" ht="16.5" customHeight="1">
      <c r="A140" s="14" t="s">
        <v>122</v>
      </c>
      <c r="B140" s="13"/>
      <c r="C140" s="13"/>
      <c r="D140" s="16">
        <f>'e - Sales'!D19</f>
        <v>0</v>
      </c>
      <c r="E140" s="16">
        <f>'e - Sales'!E19</f>
        <v>0</v>
      </c>
      <c r="F140" s="16">
        <f>'e - Sales'!F19</f>
        <v>0</v>
      </c>
      <c r="G140" s="16">
        <f>'e - Sales'!G19</f>
        <v>0</v>
      </c>
      <c r="H140" s="16">
        <f>'e - Sales'!H19</f>
        <v>0</v>
      </c>
      <c r="I140" s="16">
        <f>'e - Sales'!I19</f>
        <v>0</v>
      </c>
      <c r="J140" s="16">
        <f>'e - Sales'!J19</f>
        <v>0</v>
      </c>
      <c r="K140" s="16">
        <f>'e - Sales'!K19</f>
        <v>0</v>
      </c>
      <c r="L140" s="16">
        <f>'e - Sales'!L19</f>
        <v>0</v>
      </c>
      <c r="M140" s="16">
        <f>'e - Sales'!M19</f>
        <v>0</v>
      </c>
      <c r="N140" s="16">
        <f>'e - Sales'!N19</f>
        <v>0</v>
      </c>
      <c r="O140" s="16">
        <f>'e - Sales'!O19</f>
        <v>0</v>
      </c>
      <c r="P140" s="16">
        <f>'e - Sales'!P19</f>
        <v>0</v>
      </c>
      <c r="Q140" s="13"/>
      <c r="R140" s="13"/>
    </row>
    <row r="141" spans="1:18" ht="16.5" customHeight="1">
      <c r="A141" s="14" t="s">
        <v>123</v>
      </c>
      <c r="B141" s="13"/>
      <c r="C141" s="13"/>
      <c r="D141" s="16">
        <f>D143-D142</f>
        <v>0</v>
      </c>
      <c r="E141" s="16">
        <f>E143-E142</f>
        <v>0</v>
      </c>
      <c r="F141" s="16">
        <f>F143-F142</f>
        <v>0</v>
      </c>
      <c r="G141" s="16">
        <f t="shared" ref="G141:N141" si="69">ROUND(G137*G138+(G139*G140*12),0)</f>
        <v>0</v>
      </c>
      <c r="H141" s="16">
        <f t="shared" si="69"/>
        <v>0</v>
      </c>
      <c r="I141" s="16">
        <f t="shared" si="69"/>
        <v>0</v>
      </c>
      <c r="J141" s="16">
        <f t="shared" si="69"/>
        <v>0</v>
      </c>
      <c r="K141" s="16">
        <f t="shared" si="69"/>
        <v>0</v>
      </c>
      <c r="L141" s="16">
        <f t="shared" si="69"/>
        <v>0</v>
      </c>
      <c r="M141" s="16">
        <f t="shared" si="69"/>
        <v>0</v>
      </c>
      <c r="N141" s="16">
        <f t="shared" si="69"/>
        <v>0</v>
      </c>
      <c r="O141" s="16">
        <f t="shared" ref="O141:P141" si="70">ROUND(O137*O138+(O139*O140*12),0)</f>
        <v>0</v>
      </c>
      <c r="P141" s="16">
        <f t="shared" si="70"/>
        <v>0</v>
      </c>
      <c r="Q141" s="13"/>
      <c r="R141" s="13"/>
    </row>
    <row r="142" spans="1:18" ht="16.5" customHeight="1">
      <c r="A142" s="14" t="s">
        <v>124</v>
      </c>
      <c r="B142" s="13"/>
      <c r="C142" s="13"/>
      <c r="D142" s="16">
        <f>CHOOSE($C144+1,0,D$156,D$159,D$156+D$159)*D137</f>
        <v>0</v>
      </c>
      <c r="E142" s="16">
        <f>CHOOSE($C144+1,0,E$156,E$159,E$156+E$159)*E137</f>
        <v>0</v>
      </c>
      <c r="F142" s="16">
        <f>CHOOSE($C144+1,0,F$156,F$159,F$156+F$159)*F137</f>
        <v>0</v>
      </c>
      <c r="G142" s="16">
        <f t="shared" ref="G142:O142" si="71">CHOOSE($C144+1,0,G$156,G$159,G$156+G$159)*G137</f>
        <v>0</v>
      </c>
      <c r="H142" s="16">
        <f t="shared" si="71"/>
        <v>0</v>
      </c>
      <c r="I142" s="16">
        <f t="shared" si="71"/>
        <v>0</v>
      </c>
      <c r="J142" s="16">
        <f t="shared" si="71"/>
        <v>0</v>
      </c>
      <c r="K142" s="16">
        <f t="shared" si="71"/>
        <v>0</v>
      </c>
      <c r="L142" s="16">
        <f t="shared" si="71"/>
        <v>0</v>
      </c>
      <c r="M142" s="16">
        <f t="shared" si="71"/>
        <v>0</v>
      </c>
      <c r="N142" s="16">
        <f t="shared" si="71"/>
        <v>0</v>
      </c>
      <c r="O142" s="16">
        <f t="shared" si="71"/>
        <v>0</v>
      </c>
      <c r="P142" s="16">
        <f t="shared" ref="P142" si="72">CHOOSE($C144+1,0,P$156,P$159,P$156+P$159)*P137</f>
        <v>0</v>
      </c>
      <c r="Q142" s="13"/>
      <c r="R142" s="13"/>
    </row>
    <row r="143" spans="1:18" ht="16.5" customHeight="1">
      <c r="A143" s="14" t="s">
        <v>125</v>
      </c>
      <c r="B143" s="13"/>
      <c r="C143" s="13"/>
      <c r="D143" s="214">
        <v>0</v>
      </c>
      <c r="E143" s="214">
        <v>0</v>
      </c>
      <c r="F143" s="214">
        <v>0</v>
      </c>
      <c r="G143" s="16">
        <f t="shared" ref="G143:N143" si="73">G141+G142</f>
        <v>0</v>
      </c>
      <c r="H143" s="16">
        <f t="shared" si="73"/>
        <v>0</v>
      </c>
      <c r="I143" s="16">
        <f t="shared" si="73"/>
        <v>0</v>
      </c>
      <c r="J143" s="16">
        <f t="shared" si="73"/>
        <v>0</v>
      </c>
      <c r="K143" s="16">
        <f t="shared" si="73"/>
        <v>0</v>
      </c>
      <c r="L143" s="16">
        <f t="shared" si="73"/>
        <v>0</v>
      </c>
      <c r="M143" s="16">
        <f t="shared" si="73"/>
        <v>0</v>
      </c>
      <c r="N143" s="16">
        <f t="shared" si="73"/>
        <v>0</v>
      </c>
      <c r="O143" s="16">
        <f t="shared" ref="O143:P143" si="74">O141+O142</f>
        <v>0</v>
      </c>
      <c r="P143" s="16">
        <f t="shared" si="74"/>
        <v>0</v>
      </c>
      <c r="Q143" s="13"/>
      <c r="R143" s="13"/>
    </row>
    <row r="144" spans="1:18" ht="16.5" customHeight="1">
      <c r="A144" s="13"/>
      <c r="B144" s="13"/>
      <c r="C144" s="35">
        <v>3</v>
      </c>
      <c r="D144" s="13"/>
      <c r="E144" s="13"/>
      <c r="F144" s="13"/>
      <c r="G144" s="13"/>
      <c r="H144" s="13"/>
      <c r="I144" s="13"/>
      <c r="J144" s="13"/>
      <c r="K144" s="13"/>
      <c r="L144" s="13"/>
      <c r="M144" s="13"/>
      <c r="N144" s="13"/>
      <c r="O144" s="13"/>
      <c r="P144" s="13"/>
      <c r="Q144" s="13"/>
      <c r="R144" s="13"/>
    </row>
    <row r="145" spans="1:18" ht="16.5" customHeight="1">
      <c r="A145" s="14">
        <v>13</v>
      </c>
      <c r="B145" s="13" t="str">
        <f>'e - Sales'!B20</f>
        <v>OTHER - 1</v>
      </c>
      <c r="C145" s="13"/>
      <c r="D145" s="13"/>
      <c r="E145" s="13"/>
      <c r="F145" s="13"/>
      <c r="G145" s="13"/>
      <c r="H145" s="13"/>
      <c r="I145" s="13"/>
      <c r="J145" s="13"/>
      <c r="K145" s="13"/>
      <c r="L145" s="13"/>
      <c r="M145" s="13"/>
      <c r="N145" s="13"/>
      <c r="O145" s="13"/>
      <c r="P145" s="13"/>
      <c r="Q145" s="13"/>
      <c r="R145" s="13"/>
    </row>
    <row r="146" spans="1:18" ht="16.5" customHeight="1">
      <c r="A146" s="14" t="s">
        <v>119</v>
      </c>
      <c r="B146" s="13"/>
      <c r="C146" s="13"/>
      <c r="D146" s="16">
        <f>'e - Sales'!D51</f>
        <v>0</v>
      </c>
      <c r="E146" s="16">
        <f>'e - Sales'!E51</f>
        <v>0</v>
      </c>
      <c r="F146" s="16">
        <f>'e - Sales'!F51</f>
        <v>0</v>
      </c>
      <c r="G146" s="16">
        <f>'e - Sales'!G51</f>
        <v>0</v>
      </c>
      <c r="H146" s="16">
        <f>'e - Sales'!H51</f>
        <v>0</v>
      </c>
      <c r="I146" s="16">
        <f>'e - Sales'!I51</f>
        <v>0</v>
      </c>
      <c r="J146" s="16">
        <f>'e - Sales'!J51</f>
        <v>0</v>
      </c>
      <c r="K146" s="16">
        <f>'e - Sales'!K51</f>
        <v>0</v>
      </c>
      <c r="L146" s="16">
        <f>'e - Sales'!L51</f>
        <v>0</v>
      </c>
      <c r="M146" s="16">
        <f>'e - Sales'!M51</f>
        <v>0</v>
      </c>
      <c r="N146" s="16">
        <f>'e - Sales'!N51</f>
        <v>0</v>
      </c>
      <c r="O146" s="16">
        <f>'e - Sales'!O51</f>
        <v>0</v>
      </c>
      <c r="P146" s="16">
        <f>'e - Sales'!P51</f>
        <v>0</v>
      </c>
      <c r="Q146" s="13"/>
      <c r="R146" s="13"/>
    </row>
    <row r="147" spans="1:18" ht="16.5" customHeight="1">
      <c r="A147" s="14" t="s">
        <v>120</v>
      </c>
      <c r="B147" s="13"/>
      <c r="C147" s="13"/>
      <c r="D147" s="19">
        <f>IF(ISERR((D150-(D148*D149*12))/D146),0,((D150-(D148*D149*12))/D146))</f>
        <v>0</v>
      </c>
      <c r="E147" s="19">
        <f>IF(ISERR((E150-(E148*E149*12))/E146),0,((E150-(E148*E149*12))/E146))</f>
        <v>0</v>
      </c>
      <c r="F147" s="19">
        <f>IF(ISERR((F150-(F148*F149*12))/F146),0,((F150-(F148*F149*12))/F146))</f>
        <v>0</v>
      </c>
      <c r="G147" s="9">
        <v>0</v>
      </c>
      <c r="H147" s="9">
        <v>0</v>
      </c>
      <c r="I147" s="9">
        <v>0</v>
      </c>
      <c r="J147" s="9">
        <v>0</v>
      </c>
      <c r="K147" s="9">
        <v>0</v>
      </c>
      <c r="L147" s="9">
        <v>0</v>
      </c>
      <c r="M147" s="9">
        <v>0</v>
      </c>
      <c r="N147" s="9">
        <v>0</v>
      </c>
      <c r="O147" s="9">
        <v>0</v>
      </c>
      <c r="P147" s="9">
        <v>0</v>
      </c>
      <c r="Q147" s="13"/>
      <c r="R147" s="13"/>
    </row>
    <row r="148" spans="1:18" ht="16.5" customHeight="1">
      <c r="A148" s="14" t="s">
        <v>121</v>
      </c>
      <c r="B148" s="13"/>
      <c r="C148" s="13"/>
      <c r="D148" s="7">
        <v>0</v>
      </c>
      <c r="E148" s="7">
        <v>0</v>
      </c>
      <c r="F148" s="7">
        <v>0</v>
      </c>
      <c r="G148" s="7">
        <v>0</v>
      </c>
      <c r="H148" s="7">
        <v>0</v>
      </c>
      <c r="I148" s="7">
        <v>0</v>
      </c>
      <c r="J148" s="7">
        <v>0</v>
      </c>
      <c r="K148" s="7">
        <v>0</v>
      </c>
      <c r="L148" s="7">
        <v>0</v>
      </c>
      <c r="M148" s="7">
        <v>0</v>
      </c>
      <c r="N148" s="7">
        <v>0</v>
      </c>
      <c r="O148" s="7">
        <v>0</v>
      </c>
      <c r="P148" s="7">
        <v>0</v>
      </c>
      <c r="Q148" s="13"/>
      <c r="R148" s="13"/>
    </row>
    <row r="149" spans="1:18" ht="16.5" customHeight="1">
      <c r="A149" s="14" t="s">
        <v>122</v>
      </c>
      <c r="B149" s="13"/>
      <c r="C149" s="13"/>
      <c r="D149" s="16">
        <f>'e - Sales'!D20</f>
        <v>0</v>
      </c>
      <c r="E149" s="16">
        <f>'e - Sales'!E20</f>
        <v>0</v>
      </c>
      <c r="F149" s="16">
        <f>'e - Sales'!F20</f>
        <v>0</v>
      </c>
      <c r="G149" s="16">
        <f>'e - Sales'!G20</f>
        <v>0</v>
      </c>
      <c r="H149" s="16">
        <f>'e - Sales'!H20</f>
        <v>0</v>
      </c>
      <c r="I149" s="16">
        <f>'e - Sales'!I20</f>
        <v>0</v>
      </c>
      <c r="J149" s="16">
        <f>'e - Sales'!J20</f>
        <v>0</v>
      </c>
      <c r="K149" s="16">
        <f>'e - Sales'!K20</f>
        <v>0</v>
      </c>
      <c r="L149" s="16">
        <f>'e - Sales'!L20</f>
        <v>0</v>
      </c>
      <c r="M149" s="16">
        <f>'e - Sales'!M20</f>
        <v>0</v>
      </c>
      <c r="N149" s="16">
        <f>'e - Sales'!N20</f>
        <v>0</v>
      </c>
      <c r="O149" s="16">
        <f>'e - Sales'!O20</f>
        <v>0</v>
      </c>
      <c r="P149" s="16">
        <f>'e - Sales'!P20</f>
        <v>0</v>
      </c>
      <c r="Q149" s="13"/>
      <c r="R149" s="13"/>
    </row>
    <row r="150" spans="1:18" ht="16.5" customHeight="1">
      <c r="A150" s="14" t="s">
        <v>123</v>
      </c>
      <c r="B150" s="13"/>
      <c r="C150" s="13"/>
      <c r="D150" s="16">
        <f>D152-D151</f>
        <v>0</v>
      </c>
      <c r="E150" s="16">
        <f>E152-E151</f>
        <v>0</v>
      </c>
      <c r="F150" s="16">
        <f>F152-F151</f>
        <v>0</v>
      </c>
      <c r="G150" s="16">
        <f t="shared" ref="G150:N150" si="75">ROUND(G146*G147+(G148*G149*12),0)</f>
        <v>0</v>
      </c>
      <c r="H150" s="16">
        <f t="shared" si="75"/>
        <v>0</v>
      </c>
      <c r="I150" s="16">
        <f t="shared" si="75"/>
        <v>0</v>
      </c>
      <c r="J150" s="16">
        <f t="shared" si="75"/>
        <v>0</v>
      </c>
      <c r="K150" s="16">
        <f t="shared" si="75"/>
        <v>0</v>
      </c>
      <c r="L150" s="16">
        <f t="shared" si="75"/>
        <v>0</v>
      </c>
      <c r="M150" s="16">
        <f t="shared" si="75"/>
        <v>0</v>
      </c>
      <c r="N150" s="16">
        <f t="shared" si="75"/>
        <v>0</v>
      </c>
      <c r="O150" s="16">
        <f t="shared" ref="O150:P150" si="76">ROUND(O146*O147+(O148*O149*12),0)</f>
        <v>0</v>
      </c>
      <c r="P150" s="16">
        <f t="shared" si="76"/>
        <v>0</v>
      </c>
      <c r="Q150" s="13"/>
      <c r="R150" s="13"/>
    </row>
    <row r="151" spans="1:18" ht="16.5" customHeight="1">
      <c r="A151" s="14" t="s">
        <v>124</v>
      </c>
      <c r="B151" s="13"/>
      <c r="C151" s="13"/>
      <c r="D151" s="16">
        <f>CHOOSE($C153+1,0,D$156,D$159,D$156+D$159)*D146</f>
        <v>0</v>
      </c>
      <c r="E151" s="16">
        <f>CHOOSE($C153+1,0,E$156,E$159,E$156+E$159)*E146</f>
        <v>0</v>
      </c>
      <c r="F151" s="16">
        <f>CHOOSE($C153+1,0,F$156,F$159,F$156+F$159)*F146</f>
        <v>0</v>
      </c>
      <c r="G151" s="16">
        <f t="shared" ref="G151:O151" si="77">CHOOSE($C153+1,0,G$156,G$159,G$156+G$159)*G146</f>
        <v>0</v>
      </c>
      <c r="H151" s="16">
        <f t="shared" si="77"/>
        <v>0</v>
      </c>
      <c r="I151" s="16">
        <f t="shared" si="77"/>
        <v>0</v>
      </c>
      <c r="J151" s="16">
        <f t="shared" si="77"/>
        <v>0</v>
      </c>
      <c r="K151" s="16">
        <f t="shared" si="77"/>
        <v>0</v>
      </c>
      <c r="L151" s="16">
        <f t="shared" si="77"/>
        <v>0</v>
      </c>
      <c r="M151" s="16">
        <f t="shared" si="77"/>
        <v>0</v>
      </c>
      <c r="N151" s="16">
        <f t="shared" si="77"/>
        <v>0</v>
      </c>
      <c r="O151" s="16">
        <f t="shared" si="77"/>
        <v>0</v>
      </c>
      <c r="P151" s="16">
        <f t="shared" ref="P151" si="78">CHOOSE($C153+1,0,P$156,P$159,P$156+P$159)*P146</f>
        <v>0</v>
      </c>
      <c r="Q151" s="13"/>
      <c r="R151" s="13"/>
    </row>
    <row r="152" spans="1:18" ht="16.5" customHeight="1">
      <c r="A152" s="14" t="s">
        <v>125</v>
      </c>
      <c r="B152" s="13"/>
      <c r="C152" s="13"/>
      <c r="D152" s="214">
        <v>0</v>
      </c>
      <c r="E152" s="214">
        <v>0</v>
      </c>
      <c r="F152" s="214">
        <v>0</v>
      </c>
      <c r="G152" s="16">
        <f t="shared" ref="G152:N152" si="79">G150+G151</f>
        <v>0</v>
      </c>
      <c r="H152" s="16">
        <f t="shared" si="79"/>
        <v>0</v>
      </c>
      <c r="I152" s="16">
        <f t="shared" si="79"/>
        <v>0</v>
      </c>
      <c r="J152" s="16">
        <f t="shared" si="79"/>
        <v>0</v>
      </c>
      <c r="K152" s="16">
        <f t="shared" si="79"/>
        <v>0</v>
      </c>
      <c r="L152" s="16">
        <f t="shared" si="79"/>
        <v>0</v>
      </c>
      <c r="M152" s="16">
        <f t="shared" si="79"/>
        <v>0</v>
      </c>
      <c r="N152" s="16">
        <f t="shared" si="79"/>
        <v>0</v>
      </c>
      <c r="O152" s="16">
        <f t="shared" ref="O152:P152" si="80">O150+O151</f>
        <v>0</v>
      </c>
      <c r="P152" s="16">
        <f t="shared" si="80"/>
        <v>0</v>
      </c>
      <c r="Q152" s="13"/>
      <c r="R152" s="13"/>
    </row>
    <row r="153" spans="1:18" ht="16.5" customHeight="1">
      <c r="A153" s="13"/>
      <c r="B153" s="13"/>
      <c r="C153" s="35">
        <v>3</v>
      </c>
      <c r="D153" s="13"/>
      <c r="E153" s="13"/>
      <c r="F153" s="13"/>
      <c r="G153" s="13"/>
      <c r="H153" s="13"/>
      <c r="I153" s="13"/>
      <c r="J153" s="13"/>
      <c r="K153" s="13"/>
      <c r="L153" s="13"/>
      <c r="M153" s="13"/>
      <c r="N153" s="13"/>
      <c r="O153" s="13"/>
      <c r="P153" s="13"/>
      <c r="Q153" s="13"/>
      <c r="R153" s="13"/>
    </row>
    <row r="154" spans="1:18" ht="16.5" customHeight="1">
      <c r="A154" s="14" t="s">
        <v>941</v>
      </c>
      <c r="B154" s="13"/>
      <c r="C154" s="13"/>
      <c r="D154" s="13"/>
      <c r="E154" s="13"/>
      <c r="F154" s="13"/>
      <c r="G154" s="13"/>
      <c r="H154" s="13"/>
      <c r="I154" s="13"/>
      <c r="J154" s="13"/>
      <c r="K154" s="13"/>
      <c r="L154" s="13"/>
      <c r="M154" s="13"/>
      <c r="N154" s="13"/>
      <c r="O154" s="13"/>
      <c r="P154" s="13"/>
      <c r="Q154" s="13"/>
      <c r="R154" s="13"/>
    </row>
    <row r="155" spans="1:18" ht="16.5" customHeight="1">
      <c r="A155" s="14" t="s">
        <v>139</v>
      </c>
      <c r="B155" s="13"/>
      <c r="C155" s="13"/>
      <c r="D155" s="8">
        <v>0</v>
      </c>
      <c r="E155" s="8">
        <v>0</v>
      </c>
      <c r="F155" s="8">
        <v>0</v>
      </c>
      <c r="G155" s="8">
        <v>0</v>
      </c>
      <c r="H155" s="8">
        <v>0</v>
      </c>
      <c r="I155" s="8">
        <v>0</v>
      </c>
      <c r="J155" s="8">
        <v>0</v>
      </c>
      <c r="K155" s="8">
        <v>0</v>
      </c>
      <c r="L155" s="8">
        <v>0</v>
      </c>
      <c r="M155" s="8">
        <v>0</v>
      </c>
      <c r="N155" s="8">
        <v>0</v>
      </c>
      <c r="O155" s="8">
        <v>0</v>
      </c>
      <c r="P155" s="8">
        <v>0</v>
      </c>
      <c r="Q155" s="13"/>
      <c r="R155" s="14"/>
    </row>
    <row r="156" spans="1:18" ht="16.5" customHeight="1">
      <c r="A156" s="14" t="s">
        <v>140</v>
      </c>
      <c r="B156" s="13"/>
      <c r="C156" s="13"/>
      <c r="D156" s="9">
        <v>0</v>
      </c>
      <c r="E156" s="9">
        <v>0</v>
      </c>
      <c r="F156" s="9">
        <v>0</v>
      </c>
      <c r="G156" s="9">
        <v>0</v>
      </c>
      <c r="H156" s="9">
        <v>0</v>
      </c>
      <c r="I156" s="9">
        <v>0</v>
      </c>
      <c r="J156" s="9">
        <v>0</v>
      </c>
      <c r="K156" s="9">
        <v>0</v>
      </c>
      <c r="L156" s="9">
        <v>0</v>
      </c>
      <c r="M156" s="9">
        <v>0</v>
      </c>
      <c r="N156" s="9">
        <v>0</v>
      </c>
      <c r="O156" s="9">
        <v>0</v>
      </c>
      <c r="P156" s="9">
        <v>0</v>
      </c>
      <c r="Q156" s="13"/>
      <c r="R156" s="14"/>
    </row>
    <row r="157" spans="1:18" ht="16.5" customHeight="1">
      <c r="A157" s="14" t="s">
        <v>141</v>
      </c>
      <c r="B157" s="13"/>
      <c r="C157" s="13"/>
      <c r="D157" s="16">
        <f t="shared" ref="D157:E157" si="81">ROUND(D156*D155,0)</f>
        <v>0</v>
      </c>
      <c r="E157" s="16">
        <f t="shared" si="81"/>
        <v>0</v>
      </c>
      <c r="F157" s="16">
        <f t="shared" ref="F157:P157" si="82">ROUND(F156*F155,0)</f>
        <v>0</v>
      </c>
      <c r="G157" s="16">
        <f t="shared" si="82"/>
        <v>0</v>
      </c>
      <c r="H157" s="16">
        <f t="shared" si="82"/>
        <v>0</v>
      </c>
      <c r="I157" s="16">
        <f t="shared" si="82"/>
        <v>0</v>
      </c>
      <c r="J157" s="16">
        <f t="shared" si="82"/>
        <v>0</v>
      </c>
      <c r="K157" s="16">
        <f t="shared" si="82"/>
        <v>0</v>
      </c>
      <c r="L157" s="16">
        <f t="shared" si="82"/>
        <v>0</v>
      </c>
      <c r="M157" s="16">
        <f t="shared" si="82"/>
        <v>0</v>
      </c>
      <c r="N157" s="16">
        <f t="shared" si="82"/>
        <v>0</v>
      </c>
      <c r="O157" s="16">
        <f t="shared" ref="O157" si="83">ROUND(O156*O155,0)</f>
        <v>0</v>
      </c>
      <c r="P157" s="16">
        <f t="shared" si="82"/>
        <v>0</v>
      </c>
      <c r="Q157" s="13"/>
      <c r="R157" s="14"/>
    </row>
    <row r="158" spans="1:18" ht="16.5" customHeight="1">
      <c r="A158" s="14" t="s">
        <v>142</v>
      </c>
      <c r="B158" s="13"/>
      <c r="C158" s="13"/>
      <c r="D158" s="8">
        <v>0</v>
      </c>
      <c r="E158" s="8">
        <v>0</v>
      </c>
      <c r="F158" s="8">
        <v>0</v>
      </c>
      <c r="G158" s="8">
        <v>0</v>
      </c>
      <c r="H158" s="8">
        <v>0</v>
      </c>
      <c r="I158" s="8">
        <v>0</v>
      </c>
      <c r="J158" s="8">
        <v>0</v>
      </c>
      <c r="K158" s="8">
        <v>0</v>
      </c>
      <c r="L158" s="8">
        <v>0</v>
      </c>
      <c r="M158" s="8">
        <v>0</v>
      </c>
      <c r="N158" s="8">
        <v>0</v>
      </c>
      <c r="O158" s="8">
        <v>0</v>
      </c>
      <c r="P158" s="8">
        <v>0</v>
      </c>
      <c r="Q158" s="13"/>
      <c r="R158" s="14"/>
    </row>
    <row r="159" spans="1:18" ht="16.5" customHeight="1">
      <c r="A159" s="14" t="s">
        <v>143</v>
      </c>
      <c r="B159" s="13"/>
      <c r="C159" s="13"/>
      <c r="D159" s="9">
        <v>0</v>
      </c>
      <c r="E159" s="9">
        <v>0</v>
      </c>
      <c r="F159" s="9">
        <v>0</v>
      </c>
      <c r="G159" s="9">
        <v>0</v>
      </c>
      <c r="H159" s="9">
        <v>0</v>
      </c>
      <c r="I159" s="9">
        <v>0</v>
      </c>
      <c r="J159" s="9">
        <v>0</v>
      </c>
      <c r="K159" s="9">
        <v>0</v>
      </c>
      <c r="L159" s="9">
        <v>0</v>
      </c>
      <c r="M159" s="9">
        <v>0</v>
      </c>
      <c r="N159" s="9">
        <v>0</v>
      </c>
      <c r="O159" s="9">
        <v>0</v>
      </c>
      <c r="P159" s="9">
        <v>0</v>
      </c>
      <c r="Q159" s="13"/>
      <c r="R159" s="14"/>
    </row>
    <row r="160" spans="1:18" ht="16.5" customHeight="1">
      <c r="A160" s="14" t="s">
        <v>144</v>
      </c>
      <c r="B160" s="13"/>
      <c r="C160" s="13"/>
      <c r="D160" s="16">
        <f>ROUND(D159*D158,0)</f>
        <v>0</v>
      </c>
      <c r="E160" s="16">
        <f>ROUND(E159*E158,0)</f>
        <v>0</v>
      </c>
      <c r="F160" s="16">
        <f>ROUND(F159*F158,0)</f>
        <v>0</v>
      </c>
      <c r="G160" s="16">
        <f t="shared" ref="G160:N160" si="84">ROUND(G158*G159,0)</f>
        <v>0</v>
      </c>
      <c r="H160" s="16">
        <f t="shared" si="84"/>
        <v>0</v>
      </c>
      <c r="I160" s="16">
        <f t="shared" si="84"/>
        <v>0</v>
      </c>
      <c r="J160" s="16">
        <f t="shared" si="84"/>
        <v>0</v>
      </c>
      <c r="K160" s="16">
        <f t="shared" si="84"/>
        <v>0</v>
      </c>
      <c r="L160" s="16">
        <f t="shared" si="84"/>
        <v>0</v>
      </c>
      <c r="M160" s="16">
        <f t="shared" si="84"/>
        <v>0</v>
      </c>
      <c r="N160" s="16">
        <f t="shared" si="84"/>
        <v>0</v>
      </c>
      <c r="O160" s="16">
        <f t="shared" ref="O160:P160" si="85">ROUND(O158*O159,0)</f>
        <v>0</v>
      </c>
      <c r="P160" s="16">
        <f t="shared" si="85"/>
        <v>0</v>
      </c>
      <c r="Q160" s="13"/>
      <c r="R160" s="14"/>
    </row>
    <row r="161" spans="1:18" ht="16.5" customHeight="1">
      <c r="A161" s="14" t="s">
        <v>145</v>
      </c>
      <c r="B161" s="13"/>
      <c r="C161" s="13"/>
      <c r="D161" s="16">
        <f t="shared" ref="D161:E161" si="86">D157+D160</f>
        <v>0</v>
      </c>
      <c r="E161" s="16">
        <f t="shared" si="86"/>
        <v>0</v>
      </c>
      <c r="F161" s="16">
        <f t="shared" ref="F161:P161" si="87">F157+F160</f>
        <v>0</v>
      </c>
      <c r="G161" s="16">
        <f t="shared" si="87"/>
        <v>0</v>
      </c>
      <c r="H161" s="16">
        <f t="shared" si="87"/>
        <v>0</v>
      </c>
      <c r="I161" s="16">
        <f t="shared" si="87"/>
        <v>0</v>
      </c>
      <c r="J161" s="16">
        <f t="shared" si="87"/>
        <v>0</v>
      </c>
      <c r="K161" s="16">
        <f t="shared" si="87"/>
        <v>0</v>
      </c>
      <c r="L161" s="16">
        <f t="shared" si="87"/>
        <v>0</v>
      </c>
      <c r="M161" s="16">
        <f t="shared" si="87"/>
        <v>0</v>
      </c>
      <c r="N161" s="16">
        <f t="shared" si="87"/>
        <v>0</v>
      </c>
      <c r="O161" s="16">
        <f t="shared" ref="O161" si="88">O157+O160</f>
        <v>0</v>
      </c>
      <c r="P161" s="16">
        <f t="shared" si="87"/>
        <v>0</v>
      </c>
      <c r="Q161" s="13"/>
      <c r="R161" s="14"/>
    </row>
    <row r="162" spans="1:18" ht="16.5" customHeight="1">
      <c r="A162" s="13"/>
      <c r="B162" s="13"/>
      <c r="C162" s="13"/>
      <c r="D162" s="13"/>
      <c r="E162" s="13"/>
      <c r="F162" s="13"/>
      <c r="G162" s="13"/>
      <c r="H162" s="13"/>
      <c r="I162" s="13"/>
      <c r="J162" s="13"/>
      <c r="K162" s="13"/>
      <c r="L162" s="13"/>
      <c r="M162" s="13"/>
      <c r="N162" s="13"/>
      <c r="O162" s="13"/>
      <c r="P162" s="13"/>
      <c r="Q162" s="13"/>
      <c r="R162" s="13"/>
    </row>
    <row r="163" spans="1:18" ht="16.5" customHeight="1">
      <c r="A163" s="14" t="s">
        <v>942</v>
      </c>
      <c r="B163" s="13"/>
      <c r="C163" s="13"/>
      <c r="D163" s="13"/>
      <c r="E163" s="13"/>
      <c r="F163" s="13"/>
      <c r="G163" s="13"/>
      <c r="H163" s="13"/>
      <c r="I163" s="13"/>
      <c r="J163" s="13"/>
      <c r="K163" s="13"/>
      <c r="L163" s="13"/>
      <c r="M163" s="13"/>
      <c r="N163" s="13"/>
      <c r="O163" s="13"/>
      <c r="P163" s="13"/>
      <c r="Q163" s="13"/>
      <c r="R163" s="13"/>
    </row>
    <row r="164" spans="1:18" ht="16.5" customHeight="1">
      <c r="A164" s="14" t="s">
        <v>146</v>
      </c>
      <c r="B164" s="13"/>
      <c r="C164" s="13"/>
      <c r="D164" s="16">
        <f>D15+D24+D33+D42+D51+D74+D83+D92+D101+D110+D134+D143+D152</f>
        <v>0</v>
      </c>
      <c r="E164" s="16">
        <f>E15+E24+E33+E42+E51+E74+E83+E92+E101+E110+E134+E143+E152</f>
        <v>0</v>
      </c>
      <c r="F164" s="16">
        <f>F15+F24+F33+F42+F51+F74+F83+F92+F101+F110+F134+F143+F152</f>
        <v>0</v>
      </c>
      <c r="G164" s="16">
        <f t="shared" ref="G164:N164" si="89">G15+G24+G33+G42+G51+G74+G83+G92+G101+G110+G134+G143+G152</f>
        <v>0</v>
      </c>
      <c r="H164" s="16">
        <f t="shared" si="89"/>
        <v>0</v>
      </c>
      <c r="I164" s="16">
        <f t="shared" si="89"/>
        <v>0</v>
      </c>
      <c r="J164" s="16">
        <f t="shared" si="89"/>
        <v>0</v>
      </c>
      <c r="K164" s="16">
        <f t="shared" si="89"/>
        <v>0</v>
      </c>
      <c r="L164" s="16">
        <f t="shared" si="89"/>
        <v>0</v>
      </c>
      <c r="M164" s="16">
        <f t="shared" si="89"/>
        <v>0</v>
      </c>
      <c r="N164" s="16">
        <f t="shared" si="89"/>
        <v>0</v>
      </c>
      <c r="O164" s="16">
        <f t="shared" ref="O164:P164" si="90">O15+O24+O33+O42+O51+O74+O83+O92+O101+O110+O134+O143+O152</f>
        <v>0</v>
      </c>
      <c r="P164" s="16">
        <f t="shared" si="90"/>
        <v>0</v>
      </c>
      <c r="Q164" s="13"/>
      <c r="R164" s="14"/>
    </row>
    <row r="165" spans="1:18" ht="16.5" customHeight="1">
      <c r="A165" s="14" t="s">
        <v>147</v>
      </c>
      <c r="B165" s="13"/>
      <c r="C165" s="13"/>
      <c r="D165" s="214">
        <v>0</v>
      </c>
      <c r="E165" s="214">
        <v>0</v>
      </c>
      <c r="F165" s="214">
        <v>0</v>
      </c>
      <c r="G165" s="8">
        <v>0</v>
      </c>
      <c r="H165" s="8">
        <v>0</v>
      </c>
      <c r="I165" s="8">
        <v>0</v>
      </c>
      <c r="J165" s="8">
        <v>0</v>
      </c>
      <c r="K165" s="8">
        <v>0</v>
      </c>
      <c r="L165" s="8">
        <v>0</v>
      </c>
      <c r="M165" s="8">
        <v>0</v>
      </c>
      <c r="N165" s="8">
        <v>0</v>
      </c>
      <c r="O165" s="8">
        <v>0</v>
      </c>
      <c r="P165" s="8">
        <v>0</v>
      </c>
      <c r="Q165" s="13"/>
      <c r="R165" s="14"/>
    </row>
    <row r="166" spans="1:18" ht="16.5" customHeight="1">
      <c r="A166" s="14" t="s">
        <v>148</v>
      </c>
      <c r="B166" s="13"/>
      <c r="C166" s="13"/>
      <c r="D166" s="16">
        <f t="shared" ref="D166:P166" si="91">D164+D165</f>
        <v>0</v>
      </c>
      <c r="E166" s="16">
        <f t="shared" si="91"/>
        <v>0</v>
      </c>
      <c r="F166" s="16">
        <f t="shared" si="91"/>
        <v>0</v>
      </c>
      <c r="G166" s="16">
        <f t="shared" si="91"/>
        <v>0</v>
      </c>
      <c r="H166" s="16">
        <f t="shared" si="91"/>
        <v>0</v>
      </c>
      <c r="I166" s="16">
        <f t="shared" si="91"/>
        <v>0</v>
      </c>
      <c r="J166" s="16">
        <f t="shared" si="91"/>
        <v>0</v>
      </c>
      <c r="K166" s="16">
        <f t="shared" si="91"/>
        <v>0</v>
      </c>
      <c r="L166" s="16">
        <f t="shared" si="91"/>
        <v>0</v>
      </c>
      <c r="M166" s="16">
        <f t="shared" si="91"/>
        <v>0</v>
      </c>
      <c r="N166" s="16">
        <f t="shared" si="91"/>
        <v>0</v>
      </c>
      <c r="O166" s="16">
        <f t="shared" si="91"/>
        <v>0</v>
      </c>
      <c r="P166" s="16">
        <f t="shared" si="91"/>
        <v>0</v>
      </c>
      <c r="Q166" s="13"/>
      <c r="R166" s="14"/>
    </row>
    <row r="167" spans="1:18" ht="16.5" customHeight="1">
      <c r="A167" s="13"/>
      <c r="B167" s="13"/>
      <c r="C167" s="13"/>
      <c r="D167" s="13"/>
      <c r="E167" s="13"/>
      <c r="F167" s="13"/>
      <c r="G167" s="13"/>
      <c r="H167" s="13"/>
      <c r="I167" s="13"/>
      <c r="J167" s="13"/>
      <c r="K167" s="13"/>
      <c r="L167" s="13"/>
      <c r="M167" s="13"/>
      <c r="N167" s="13"/>
      <c r="O167" s="13"/>
      <c r="P167" s="13"/>
      <c r="Q167" s="13"/>
      <c r="R167" s="13"/>
    </row>
  </sheetData>
  <mergeCells count="6">
    <mergeCell ref="E122:F122"/>
    <mergeCell ref="I122:J122"/>
    <mergeCell ref="I3:J3"/>
    <mergeCell ref="E3:F3"/>
    <mergeCell ref="I62:J62"/>
    <mergeCell ref="E62:F62"/>
  </mergeCells>
  <phoneticPr fontId="0" type="noConversion"/>
  <pageMargins left="0.5" right="0.4" top="0.82" bottom="0.57999999999999996" header="0.73" footer="0.5"/>
  <pageSetup scale="53" fitToHeight="0" orientation="landscape" horizontalDpi="300" verticalDpi="300" r:id="rId1"/>
  <headerFooter alignWithMargins="0"/>
  <rowBreaks count="1" manualBreakCount="1">
    <brk id="55" max="15"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J7"/>
  <sheetViews>
    <sheetView workbookViewId="0">
      <selection activeCell="A7" sqref="A7"/>
    </sheetView>
  </sheetViews>
  <sheetFormatPr defaultRowHeight="12.5"/>
  <cols>
    <col min="1" max="10" width="12.7265625" customWidth="1"/>
  </cols>
  <sheetData>
    <row r="1" spans="1:10">
      <c r="A1" s="104" t="e">
        <v>#DIV/0!</v>
      </c>
      <c r="B1" s="104" t="e">
        <v>#DIV/0!</v>
      </c>
      <c r="C1" s="104" t="e">
        <v>#DIV/0!</v>
      </c>
      <c r="D1" s="104" t="e">
        <v>#DIV/0!</v>
      </c>
      <c r="E1" s="104" t="e">
        <v>#DIV/0!</v>
      </c>
      <c r="F1" s="104" t="e">
        <v>#DIV/0!</v>
      </c>
      <c r="G1" s="104" t="e">
        <v>#DIV/0!</v>
      </c>
      <c r="H1" s="104" t="e">
        <v>#DIV/0!</v>
      </c>
      <c r="I1" s="104" t="e">
        <v>#DIV/0!</v>
      </c>
      <c r="J1" s="104" t="e">
        <v>#DIV/0!</v>
      </c>
    </row>
    <row r="2" spans="1:10">
      <c r="A2" s="104">
        <v>0</v>
      </c>
      <c r="B2" s="104">
        <v>0</v>
      </c>
      <c r="C2" s="104">
        <v>0</v>
      </c>
      <c r="D2" s="104">
        <v>0</v>
      </c>
      <c r="E2" s="104">
        <v>0</v>
      </c>
      <c r="F2" s="104">
        <v>0</v>
      </c>
      <c r="G2" s="104">
        <v>0</v>
      </c>
      <c r="H2" s="104">
        <v>0</v>
      </c>
      <c r="I2" s="104">
        <v>0</v>
      </c>
      <c r="J2" s="104">
        <v>0</v>
      </c>
    </row>
    <row r="3" spans="1:10">
      <c r="A3" s="104" t="e">
        <f>IF(A7=1,MINA(A1:A2),'g - Plant'!H41)</f>
        <v>#DIV/0!</v>
      </c>
      <c r="B3" s="104" t="e">
        <f>IF(B7=1,MINA(B1:B2),'g - Plant'!I41)</f>
        <v>#DIV/0!</v>
      </c>
      <c r="C3" s="104" t="e">
        <f>IF(C7=1,MINA(C1:C2),'g - Plant'!J41)</f>
        <v>#DIV/0!</v>
      </c>
      <c r="D3" s="104" t="e">
        <f>IF(D7=1,MINA(D1:D2),'g - Plant'!K41)</f>
        <v>#DIV/0!</v>
      </c>
      <c r="E3" s="104" t="e">
        <f>IF(E7=1,MINA(E1:E2),'g - Plant'!L41)</f>
        <v>#DIV/0!</v>
      </c>
      <c r="F3" s="104" t="e">
        <f>IF(F7=1,MINA(F1:F2),'g - Plant'!M41)</f>
        <v>#DIV/0!</v>
      </c>
      <c r="G3" s="104" t="e">
        <f>IF(G7=1,MINA(G1:G2),'g - Plant'!N41)</f>
        <v>#DIV/0!</v>
      </c>
      <c r="H3" s="104" t="e">
        <f>IF(H7=1,MINA(H1:H2),'g - Plant'!O41)</f>
        <v>#DIV/0!</v>
      </c>
      <c r="I3" s="104" t="e">
        <f>IF(I7=1,MINA(I1:I2),'g - Plant'!P41)</f>
        <v>#DIV/0!</v>
      </c>
      <c r="J3" s="104" t="e">
        <f>IF(J7=1,MINA(J1:J2),'g - Plant'!Q41)</f>
        <v>#DIV/0!</v>
      </c>
    </row>
    <row r="4" spans="1:10">
      <c r="A4" s="104"/>
      <c r="B4" s="104"/>
      <c r="C4" s="104"/>
      <c r="D4" s="104"/>
      <c r="E4" s="104"/>
      <c r="F4" s="104"/>
      <c r="G4" s="104"/>
      <c r="H4" s="104"/>
      <c r="I4" s="104"/>
      <c r="J4" s="104"/>
    </row>
    <row r="5" spans="1:10">
      <c r="A5" s="104"/>
      <c r="B5" s="104"/>
      <c r="C5" s="104"/>
      <c r="D5" s="104"/>
      <c r="E5" s="104"/>
      <c r="F5" s="104"/>
      <c r="G5" s="104"/>
      <c r="H5" s="104"/>
      <c r="I5" s="104"/>
      <c r="J5" s="104"/>
    </row>
    <row r="7" spans="1:10" ht="13">
      <c r="A7" s="127">
        <f>+IF('g - Plant'!H40="Y",1,0)</f>
        <v>1</v>
      </c>
      <c r="B7" s="127">
        <f>+IF('g - Plant'!I40="Y",1,0)</f>
        <v>1</v>
      </c>
      <c r="C7" s="127">
        <f>+IF('g - Plant'!J40="Y",1,0)</f>
        <v>1</v>
      </c>
      <c r="D7" s="127">
        <f>+IF('g - Plant'!K40="Y",1,0)</f>
        <v>1</v>
      </c>
      <c r="E7" s="127">
        <f>+IF('g - Plant'!L40="Y",1,0)</f>
        <v>1</v>
      </c>
      <c r="F7" s="127">
        <f>+IF('g - Plant'!M40="Y",1,0)</f>
        <v>1</v>
      </c>
      <c r="G7" s="127">
        <f>+IF('g - Plant'!N40="Y",1,0)</f>
        <v>1</v>
      </c>
      <c r="H7" s="127">
        <f>+IF('g - Plant'!O40="Y",1,0)</f>
        <v>1</v>
      </c>
      <c r="I7" s="127">
        <f>+IF('g - Plant'!P40="Y",1,0)</f>
        <v>1</v>
      </c>
      <c r="J7" s="127">
        <f>+IF('g - Plant'!Q40="Y",1,0)</f>
        <v>1</v>
      </c>
    </row>
  </sheetData>
  <phoneticPr fontId="0" type="noConversion"/>
  <pageMargins left="0.75" right="0.75" top="1" bottom="1" header="0.5" footer="0.5"/>
  <pageSetup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35" r:id="rId4" name="Button 31">
              <controlPr defaultSize="0" print="0" autoFill="0" autoLine="0" autoPict="0" macro="[0]!Annual_Update_with_New_Years_Data">
                <anchor moveWithCells="1" sizeWithCells="1">
                  <from>
                    <xdr:col>2</xdr:col>
                    <xdr:colOff>565150</xdr:colOff>
                    <xdr:row>24</xdr:row>
                    <xdr:rowOff>95250</xdr:rowOff>
                  </from>
                  <to>
                    <xdr:col>6</xdr:col>
                    <xdr:colOff>171450</xdr:colOff>
                    <xdr:row>39</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pageSetUpPr fitToPage="1"/>
  </sheetPr>
  <dimension ref="A1:R164"/>
  <sheetViews>
    <sheetView showGridLines="0" zoomScale="108" zoomScaleNormal="108" workbookViewId="0">
      <pane xSplit="4" ySplit="6" topLeftCell="E7" activePane="bottomRight" state="frozen"/>
      <selection pane="topRight" activeCell="D1" sqref="D1"/>
      <selection pane="bottomLeft" activeCell="A7" sqref="A7"/>
      <selection pane="bottomRight" activeCell="E7" sqref="E7"/>
    </sheetView>
  </sheetViews>
  <sheetFormatPr defaultColWidth="0" defaultRowHeight="12.5" zeroHeight="1"/>
  <cols>
    <col min="1" max="1" width="5.7265625" customWidth="1"/>
    <col min="2" max="2" width="20.1796875" customWidth="1"/>
    <col min="3" max="3" width="8.453125" customWidth="1"/>
    <col min="4" max="4" width="21.7265625" customWidth="1"/>
    <col min="5" max="16" width="14.54296875" customWidth="1"/>
    <col min="17" max="17" width="15.453125" customWidth="1"/>
    <col min="18" max="18" width="14.54296875" customWidth="1"/>
  </cols>
  <sheetData>
    <row r="1" spans="1:18" ht="16.5" customHeight="1">
      <c r="A1" s="5"/>
      <c r="B1" s="5"/>
      <c r="C1" s="5"/>
      <c r="D1" s="5"/>
      <c r="E1" s="5"/>
      <c r="F1" s="5"/>
      <c r="G1" s="26" t="s">
        <v>42</v>
      </c>
      <c r="H1" s="12"/>
      <c r="I1" s="26" t="s">
        <v>149</v>
      </c>
      <c r="J1" s="5"/>
      <c r="K1" s="5"/>
      <c r="L1" s="5"/>
      <c r="M1" s="5"/>
      <c r="N1" s="5"/>
      <c r="O1" s="5"/>
      <c r="P1" s="5"/>
      <c r="Q1" s="5"/>
      <c r="R1" s="5"/>
    </row>
    <row r="2" spans="1:18" ht="16.5" customHeight="1">
      <c r="A2" s="5"/>
      <c r="B2" s="5"/>
      <c r="C2" s="5"/>
      <c r="D2" s="5"/>
      <c r="E2" s="5"/>
      <c r="F2" s="5"/>
      <c r="G2" s="5"/>
      <c r="H2" s="5"/>
      <c r="I2" s="5"/>
      <c r="J2" s="5"/>
      <c r="K2" s="5"/>
      <c r="L2" s="5"/>
      <c r="M2" s="5"/>
      <c r="N2" s="5"/>
      <c r="O2" s="5"/>
      <c r="P2" s="5"/>
      <c r="Q2" s="5"/>
      <c r="R2" s="5"/>
    </row>
    <row r="3" spans="1:18" ht="16.5" customHeight="1">
      <c r="A3" s="5"/>
      <c r="B3" s="5"/>
      <c r="C3" s="5"/>
      <c r="D3" s="5"/>
      <c r="E3" s="57" t="s">
        <v>44</v>
      </c>
      <c r="F3" s="267" t="s">
        <v>689</v>
      </c>
      <c r="G3" s="257"/>
      <c r="H3" s="57" t="s">
        <v>44</v>
      </c>
      <c r="I3" s="57"/>
      <c r="J3" s="257" t="s">
        <v>45</v>
      </c>
      <c r="K3" s="257"/>
      <c r="L3" s="57" t="s">
        <v>44</v>
      </c>
      <c r="M3" s="57"/>
      <c r="N3" s="57"/>
      <c r="O3" s="57"/>
      <c r="P3" s="57"/>
      <c r="Q3" s="57"/>
      <c r="R3" s="5"/>
    </row>
    <row r="4" spans="1:18" ht="16.5" customHeight="1">
      <c r="A4" s="5"/>
      <c r="B4" s="5"/>
      <c r="C4" s="5"/>
      <c r="D4" s="5"/>
      <c r="E4" s="5"/>
      <c r="F4" s="58" t="s">
        <v>64</v>
      </c>
      <c r="G4" s="5"/>
      <c r="H4" s="5"/>
      <c r="I4" s="5"/>
      <c r="J4" s="5"/>
      <c r="K4" s="5"/>
      <c r="L4" s="5"/>
      <c r="M4" s="5"/>
      <c r="N4" s="5"/>
      <c r="O4" s="5"/>
      <c r="P4" s="5"/>
      <c r="Q4" s="5"/>
      <c r="R4" s="5"/>
    </row>
    <row r="5" spans="1:18" ht="16.5" customHeight="1">
      <c r="A5" s="5"/>
      <c r="B5" s="5"/>
      <c r="C5" s="5"/>
      <c r="D5" s="5"/>
      <c r="E5" s="6">
        <f>F5-1</f>
        <v>2021</v>
      </c>
      <c r="F5" s="6">
        <f>G5-1</f>
        <v>2022</v>
      </c>
      <c r="G5" s="6">
        <f>H5-1</f>
        <v>2023</v>
      </c>
      <c r="H5" s="6">
        <f>Input!G8</f>
        <v>2024</v>
      </c>
      <c r="I5" s="6">
        <f t="shared" ref="I5:Q5" si="0">H5+1</f>
        <v>2025</v>
      </c>
      <c r="J5" s="6">
        <f t="shared" si="0"/>
        <v>2026</v>
      </c>
      <c r="K5" s="6">
        <f t="shared" si="0"/>
        <v>2027</v>
      </c>
      <c r="L5" s="6">
        <f t="shared" si="0"/>
        <v>2028</v>
      </c>
      <c r="M5" s="6">
        <f t="shared" si="0"/>
        <v>2029</v>
      </c>
      <c r="N5" s="6">
        <f t="shared" si="0"/>
        <v>2030</v>
      </c>
      <c r="O5" s="6">
        <f t="shared" si="0"/>
        <v>2031</v>
      </c>
      <c r="P5" s="6">
        <f t="shared" si="0"/>
        <v>2032</v>
      </c>
      <c r="Q5" s="6">
        <f t="shared" si="0"/>
        <v>2033</v>
      </c>
      <c r="R5" s="5"/>
    </row>
    <row r="6" spans="1:18" ht="16.5" customHeight="1">
      <c r="A6" s="5"/>
      <c r="B6" s="5"/>
      <c r="C6" s="5"/>
      <c r="D6" s="5"/>
      <c r="E6" s="6" t="s">
        <v>46</v>
      </c>
      <c r="F6" s="6" t="s">
        <v>46</v>
      </c>
      <c r="G6" s="6" t="s">
        <v>46</v>
      </c>
      <c r="H6" s="6" t="s">
        <v>46</v>
      </c>
      <c r="I6" s="6" t="s">
        <v>46</v>
      </c>
      <c r="J6" s="6" t="s">
        <v>46</v>
      </c>
      <c r="K6" s="6" t="s">
        <v>46</v>
      </c>
      <c r="L6" s="6" t="s">
        <v>46</v>
      </c>
      <c r="M6" s="6" t="s">
        <v>46</v>
      </c>
      <c r="N6" s="6" t="s">
        <v>46</v>
      </c>
      <c r="O6" s="6" t="s">
        <v>46</v>
      </c>
      <c r="P6" s="6" t="s">
        <v>46</v>
      </c>
      <c r="Q6" s="6" t="s">
        <v>46</v>
      </c>
      <c r="R6" s="5"/>
    </row>
    <row r="7" spans="1:18" ht="16.5" customHeight="1">
      <c r="A7" s="26" t="s">
        <v>150</v>
      </c>
      <c r="B7" s="26"/>
      <c r="C7" s="26"/>
      <c r="D7" s="5"/>
      <c r="E7" s="5"/>
      <c r="F7" s="5"/>
      <c r="G7" s="5"/>
      <c r="H7" s="5"/>
      <c r="I7" s="5"/>
      <c r="J7" s="5"/>
      <c r="K7" s="5"/>
      <c r="L7" s="5"/>
      <c r="M7" s="5"/>
      <c r="N7" s="5"/>
      <c r="O7" s="5"/>
      <c r="P7" s="5"/>
      <c r="Q7" s="5"/>
      <c r="R7" s="5"/>
    </row>
    <row r="8" spans="1:18" ht="16.5" customHeight="1">
      <c r="A8" s="26" t="s">
        <v>703</v>
      </c>
      <c r="B8" s="26" t="s">
        <v>704</v>
      </c>
      <c r="C8" s="26"/>
      <c r="D8" s="5"/>
      <c r="E8" s="217">
        <v>0</v>
      </c>
      <c r="F8" s="117">
        <f t="shared" ref="F8:Q8" si="1">E12</f>
        <v>0</v>
      </c>
      <c r="G8" s="117">
        <f t="shared" si="1"/>
        <v>0</v>
      </c>
      <c r="H8" s="117">
        <f t="shared" si="1"/>
        <v>0</v>
      </c>
      <c r="I8" s="117">
        <f t="shared" si="1"/>
        <v>0</v>
      </c>
      <c r="J8" s="117">
        <f t="shared" si="1"/>
        <v>0</v>
      </c>
      <c r="K8" s="117">
        <f t="shared" si="1"/>
        <v>0</v>
      </c>
      <c r="L8" s="117">
        <f t="shared" si="1"/>
        <v>0</v>
      </c>
      <c r="M8" s="117">
        <f t="shared" si="1"/>
        <v>0</v>
      </c>
      <c r="N8" s="117">
        <f t="shared" si="1"/>
        <v>0</v>
      </c>
      <c r="O8" s="117">
        <f t="shared" si="1"/>
        <v>0</v>
      </c>
      <c r="P8" s="117">
        <f t="shared" si="1"/>
        <v>0</v>
      </c>
      <c r="Q8" s="117">
        <f t="shared" si="1"/>
        <v>0</v>
      </c>
      <c r="R8" s="5"/>
    </row>
    <row r="9" spans="1:18" ht="16.5" customHeight="1">
      <c r="A9" s="26" t="s">
        <v>705</v>
      </c>
      <c r="B9" s="26" t="s">
        <v>706</v>
      </c>
      <c r="C9" s="26"/>
      <c r="D9" s="5"/>
      <c r="E9" s="117">
        <f t="shared" ref="E9:Q9" si="2">E28+E27</f>
        <v>0</v>
      </c>
      <c r="F9" s="117">
        <f t="shared" si="2"/>
        <v>0</v>
      </c>
      <c r="G9" s="117">
        <f t="shared" si="2"/>
        <v>0</v>
      </c>
      <c r="H9" s="117">
        <f t="shared" si="2"/>
        <v>0</v>
      </c>
      <c r="I9" s="117">
        <f t="shared" si="2"/>
        <v>0</v>
      </c>
      <c r="J9" s="117">
        <f t="shared" si="2"/>
        <v>0</v>
      </c>
      <c r="K9" s="117">
        <f t="shared" si="2"/>
        <v>0</v>
      </c>
      <c r="L9" s="117">
        <f t="shared" si="2"/>
        <v>0</v>
      </c>
      <c r="M9" s="117">
        <f t="shared" si="2"/>
        <v>0</v>
      </c>
      <c r="N9" s="117">
        <f t="shared" si="2"/>
        <v>0</v>
      </c>
      <c r="O9" s="117">
        <f t="shared" si="2"/>
        <v>0</v>
      </c>
      <c r="P9" s="117">
        <f t="shared" si="2"/>
        <v>0</v>
      </c>
      <c r="Q9" s="117">
        <f t="shared" si="2"/>
        <v>0</v>
      </c>
      <c r="R9" s="5"/>
    </row>
    <row r="10" spans="1:18" ht="16.5" customHeight="1">
      <c r="A10" s="26" t="s">
        <v>707</v>
      </c>
      <c r="B10" s="26" t="s">
        <v>708</v>
      </c>
      <c r="C10" s="26"/>
      <c r="D10" s="5"/>
      <c r="E10" s="117">
        <f t="shared" ref="E10:Q10" si="3">E27</f>
        <v>0</v>
      </c>
      <c r="F10" s="117">
        <f t="shared" si="3"/>
        <v>0</v>
      </c>
      <c r="G10" s="117">
        <f t="shared" si="3"/>
        <v>0</v>
      </c>
      <c r="H10" s="117">
        <f t="shared" si="3"/>
        <v>0</v>
      </c>
      <c r="I10" s="117">
        <f t="shared" si="3"/>
        <v>0</v>
      </c>
      <c r="J10" s="117">
        <f t="shared" si="3"/>
        <v>0</v>
      </c>
      <c r="K10" s="117">
        <f t="shared" si="3"/>
        <v>0</v>
      </c>
      <c r="L10" s="117">
        <f t="shared" si="3"/>
        <v>0</v>
      </c>
      <c r="M10" s="117">
        <f t="shared" si="3"/>
        <v>0</v>
      </c>
      <c r="N10" s="117">
        <f t="shared" si="3"/>
        <v>0</v>
      </c>
      <c r="O10" s="117">
        <f t="shared" si="3"/>
        <v>0</v>
      </c>
      <c r="P10" s="117">
        <f t="shared" si="3"/>
        <v>0</v>
      </c>
      <c r="Q10" s="117">
        <f t="shared" si="3"/>
        <v>0</v>
      </c>
      <c r="R10" s="5"/>
    </row>
    <row r="11" spans="1:18" ht="16.5" customHeight="1">
      <c r="A11" s="26" t="s">
        <v>709</v>
      </c>
      <c r="B11" s="26" t="s">
        <v>710</v>
      </c>
      <c r="C11" s="26"/>
      <c r="D11" s="5"/>
      <c r="E11" s="217">
        <v>0</v>
      </c>
      <c r="F11" s="217">
        <v>0</v>
      </c>
      <c r="G11" s="217">
        <v>0</v>
      </c>
      <c r="H11" s="116">
        <v>0</v>
      </c>
      <c r="I11" s="116">
        <v>0</v>
      </c>
      <c r="J11" s="116">
        <v>0</v>
      </c>
      <c r="K11" s="116">
        <v>0</v>
      </c>
      <c r="L11" s="116">
        <v>0</v>
      </c>
      <c r="M11" s="116">
        <v>0</v>
      </c>
      <c r="N11" s="116">
        <v>0</v>
      </c>
      <c r="O11" s="116">
        <v>0</v>
      </c>
      <c r="P11" s="116">
        <v>0</v>
      </c>
      <c r="Q11" s="116">
        <v>0</v>
      </c>
      <c r="R11" s="5"/>
    </row>
    <row r="12" spans="1:18" ht="16.5" customHeight="1">
      <c r="A12" s="26" t="s">
        <v>711</v>
      </c>
      <c r="B12" s="252" t="s">
        <v>712</v>
      </c>
      <c r="C12" s="26"/>
      <c r="D12" s="5"/>
      <c r="E12" s="117">
        <f t="shared" ref="E12:Q12" si="4">E8+E9-E10-E11</f>
        <v>0</v>
      </c>
      <c r="F12" s="117">
        <f t="shared" si="4"/>
        <v>0</v>
      </c>
      <c r="G12" s="117">
        <f t="shared" si="4"/>
        <v>0</v>
      </c>
      <c r="H12" s="117">
        <f t="shared" si="4"/>
        <v>0</v>
      </c>
      <c r="I12" s="117">
        <f t="shared" si="4"/>
        <v>0</v>
      </c>
      <c r="J12" s="117">
        <f t="shared" si="4"/>
        <v>0</v>
      </c>
      <c r="K12" s="117">
        <f t="shared" si="4"/>
        <v>0</v>
      </c>
      <c r="L12" s="117">
        <f t="shared" si="4"/>
        <v>0</v>
      </c>
      <c r="M12" s="117">
        <f t="shared" si="4"/>
        <v>0</v>
      </c>
      <c r="N12" s="117">
        <f t="shared" si="4"/>
        <v>0</v>
      </c>
      <c r="O12" s="117">
        <f t="shared" si="4"/>
        <v>0</v>
      </c>
      <c r="P12" s="117">
        <f t="shared" si="4"/>
        <v>0</v>
      </c>
      <c r="Q12" s="117">
        <f t="shared" si="4"/>
        <v>0</v>
      </c>
      <c r="R12" s="5"/>
    </row>
    <row r="13" spans="1:18" ht="16.5" customHeight="1">
      <c r="A13" s="252" t="s">
        <v>722</v>
      </c>
      <c r="B13" s="252" t="s">
        <v>971</v>
      </c>
      <c r="C13" s="5"/>
      <c r="D13" s="5"/>
      <c r="E13" s="253" t="e">
        <f>+E11/E9</f>
        <v>#DIV/0!</v>
      </c>
      <c r="F13" s="253" t="e">
        <f t="shared" ref="F13:Q13" si="5">+F11/F9</f>
        <v>#DIV/0!</v>
      </c>
      <c r="G13" s="253" t="e">
        <f t="shared" si="5"/>
        <v>#DIV/0!</v>
      </c>
      <c r="H13" s="253" t="e">
        <f t="shared" si="5"/>
        <v>#DIV/0!</v>
      </c>
      <c r="I13" s="253" t="e">
        <f t="shared" si="5"/>
        <v>#DIV/0!</v>
      </c>
      <c r="J13" s="253" t="e">
        <f t="shared" si="5"/>
        <v>#DIV/0!</v>
      </c>
      <c r="K13" s="253" t="e">
        <f t="shared" si="5"/>
        <v>#DIV/0!</v>
      </c>
      <c r="L13" s="253" t="e">
        <f t="shared" si="5"/>
        <v>#DIV/0!</v>
      </c>
      <c r="M13" s="253" t="e">
        <f t="shared" si="5"/>
        <v>#DIV/0!</v>
      </c>
      <c r="N13" s="253" t="e">
        <f t="shared" si="5"/>
        <v>#DIV/0!</v>
      </c>
      <c r="O13" s="253" t="e">
        <f t="shared" si="5"/>
        <v>#DIV/0!</v>
      </c>
      <c r="P13" s="253" t="e">
        <f t="shared" si="5"/>
        <v>#DIV/0!</v>
      </c>
      <c r="Q13" s="253" t="e">
        <f t="shared" si="5"/>
        <v>#DIV/0!</v>
      </c>
      <c r="R13" s="5"/>
    </row>
    <row r="14" spans="1:18" ht="16.5" customHeight="1">
      <c r="A14" s="266" t="s">
        <v>151</v>
      </c>
      <c r="B14" s="266"/>
      <c r="C14" s="266"/>
      <c r="D14" s="266"/>
      <c r="E14" s="117"/>
      <c r="F14" s="117"/>
      <c r="G14" s="117"/>
      <c r="H14" s="117"/>
      <c r="I14" s="117"/>
      <c r="J14" s="117"/>
      <c r="K14" s="117"/>
      <c r="L14" s="117"/>
      <c r="M14" s="117"/>
      <c r="N14" s="117"/>
      <c r="O14" s="117"/>
      <c r="P14" s="117"/>
      <c r="Q14" s="117"/>
      <c r="R14" s="5"/>
    </row>
    <row r="15" spans="1:18" ht="16.5" customHeight="1">
      <c r="B15" t="s">
        <v>713</v>
      </c>
      <c r="C15" t="s">
        <v>714</v>
      </c>
      <c r="E15" s="117"/>
      <c r="F15" s="117"/>
      <c r="G15" s="117"/>
      <c r="H15" s="117"/>
      <c r="I15" s="117"/>
      <c r="J15" s="117"/>
      <c r="K15" s="117"/>
      <c r="L15" s="117"/>
      <c r="M15" s="117"/>
      <c r="N15" s="117"/>
      <c r="O15" s="117"/>
      <c r="P15" s="117"/>
      <c r="Q15" s="117"/>
      <c r="R15" s="5"/>
    </row>
    <row r="16" spans="1:18" ht="16.5" customHeight="1">
      <c r="A16" s="26" t="s">
        <v>703</v>
      </c>
      <c r="B16" s="100" t="s">
        <v>715</v>
      </c>
      <c r="C16" s="118" t="s">
        <v>716</v>
      </c>
      <c r="D16" s="5"/>
      <c r="E16" s="217">
        <v>0</v>
      </c>
      <c r="F16" s="217">
        <v>0</v>
      </c>
      <c r="G16" s="217">
        <v>0</v>
      </c>
      <c r="H16" s="116">
        <v>0</v>
      </c>
      <c r="I16" s="116">
        <v>0</v>
      </c>
      <c r="J16" s="116">
        <v>0</v>
      </c>
      <c r="K16" s="116">
        <v>0</v>
      </c>
      <c r="L16" s="116">
        <v>0</v>
      </c>
      <c r="M16" s="116">
        <v>0</v>
      </c>
      <c r="N16" s="116">
        <v>0</v>
      </c>
      <c r="O16" s="116">
        <v>0</v>
      </c>
      <c r="P16" s="116">
        <v>0</v>
      </c>
      <c r="Q16" s="116">
        <v>0</v>
      </c>
      <c r="R16" s="5"/>
    </row>
    <row r="17" spans="1:18" ht="16.5" customHeight="1">
      <c r="A17" s="26" t="s">
        <v>705</v>
      </c>
      <c r="B17" s="100" t="s">
        <v>717</v>
      </c>
      <c r="C17" s="118" t="s">
        <v>716</v>
      </c>
      <c r="D17" s="5"/>
      <c r="E17" s="217">
        <v>0</v>
      </c>
      <c r="F17" s="217">
        <v>0</v>
      </c>
      <c r="G17" s="217">
        <v>0</v>
      </c>
      <c r="H17" s="116">
        <v>0</v>
      </c>
      <c r="I17" s="116">
        <v>0</v>
      </c>
      <c r="J17" s="116">
        <v>0</v>
      </c>
      <c r="K17" s="116">
        <v>0</v>
      </c>
      <c r="L17" s="116">
        <v>0</v>
      </c>
      <c r="M17" s="116">
        <v>0</v>
      </c>
      <c r="N17" s="116">
        <v>0</v>
      </c>
      <c r="O17" s="116">
        <v>0</v>
      </c>
      <c r="P17" s="116">
        <v>0</v>
      </c>
      <c r="Q17" s="116">
        <v>0</v>
      </c>
      <c r="R17" s="5"/>
    </row>
    <row r="18" spans="1:18" ht="16.5" customHeight="1">
      <c r="A18" s="26" t="s">
        <v>707</v>
      </c>
      <c r="B18" s="100" t="s">
        <v>718</v>
      </c>
      <c r="C18" s="118" t="s">
        <v>719</v>
      </c>
      <c r="D18" s="5"/>
      <c r="E18" s="217">
        <v>0</v>
      </c>
      <c r="F18" s="217">
        <v>0</v>
      </c>
      <c r="G18" s="217">
        <v>0</v>
      </c>
      <c r="H18" s="116">
        <v>0</v>
      </c>
      <c r="I18" s="116">
        <v>0</v>
      </c>
      <c r="J18" s="116">
        <v>0</v>
      </c>
      <c r="K18" s="116">
        <v>0</v>
      </c>
      <c r="L18" s="116">
        <v>0</v>
      </c>
      <c r="M18" s="116">
        <v>0</v>
      </c>
      <c r="N18" s="116">
        <v>0</v>
      </c>
      <c r="O18" s="116">
        <v>0</v>
      </c>
      <c r="P18" s="116">
        <v>0</v>
      </c>
      <c r="Q18" s="116">
        <v>0</v>
      </c>
      <c r="R18" s="5"/>
    </row>
    <row r="19" spans="1:18" ht="16.5" customHeight="1">
      <c r="A19" s="26" t="s">
        <v>709</v>
      </c>
      <c r="B19" s="100" t="s">
        <v>720</v>
      </c>
      <c r="C19" s="118" t="s">
        <v>719</v>
      </c>
      <c r="D19" s="5"/>
      <c r="E19" s="217">
        <v>0</v>
      </c>
      <c r="F19" s="217">
        <v>0</v>
      </c>
      <c r="G19" s="217">
        <v>0</v>
      </c>
      <c r="H19" s="116">
        <v>0</v>
      </c>
      <c r="I19" s="116">
        <v>0</v>
      </c>
      <c r="J19" s="116">
        <v>0</v>
      </c>
      <c r="K19" s="116">
        <v>0</v>
      </c>
      <c r="L19" s="116">
        <v>0</v>
      </c>
      <c r="M19" s="116">
        <v>0</v>
      </c>
      <c r="N19" s="116">
        <v>0</v>
      </c>
      <c r="O19" s="116">
        <v>0</v>
      </c>
      <c r="P19" s="116">
        <v>0</v>
      </c>
      <c r="Q19" s="116">
        <v>0</v>
      </c>
      <c r="R19" s="5"/>
    </row>
    <row r="20" spans="1:18" ht="16.5" customHeight="1">
      <c r="A20" s="26" t="s">
        <v>711</v>
      </c>
      <c r="B20" s="100" t="s">
        <v>721</v>
      </c>
      <c r="C20" s="118" t="s">
        <v>719</v>
      </c>
      <c r="D20" s="5"/>
      <c r="E20" s="217">
        <v>0</v>
      </c>
      <c r="F20" s="217">
        <v>0</v>
      </c>
      <c r="G20" s="217">
        <v>0</v>
      </c>
      <c r="H20" s="116">
        <v>0</v>
      </c>
      <c r="I20" s="116">
        <v>0</v>
      </c>
      <c r="J20" s="116">
        <v>0</v>
      </c>
      <c r="K20" s="116">
        <v>0</v>
      </c>
      <c r="L20" s="116">
        <v>0</v>
      </c>
      <c r="M20" s="116">
        <v>0</v>
      </c>
      <c r="N20" s="116">
        <v>0</v>
      </c>
      <c r="O20" s="116">
        <v>0</v>
      </c>
      <c r="P20" s="116">
        <v>0</v>
      </c>
      <c r="Q20" s="116">
        <v>0</v>
      </c>
      <c r="R20" s="5"/>
    </row>
    <row r="21" spans="1:18" ht="16.5" customHeight="1">
      <c r="A21" s="26" t="s">
        <v>722</v>
      </c>
      <c r="B21" s="100" t="s">
        <v>723</v>
      </c>
      <c r="C21" s="118" t="s">
        <v>719</v>
      </c>
      <c r="D21" s="5"/>
      <c r="E21" s="217">
        <v>0</v>
      </c>
      <c r="F21" s="217">
        <v>0</v>
      </c>
      <c r="G21" s="217">
        <v>0</v>
      </c>
      <c r="H21" s="116">
        <v>0</v>
      </c>
      <c r="I21" s="116">
        <v>0</v>
      </c>
      <c r="J21" s="116">
        <v>0</v>
      </c>
      <c r="K21" s="116">
        <v>0</v>
      </c>
      <c r="L21" s="116">
        <v>0</v>
      </c>
      <c r="M21" s="116">
        <v>0</v>
      </c>
      <c r="N21" s="116">
        <v>0</v>
      </c>
      <c r="O21" s="116">
        <v>0</v>
      </c>
      <c r="P21" s="116">
        <v>0</v>
      </c>
      <c r="Q21" s="116">
        <v>0</v>
      </c>
      <c r="R21" s="5"/>
    </row>
    <row r="22" spans="1:18" ht="16.5" customHeight="1">
      <c r="A22" s="26" t="s">
        <v>764</v>
      </c>
      <c r="B22" s="100" t="s">
        <v>725</v>
      </c>
      <c r="C22" s="118" t="s">
        <v>719</v>
      </c>
      <c r="D22" s="5"/>
      <c r="E22" s="217">
        <v>0</v>
      </c>
      <c r="F22" s="217">
        <v>0</v>
      </c>
      <c r="G22" s="217">
        <v>0</v>
      </c>
      <c r="H22" s="116">
        <v>0</v>
      </c>
      <c r="I22" s="116">
        <v>0</v>
      </c>
      <c r="J22" s="116">
        <v>0</v>
      </c>
      <c r="K22" s="116">
        <v>0</v>
      </c>
      <c r="L22" s="116">
        <v>0</v>
      </c>
      <c r="M22" s="116">
        <v>0</v>
      </c>
      <c r="N22" s="116">
        <v>0</v>
      </c>
      <c r="O22" s="116">
        <v>0</v>
      </c>
      <c r="P22" s="116">
        <v>0</v>
      </c>
      <c r="Q22" s="116">
        <v>0</v>
      </c>
      <c r="R22" s="5"/>
    </row>
    <row r="23" spans="1:18" ht="16.5" customHeight="1">
      <c r="A23" s="26" t="s">
        <v>724</v>
      </c>
      <c r="B23" s="100" t="s">
        <v>727</v>
      </c>
      <c r="C23" s="118" t="s">
        <v>719</v>
      </c>
      <c r="D23" s="5"/>
      <c r="E23" s="217">
        <v>0</v>
      </c>
      <c r="F23" s="217">
        <v>0</v>
      </c>
      <c r="G23" s="217">
        <v>0</v>
      </c>
      <c r="H23" s="116">
        <v>0</v>
      </c>
      <c r="I23" s="116">
        <v>0</v>
      </c>
      <c r="J23" s="116">
        <v>0</v>
      </c>
      <c r="K23" s="116">
        <v>0</v>
      </c>
      <c r="L23" s="116">
        <v>0</v>
      </c>
      <c r="M23" s="116">
        <v>0</v>
      </c>
      <c r="N23" s="116">
        <v>0</v>
      </c>
      <c r="O23" s="116">
        <v>0</v>
      </c>
      <c r="P23" s="116">
        <v>0</v>
      </c>
      <c r="Q23" s="116">
        <v>0</v>
      </c>
      <c r="R23" s="5"/>
    </row>
    <row r="24" spans="1:18" ht="16.5" customHeight="1">
      <c r="A24" s="26" t="s">
        <v>765</v>
      </c>
      <c r="B24" s="100" t="s">
        <v>729</v>
      </c>
      <c r="C24" s="118" t="s">
        <v>719</v>
      </c>
      <c r="D24" s="5"/>
      <c r="E24" s="217">
        <v>0</v>
      </c>
      <c r="F24" s="217">
        <v>0</v>
      </c>
      <c r="G24" s="217">
        <v>0</v>
      </c>
      <c r="H24" s="116">
        <v>0</v>
      </c>
      <c r="I24" s="116">
        <v>0</v>
      </c>
      <c r="J24" s="116">
        <v>0</v>
      </c>
      <c r="K24" s="116">
        <v>0</v>
      </c>
      <c r="L24" s="116">
        <v>0</v>
      </c>
      <c r="M24" s="116">
        <v>0</v>
      </c>
      <c r="N24" s="116">
        <v>0</v>
      </c>
      <c r="O24" s="116">
        <v>0</v>
      </c>
      <c r="P24" s="116">
        <v>0</v>
      </c>
      <c r="Q24" s="116">
        <v>0</v>
      </c>
      <c r="R24" s="5"/>
    </row>
    <row r="25" spans="1:18" ht="16.5" customHeight="1">
      <c r="A25" s="26" t="s">
        <v>726</v>
      </c>
      <c r="B25" s="100" t="s">
        <v>729</v>
      </c>
      <c r="C25" s="118" t="s">
        <v>719</v>
      </c>
      <c r="D25" s="5"/>
      <c r="E25" s="217">
        <v>0</v>
      </c>
      <c r="F25" s="217">
        <v>0</v>
      </c>
      <c r="G25" s="217">
        <v>0</v>
      </c>
      <c r="H25" s="116">
        <v>0</v>
      </c>
      <c r="I25" s="116">
        <v>0</v>
      </c>
      <c r="J25" s="116">
        <v>0</v>
      </c>
      <c r="K25" s="116">
        <v>0</v>
      </c>
      <c r="L25" s="116">
        <v>0</v>
      </c>
      <c r="M25" s="116">
        <v>0</v>
      </c>
      <c r="N25" s="116">
        <v>0</v>
      </c>
      <c r="O25" s="116">
        <v>0</v>
      </c>
      <c r="P25" s="116">
        <v>0</v>
      </c>
      <c r="Q25" s="116">
        <v>0</v>
      </c>
      <c r="R25" s="5"/>
    </row>
    <row r="26" spans="1:18" ht="16.5" customHeight="1">
      <c r="A26" s="26" t="s">
        <v>728</v>
      </c>
      <c r="B26" s="100" t="s">
        <v>729</v>
      </c>
      <c r="C26" s="118" t="s">
        <v>719</v>
      </c>
      <c r="D26" s="5"/>
      <c r="E26" s="217">
        <v>0</v>
      </c>
      <c r="F26" s="217">
        <v>0</v>
      </c>
      <c r="G26" s="217">
        <v>0</v>
      </c>
      <c r="H26" s="116">
        <v>0</v>
      </c>
      <c r="I26" s="116">
        <v>0</v>
      </c>
      <c r="J26" s="116">
        <v>0</v>
      </c>
      <c r="K26" s="116">
        <v>0</v>
      </c>
      <c r="L26" s="116">
        <v>0</v>
      </c>
      <c r="M26" s="116">
        <v>0</v>
      </c>
      <c r="N26" s="116">
        <v>0</v>
      </c>
      <c r="O26" s="116">
        <v>0</v>
      </c>
      <c r="P26" s="116">
        <v>0</v>
      </c>
      <c r="Q26" s="116">
        <v>0</v>
      </c>
      <c r="R26" s="5"/>
    </row>
    <row r="27" spans="1:18" ht="16.5" customHeight="1">
      <c r="A27" s="26" t="s">
        <v>730</v>
      </c>
      <c r="B27" s="26" t="s">
        <v>731</v>
      </c>
      <c r="C27" s="119"/>
      <c r="D27" s="5"/>
      <c r="E27" s="217">
        <v>0</v>
      </c>
      <c r="F27" s="217">
        <v>0</v>
      </c>
      <c r="G27" s="217">
        <v>0</v>
      </c>
      <c r="H27" s="116">
        <v>0</v>
      </c>
      <c r="I27" s="116">
        <v>0</v>
      </c>
      <c r="J27" s="116">
        <v>0</v>
      </c>
      <c r="K27" s="116">
        <v>0</v>
      </c>
      <c r="L27" s="116">
        <v>0</v>
      </c>
      <c r="M27" s="116">
        <v>0</v>
      </c>
      <c r="N27" s="116">
        <v>0</v>
      </c>
      <c r="O27" s="116">
        <v>0</v>
      </c>
      <c r="P27" s="116">
        <v>0</v>
      </c>
      <c r="Q27" s="116">
        <v>0</v>
      </c>
      <c r="R27" s="5"/>
    </row>
    <row r="28" spans="1:18" ht="16.5" customHeight="1">
      <c r="A28" s="54"/>
      <c r="B28" s="26" t="s">
        <v>732</v>
      </c>
      <c r="C28" s="6"/>
      <c r="D28" s="6"/>
      <c r="E28" s="117">
        <f t="shared" ref="E28:Q28" si="6">SUM(E16:E26)-E27</f>
        <v>0</v>
      </c>
      <c r="F28" s="117">
        <f t="shared" si="6"/>
        <v>0</v>
      </c>
      <c r="G28" s="117">
        <f t="shared" si="6"/>
        <v>0</v>
      </c>
      <c r="H28" s="117">
        <f t="shared" ref="H28" si="7">SUM(H16:H26)-H27</f>
        <v>0</v>
      </c>
      <c r="I28" s="117">
        <f t="shared" ref="I28" si="8">SUM(I16:I26)-I27</f>
        <v>0</v>
      </c>
      <c r="J28" s="117">
        <f t="shared" ref="J28" si="9">SUM(J16:J26)-J27</f>
        <v>0</v>
      </c>
      <c r="K28" s="117">
        <f t="shared" ref="K28" si="10">SUM(K16:K26)-K27</f>
        <v>0</v>
      </c>
      <c r="L28" s="117">
        <f t="shared" ref="L28" si="11">SUM(L16:L26)-L27</f>
        <v>0</v>
      </c>
      <c r="M28" s="117">
        <f t="shared" ref="M28" si="12">SUM(M16:M26)-M27</f>
        <v>0</v>
      </c>
      <c r="N28" s="117">
        <f t="shared" ref="N28" si="13">SUM(N16:N26)-N27</f>
        <v>0</v>
      </c>
      <c r="O28" s="117">
        <f t="shared" ref="O28" si="14">SUM(O16:O26)-O27</f>
        <v>0</v>
      </c>
      <c r="P28" s="117">
        <f t="shared" ref="P28" si="15">SUM(P16:P26)-P27</f>
        <v>0</v>
      </c>
      <c r="Q28" s="117">
        <f t="shared" si="6"/>
        <v>0</v>
      </c>
      <c r="R28" s="5"/>
    </row>
    <row r="29" spans="1:18" ht="16.5" customHeight="1">
      <c r="A29" s="26"/>
      <c r="B29" s="26"/>
      <c r="C29" s="26"/>
      <c r="D29" s="26"/>
      <c r="E29" s="120"/>
      <c r="F29" s="120"/>
      <c r="G29" s="120"/>
      <c r="H29" s="120"/>
      <c r="I29" s="120"/>
      <c r="J29" s="120"/>
      <c r="K29" s="120"/>
      <c r="L29" s="120"/>
      <c r="M29" s="120"/>
      <c r="N29" s="120"/>
      <c r="O29" s="120"/>
      <c r="P29" s="120"/>
      <c r="Q29" s="120"/>
      <c r="R29" s="5"/>
    </row>
    <row r="30" spans="1:18" ht="16.5" customHeight="1">
      <c r="A30" s="26" t="s">
        <v>733</v>
      </c>
      <c r="B30" s="26"/>
      <c r="C30" s="26"/>
      <c r="D30" s="5"/>
      <c r="E30" s="120"/>
      <c r="F30" s="120"/>
      <c r="G30" s="120"/>
      <c r="H30" s="120"/>
      <c r="I30" s="120"/>
      <c r="J30" s="120"/>
      <c r="K30" s="120"/>
      <c r="L30" s="120"/>
      <c r="M30" s="120"/>
      <c r="N30" s="120"/>
      <c r="O30" s="120"/>
      <c r="P30" s="120"/>
      <c r="Q30" s="120"/>
      <c r="R30" s="5"/>
    </row>
    <row r="31" spans="1:18" ht="16.5" customHeight="1">
      <c r="A31" s="26"/>
      <c r="B31" s="266" t="s">
        <v>734</v>
      </c>
      <c r="C31" s="266"/>
      <c r="D31" s="266"/>
      <c r="E31" s="117">
        <f>SUMIF($C16:$C26,"Y",E16:E26)-E27</f>
        <v>0</v>
      </c>
      <c r="F31" s="117">
        <f>SUMIF($C16:$C26,"Y",F16:F26)-F27</f>
        <v>0</v>
      </c>
      <c r="G31" s="117">
        <f>SUMIF($C16:$C26,"Y",G16:G26)-G27</f>
        <v>0</v>
      </c>
      <c r="H31" s="117">
        <f t="shared" ref="H31:P31" si="16">SUMIF($C16:$C26,"Y",H16:H26)-H27</f>
        <v>0</v>
      </c>
      <c r="I31" s="117">
        <f t="shared" si="16"/>
        <v>0</v>
      </c>
      <c r="J31" s="117">
        <f t="shared" si="16"/>
        <v>0</v>
      </c>
      <c r="K31" s="117">
        <f t="shared" si="16"/>
        <v>0</v>
      </c>
      <c r="L31" s="117">
        <f t="shared" si="16"/>
        <v>0</v>
      </c>
      <c r="M31" s="117">
        <f t="shared" si="16"/>
        <v>0</v>
      </c>
      <c r="N31" s="117">
        <f t="shared" si="16"/>
        <v>0</v>
      </c>
      <c r="O31" s="117">
        <f t="shared" si="16"/>
        <v>0</v>
      </c>
      <c r="P31" s="117">
        <f t="shared" si="16"/>
        <v>0</v>
      </c>
      <c r="Q31" s="117">
        <f t="shared" ref="Q31" si="17">SUMIF($C16:$C26,"Y",Q16:Q26)-Q27</f>
        <v>0</v>
      </c>
      <c r="R31" s="5"/>
    </row>
    <row r="32" spans="1:18" ht="16.5" customHeight="1">
      <c r="A32" s="26"/>
      <c r="B32" s="26" t="s">
        <v>735</v>
      </c>
      <c r="C32" s="26"/>
      <c r="D32" s="26"/>
      <c r="E32" s="117"/>
      <c r="F32" s="117"/>
      <c r="G32" s="117"/>
      <c r="H32" s="116">
        <v>0</v>
      </c>
      <c r="I32" s="116">
        <v>0</v>
      </c>
      <c r="J32" s="116">
        <v>0</v>
      </c>
      <c r="K32" s="116">
        <v>0</v>
      </c>
      <c r="L32" s="116">
        <v>0</v>
      </c>
      <c r="M32" s="116">
        <v>0</v>
      </c>
      <c r="N32" s="116">
        <v>0</v>
      </c>
      <c r="O32" s="116">
        <v>0</v>
      </c>
      <c r="P32" s="116">
        <v>0</v>
      </c>
      <c r="Q32" s="116">
        <v>0</v>
      </c>
      <c r="R32" s="5"/>
    </row>
    <row r="33" spans="1:18" ht="16.5" customHeight="1">
      <c r="A33" s="26"/>
      <c r="B33" s="26" t="s">
        <v>736</v>
      </c>
      <c r="C33" s="26"/>
      <c r="D33" s="5"/>
      <c r="E33" s="120"/>
      <c r="F33" s="120"/>
      <c r="G33" s="120"/>
      <c r="H33" s="120"/>
      <c r="I33" s="120"/>
      <c r="J33" s="120"/>
      <c r="K33" s="120"/>
      <c r="L33" s="120"/>
      <c r="M33" s="120"/>
      <c r="N33" s="120"/>
      <c r="O33" s="120"/>
      <c r="P33" s="120"/>
      <c r="Q33" s="120"/>
      <c r="R33" s="5"/>
    </row>
    <row r="34" spans="1:18" ht="16.5" customHeight="1">
      <c r="A34" s="26"/>
      <c r="B34" s="30" t="s">
        <v>737</v>
      </c>
      <c r="C34" s="26"/>
      <c r="D34" s="5"/>
      <c r="E34" s="120"/>
      <c r="F34" s="120"/>
      <c r="G34" s="120"/>
      <c r="H34" s="116">
        <v>0</v>
      </c>
      <c r="I34" s="116">
        <v>0</v>
      </c>
      <c r="J34" s="116">
        <v>0</v>
      </c>
      <c r="K34" s="116">
        <v>0</v>
      </c>
      <c r="L34" s="116">
        <v>0</v>
      </c>
      <c r="M34" s="116">
        <v>0</v>
      </c>
      <c r="N34" s="116">
        <v>0</v>
      </c>
      <c r="O34" s="116">
        <v>0</v>
      </c>
      <c r="P34" s="116">
        <v>0</v>
      </c>
      <c r="Q34" s="116">
        <v>0</v>
      </c>
      <c r="R34" s="5"/>
    </row>
    <row r="35" spans="1:18" ht="16.5" customHeight="1">
      <c r="A35" s="26"/>
      <c r="B35" s="30" t="s">
        <v>738</v>
      </c>
      <c r="C35" s="26"/>
      <c r="D35" s="5"/>
      <c r="E35" s="120"/>
      <c r="F35" s="120"/>
      <c r="G35" s="120"/>
      <c r="H35" s="116">
        <v>0</v>
      </c>
      <c r="I35" s="116">
        <v>0</v>
      </c>
      <c r="J35" s="116">
        <v>0</v>
      </c>
      <c r="K35" s="116">
        <v>0</v>
      </c>
      <c r="L35" s="116">
        <v>0</v>
      </c>
      <c r="M35" s="116">
        <v>0</v>
      </c>
      <c r="N35" s="116">
        <v>0</v>
      </c>
      <c r="O35" s="116">
        <v>0</v>
      </c>
      <c r="P35" s="116">
        <v>0</v>
      </c>
      <c r="Q35" s="116">
        <v>0</v>
      </c>
      <c r="R35" s="5"/>
    </row>
    <row r="36" spans="1:18" ht="16.5" customHeight="1">
      <c r="A36" s="26"/>
      <c r="B36" s="30" t="s">
        <v>739</v>
      </c>
      <c r="C36" s="26"/>
      <c r="D36" s="5"/>
      <c r="E36" s="120"/>
      <c r="F36" s="120"/>
      <c r="G36" s="120"/>
      <c r="H36" s="116">
        <v>0</v>
      </c>
      <c r="I36" s="116">
        <v>0</v>
      </c>
      <c r="J36" s="116">
        <v>0</v>
      </c>
      <c r="K36" s="116">
        <v>0</v>
      </c>
      <c r="L36" s="116">
        <v>0</v>
      </c>
      <c r="M36" s="116">
        <v>0</v>
      </c>
      <c r="N36" s="116">
        <v>0</v>
      </c>
      <c r="O36" s="116">
        <v>0</v>
      </c>
      <c r="P36" s="116">
        <v>0</v>
      </c>
      <c r="Q36" s="116">
        <v>0</v>
      </c>
      <c r="R36" s="5"/>
    </row>
    <row r="37" spans="1:18" ht="16.5" customHeight="1">
      <c r="B37" s="26" t="s">
        <v>740</v>
      </c>
      <c r="C37" s="26"/>
      <c r="D37" s="5"/>
      <c r="E37" s="120"/>
      <c r="F37" s="120"/>
      <c r="G37" s="120"/>
      <c r="H37" s="120"/>
      <c r="I37" s="120"/>
      <c r="J37" s="120"/>
      <c r="K37" s="120"/>
      <c r="L37" s="120"/>
      <c r="M37" s="120"/>
      <c r="N37" s="120"/>
      <c r="O37" s="120"/>
      <c r="P37" s="120"/>
      <c r="Q37" s="120"/>
      <c r="R37" s="5"/>
    </row>
    <row r="38" spans="1:18" ht="16.5" customHeight="1">
      <c r="A38" s="26"/>
      <c r="B38" s="26" t="s">
        <v>741</v>
      </c>
      <c r="C38" s="26"/>
      <c r="D38" s="5"/>
      <c r="E38" s="120"/>
      <c r="F38" s="120"/>
      <c r="G38" s="120"/>
      <c r="H38" s="116">
        <v>0</v>
      </c>
      <c r="I38" s="116">
        <v>0</v>
      </c>
      <c r="J38" s="116">
        <v>0</v>
      </c>
      <c r="K38" s="116">
        <v>0</v>
      </c>
      <c r="L38" s="116">
        <v>0</v>
      </c>
      <c r="M38" s="116">
        <v>0</v>
      </c>
      <c r="N38" s="116">
        <v>0</v>
      </c>
      <c r="O38" s="116">
        <v>0</v>
      </c>
      <c r="P38" s="116">
        <v>0</v>
      </c>
      <c r="Q38" s="116">
        <v>0</v>
      </c>
      <c r="R38" s="5"/>
    </row>
    <row r="39" spans="1:18" ht="16.5" customHeight="1">
      <c r="A39" s="26"/>
      <c r="B39" s="30" t="s">
        <v>742</v>
      </c>
      <c r="C39" s="26"/>
      <c r="D39" s="5"/>
      <c r="E39" s="120"/>
      <c r="F39" s="120"/>
      <c r="G39" s="120"/>
      <c r="H39" s="59" t="e">
        <f>Summary!D42</f>
        <v>#DIV/0!</v>
      </c>
      <c r="I39" s="59" t="e">
        <f>Summary!E42</f>
        <v>#DIV/0!</v>
      </c>
      <c r="J39" s="59" t="e">
        <f>Summary!F42</f>
        <v>#DIV/0!</v>
      </c>
      <c r="K39" s="59" t="e">
        <f>Summary!G42</f>
        <v>#DIV/0!</v>
      </c>
      <c r="L39" s="59" t="e">
        <f>Summary!H42</f>
        <v>#DIV/0!</v>
      </c>
      <c r="M39" s="59" t="e">
        <f>Summary!I42</f>
        <v>#DIV/0!</v>
      </c>
      <c r="N39" s="59" t="e">
        <f>Summary!J42</f>
        <v>#DIV/0!</v>
      </c>
      <c r="O39" s="59" t="e">
        <f>Summary!K42</f>
        <v>#DIV/0!</v>
      </c>
      <c r="P39" s="59" t="e">
        <f>Summary!L42</f>
        <v>#DIV/0!</v>
      </c>
      <c r="Q39" s="59" t="e">
        <f>Summary!M42</f>
        <v>#DIV/0!</v>
      </c>
      <c r="R39" s="5"/>
    </row>
    <row r="40" spans="1:18" ht="16.5" customHeight="1">
      <c r="A40" s="26"/>
      <c r="B40" s="26" t="s">
        <v>763</v>
      </c>
      <c r="C40" s="26"/>
      <c r="D40" s="5"/>
      <c r="E40" s="120"/>
      <c r="F40" s="120"/>
      <c r="G40" s="120"/>
      <c r="H40" s="152" t="s">
        <v>716</v>
      </c>
      <c r="I40" s="152" t="s">
        <v>716</v>
      </c>
      <c r="J40" s="152" t="s">
        <v>716</v>
      </c>
      <c r="K40" s="152" t="str">
        <f t="shared" ref="K40:Q40" si="18">+J40</f>
        <v>Y</v>
      </c>
      <c r="L40" s="152" t="str">
        <f t="shared" si="18"/>
        <v>Y</v>
      </c>
      <c r="M40" s="152" t="str">
        <f t="shared" si="18"/>
        <v>Y</v>
      </c>
      <c r="N40" s="152" t="str">
        <f t="shared" si="18"/>
        <v>Y</v>
      </c>
      <c r="O40" s="152" t="str">
        <f t="shared" si="18"/>
        <v>Y</v>
      </c>
      <c r="P40" s="152" t="str">
        <f t="shared" si="18"/>
        <v>Y</v>
      </c>
      <c r="Q40" s="152" t="str">
        <f t="shared" si="18"/>
        <v>Y</v>
      </c>
      <c r="R40" s="5"/>
    </row>
    <row r="41" spans="1:18" ht="16.5" customHeight="1">
      <c r="B41" s="26" t="s">
        <v>743</v>
      </c>
      <c r="C41" s="26"/>
      <c r="D41" s="5"/>
      <c r="E41" s="117"/>
      <c r="F41" s="117"/>
      <c r="G41" s="117"/>
      <c r="H41" s="117">
        <f t="shared" ref="H41:Q41" si="19">H31+H32-H34-H35-H36-H38</f>
        <v>0</v>
      </c>
      <c r="I41" s="117">
        <f t="shared" si="19"/>
        <v>0</v>
      </c>
      <c r="J41" s="117">
        <f t="shared" si="19"/>
        <v>0</v>
      </c>
      <c r="K41" s="117">
        <f t="shared" si="19"/>
        <v>0</v>
      </c>
      <c r="L41" s="117">
        <f t="shared" si="19"/>
        <v>0</v>
      </c>
      <c r="M41" s="117">
        <f t="shared" si="19"/>
        <v>0</v>
      </c>
      <c r="N41" s="117">
        <f t="shared" si="19"/>
        <v>0</v>
      </c>
      <c r="O41" s="117">
        <f t="shared" si="19"/>
        <v>0</v>
      </c>
      <c r="P41" s="117">
        <f t="shared" si="19"/>
        <v>0</v>
      </c>
      <c r="Q41" s="117">
        <f t="shared" si="19"/>
        <v>0</v>
      </c>
      <c r="R41" s="5"/>
    </row>
    <row r="42" spans="1:18" ht="16.5" customHeight="1">
      <c r="B42" s="30" t="s">
        <v>187</v>
      </c>
      <c r="C42" s="26"/>
      <c r="D42" s="121" t="s">
        <v>744</v>
      </c>
      <c r="E42" s="117"/>
      <c r="F42" s="117"/>
      <c r="G42" s="117"/>
      <c r="H42" s="128">
        <v>1</v>
      </c>
      <c r="I42" s="129">
        <f t="shared" ref="I42:Q42" si="20">H42</f>
        <v>1</v>
      </c>
      <c r="J42" s="129">
        <f t="shared" si="20"/>
        <v>1</v>
      </c>
      <c r="K42" s="129">
        <f t="shared" si="20"/>
        <v>1</v>
      </c>
      <c r="L42" s="129">
        <f t="shared" si="20"/>
        <v>1</v>
      </c>
      <c r="M42" s="129">
        <f t="shared" si="20"/>
        <v>1</v>
      </c>
      <c r="N42" s="129">
        <f t="shared" si="20"/>
        <v>1</v>
      </c>
      <c r="O42" s="129">
        <f t="shared" si="20"/>
        <v>1</v>
      </c>
      <c r="P42" s="129">
        <f t="shared" si="20"/>
        <v>1</v>
      </c>
      <c r="Q42" s="129">
        <f t="shared" si="20"/>
        <v>1</v>
      </c>
      <c r="R42" s="5"/>
    </row>
    <row r="43" spans="1:18" ht="16.5" customHeight="1">
      <c r="B43" s="30"/>
      <c r="C43" s="26"/>
      <c r="D43" s="121" t="s">
        <v>745</v>
      </c>
      <c r="E43" s="117"/>
      <c r="F43" s="117"/>
      <c r="G43" s="117"/>
      <c r="H43" s="130">
        <f t="shared" ref="H43:Q43" si="21">H$41*H42</f>
        <v>0</v>
      </c>
      <c r="I43" s="130">
        <f t="shared" si="21"/>
        <v>0</v>
      </c>
      <c r="J43" s="130">
        <f t="shared" si="21"/>
        <v>0</v>
      </c>
      <c r="K43" s="130">
        <f t="shared" si="21"/>
        <v>0</v>
      </c>
      <c r="L43" s="130">
        <f t="shared" si="21"/>
        <v>0</v>
      </c>
      <c r="M43" s="130">
        <f t="shared" si="21"/>
        <v>0</v>
      </c>
      <c r="N43" s="130">
        <f t="shared" si="21"/>
        <v>0</v>
      </c>
      <c r="O43" s="130">
        <f t="shared" si="21"/>
        <v>0</v>
      </c>
      <c r="P43" s="130">
        <f t="shared" si="21"/>
        <v>0</v>
      </c>
      <c r="Q43" s="130">
        <f t="shared" si="21"/>
        <v>0</v>
      </c>
      <c r="R43" s="5"/>
    </row>
    <row r="44" spans="1:18" ht="16.5" customHeight="1">
      <c r="B44" s="26" t="s">
        <v>152</v>
      </c>
      <c r="C44" s="26"/>
      <c r="D44" s="121" t="s">
        <v>744</v>
      </c>
      <c r="E44" s="117"/>
      <c r="F44" s="117"/>
      <c r="G44" s="117"/>
      <c r="H44" s="77">
        <f t="shared" ref="H44:Q44" si="22">1-H42-H46</f>
        <v>0</v>
      </c>
      <c r="I44" s="77">
        <f t="shared" si="22"/>
        <v>0</v>
      </c>
      <c r="J44" s="77">
        <f t="shared" si="22"/>
        <v>0</v>
      </c>
      <c r="K44" s="77">
        <f t="shared" si="22"/>
        <v>0</v>
      </c>
      <c r="L44" s="77">
        <f t="shared" si="22"/>
        <v>0</v>
      </c>
      <c r="M44" s="77">
        <f t="shared" si="22"/>
        <v>0</v>
      </c>
      <c r="N44" s="77">
        <f t="shared" si="22"/>
        <v>0</v>
      </c>
      <c r="O44" s="77">
        <f t="shared" si="22"/>
        <v>0</v>
      </c>
      <c r="P44" s="77">
        <f t="shared" si="22"/>
        <v>0</v>
      </c>
      <c r="Q44" s="77">
        <f t="shared" si="22"/>
        <v>0</v>
      </c>
      <c r="R44" s="5"/>
    </row>
    <row r="45" spans="1:18" ht="16.5" customHeight="1">
      <c r="B45" s="26"/>
      <c r="C45" s="26"/>
      <c r="D45" s="121" t="s">
        <v>745</v>
      </c>
      <c r="E45" s="117"/>
      <c r="F45" s="117"/>
      <c r="G45" s="117"/>
      <c r="H45" s="122">
        <f t="shared" ref="H45:Q45" si="23">H41-H43-H47</f>
        <v>0</v>
      </c>
      <c r="I45" s="122">
        <f t="shared" si="23"/>
        <v>0</v>
      </c>
      <c r="J45" s="122">
        <f t="shared" si="23"/>
        <v>0</v>
      </c>
      <c r="K45" s="122">
        <f t="shared" si="23"/>
        <v>0</v>
      </c>
      <c r="L45" s="122">
        <f t="shared" si="23"/>
        <v>0</v>
      </c>
      <c r="M45" s="122">
        <f t="shared" si="23"/>
        <v>0</v>
      </c>
      <c r="N45" s="122">
        <f t="shared" si="23"/>
        <v>0</v>
      </c>
      <c r="O45" s="122">
        <f t="shared" si="23"/>
        <v>0</v>
      </c>
      <c r="P45" s="122">
        <f t="shared" si="23"/>
        <v>0</v>
      </c>
      <c r="Q45" s="122">
        <f t="shared" si="23"/>
        <v>0</v>
      </c>
      <c r="R45" s="5"/>
    </row>
    <row r="46" spans="1:18" ht="16.5" customHeight="1">
      <c r="B46" s="30" t="s">
        <v>186</v>
      </c>
      <c r="C46" s="26"/>
      <c r="D46" s="121" t="s">
        <v>744</v>
      </c>
      <c r="E46" s="117"/>
      <c r="F46" s="117"/>
      <c r="G46" s="117"/>
      <c r="H46" s="128">
        <v>0</v>
      </c>
      <c r="I46" s="129">
        <f t="shared" ref="I46:Q46" si="24">H46</f>
        <v>0</v>
      </c>
      <c r="J46" s="129">
        <f t="shared" si="24"/>
        <v>0</v>
      </c>
      <c r="K46" s="129">
        <f t="shared" si="24"/>
        <v>0</v>
      </c>
      <c r="L46" s="129">
        <f t="shared" si="24"/>
        <v>0</v>
      </c>
      <c r="M46" s="129">
        <f t="shared" si="24"/>
        <v>0</v>
      </c>
      <c r="N46" s="129">
        <f t="shared" si="24"/>
        <v>0</v>
      </c>
      <c r="O46" s="129">
        <f t="shared" si="24"/>
        <v>0</v>
      </c>
      <c r="P46" s="129">
        <f t="shared" si="24"/>
        <v>0</v>
      </c>
      <c r="Q46" s="129">
        <f t="shared" si="24"/>
        <v>0</v>
      </c>
      <c r="R46" s="5"/>
    </row>
    <row r="47" spans="1:18" ht="16.5" customHeight="1">
      <c r="A47" s="26"/>
      <c r="B47" s="30"/>
      <c r="C47" s="26"/>
      <c r="D47" s="123" t="s">
        <v>745</v>
      </c>
      <c r="E47" s="120"/>
      <c r="F47" s="120"/>
      <c r="G47" s="120"/>
      <c r="H47" s="130">
        <f t="shared" ref="H47:Q47" si="25">H$41*H46</f>
        <v>0</v>
      </c>
      <c r="I47" s="130">
        <f t="shared" si="25"/>
        <v>0</v>
      </c>
      <c r="J47" s="130">
        <f t="shared" si="25"/>
        <v>0</v>
      </c>
      <c r="K47" s="130">
        <f t="shared" si="25"/>
        <v>0</v>
      </c>
      <c r="L47" s="130">
        <f t="shared" si="25"/>
        <v>0</v>
      </c>
      <c r="M47" s="130">
        <f t="shared" si="25"/>
        <v>0</v>
      </c>
      <c r="N47" s="130">
        <f t="shared" si="25"/>
        <v>0</v>
      </c>
      <c r="O47" s="130">
        <f t="shared" si="25"/>
        <v>0</v>
      </c>
      <c r="P47" s="130">
        <f t="shared" si="25"/>
        <v>0</v>
      </c>
      <c r="Q47" s="130">
        <f t="shared" si="25"/>
        <v>0</v>
      </c>
      <c r="R47" s="5"/>
    </row>
    <row r="48" spans="1:18" ht="16.5" customHeight="1">
      <c r="A48" s="26"/>
      <c r="B48" s="246" t="s">
        <v>966</v>
      </c>
      <c r="C48" s="26"/>
      <c r="D48" s="124"/>
      <c r="E48" s="120"/>
      <c r="F48" s="120"/>
      <c r="G48" s="120"/>
      <c r="H48" s="247">
        <v>35</v>
      </c>
      <c r="I48" s="247">
        <v>35</v>
      </c>
      <c r="J48" s="247">
        <v>35</v>
      </c>
      <c r="K48" s="247">
        <v>35</v>
      </c>
      <c r="L48" s="247">
        <v>35</v>
      </c>
      <c r="M48" s="247">
        <v>35</v>
      </c>
      <c r="N48" s="247">
        <v>35</v>
      </c>
      <c r="O48" s="247">
        <v>35</v>
      </c>
      <c r="P48" s="247">
        <v>35</v>
      </c>
      <c r="Q48" s="247">
        <v>35</v>
      </c>
      <c r="R48" s="5"/>
    </row>
    <row r="49" spans="1:18" ht="16.5" customHeight="1">
      <c r="A49" s="26" t="s">
        <v>746</v>
      </c>
      <c r="B49" s="30"/>
      <c r="C49" s="26"/>
      <c r="D49" s="5"/>
      <c r="E49" s="120"/>
      <c r="F49" s="120"/>
      <c r="G49" s="120"/>
      <c r="H49" s="120"/>
      <c r="I49" s="120"/>
      <c r="J49" s="120"/>
      <c r="K49" s="120"/>
      <c r="L49" s="120"/>
      <c r="M49" s="120"/>
      <c r="N49" s="120"/>
      <c r="O49" s="120"/>
      <c r="P49" s="120"/>
      <c r="Q49" s="120"/>
      <c r="R49" s="5"/>
    </row>
    <row r="50" spans="1:18" ht="16.5" customHeight="1">
      <c r="A50" s="26"/>
      <c r="B50" s="266" t="s">
        <v>747</v>
      </c>
      <c r="C50" s="266"/>
      <c r="D50" s="266"/>
      <c r="E50" s="117">
        <f>E28-E31</f>
        <v>0</v>
      </c>
      <c r="F50" s="117">
        <f>F28-F31</f>
        <v>0</v>
      </c>
      <c r="G50" s="117">
        <f>G28-G31</f>
        <v>0</v>
      </c>
      <c r="H50" s="117">
        <f t="shared" ref="H50:P50" si="26">H28-H31</f>
        <v>0</v>
      </c>
      <c r="I50" s="117">
        <f t="shared" si="26"/>
        <v>0</v>
      </c>
      <c r="J50" s="117">
        <f t="shared" si="26"/>
        <v>0</v>
      </c>
      <c r="K50" s="117">
        <f t="shared" si="26"/>
        <v>0</v>
      </c>
      <c r="L50" s="117">
        <f t="shared" si="26"/>
        <v>0</v>
      </c>
      <c r="M50" s="117">
        <f t="shared" si="26"/>
        <v>0</v>
      </c>
      <c r="N50" s="117">
        <f t="shared" si="26"/>
        <v>0</v>
      </c>
      <c r="O50" s="117">
        <f t="shared" si="26"/>
        <v>0</v>
      </c>
      <c r="P50" s="117">
        <f t="shared" si="26"/>
        <v>0</v>
      </c>
      <c r="Q50" s="117">
        <f t="shared" ref="Q50" si="27">Q28-Q31</f>
        <v>0</v>
      </c>
      <c r="R50" s="5"/>
    </row>
    <row r="51" spans="1:18" ht="16.5" customHeight="1">
      <c r="A51" s="26"/>
      <c r="B51" s="26" t="s">
        <v>735</v>
      </c>
      <c r="C51" s="26"/>
      <c r="D51" s="26"/>
      <c r="E51" s="117"/>
      <c r="F51" s="117"/>
      <c r="G51" s="117"/>
      <c r="H51" s="116">
        <v>0</v>
      </c>
      <c r="I51" s="116">
        <v>0</v>
      </c>
      <c r="J51" s="116">
        <v>0</v>
      </c>
      <c r="K51" s="116">
        <v>0</v>
      </c>
      <c r="L51" s="116">
        <v>0</v>
      </c>
      <c r="M51" s="116">
        <v>0</v>
      </c>
      <c r="N51" s="116">
        <v>0</v>
      </c>
      <c r="O51" s="116">
        <v>0</v>
      </c>
      <c r="P51" s="116">
        <v>0</v>
      </c>
      <c r="Q51" s="116">
        <v>0</v>
      </c>
      <c r="R51" s="5"/>
    </row>
    <row r="52" spans="1:18" ht="16.5" customHeight="1">
      <c r="A52" s="26"/>
      <c r="B52" s="26" t="s">
        <v>748</v>
      </c>
      <c r="C52" s="26"/>
      <c r="D52" s="5"/>
      <c r="E52" s="120"/>
      <c r="F52" s="120"/>
      <c r="G52" s="120"/>
      <c r="H52" s="120"/>
      <c r="I52" s="120"/>
      <c r="J52" s="120"/>
      <c r="K52" s="120"/>
      <c r="L52" s="120"/>
      <c r="M52" s="120"/>
      <c r="N52" s="120"/>
      <c r="O52" s="120"/>
      <c r="P52" s="120"/>
      <c r="Q52" s="120"/>
      <c r="R52" s="5"/>
    </row>
    <row r="53" spans="1:18" ht="16.5" customHeight="1">
      <c r="A53" s="26"/>
      <c r="B53" s="30" t="s">
        <v>749</v>
      </c>
      <c r="C53" s="26"/>
      <c r="D53" s="5"/>
      <c r="E53" s="120"/>
      <c r="F53" s="120"/>
      <c r="G53" s="120"/>
      <c r="H53" s="116">
        <v>0</v>
      </c>
      <c r="I53" s="116">
        <v>0</v>
      </c>
      <c r="J53" s="116">
        <v>0</v>
      </c>
      <c r="K53" s="116">
        <v>0</v>
      </c>
      <c r="L53" s="116">
        <v>0</v>
      </c>
      <c r="M53" s="116">
        <v>0</v>
      </c>
      <c r="N53" s="116">
        <v>0</v>
      </c>
      <c r="O53" s="116">
        <v>0</v>
      </c>
      <c r="P53" s="116">
        <v>0</v>
      </c>
      <c r="Q53" s="116">
        <v>0</v>
      </c>
      <c r="R53" s="5"/>
    </row>
    <row r="54" spans="1:18" ht="16.5" customHeight="1">
      <c r="A54" s="26"/>
      <c r="B54" s="30" t="s">
        <v>750</v>
      </c>
      <c r="C54" s="26"/>
      <c r="D54" s="5"/>
      <c r="E54" s="120"/>
      <c r="F54" s="120"/>
      <c r="G54" s="120"/>
      <c r="H54" s="116">
        <v>0</v>
      </c>
      <c r="I54" s="116">
        <v>0</v>
      </c>
      <c r="J54" s="116">
        <v>0</v>
      </c>
      <c r="K54" s="116">
        <v>0</v>
      </c>
      <c r="L54" s="116">
        <v>0</v>
      </c>
      <c r="M54" s="116">
        <v>0</v>
      </c>
      <c r="N54" s="116">
        <v>0</v>
      </c>
      <c r="O54" s="116">
        <v>0</v>
      </c>
      <c r="P54" s="116">
        <v>0</v>
      </c>
      <c r="Q54" s="116">
        <v>0</v>
      </c>
      <c r="R54" s="5"/>
    </row>
    <row r="55" spans="1:18" ht="16.5" customHeight="1">
      <c r="A55" s="26"/>
      <c r="B55" s="26" t="s">
        <v>740</v>
      </c>
      <c r="C55" s="26"/>
      <c r="D55" s="5"/>
      <c r="E55" s="117"/>
      <c r="F55" s="117"/>
      <c r="G55" s="117"/>
      <c r="H55" s="117">
        <f t="shared" ref="H55:O55" si="28">H50+H51-H53-H54-H56</f>
        <v>0</v>
      </c>
      <c r="I55" s="117">
        <f t="shared" si="28"/>
        <v>0</v>
      </c>
      <c r="J55" s="117">
        <f t="shared" si="28"/>
        <v>0</v>
      </c>
      <c r="K55" s="117">
        <f t="shared" si="28"/>
        <v>0</v>
      </c>
      <c r="L55" s="117">
        <f t="shared" si="28"/>
        <v>0</v>
      </c>
      <c r="M55" s="117">
        <f t="shared" si="28"/>
        <v>0</v>
      </c>
      <c r="N55" s="117">
        <f t="shared" si="28"/>
        <v>0</v>
      </c>
      <c r="O55" s="117">
        <f t="shared" si="28"/>
        <v>0</v>
      </c>
      <c r="P55" s="117">
        <f t="shared" ref="P55:Q55" si="29">P50+P51-P53-P54-P56</f>
        <v>0</v>
      </c>
      <c r="Q55" s="117">
        <f t="shared" si="29"/>
        <v>0</v>
      </c>
      <c r="R55" s="5"/>
    </row>
    <row r="56" spans="1:18" ht="16.5" customHeight="1">
      <c r="A56" s="26"/>
      <c r="B56" s="26" t="s">
        <v>751</v>
      </c>
      <c r="C56" s="26"/>
      <c r="D56" s="5"/>
      <c r="E56" s="120"/>
      <c r="F56" s="120"/>
      <c r="G56" s="120"/>
      <c r="H56" s="117">
        <f t="shared" ref="H56:P56" si="30">H58+H57</f>
        <v>0</v>
      </c>
      <c r="I56" s="117">
        <f t="shared" si="30"/>
        <v>0</v>
      </c>
      <c r="J56" s="117">
        <f t="shared" si="30"/>
        <v>0</v>
      </c>
      <c r="K56" s="117">
        <f t="shared" si="30"/>
        <v>0</v>
      </c>
      <c r="L56" s="117">
        <f t="shared" si="30"/>
        <v>0</v>
      </c>
      <c r="M56" s="117">
        <f t="shared" si="30"/>
        <v>0</v>
      </c>
      <c r="N56" s="117">
        <f t="shared" si="30"/>
        <v>0</v>
      </c>
      <c r="O56" s="117">
        <f t="shared" si="30"/>
        <v>0</v>
      </c>
      <c r="P56" s="117">
        <f t="shared" si="30"/>
        <v>0</v>
      </c>
      <c r="Q56" s="117">
        <f t="shared" ref="Q56" si="31">Q58+Q57</f>
        <v>0</v>
      </c>
      <c r="R56" s="5"/>
    </row>
    <row r="57" spans="1:18" ht="16.5" customHeight="1">
      <c r="A57" s="26"/>
      <c r="B57" s="26" t="s">
        <v>752</v>
      </c>
      <c r="C57" s="26"/>
      <c r="D57" s="121"/>
      <c r="E57" s="117"/>
      <c r="F57" s="117"/>
      <c r="G57" s="117"/>
      <c r="H57" s="125">
        <v>0</v>
      </c>
      <c r="I57" s="125">
        <v>0</v>
      </c>
      <c r="J57" s="125">
        <v>0</v>
      </c>
      <c r="K57" s="125">
        <v>0</v>
      </c>
      <c r="L57" s="125">
        <v>0</v>
      </c>
      <c r="M57" s="125">
        <v>0</v>
      </c>
      <c r="N57" s="125">
        <v>0</v>
      </c>
      <c r="O57" s="125">
        <v>0</v>
      </c>
      <c r="P57" s="125">
        <v>0</v>
      </c>
      <c r="Q57" s="125">
        <v>0</v>
      </c>
      <c r="R57" s="5"/>
    </row>
    <row r="58" spans="1:18" ht="16.5" customHeight="1">
      <c r="A58" s="26"/>
      <c r="B58" s="30" t="s">
        <v>753</v>
      </c>
      <c r="C58" s="26"/>
      <c r="D58" s="121"/>
      <c r="E58" s="117"/>
      <c r="F58" s="117"/>
      <c r="G58" s="117"/>
      <c r="H58" s="125">
        <v>0</v>
      </c>
      <c r="I58" s="125">
        <v>0</v>
      </c>
      <c r="J58" s="125">
        <v>0</v>
      </c>
      <c r="K58" s="125">
        <v>0</v>
      </c>
      <c r="L58" s="125">
        <v>0</v>
      </c>
      <c r="M58" s="125">
        <v>0</v>
      </c>
      <c r="N58" s="125">
        <v>0</v>
      </c>
      <c r="O58" s="125">
        <v>0</v>
      </c>
      <c r="P58" s="125">
        <v>0</v>
      </c>
      <c r="Q58" s="125">
        <v>0</v>
      </c>
      <c r="R58" s="5"/>
    </row>
    <row r="59" spans="1:18" ht="16.5" customHeight="1">
      <c r="A59" s="26"/>
      <c r="B59" s="30"/>
      <c r="C59" s="26"/>
      <c r="D59" s="5"/>
      <c r="E59" s="120"/>
      <c r="F59" s="120"/>
      <c r="G59" s="120"/>
      <c r="H59" s="120"/>
      <c r="I59" s="120"/>
      <c r="J59" s="120"/>
      <c r="K59" s="120"/>
      <c r="L59" s="120"/>
      <c r="M59" s="120"/>
      <c r="N59" s="120"/>
      <c r="O59" s="120"/>
      <c r="P59" s="120"/>
      <c r="Q59" s="120"/>
      <c r="R59" s="5"/>
    </row>
    <row r="60" spans="1:18" ht="16.5" customHeight="1">
      <c r="A60" s="26" t="s">
        <v>754</v>
      </c>
      <c r="B60" s="30"/>
      <c r="C60" s="26"/>
      <c r="D60" s="5"/>
      <c r="E60" s="120"/>
      <c r="F60" s="120"/>
      <c r="G60" s="120"/>
      <c r="H60" s="120"/>
      <c r="I60" s="120"/>
      <c r="J60" s="120"/>
      <c r="K60" s="120"/>
      <c r="L60" s="120"/>
      <c r="M60" s="120"/>
      <c r="N60" s="120"/>
      <c r="O60" s="120"/>
      <c r="P60" s="120"/>
      <c r="Q60" s="120"/>
      <c r="R60" s="5"/>
    </row>
    <row r="61" spans="1:18" ht="16.5" customHeight="1">
      <c r="A61" s="26" t="s">
        <v>703</v>
      </c>
      <c r="B61" s="26" t="s">
        <v>755</v>
      </c>
      <c r="C61" s="26"/>
      <c r="D61" s="5"/>
      <c r="E61" s="117"/>
      <c r="F61" s="117"/>
      <c r="G61" s="117"/>
      <c r="H61" s="117">
        <f t="shared" ref="H61:Q61" si="32">H38+H55</f>
        <v>0</v>
      </c>
      <c r="I61" s="117">
        <f t="shared" si="32"/>
        <v>0</v>
      </c>
      <c r="J61" s="117">
        <f t="shared" si="32"/>
        <v>0</v>
      </c>
      <c r="K61" s="117">
        <f t="shared" si="32"/>
        <v>0</v>
      </c>
      <c r="L61" s="117">
        <f t="shared" si="32"/>
        <v>0</v>
      </c>
      <c r="M61" s="117">
        <f t="shared" si="32"/>
        <v>0</v>
      </c>
      <c r="N61" s="117">
        <f t="shared" si="32"/>
        <v>0</v>
      </c>
      <c r="O61" s="117">
        <f t="shared" si="32"/>
        <v>0</v>
      </c>
      <c r="P61" s="117">
        <f t="shared" si="32"/>
        <v>0</v>
      </c>
      <c r="Q61" s="117">
        <f t="shared" si="32"/>
        <v>0</v>
      </c>
      <c r="R61" s="5"/>
    </row>
    <row r="62" spans="1:18" ht="16.5" customHeight="1">
      <c r="A62" s="26" t="s">
        <v>705</v>
      </c>
      <c r="B62" s="26" t="s">
        <v>756</v>
      </c>
      <c r="C62" s="26"/>
      <c r="D62" s="5"/>
      <c r="E62" s="117"/>
      <c r="F62" s="117"/>
      <c r="G62" s="117"/>
      <c r="H62" s="117">
        <f t="shared" ref="H62:Q62" si="33">H34+H43</f>
        <v>0</v>
      </c>
      <c r="I62" s="117">
        <f t="shared" si="33"/>
        <v>0</v>
      </c>
      <c r="J62" s="117">
        <f t="shared" si="33"/>
        <v>0</v>
      </c>
      <c r="K62" s="117">
        <f t="shared" si="33"/>
        <v>0</v>
      </c>
      <c r="L62" s="117">
        <f t="shared" si="33"/>
        <v>0</v>
      </c>
      <c r="M62" s="117">
        <f t="shared" si="33"/>
        <v>0</v>
      </c>
      <c r="N62" s="117">
        <f t="shared" si="33"/>
        <v>0</v>
      </c>
      <c r="O62" s="117">
        <f t="shared" si="33"/>
        <v>0</v>
      </c>
      <c r="P62" s="117">
        <f t="shared" si="33"/>
        <v>0</v>
      </c>
      <c r="Q62" s="117">
        <f t="shared" si="33"/>
        <v>0</v>
      </c>
      <c r="R62" s="5"/>
    </row>
    <row r="63" spans="1:18" ht="16.5" customHeight="1">
      <c r="A63" s="26" t="s">
        <v>707</v>
      </c>
      <c r="B63" s="26" t="s">
        <v>757</v>
      </c>
      <c r="C63" s="26"/>
      <c r="D63" s="5"/>
      <c r="E63" s="117"/>
      <c r="F63" s="117"/>
      <c r="G63" s="117"/>
      <c r="H63" s="117">
        <f t="shared" ref="H63:Q63" si="34">H36+H47+H54+H58</f>
        <v>0</v>
      </c>
      <c r="I63" s="117">
        <f t="shared" si="34"/>
        <v>0</v>
      </c>
      <c r="J63" s="117">
        <f t="shared" si="34"/>
        <v>0</v>
      </c>
      <c r="K63" s="117">
        <f t="shared" si="34"/>
        <v>0</v>
      </c>
      <c r="L63" s="117">
        <f t="shared" si="34"/>
        <v>0</v>
      </c>
      <c r="M63" s="117">
        <f t="shared" si="34"/>
        <v>0</v>
      </c>
      <c r="N63" s="117">
        <f t="shared" si="34"/>
        <v>0</v>
      </c>
      <c r="O63" s="117">
        <f t="shared" si="34"/>
        <v>0</v>
      </c>
      <c r="P63" s="117">
        <f t="shared" si="34"/>
        <v>0</v>
      </c>
      <c r="Q63" s="117">
        <f t="shared" si="34"/>
        <v>0</v>
      </c>
      <c r="R63" s="5"/>
    </row>
    <row r="64" spans="1:18" ht="16.5" customHeight="1">
      <c r="A64" s="26" t="s">
        <v>709</v>
      </c>
      <c r="B64" s="26" t="s">
        <v>758</v>
      </c>
      <c r="C64" s="26"/>
      <c r="D64" s="5"/>
      <c r="E64" s="117"/>
      <c r="F64" s="117"/>
      <c r="G64" s="117"/>
      <c r="H64" s="117">
        <f t="shared" ref="H64:Q64" si="35">H35+H45+H53+H57</f>
        <v>0</v>
      </c>
      <c r="I64" s="117">
        <f t="shared" si="35"/>
        <v>0</v>
      </c>
      <c r="J64" s="117">
        <f t="shared" si="35"/>
        <v>0</v>
      </c>
      <c r="K64" s="117">
        <f t="shared" si="35"/>
        <v>0</v>
      </c>
      <c r="L64" s="117">
        <f t="shared" si="35"/>
        <v>0</v>
      </c>
      <c r="M64" s="117">
        <f t="shared" si="35"/>
        <v>0</v>
      </c>
      <c r="N64" s="117">
        <f t="shared" si="35"/>
        <v>0</v>
      </c>
      <c r="O64" s="117">
        <f t="shared" si="35"/>
        <v>0</v>
      </c>
      <c r="P64" s="117">
        <f t="shared" si="35"/>
        <v>0</v>
      </c>
      <c r="Q64" s="117">
        <f t="shared" si="35"/>
        <v>0</v>
      </c>
      <c r="R64" s="5"/>
    </row>
    <row r="65" spans="1:18" ht="16.5" customHeight="1">
      <c r="A65" s="26" t="s">
        <v>711</v>
      </c>
      <c r="B65" s="26" t="s">
        <v>759</v>
      </c>
      <c r="C65" s="26"/>
      <c r="D65" s="5"/>
      <c r="E65" s="117"/>
      <c r="F65" s="117"/>
      <c r="G65" s="117"/>
      <c r="H65" s="117">
        <f t="shared" ref="H65:Q65" si="36">SUM(H61:H64)</f>
        <v>0</v>
      </c>
      <c r="I65" s="117">
        <f t="shared" si="36"/>
        <v>0</v>
      </c>
      <c r="J65" s="117">
        <f t="shared" si="36"/>
        <v>0</v>
      </c>
      <c r="K65" s="117">
        <f t="shared" si="36"/>
        <v>0</v>
      </c>
      <c r="L65" s="117">
        <f t="shared" si="36"/>
        <v>0</v>
      </c>
      <c r="M65" s="117">
        <f t="shared" si="36"/>
        <v>0</v>
      </c>
      <c r="N65" s="117">
        <f t="shared" si="36"/>
        <v>0</v>
      </c>
      <c r="O65" s="117">
        <f t="shared" si="36"/>
        <v>0</v>
      </c>
      <c r="P65" s="117">
        <f t="shared" si="36"/>
        <v>0</v>
      </c>
      <c r="Q65" s="117">
        <f t="shared" si="36"/>
        <v>0</v>
      </c>
      <c r="R65" s="5"/>
    </row>
    <row r="66" spans="1:18" ht="16.5" customHeight="1">
      <c r="A66" s="30"/>
      <c r="B66" s="30"/>
      <c r="C66" s="26"/>
      <c r="D66" s="5"/>
      <c r="E66" s="120"/>
      <c r="F66" s="120"/>
      <c r="G66" s="120"/>
      <c r="H66" s="120"/>
      <c r="I66" s="120"/>
      <c r="J66" s="120"/>
      <c r="K66" s="120"/>
      <c r="L66" s="120"/>
      <c r="M66" s="120"/>
      <c r="N66" s="120"/>
      <c r="O66" s="120"/>
      <c r="P66" s="120"/>
      <c r="Q66" s="120"/>
      <c r="R66" s="5"/>
    </row>
    <row r="67" spans="1:18" ht="16.5" hidden="1" customHeight="1">
      <c r="A67" s="30"/>
      <c r="B67" s="30"/>
      <c r="C67" s="26"/>
      <c r="D67" s="5"/>
      <c r="E67" s="11"/>
      <c r="F67" s="11"/>
      <c r="G67" s="11"/>
      <c r="H67" s="11"/>
      <c r="I67" s="11"/>
      <c r="J67" s="11"/>
      <c r="K67" s="11"/>
      <c r="L67" s="11"/>
      <c r="M67" s="11"/>
      <c r="N67" s="11"/>
      <c r="O67" s="11"/>
      <c r="P67" s="11"/>
      <c r="Q67" s="11"/>
      <c r="R67" s="5"/>
    </row>
    <row r="68" spans="1:18" ht="16.5" hidden="1" customHeight="1">
      <c r="A68" s="30"/>
      <c r="B68" s="30"/>
      <c r="C68" s="26"/>
      <c r="D68" s="5"/>
      <c r="E68" s="11"/>
      <c r="F68" s="11"/>
      <c r="G68" s="11"/>
      <c r="H68" s="11"/>
      <c r="I68" s="11"/>
      <c r="J68" s="11"/>
      <c r="K68" s="11"/>
      <c r="L68" s="11"/>
      <c r="M68" s="11"/>
      <c r="N68" s="11"/>
      <c r="O68" s="11"/>
      <c r="P68" s="11"/>
      <c r="Q68" s="11"/>
      <c r="R68" s="5"/>
    </row>
    <row r="69" spans="1:18" ht="16.5" hidden="1" customHeight="1">
      <c r="A69" s="30"/>
      <c r="B69" s="30"/>
      <c r="C69" s="26"/>
      <c r="D69" s="5"/>
      <c r="E69" s="11"/>
      <c r="F69" s="11"/>
      <c r="G69" s="11"/>
      <c r="H69" s="11"/>
      <c r="I69" s="11"/>
      <c r="J69" s="11"/>
      <c r="K69" s="11"/>
      <c r="L69" s="11"/>
      <c r="M69" s="11"/>
      <c r="N69" s="11"/>
      <c r="O69" s="11"/>
      <c r="P69" s="11"/>
      <c r="Q69" s="11"/>
      <c r="R69" s="5"/>
    </row>
    <row r="70" spans="1:18" ht="16.5" hidden="1" customHeight="1">
      <c r="A70" s="30"/>
      <c r="B70" s="30"/>
      <c r="C70" s="26"/>
      <c r="D70" s="5"/>
      <c r="E70" s="11"/>
      <c r="F70" s="11"/>
      <c r="G70" s="11"/>
      <c r="H70" s="11"/>
      <c r="I70" s="11"/>
      <c r="J70" s="11"/>
      <c r="K70" s="11"/>
      <c r="L70" s="11"/>
      <c r="M70" s="11"/>
      <c r="N70" s="11"/>
      <c r="O70" s="11"/>
      <c r="P70" s="11"/>
      <c r="Q70" s="11"/>
      <c r="R70" s="5"/>
    </row>
    <row r="71" spans="1:18" ht="16.5" hidden="1" customHeight="1">
      <c r="A71" s="26"/>
      <c r="B71" s="26"/>
      <c r="C71" s="26"/>
      <c r="D71" s="5"/>
      <c r="E71" s="11"/>
      <c r="F71" s="11"/>
      <c r="G71" s="11"/>
      <c r="H71" s="11"/>
      <c r="I71" s="11"/>
      <c r="J71" s="11"/>
      <c r="K71" s="11"/>
      <c r="L71" s="11"/>
      <c r="M71" s="11"/>
      <c r="N71" s="11"/>
      <c r="O71" s="11"/>
      <c r="P71" s="11"/>
      <c r="Q71" s="11"/>
      <c r="R71" s="5"/>
    </row>
    <row r="72" spans="1:18" ht="16.5" hidden="1" customHeight="1">
      <c r="A72" s="30"/>
      <c r="B72" s="55"/>
      <c r="C72" s="55"/>
      <c r="D72" s="56"/>
      <c r="E72" s="59"/>
      <c r="F72" s="59"/>
      <c r="G72" s="59"/>
      <c r="H72" s="59"/>
      <c r="I72" s="59"/>
      <c r="J72" s="59"/>
      <c r="K72" s="59"/>
      <c r="L72" s="59"/>
      <c r="M72" s="59"/>
      <c r="N72" s="59"/>
      <c r="O72" s="59"/>
      <c r="P72" s="59"/>
      <c r="Q72" s="59"/>
      <c r="R72" s="56"/>
    </row>
    <row r="73" spans="1:18" ht="16.5" hidden="1" customHeight="1">
      <c r="A73" s="26"/>
      <c r="B73" s="26"/>
      <c r="C73" s="26"/>
      <c r="D73" s="5"/>
      <c r="E73" s="12"/>
      <c r="F73" s="12"/>
      <c r="G73" s="12"/>
      <c r="H73" s="12"/>
      <c r="I73" s="12"/>
      <c r="J73" s="12"/>
      <c r="K73" s="12"/>
      <c r="L73" s="12"/>
      <c r="M73" s="12"/>
      <c r="N73" s="12"/>
      <c r="O73" s="12"/>
      <c r="P73" s="12"/>
      <c r="Q73" s="12"/>
      <c r="R73" s="5"/>
    </row>
    <row r="74" spans="1:18" ht="16.5" hidden="1" customHeight="1">
      <c r="A74" s="30"/>
      <c r="B74" s="30"/>
      <c r="C74" s="30"/>
      <c r="D74" s="5"/>
      <c r="E74" s="11"/>
      <c r="F74" s="11"/>
      <c r="G74" s="11"/>
      <c r="H74" s="11"/>
      <c r="I74" s="11"/>
      <c r="J74" s="11"/>
      <c r="K74" s="11"/>
      <c r="L74" s="11"/>
      <c r="M74" s="11"/>
      <c r="N74" s="11"/>
      <c r="O74" s="11"/>
      <c r="P74" s="11"/>
      <c r="Q74" s="11"/>
      <c r="R74" s="5"/>
    </row>
    <row r="75" spans="1:18" ht="16.5" hidden="1" customHeight="1">
      <c r="A75" s="30"/>
      <c r="B75" s="30"/>
      <c r="C75" s="30"/>
      <c r="D75" s="5"/>
      <c r="E75" s="11"/>
      <c r="F75" s="11"/>
      <c r="G75" s="11"/>
      <c r="H75" s="11"/>
      <c r="I75" s="11"/>
      <c r="J75" s="11"/>
      <c r="K75" s="11"/>
      <c r="L75" s="11"/>
      <c r="M75" s="11"/>
      <c r="N75" s="11"/>
      <c r="O75" s="11"/>
      <c r="P75" s="11"/>
      <c r="Q75" s="11"/>
      <c r="R75" s="5"/>
    </row>
    <row r="76" spans="1:18" ht="16.5" hidden="1" customHeight="1">
      <c r="A76" s="30"/>
      <c r="B76" s="30"/>
      <c r="C76" s="30"/>
      <c r="D76" s="5"/>
      <c r="E76" s="11"/>
      <c r="F76" s="11"/>
      <c r="G76" s="11"/>
      <c r="H76" s="11"/>
      <c r="I76" s="11"/>
      <c r="J76" s="11"/>
      <c r="K76" s="11"/>
      <c r="L76" s="11"/>
      <c r="M76" s="11"/>
      <c r="N76" s="11"/>
      <c r="O76" s="11"/>
      <c r="P76" s="11"/>
      <c r="Q76" s="11"/>
      <c r="R76" s="5"/>
    </row>
    <row r="77" spans="1:18" ht="16.5" hidden="1" customHeight="1">
      <c r="A77" s="26"/>
      <c r="B77" s="26"/>
      <c r="C77" s="26"/>
      <c r="D77" s="5"/>
      <c r="E77" s="12"/>
      <c r="F77" s="12"/>
      <c r="G77" s="12"/>
      <c r="H77" s="12"/>
      <c r="I77" s="12"/>
      <c r="J77" s="12"/>
      <c r="K77" s="12"/>
      <c r="L77" s="12"/>
      <c r="M77" s="12"/>
      <c r="N77" s="12"/>
      <c r="O77" s="12"/>
      <c r="P77" s="12"/>
      <c r="Q77" s="12"/>
      <c r="R77" s="5"/>
    </row>
    <row r="78" spans="1:18" ht="16.5" hidden="1" customHeight="1">
      <c r="A78" s="30"/>
      <c r="B78" s="26"/>
      <c r="C78" s="26"/>
      <c r="D78" s="5"/>
      <c r="E78" s="11"/>
      <c r="F78" s="11"/>
      <c r="G78" s="11"/>
      <c r="H78" s="12"/>
      <c r="I78" s="12"/>
      <c r="J78" s="12"/>
      <c r="K78" s="12"/>
      <c r="L78" s="12"/>
      <c r="M78" s="12"/>
      <c r="N78" s="12"/>
      <c r="O78" s="12"/>
      <c r="P78" s="12"/>
      <c r="Q78" s="12"/>
      <c r="R78" s="5"/>
    </row>
    <row r="79" spans="1:18" ht="16.5" hidden="1" customHeight="1">
      <c r="A79" s="26"/>
      <c r="B79" s="26"/>
      <c r="C79" s="26"/>
      <c r="D79" s="5"/>
      <c r="E79" s="11"/>
      <c r="F79" s="11"/>
      <c r="G79" s="11"/>
      <c r="H79" s="12"/>
      <c r="I79" s="12"/>
      <c r="J79" s="12"/>
      <c r="K79" s="12"/>
      <c r="L79" s="12"/>
      <c r="M79" s="12"/>
      <c r="N79" s="12"/>
      <c r="O79" s="12"/>
      <c r="P79" s="12"/>
      <c r="Q79" s="12"/>
      <c r="R79" s="5"/>
    </row>
    <row r="80" spans="1:18" ht="16.5" hidden="1" customHeight="1">
      <c r="A80" s="30"/>
      <c r="B80" s="60"/>
      <c r="C80" s="60"/>
      <c r="D80" s="61"/>
      <c r="E80" s="11"/>
      <c r="F80" s="11"/>
      <c r="G80" s="11"/>
      <c r="H80" s="12"/>
      <c r="I80" s="12"/>
      <c r="J80" s="12"/>
      <c r="K80" s="12"/>
      <c r="L80" s="12"/>
      <c r="M80" s="12"/>
      <c r="N80" s="12"/>
      <c r="O80" s="12"/>
      <c r="P80" s="12"/>
      <c r="Q80" s="12"/>
      <c r="R80" s="5"/>
    </row>
    <row r="81" spans="1:18" ht="16.5" hidden="1" customHeight="1">
      <c r="A81" s="5"/>
      <c r="B81" s="5"/>
      <c r="C81" s="5"/>
      <c r="D81" s="5"/>
      <c r="E81" s="5"/>
      <c r="F81" s="5"/>
      <c r="G81" s="5"/>
      <c r="H81" s="5"/>
      <c r="I81" s="5"/>
      <c r="J81" s="5"/>
      <c r="K81" s="5"/>
      <c r="L81" s="5"/>
      <c r="M81" s="5"/>
      <c r="N81" s="5"/>
      <c r="O81" s="5"/>
      <c r="P81" s="5"/>
      <c r="Q81" s="5"/>
      <c r="R81" s="5"/>
    </row>
    <row r="82" spans="1:18" ht="16.5" hidden="1" customHeight="1">
      <c r="A82" s="26"/>
      <c r="B82" s="26"/>
      <c r="C82" s="26"/>
      <c r="D82" s="5"/>
      <c r="E82" s="5"/>
      <c r="F82" s="5"/>
      <c r="G82" s="5"/>
      <c r="H82" s="5"/>
      <c r="I82" s="5"/>
      <c r="J82" s="5"/>
      <c r="K82" s="5"/>
      <c r="L82" s="5"/>
      <c r="M82" s="5"/>
      <c r="N82" s="5"/>
      <c r="O82" s="5"/>
      <c r="P82" s="5"/>
      <c r="Q82" s="5"/>
      <c r="R82" s="5"/>
    </row>
    <row r="83" spans="1:18" ht="16.5" hidden="1" customHeight="1">
      <c r="A83" s="26"/>
      <c r="B83" s="26"/>
      <c r="C83" s="26"/>
      <c r="D83" s="5"/>
      <c r="E83" s="11"/>
      <c r="F83" s="11"/>
      <c r="G83" s="11"/>
      <c r="H83" s="11"/>
      <c r="I83" s="11"/>
      <c r="J83" s="11"/>
      <c r="K83" s="11"/>
      <c r="L83" s="11"/>
      <c r="M83" s="11"/>
      <c r="N83" s="11"/>
      <c r="O83" s="11"/>
      <c r="P83" s="11"/>
      <c r="Q83" s="11"/>
      <c r="R83" s="5"/>
    </row>
    <row r="84" spans="1:18" ht="16.5" hidden="1" customHeight="1">
      <c r="A84" s="26"/>
      <c r="B84" s="26"/>
      <c r="C84" s="26"/>
      <c r="D84" s="5"/>
      <c r="E84" s="11"/>
      <c r="F84" s="11"/>
      <c r="G84" s="11"/>
      <c r="H84" s="11"/>
      <c r="I84" s="11"/>
      <c r="J84" s="11"/>
      <c r="K84" s="11"/>
      <c r="L84" s="11"/>
      <c r="M84" s="11"/>
      <c r="N84" s="11"/>
      <c r="O84" s="11"/>
      <c r="P84" s="11"/>
      <c r="Q84" s="11"/>
      <c r="R84" s="5"/>
    </row>
    <row r="85" spans="1:18" ht="16.5" hidden="1" customHeight="1">
      <c r="A85" s="26"/>
      <c r="B85" s="26"/>
      <c r="C85" s="26"/>
      <c r="D85" s="5"/>
      <c r="E85" s="11"/>
      <c r="F85" s="11"/>
      <c r="G85" s="11"/>
      <c r="H85" s="11"/>
      <c r="I85" s="11"/>
      <c r="J85" s="11"/>
      <c r="K85" s="11"/>
      <c r="L85" s="11"/>
      <c r="M85" s="11"/>
      <c r="N85" s="11"/>
      <c r="O85" s="11"/>
      <c r="P85" s="11"/>
      <c r="Q85" s="11"/>
      <c r="R85" s="5"/>
    </row>
    <row r="86" spans="1:18" ht="16.5" hidden="1" customHeight="1">
      <c r="A86" s="26"/>
      <c r="B86" s="26"/>
      <c r="C86" s="26"/>
      <c r="D86" s="5"/>
      <c r="E86" s="11"/>
      <c r="F86" s="11"/>
      <c r="G86" s="11"/>
      <c r="H86" s="11"/>
      <c r="I86" s="11"/>
      <c r="J86" s="11"/>
      <c r="K86" s="11"/>
      <c r="L86" s="11"/>
      <c r="M86" s="11"/>
      <c r="N86" s="11"/>
      <c r="O86" s="11"/>
      <c r="P86" s="11"/>
      <c r="Q86" s="11"/>
      <c r="R86" s="5"/>
    </row>
    <row r="87" spans="1:18" ht="16.5" hidden="1" customHeight="1">
      <c r="A87" s="26"/>
      <c r="B87" s="26"/>
      <c r="C87" s="26"/>
      <c r="D87" s="5"/>
      <c r="E87" s="11"/>
      <c r="F87" s="11"/>
      <c r="G87" s="11"/>
      <c r="H87" s="11"/>
      <c r="I87" s="11"/>
      <c r="J87" s="11"/>
      <c r="K87" s="11"/>
      <c r="L87" s="11"/>
      <c r="M87" s="11"/>
      <c r="N87" s="11"/>
      <c r="O87" s="11"/>
      <c r="P87" s="11"/>
      <c r="Q87" s="11"/>
      <c r="R87" s="5"/>
    </row>
    <row r="88" spans="1:18" ht="16.5" hidden="1" customHeight="1">
      <c r="A88" s="26"/>
      <c r="B88" s="26"/>
      <c r="C88" s="26"/>
      <c r="D88" s="5"/>
      <c r="E88" s="11"/>
      <c r="F88" s="11"/>
      <c r="G88" s="11"/>
      <c r="H88" s="11"/>
      <c r="I88" s="11"/>
      <c r="J88" s="11"/>
      <c r="K88" s="11"/>
      <c r="L88" s="11"/>
      <c r="M88" s="11"/>
      <c r="N88" s="11"/>
      <c r="O88" s="11"/>
      <c r="P88" s="11"/>
      <c r="Q88" s="11"/>
      <c r="R88" s="5"/>
    </row>
    <row r="89" spans="1:18" ht="16.5" hidden="1" customHeight="1">
      <c r="A89" s="26"/>
      <c r="B89" s="26"/>
      <c r="C89" s="26"/>
      <c r="D89" s="5"/>
      <c r="E89" s="11"/>
      <c r="F89" s="11"/>
      <c r="G89" s="11"/>
      <c r="H89" s="11"/>
      <c r="I89" s="11"/>
      <c r="J89" s="11"/>
      <c r="K89" s="11"/>
      <c r="L89" s="11"/>
      <c r="M89" s="11"/>
      <c r="N89" s="11"/>
      <c r="O89" s="11"/>
      <c r="P89" s="11"/>
      <c r="Q89" s="11"/>
      <c r="R89" s="5"/>
    </row>
    <row r="90" spans="1:18" ht="16.5" hidden="1" customHeight="1">
      <c r="A90" s="26"/>
      <c r="B90" s="26"/>
      <c r="C90" s="26"/>
      <c r="D90" s="5"/>
      <c r="E90" s="12"/>
      <c r="F90" s="12"/>
      <c r="G90" s="12"/>
      <c r="H90" s="12"/>
      <c r="I90" s="12"/>
      <c r="J90" s="12"/>
      <c r="K90" s="12"/>
      <c r="L90" s="12"/>
      <c r="M90" s="12"/>
      <c r="N90" s="12"/>
      <c r="O90" s="12"/>
      <c r="P90" s="12"/>
      <c r="Q90" s="12"/>
      <c r="R90" s="5"/>
    </row>
    <row r="91" spans="1:18" ht="16.5" hidden="1" customHeight="1">
      <c r="A91" s="30"/>
      <c r="B91" s="26"/>
      <c r="C91" s="26"/>
      <c r="D91" s="5"/>
      <c r="E91" s="11"/>
      <c r="F91" s="11"/>
      <c r="G91" s="11"/>
      <c r="H91" s="11"/>
      <c r="I91" s="11"/>
      <c r="J91" s="11"/>
      <c r="K91" s="11"/>
      <c r="L91" s="11"/>
      <c r="M91" s="11"/>
      <c r="N91" s="11"/>
      <c r="O91" s="11"/>
      <c r="P91" s="11"/>
      <c r="Q91" s="11"/>
      <c r="R91" s="5"/>
    </row>
    <row r="92" spans="1:18" ht="16.5" hidden="1" customHeight="1">
      <c r="A92" s="30"/>
      <c r="B92" s="26"/>
      <c r="C92" s="26"/>
      <c r="D92" s="5"/>
      <c r="E92" s="11"/>
      <c r="F92" s="11"/>
      <c r="G92" s="11"/>
      <c r="H92" s="11"/>
      <c r="I92" s="11"/>
      <c r="J92" s="11"/>
      <c r="K92" s="11"/>
      <c r="L92" s="11"/>
      <c r="M92" s="11"/>
      <c r="N92" s="11"/>
      <c r="O92" s="11"/>
      <c r="P92" s="11"/>
      <c r="Q92" s="11"/>
      <c r="R92" s="5"/>
    </row>
    <row r="93" spans="1:18" ht="16.5" hidden="1" customHeight="1">
      <c r="A93" s="30"/>
      <c r="B93" s="26"/>
      <c r="C93" s="26"/>
      <c r="D93" s="5"/>
      <c r="E93" s="59"/>
      <c r="F93" s="59"/>
      <c r="G93" s="59"/>
      <c r="H93" s="59"/>
      <c r="I93" s="59"/>
      <c r="J93" s="59"/>
      <c r="K93" s="59"/>
      <c r="L93" s="59"/>
      <c r="M93" s="59"/>
      <c r="N93" s="59"/>
      <c r="O93" s="59"/>
      <c r="P93" s="59"/>
      <c r="Q93" s="59"/>
      <c r="R93" s="5"/>
    </row>
    <row r="94" spans="1:18" ht="16.5" hidden="1" customHeight="1">
      <c r="A94" s="26"/>
      <c r="B94" s="26"/>
      <c r="C94" s="26"/>
      <c r="D94" s="5"/>
      <c r="E94" s="11"/>
      <c r="F94" s="11"/>
      <c r="G94" s="11"/>
      <c r="H94" s="11"/>
      <c r="I94" s="11"/>
      <c r="J94" s="11"/>
      <c r="K94" s="11"/>
      <c r="L94" s="11"/>
      <c r="M94" s="11"/>
      <c r="N94" s="11"/>
      <c r="O94" s="11"/>
      <c r="P94" s="11"/>
      <c r="Q94" s="11"/>
      <c r="R94" s="5"/>
    </row>
    <row r="95" spans="1:18" ht="16.5" hidden="1" customHeight="1">
      <c r="A95" s="30"/>
      <c r="B95" s="26"/>
      <c r="C95" s="26"/>
      <c r="D95" s="5"/>
      <c r="E95" s="77"/>
      <c r="F95" s="77"/>
      <c r="G95" s="77"/>
      <c r="H95" s="42"/>
      <c r="I95" s="42"/>
      <c r="J95" s="42"/>
      <c r="K95" s="42"/>
      <c r="L95" s="42"/>
      <c r="M95" s="42"/>
      <c r="N95" s="42"/>
      <c r="O95" s="42"/>
      <c r="P95" s="42"/>
      <c r="Q95" s="42"/>
      <c r="R95" s="5"/>
    </row>
    <row r="96" spans="1:18" ht="16.5" hidden="1" customHeight="1">
      <c r="A96" s="30"/>
      <c r="B96" s="26"/>
      <c r="C96" s="26"/>
      <c r="D96" s="5"/>
      <c r="E96" s="11"/>
      <c r="F96" s="11"/>
      <c r="G96" s="11"/>
      <c r="H96" s="76"/>
      <c r="I96" s="76"/>
      <c r="J96" s="76"/>
      <c r="K96" s="76"/>
      <c r="L96" s="76"/>
      <c r="M96" s="76"/>
      <c r="N96" s="76"/>
      <c r="O96" s="76"/>
      <c r="P96" s="76"/>
      <c r="Q96" s="76"/>
      <c r="R96" s="5"/>
    </row>
    <row r="97" spans="1:18" ht="16.5" hidden="1" customHeight="1">
      <c r="A97" s="30"/>
      <c r="B97" s="26"/>
      <c r="C97" s="26"/>
      <c r="D97" s="5"/>
      <c r="E97" s="59"/>
      <c r="F97" s="59"/>
      <c r="G97" s="59"/>
      <c r="H97" s="59"/>
      <c r="I97" s="59"/>
      <c r="J97" s="59"/>
      <c r="K97" s="59"/>
      <c r="L97" s="59"/>
      <c r="M97" s="59"/>
      <c r="N97" s="59"/>
      <c r="O97" s="59"/>
      <c r="P97" s="59"/>
      <c r="Q97" s="59"/>
      <c r="R97" s="5"/>
    </row>
    <row r="98" spans="1:18" ht="16.5" hidden="1" customHeight="1">
      <c r="A98" s="26"/>
      <c r="B98" s="26"/>
      <c r="C98" s="26"/>
      <c r="D98" s="5"/>
      <c r="E98" s="12"/>
      <c r="F98" s="12"/>
      <c r="G98" s="12"/>
      <c r="H98" s="12"/>
      <c r="I98" s="12"/>
      <c r="J98" s="12"/>
      <c r="K98" s="12"/>
      <c r="L98" s="12"/>
      <c r="M98" s="12"/>
      <c r="N98" s="12"/>
      <c r="O98" s="12"/>
      <c r="P98" s="12"/>
      <c r="Q98" s="12"/>
      <c r="R98" s="5"/>
    </row>
    <row r="99" spans="1:18" ht="16.5" hidden="1" customHeight="1">
      <c r="A99" s="30"/>
      <c r="B99" s="26"/>
      <c r="C99" s="26"/>
      <c r="D99" s="5"/>
      <c r="E99" s="12"/>
      <c r="F99" s="12"/>
      <c r="G99" s="12"/>
      <c r="H99" s="12"/>
      <c r="I99" s="12"/>
      <c r="J99" s="12"/>
      <c r="K99" s="12"/>
      <c r="L99" s="12"/>
      <c r="M99" s="12"/>
      <c r="N99" s="12"/>
      <c r="O99" s="12"/>
      <c r="P99" s="12"/>
      <c r="Q99" s="12"/>
      <c r="R99" s="5"/>
    </row>
    <row r="100" spans="1:18" ht="16.5" hidden="1" customHeight="1">
      <c r="A100" s="5"/>
      <c r="B100" s="5"/>
      <c r="C100" s="5"/>
      <c r="D100" s="5"/>
      <c r="E100" s="5"/>
      <c r="F100" s="5"/>
      <c r="G100" s="5"/>
      <c r="H100" s="5"/>
      <c r="I100" s="5"/>
      <c r="J100" s="5"/>
      <c r="K100" s="5"/>
      <c r="L100" s="5"/>
      <c r="M100" s="5"/>
      <c r="N100" s="5"/>
      <c r="O100" s="5"/>
      <c r="P100" s="5"/>
      <c r="Q100" s="5"/>
      <c r="R100" s="5"/>
    </row>
    <row r="101" spans="1:18" ht="16.5" hidden="1" customHeight="1">
      <c r="A101" s="26"/>
      <c r="B101" s="26"/>
      <c r="C101" s="26"/>
      <c r="D101" s="5"/>
      <c r="E101" s="5"/>
      <c r="F101" s="5"/>
      <c r="G101" s="5"/>
      <c r="H101" s="5"/>
      <c r="I101" s="5"/>
      <c r="J101" s="5"/>
      <c r="K101" s="5"/>
      <c r="L101" s="5"/>
      <c r="M101" s="5"/>
      <c r="N101" s="5"/>
      <c r="O101" s="5"/>
      <c r="P101" s="5"/>
      <c r="Q101" s="5"/>
      <c r="R101" s="5"/>
    </row>
    <row r="102" spans="1:18" ht="16.5" hidden="1" customHeight="1">
      <c r="A102" s="26"/>
      <c r="B102" s="26"/>
      <c r="C102" s="26"/>
      <c r="D102" s="5"/>
      <c r="E102" s="12"/>
      <c r="F102" s="12"/>
      <c r="G102" s="12"/>
      <c r="H102" s="12"/>
      <c r="I102" s="12"/>
      <c r="J102" s="12"/>
      <c r="K102" s="12"/>
      <c r="L102" s="12"/>
      <c r="M102" s="12"/>
      <c r="N102" s="12"/>
      <c r="O102" s="12"/>
      <c r="P102" s="12"/>
      <c r="Q102" s="12"/>
      <c r="R102" s="5"/>
    </row>
    <row r="103" spans="1:18" ht="16.5" hidden="1" customHeight="1">
      <c r="A103" s="30"/>
      <c r="B103" s="26"/>
      <c r="C103" s="26"/>
      <c r="D103" s="5"/>
      <c r="E103" s="12"/>
      <c r="F103" s="12"/>
      <c r="G103" s="12"/>
      <c r="H103" s="12"/>
      <c r="I103" s="12"/>
      <c r="J103" s="12"/>
      <c r="K103" s="12"/>
      <c r="L103" s="12"/>
      <c r="M103" s="12"/>
      <c r="N103" s="12"/>
      <c r="O103" s="12"/>
      <c r="P103" s="12"/>
      <c r="Q103" s="12"/>
      <c r="R103" s="5"/>
    </row>
    <row r="104" spans="1:18" ht="16.5" hidden="1" customHeight="1">
      <c r="A104" s="30"/>
      <c r="B104" s="26"/>
      <c r="C104" s="26"/>
      <c r="D104" s="5"/>
      <c r="E104" s="12"/>
      <c r="F104" s="12"/>
      <c r="G104" s="12"/>
      <c r="H104" s="12"/>
      <c r="I104" s="12"/>
      <c r="J104" s="12"/>
      <c r="K104" s="12"/>
      <c r="L104" s="12"/>
      <c r="M104" s="12"/>
      <c r="N104" s="12"/>
      <c r="O104" s="12"/>
      <c r="P104" s="12"/>
      <c r="Q104" s="12"/>
      <c r="R104" s="5"/>
    </row>
    <row r="105" spans="1:18" ht="16.5" hidden="1" customHeight="1">
      <c r="A105" s="30"/>
      <c r="B105" s="26"/>
      <c r="C105" s="26"/>
      <c r="D105" s="5"/>
      <c r="E105" s="12"/>
      <c r="F105" s="12"/>
      <c r="G105" s="12"/>
      <c r="H105" s="12"/>
      <c r="I105" s="12"/>
      <c r="J105" s="12"/>
      <c r="K105" s="12"/>
      <c r="L105" s="12"/>
      <c r="M105" s="12"/>
      <c r="N105" s="12"/>
      <c r="O105" s="12"/>
      <c r="P105" s="12"/>
      <c r="Q105" s="12"/>
      <c r="R105" s="5"/>
    </row>
    <row r="106" spans="1:18" ht="16.5" hidden="1" customHeight="1">
      <c r="A106" s="30"/>
      <c r="B106" s="5"/>
      <c r="C106" s="5"/>
      <c r="D106" s="5"/>
      <c r="E106" s="12"/>
      <c r="F106" s="12"/>
      <c r="G106" s="12"/>
      <c r="H106" s="12"/>
      <c r="I106" s="12"/>
      <c r="J106" s="12"/>
      <c r="K106" s="12"/>
      <c r="L106" s="12"/>
      <c r="M106" s="12"/>
      <c r="N106" s="12"/>
      <c r="O106" s="12"/>
      <c r="P106" s="12"/>
      <c r="Q106" s="12"/>
      <c r="R106" s="5"/>
    </row>
    <row r="107" spans="1:18" ht="16.5" hidden="1" customHeight="1">
      <c r="A107" s="5"/>
      <c r="B107" s="5"/>
      <c r="C107" s="5"/>
      <c r="D107" s="5"/>
      <c r="E107" s="5"/>
      <c r="F107" s="5"/>
      <c r="G107" s="5"/>
      <c r="H107" s="5"/>
      <c r="I107" s="5"/>
      <c r="J107" s="5"/>
      <c r="K107" s="5"/>
      <c r="L107" s="5"/>
      <c r="M107" s="5"/>
      <c r="N107" s="5"/>
      <c r="O107" s="5"/>
      <c r="P107" s="5"/>
      <c r="Q107" s="5"/>
      <c r="R107" s="5"/>
    </row>
    <row r="164"/>
  </sheetData>
  <sheetProtection sheet="1" objects="1" scenarios="1"/>
  <mergeCells count="5">
    <mergeCell ref="B31:D31"/>
    <mergeCell ref="B50:D50"/>
    <mergeCell ref="F3:G3"/>
    <mergeCell ref="J3:K3"/>
    <mergeCell ref="A14:D14"/>
  </mergeCells>
  <phoneticPr fontId="0" type="noConversion"/>
  <pageMargins left="0.5" right="0.28999999999999998" top="0.42" bottom="0.25" header="0.42" footer="0.25"/>
  <pageSetup scale="52" orientation="landscape"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Q52"/>
  <sheetViews>
    <sheetView showGridLines="0" zoomScale="111" zoomScaleNormal="111" workbookViewId="0">
      <pane xSplit="6" ySplit="6" topLeftCell="G7" activePane="bottomRight" state="frozen"/>
      <selection pane="topRight" activeCell="G1" sqref="G1"/>
      <selection pane="bottomLeft" activeCell="A7" sqref="A7"/>
      <selection pane="bottomRight" activeCell="G8" sqref="G8"/>
    </sheetView>
  </sheetViews>
  <sheetFormatPr defaultColWidth="0" defaultRowHeight="12.5" zeroHeight="1"/>
  <cols>
    <col min="1" max="1" width="5.7265625" customWidth="1"/>
    <col min="2" max="2" width="14.54296875" customWidth="1"/>
    <col min="3" max="3" width="33.81640625" customWidth="1"/>
    <col min="4" max="17" width="14.54296875" customWidth="1"/>
  </cols>
  <sheetData>
    <row r="1" spans="1:17" ht="16.5" customHeight="1">
      <c r="F1" s="1" t="s">
        <v>42</v>
      </c>
      <c r="H1" s="1" t="s">
        <v>685</v>
      </c>
      <c r="P1" s="1"/>
    </row>
    <row r="2" spans="1:17" ht="16.5" customHeight="1"/>
    <row r="3" spans="1:17" ht="16.5" customHeight="1">
      <c r="D3" s="4" t="s">
        <v>44</v>
      </c>
      <c r="E3" s="268" t="s">
        <v>689</v>
      </c>
      <c r="F3" s="269"/>
      <c r="G3" s="4" t="s">
        <v>44</v>
      </c>
      <c r="H3" s="4"/>
      <c r="I3" s="269" t="s">
        <v>45</v>
      </c>
      <c r="J3" s="269"/>
      <c r="K3" s="4" t="s">
        <v>44</v>
      </c>
      <c r="L3" s="4"/>
      <c r="M3" s="4"/>
      <c r="N3" s="4"/>
      <c r="O3" s="4"/>
      <c r="P3" s="4"/>
    </row>
    <row r="4" spans="1:17" ht="16.5" customHeight="1">
      <c r="D4" s="6"/>
      <c r="E4" s="58" t="s">
        <v>64</v>
      </c>
      <c r="F4" s="6"/>
      <c r="G4" s="6"/>
      <c r="H4" s="6"/>
      <c r="I4" s="6"/>
      <c r="J4" s="6"/>
      <c r="K4" s="6"/>
      <c r="L4" s="6"/>
      <c r="M4" s="6"/>
      <c r="N4" s="6"/>
      <c r="O4" s="6"/>
      <c r="P4" s="6"/>
    </row>
    <row r="5" spans="1:17" ht="16.5" customHeight="1">
      <c r="D5" s="6">
        <f>E5-1</f>
        <v>2021</v>
      </c>
      <c r="E5" s="6">
        <f>F5-1</f>
        <v>2022</v>
      </c>
      <c r="F5" s="6">
        <f>G5-1</f>
        <v>2023</v>
      </c>
      <c r="G5" s="6">
        <f>Input!G8</f>
        <v>2024</v>
      </c>
      <c r="H5" s="6">
        <f t="shared" ref="H5:P5" si="0">G5+1</f>
        <v>2025</v>
      </c>
      <c r="I5" s="6">
        <f t="shared" si="0"/>
        <v>2026</v>
      </c>
      <c r="J5" s="6">
        <f t="shared" si="0"/>
        <v>2027</v>
      </c>
      <c r="K5" s="6">
        <f t="shared" si="0"/>
        <v>2028</v>
      </c>
      <c r="L5" s="6">
        <f t="shared" si="0"/>
        <v>2029</v>
      </c>
      <c r="M5" s="6">
        <f t="shared" si="0"/>
        <v>2030</v>
      </c>
      <c r="N5" s="6">
        <f t="shared" si="0"/>
        <v>2031</v>
      </c>
      <c r="O5" s="6">
        <f t="shared" si="0"/>
        <v>2032</v>
      </c>
      <c r="P5" s="6">
        <f t="shared" si="0"/>
        <v>2033</v>
      </c>
    </row>
    <row r="6" spans="1:17" ht="16.5" customHeight="1">
      <c r="D6" s="2" t="s">
        <v>46</v>
      </c>
      <c r="E6" s="2" t="s">
        <v>46</v>
      </c>
      <c r="F6" s="2" t="s">
        <v>46</v>
      </c>
      <c r="G6" s="2" t="s">
        <v>46</v>
      </c>
      <c r="H6" s="2" t="s">
        <v>46</v>
      </c>
      <c r="I6" s="2" t="s">
        <v>46</v>
      </c>
      <c r="J6" s="2" t="s">
        <v>46</v>
      </c>
      <c r="K6" s="2" t="s">
        <v>46</v>
      </c>
      <c r="L6" s="2" t="s">
        <v>46</v>
      </c>
      <c r="M6" s="2" t="s">
        <v>46</v>
      </c>
      <c r="N6" s="2" t="s">
        <v>46</v>
      </c>
      <c r="O6" s="2" t="s">
        <v>46</v>
      </c>
      <c r="P6" s="2" t="s">
        <v>46</v>
      </c>
    </row>
    <row r="7" spans="1:17" ht="16.5" customHeight="1">
      <c r="A7" s="270" t="s">
        <v>678</v>
      </c>
      <c r="B7" s="271"/>
      <c r="C7" s="271"/>
      <c r="D7" s="271"/>
      <c r="G7" s="251" t="s">
        <v>972</v>
      </c>
      <c r="H7" s="5"/>
      <c r="I7" s="5"/>
      <c r="J7" s="5"/>
      <c r="K7" s="5"/>
      <c r="L7" s="5"/>
      <c r="M7" s="5"/>
      <c r="N7" s="5"/>
      <c r="O7" s="5"/>
      <c r="P7" s="5"/>
      <c r="Q7" s="5"/>
    </row>
    <row r="8" spans="1:17" ht="16.5" customHeight="1">
      <c r="A8" s="1" t="s">
        <v>153</v>
      </c>
      <c r="D8" s="20" t="s">
        <v>799</v>
      </c>
      <c r="E8" s="20" t="s">
        <v>799</v>
      </c>
      <c r="F8" s="20" t="s">
        <v>799</v>
      </c>
      <c r="G8" s="11">
        <v>0</v>
      </c>
      <c r="H8" s="12">
        <f>IF(G21=0,0,(G12+G9+G10))</f>
        <v>0</v>
      </c>
      <c r="I8" s="12">
        <f t="shared" ref="I8:P8" si="1">IF(H21=0,0,(H12+H9+H10))</f>
        <v>0</v>
      </c>
      <c r="J8" s="12">
        <f t="shared" si="1"/>
        <v>0</v>
      </c>
      <c r="K8" s="12">
        <f t="shared" si="1"/>
        <v>0</v>
      </c>
      <c r="L8" s="12">
        <f t="shared" si="1"/>
        <v>0</v>
      </c>
      <c r="M8" s="12">
        <f t="shared" si="1"/>
        <v>0</v>
      </c>
      <c r="N8" s="12">
        <f t="shared" si="1"/>
        <v>0</v>
      </c>
      <c r="O8" s="12">
        <f t="shared" si="1"/>
        <v>0</v>
      </c>
      <c r="P8" s="12">
        <f t="shared" si="1"/>
        <v>0</v>
      </c>
      <c r="Q8" s="5"/>
    </row>
    <row r="9" spans="1:17" ht="16.5" customHeight="1">
      <c r="A9" s="1" t="s">
        <v>154</v>
      </c>
      <c r="D9" s="20" t="s">
        <v>799</v>
      </c>
      <c r="E9" s="20" t="s">
        <v>799</v>
      </c>
      <c r="F9" s="20" t="s">
        <v>799</v>
      </c>
      <c r="G9" s="12">
        <f t="shared" ref="G9:P9" si="2">ROUND(0.0112*G23,0)</f>
        <v>0</v>
      </c>
      <c r="H9" s="12">
        <f t="shared" si="2"/>
        <v>0</v>
      </c>
      <c r="I9" s="12">
        <f t="shared" si="2"/>
        <v>0</v>
      </c>
      <c r="J9" s="12">
        <f t="shared" si="2"/>
        <v>0</v>
      </c>
      <c r="K9" s="12">
        <f t="shared" si="2"/>
        <v>0</v>
      </c>
      <c r="L9" s="12">
        <f t="shared" si="2"/>
        <v>0</v>
      </c>
      <c r="M9" s="12">
        <f t="shared" si="2"/>
        <v>0</v>
      </c>
      <c r="N9" s="12">
        <f t="shared" si="2"/>
        <v>0</v>
      </c>
      <c r="O9" s="12">
        <f t="shared" si="2"/>
        <v>0</v>
      </c>
      <c r="P9" s="12">
        <f t="shared" si="2"/>
        <v>0</v>
      </c>
      <c r="Q9" s="5"/>
    </row>
    <row r="10" spans="1:17" ht="16.5" customHeight="1">
      <c r="A10" s="1" t="s">
        <v>155</v>
      </c>
      <c r="D10" s="20" t="s">
        <v>799</v>
      </c>
      <c r="E10" s="20" t="s">
        <v>799</v>
      </c>
      <c r="F10" s="20" t="s">
        <v>799</v>
      </c>
      <c r="G10" s="12">
        <f t="shared" ref="G10:P10" si="3">ROUND(0.01*G18,0)</f>
        <v>0</v>
      </c>
      <c r="H10" s="12">
        <f t="shared" si="3"/>
        <v>0</v>
      </c>
      <c r="I10" s="12">
        <f t="shared" si="3"/>
        <v>0</v>
      </c>
      <c r="J10" s="12">
        <f t="shared" si="3"/>
        <v>0</v>
      </c>
      <c r="K10" s="12">
        <f t="shared" si="3"/>
        <v>0</v>
      </c>
      <c r="L10" s="12">
        <f t="shared" si="3"/>
        <v>0</v>
      </c>
      <c r="M10" s="12">
        <f t="shared" si="3"/>
        <v>0</v>
      </c>
      <c r="N10" s="12">
        <f t="shared" si="3"/>
        <v>0</v>
      </c>
      <c r="O10" s="12">
        <f t="shared" si="3"/>
        <v>0</v>
      </c>
      <c r="P10" s="12">
        <f t="shared" si="3"/>
        <v>0</v>
      </c>
      <c r="Q10" s="5"/>
    </row>
    <row r="11" spans="1:17" ht="16.5" customHeight="1">
      <c r="A11" s="1" t="s">
        <v>156</v>
      </c>
      <c r="D11" s="20" t="s">
        <v>799</v>
      </c>
      <c r="E11" s="20" t="s">
        <v>799</v>
      </c>
      <c r="F11" s="20" t="s">
        <v>799</v>
      </c>
      <c r="G11" s="11">
        <v>0</v>
      </c>
      <c r="H11" s="11">
        <v>0</v>
      </c>
      <c r="I11" s="11">
        <v>0</v>
      </c>
      <c r="J11" s="11">
        <v>0</v>
      </c>
      <c r="K11" s="11">
        <v>0</v>
      </c>
      <c r="L11" s="11">
        <v>0</v>
      </c>
      <c r="M11" s="11">
        <v>0</v>
      </c>
      <c r="N11" s="11">
        <v>0</v>
      </c>
      <c r="O11" s="11">
        <v>0</v>
      </c>
      <c r="P11" s="11">
        <v>0</v>
      </c>
      <c r="Q11" s="5"/>
    </row>
    <row r="12" spans="1:17" ht="16.5" customHeight="1">
      <c r="A12" s="1" t="s">
        <v>157</v>
      </c>
      <c r="D12" s="20" t="s">
        <v>799</v>
      </c>
      <c r="E12" s="20" t="s">
        <v>799</v>
      </c>
      <c r="F12" s="20" t="s">
        <v>799</v>
      </c>
      <c r="G12" s="12">
        <f>IF(G8&lt;G17,(G8+G9+G10-G11),(G17+G13))</f>
        <v>0</v>
      </c>
      <c r="H12" s="12">
        <f t="shared" ref="H12:P12" si="4">IF(H8&lt;H17,(H8+H9+H10-H11),(H17+H13))</f>
        <v>0</v>
      </c>
      <c r="I12" s="12">
        <f t="shared" si="4"/>
        <v>0</v>
      </c>
      <c r="J12" s="12">
        <f t="shared" si="4"/>
        <v>0</v>
      </c>
      <c r="K12" s="12">
        <f t="shared" si="4"/>
        <v>0</v>
      </c>
      <c r="L12" s="12">
        <f t="shared" si="4"/>
        <v>0</v>
      </c>
      <c r="M12" s="12">
        <f t="shared" si="4"/>
        <v>0</v>
      </c>
      <c r="N12" s="12">
        <f t="shared" si="4"/>
        <v>0</v>
      </c>
      <c r="O12" s="12">
        <f t="shared" si="4"/>
        <v>0</v>
      </c>
      <c r="P12" s="12">
        <f t="shared" si="4"/>
        <v>0</v>
      </c>
      <c r="Q12" s="5"/>
    </row>
    <row r="13" spans="1:17" ht="16.5" customHeight="1">
      <c r="A13" s="1" t="s">
        <v>158</v>
      </c>
      <c r="D13" s="20" t="s">
        <v>799</v>
      </c>
      <c r="E13" s="20" t="s">
        <v>799</v>
      </c>
      <c r="F13" s="20" t="s">
        <v>799</v>
      </c>
      <c r="G13" s="12">
        <f t="shared" ref="G13:P13" si="5">ROUND((0.02*G17)+G10-(0.01*G20),0)</f>
        <v>0</v>
      </c>
      <c r="H13" s="12">
        <f t="shared" si="5"/>
        <v>0</v>
      </c>
      <c r="I13" s="12">
        <f t="shared" si="5"/>
        <v>0</v>
      </c>
      <c r="J13" s="12">
        <f t="shared" si="5"/>
        <v>0</v>
      </c>
      <c r="K13" s="12">
        <f t="shared" si="5"/>
        <v>0</v>
      </c>
      <c r="L13" s="12">
        <f t="shared" si="5"/>
        <v>0</v>
      </c>
      <c r="M13" s="12">
        <f t="shared" si="5"/>
        <v>0</v>
      </c>
      <c r="N13" s="12">
        <f t="shared" si="5"/>
        <v>0</v>
      </c>
      <c r="O13" s="12">
        <f t="shared" si="5"/>
        <v>0</v>
      </c>
      <c r="P13" s="12">
        <f t="shared" si="5"/>
        <v>0</v>
      </c>
      <c r="Q13" s="5"/>
    </row>
    <row r="14" spans="1:17" ht="16.5" customHeight="1">
      <c r="A14" s="1" t="s">
        <v>159</v>
      </c>
      <c r="D14" s="20" t="s">
        <v>799</v>
      </c>
      <c r="E14" s="20" t="s">
        <v>799</v>
      </c>
      <c r="F14" s="20" t="s">
        <v>799</v>
      </c>
      <c r="G14" s="12">
        <f>(G12-G13)</f>
        <v>0</v>
      </c>
      <c r="H14" s="12">
        <f t="shared" ref="H14:P14" si="6">(H12-H13)</f>
        <v>0</v>
      </c>
      <c r="I14" s="12">
        <f t="shared" si="6"/>
        <v>0</v>
      </c>
      <c r="J14" s="12">
        <f t="shared" si="6"/>
        <v>0</v>
      </c>
      <c r="K14" s="12">
        <f t="shared" si="6"/>
        <v>0</v>
      </c>
      <c r="L14" s="12">
        <f t="shared" si="6"/>
        <v>0</v>
      </c>
      <c r="M14" s="12">
        <f t="shared" si="6"/>
        <v>0</v>
      </c>
      <c r="N14" s="12">
        <f t="shared" si="6"/>
        <v>0</v>
      </c>
      <c r="O14" s="12">
        <f t="shared" si="6"/>
        <v>0</v>
      </c>
      <c r="P14" s="12">
        <f t="shared" si="6"/>
        <v>0</v>
      </c>
      <c r="Q14" s="5"/>
    </row>
    <row r="15" spans="1:17" ht="16.5" customHeight="1">
      <c r="D15" s="20"/>
      <c r="E15" s="20"/>
      <c r="F15" s="20"/>
      <c r="G15" s="5"/>
      <c r="H15" s="5"/>
      <c r="I15" s="5"/>
      <c r="J15" s="5"/>
      <c r="K15" s="5"/>
      <c r="L15" s="5"/>
      <c r="M15" s="5"/>
      <c r="N15" s="5"/>
      <c r="O15" s="5"/>
      <c r="P15" s="5"/>
      <c r="Q15" s="5"/>
    </row>
    <row r="16" spans="1:17" ht="16.5" customHeight="1">
      <c r="A16" s="1" t="s">
        <v>160</v>
      </c>
      <c r="D16" s="20" t="s">
        <v>799</v>
      </c>
      <c r="E16" s="20" t="s">
        <v>799</v>
      </c>
      <c r="F16" s="20" t="s">
        <v>799</v>
      </c>
      <c r="G16" s="5"/>
      <c r="H16" s="5"/>
      <c r="I16" s="5"/>
      <c r="J16" s="5"/>
      <c r="K16" s="5"/>
      <c r="L16" s="5"/>
      <c r="M16" s="5"/>
      <c r="N16" s="5"/>
      <c r="O16" s="5"/>
      <c r="P16" s="5"/>
      <c r="Q16" s="5"/>
    </row>
    <row r="17" spans="1:17" ht="16.5" customHeight="1">
      <c r="A17" s="1" t="s">
        <v>161</v>
      </c>
      <c r="D17" s="20" t="s">
        <v>799</v>
      </c>
      <c r="E17" s="20" t="s">
        <v>799</v>
      </c>
      <c r="F17" s="20" t="s">
        <v>799</v>
      </c>
      <c r="G17" s="11">
        <v>0</v>
      </c>
      <c r="H17" s="12">
        <f t="shared" ref="H17:P17" si="7">G21</f>
        <v>0</v>
      </c>
      <c r="I17" s="12">
        <f t="shared" si="7"/>
        <v>0</v>
      </c>
      <c r="J17" s="12">
        <f t="shared" si="7"/>
        <v>0</v>
      </c>
      <c r="K17" s="12">
        <f t="shared" si="7"/>
        <v>0</v>
      </c>
      <c r="L17" s="12">
        <f t="shared" si="7"/>
        <v>0</v>
      </c>
      <c r="M17" s="12">
        <f t="shared" si="7"/>
        <v>0</v>
      </c>
      <c r="N17" s="12">
        <f t="shared" si="7"/>
        <v>0</v>
      </c>
      <c r="O17" s="12">
        <f t="shared" si="7"/>
        <v>0</v>
      </c>
      <c r="P17" s="12">
        <f t="shared" si="7"/>
        <v>0</v>
      </c>
      <c r="Q17" s="5"/>
    </row>
    <row r="18" spans="1:17" ht="16.5" customHeight="1">
      <c r="A18" s="1" t="s">
        <v>162</v>
      </c>
      <c r="D18" s="20" t="s">
        <v>799</v>
      </c>
      <c r="E18" s="20" t="s">
        <v>799</v>
      </c>
      <c r="F18" s="20" t="s">
        <v>799</v>
      </c>
      <c r="G18" s="59">
        <v>0</v>
      </c>
      <c r="H18" s="59">
        <v>0</v>
      </c>
      <c r="I18" s="59">
        <v>0</v>
      </c>
      <c r="J18" s="59">
        <v>0</v>
      </c>
      <c r="K18" s="59">
        <v>0</v>
      </c>
      <c r="L18" s="59">
        <v>0</v>
      </c>
      <c r="M18" s="59">
        <v>0</v>
      </c>
      <c r="N18" s="59">
        <v>0</v>
      </c>
      <c r="O18" s="59">
        <v>0</v>
      </c>
      <c r="P18" s="59">
        <v>0</v>
      </c>
      <c r="Q18" s="56"/>
    </row>
    <row r="19" spans="1:17" ht="16.5" customHeight="1">
      <c r="A19" s="1" t="s">
        <v>163</v>
      </c>
      <c r="D19" s="20" t="s">
        <v>799</v>
      </c>
      <c r="E19" s="20" t="s">
        <v>799</v>
      </c>
      <c r="F19" s="20" t="s">
        <v>799</v>
      </c>
      <c r="G19" s="12">
        <f t="shared" ref="G19:O19" si="8">G14</f>
        <v>0</v>
      </c>
      <c r="H19" s="12">
        <f t="shared" si="8"/>
        <v>0</v>
      </c>
      <c r="I19" s="12">
        <f t="shared" si="8"/>
        <v>0</v>
      </c>
      <c r="J19" s="12">
        <f t="shared" si="8"/>
        <v>0</v>
      </c>
      <c r="K19" s="12">
        <f t="shared" si="8"/>
        <v>0</v>
      </c>
      <c r="L19" s="12">
        <f t="shared" si="8"/>
        <v>0</v>
      </c>
      <c r="M19" s="12">
        <f t="shared" si="8"/>
        <v>0</v>
      </c>
      <c r="N19" s="12">
        <f t="shared" si="8"/>
        <v>0</v>
      </c>
      <c r="O19" s="12">
        <f t="shared" si="8"/>
        <v>0</v>
      </c>
      <c r="P19" s="12">
        <f>P14</f>
        <v>0</v>
      </c>
      <c r="Q19" s="5"/>
    </row>
    <row r="20" spans="1:17" ht="16.5" customHeight="1">
      <c r="A20" s="1" t="s">
        <v>164</v>
      </c>
      <c r="D20" s="20" t="s">
        <v>799</v>
      </c>
      <c r="E20" s="20" t="s">
        <v>799</v>
      </c>
      <c r="F20" s="20" t="s">
        <v>799</v>
      </c>
      <c r="G20" s="11">
        <v>0</v>
      </c>
      <c r="H20" s="11">
        <v>0</v>
      </c>
      <c r="I20" s="11">
        <v>0</v>
      </c>
      <c r="J20" s="11">
        <v>0</v>
      </c>
      <c r="K20" s="11">
        <v>0</v>
      </c>
      <c r="L20" s="11">
        <v>0</v>
      </c>
      <c r="M20" s="11">
        <v>0</v>
      </c>
      <c r="N20" s="11">
        <v>0</v>
      </c>
      <c r="O20" s="11">
        <v>0</v>
      </c>
      <c r="P20" s="11">
        <v>0</v>
      </c>
      <c r="Q20" s="5"/>
    </row>
    <row r="21" spans="1:17" ht="16.5" customHeight="1">
      <c r="A21" s="1" t="s">
        <v>165</v>
      </c>
      <c r="D21" s="20" t="s">
        <v>799</v>
      </c>
      <c r="E21" s="20" t="s">
        <v>799</v>
      </c>
      <c r="F21" s="20" t="s">
        <v>799</v>
      </c>
      <c r="G21" s="12">
        <f>G17+G18-G19-G20</f>
        <v>0</v>
      </c>
      <c r="H21" s="12">
        <f>H17+H18-H19-H20</f>
        <v>0</v>
      </c>
      <c r="I21" s="12">
        <f>I17+I18-I19-I20</f>
        <v>0</v>
      </c>
      <c r="J21" s="12">
        <f>J17-J19</f>
        <v>0</v>
      </c>
      <c r="K21" s="12">
        <f t="shared" ref="K21:P21" si="9">K17+K18-K19-K20</f>
        <v>0</v>
      </c>
      <c r="L21" s="12">
        <f t="shared" si="9"/>
        <v>0</v>
      </c>
      <c r="M21" s="12">
        <f t="shared" si="9"/>
        <v>0</v>
      </c>
      <c r="N21" s="12">
        <f t="shared" si="9"/>
        <v>0</v>
      </c>
      <c r="O21" s="12">
        <f t="shared" si="9"/>
        <v>0</v>
      </c>
      <c r="P21" s="12">
        <f t="shared" si="9"/>
        <v>0</v>
      </c>
      <c r="Q21" s="5"/>
    </row>
    <row r="22" spans="1:17" ht="16.5" customHeight="1">
      <c r="D22" s="20"/>
      <c r="E22" s="20"/>
      <c r="F22" s="20"/>
      <c r="G22" s="5"/>
      <c r="H22" s="5"/>
      <c r="I22" s="5"/>
      <c r="J22" s="5"/>
      <c r="K22" s="5"/>
      <c r="L22" s="5"/>
      <c r="M22" s="5"/>
      <c r="N22" s="5"/>
      <c r="O22" s="5"/>
      <c r="P22" s="5"/>
      <c r="Q22" s="5"/>
    </row>
    <row r="23" spans="1:17" ht="16.5" customHeight="1">
      <c r="A23" s="1" t="s">
        <v>166</v>
      </c>
      <c r="D23" s="20" t="s">
        <v>799</v>
      </c>
      <c r="E23" s="20" t="s">
        <v>799</v>
      </c>
      <c r="F23" s="20" t="s">
        <v>799</v>
      </c>
      <c r="G23" s="59">
        <v>0</v>
      </c>
      <c r="H23" s="59">
        <v>0</v>
      </c>
      <c r="I23" s="59">
        <v>0</v>
      </c>
      <c r="J23" s="59">
        <f t="shared" ref="J23:P23" si="10">G18</f>
        <v>0</v>
      </c>
      <c r="K23" s="59">
        <f t="shared" si="10"/>
        <v>0</v>
      </c>
      <c r="L23" s="59">
        <f t="shared" si="10"/>
        <v>0</v>
      </c>
      <c r="M23" s="59">
        <f t="shared" si="10"/>
        <v>0</v>
      </c>
      <c r="N23" s="59">
        <f t="shared" si="10"/>
        <v>0</v>
      </c>
      <c r="O23" s="59">
        <f t="shared" si="10"/>
        <v>0</v>
      </c>
      <c r="P23" s="59">
        <f t="shared" si="10"/>
        <v>0</v>
      </c>
      <c r="Q23" s="5"/>
    </row>
    <row r="24" spans="1:17" ht="16.5" customHeight="1">
      <c r="A24" s="1"/>
      <c r="D24" s="20"/>
      <c r="E24" s="20"/>
      <c r="F24" s="20"/>
      <c r="G24" s="11"/>
      <c r="H24" s="11"/>
      <c r="I24" s="11"/>
      <c r="J24" s="12"/>
      <c r="K24" s="12"/>
      <c r="L24" s="12"/>
      <c r="M24" s="12"/>
      <c r="N24" s="12"/>
      <c r="O24" s="12"/>
      <c r="P24" s="12"/>
      <c r="Q24" s="5"/>
    </row>
    <row r="25" spans="1:17" ht="16.5" customHeight="1">
      <c r="A25" s="1"/>
      <c r="D25" s="20"/>
      <c r="E25" s="20"/>
      <c r="F25" s="20"/>
      <c r="G25" s="11"/>
      <c r="H25" s="11"/>
      <c r="I25" s="11"/>
      <c r="J25" s="12"/>
      <c r="K25" s="12"/>
      <c r="L25" s="12"/>
      <c r="M25" s="12"/>
      <c r="N25" s="12"/>
      <c r="O25" s="12"/>
      <c r="P25" s="12"/>
      <c r="Q25" s="5"/>
    </row>
    <row r="26" spans="1:17" ht="16.5" customHeight="1">
      <c r="A26" s="1"/>
      <c r="D26" s="20"/>
      <c r="E26" s="20"/>
      <c r="F26" s="20"/>
      <c r="G26" s="11"/>
      <c r="H26" s="11"/>
      <c r="I26" s="11"/>
      <c r="J26" s="12"/>
      <c r="K26" s="12"/>
      <c r="L26" s="12"/>
      <c r="M26" s="12"/>
      <c r="N26" s="12"/>
      <c r="O26" s="12"/>
      <c r="P26" s="12"/>
      <c r="Q26" s="5"/>
    </row>
    <row r="27" spans="1:17" ht="16.5" customHeight="1">
      <c r="A27" s="1"/>
      <c r="D27" s="20"/>
      <c r="E27" s="20"/>
      <c r="F27" s="20"/>
      <c r="G27" s="11"/>
      <c r="H27" s="11"/>
      <c r="I27" s="11"/>
      <c r="J27" s="12"/>
      <c r="K27" s="12"/>
      <c r="L27" s="12"/>
      <c r="M27" s="12"/>
      <c r="N27" s="12"/>
      <c r="O27" s="12"/>
      <c r="P27" s="12"/>
      <c r="Q27" s="5"/>
    </row>
    <row r="28" spans="1:17" ht="16.5" customHeight="1">
      <c r="A28" s="1"/>
      <c r="D28" s="20"/>
      <c r="E28" s="20"/>
      <c r="F28" s="20"/>
      <c r="G28" s="11"/>
      <c r="H28" s="11"/>
      <c r="I28" s="11"/>
      <c r="J28" s="12"/>
      <c r="K28" s="12"/>
      <c r="L28" s="12"/>
      <c r="M28" s="12"/>
      <c r="N28" s="12"/>
      <c r="O28" s="12"/>
      <c r="P28" s="12"/>
      <c r="Q28" s="5"/>
    </row>
    <row r="29" spans="1:17" ht="16.5" customHeight="1">
      <c r="A29" s="1"/>
      <c r="D29" s="20"/>
      <c r="E29" s="20"/>
      <c r="F29" s="20"/>
      <c r="G29" s="11"/>
      <c r="H29" s="11"/>
      <c r="I29" s="11"/>
      <c r="J29" s="12"/>
      <c r="K29" s="12"/>
      <c r="L29" s="12"/>
      <c r="M29" s="12"/>
      <c r="N29" s="12"/>
      <c r="O29" s="12"/>
      <c r="P29" s="12"/>
      <c r="Q29" s="5"/>
    </row>
    <row r="30" spans="1:17" ht="16.5" customHeight="1">
      <c r="A30" s="1"/>
      <c r="D30" s="20"/>
      <c r="E30" s="20"/>
      <c r="F30" s="20"/>
      <c r="G30" s="11"/>
      <c r="H30" s="11"/>
      <c r="I30" s="11"/>
      <c r="J30" s="12"/>
      <c r="K30" s="12"/>
      <c r="L30" s="12"/>
      <c r="M30" s="12"/>
      <c r="N30" s="12"/>
      <c r="O30" s="12"/>
      <c r="P30" s="12"/>
      <c r="Q30" s="5"/>
    </row>
    <row r="31" spans="1:17" ht="16.5" customHeight="1">
      <c r="A31" s="1"/>
      <c r="D31" s="20"/>
      <c r="E31" s="20"/>
      <c r="F31" s="20"/>
      <c r="G31" s="11"/>
      <c r="H31" s="11"/>
      <c r="I31" s="11"/>
      <c r="J31" s="12"/>
      <c r="K31" s="12"/>
      <c r="L31" s="12"/>
      <c r="M31" s="12"/>
      <c r="N31" s="12"/>
      <c r="O31" s="12"/>
      <c r="P31" s="12"/>
      <c r="Q31" s="5"/>
    </row>
    <row r="32" spans="1:17" ht="16.5" customHeight="1">
      <c r="A32" s="1"/>
      <c r="D32" s="20"/>
      <c r="E32" s="20"/>
      <c r="F32" s="20"/>
      <c r="G32" s="11"/>
      <c r="H32" s="11"/>
      <c r="I32" s="11"/>
      <c r="J32" s="12"/>
      <c r="K32" s="12"/>
      <c r="L32" s="12"/>
      <c r="M32" s="12"/>
      <c r="N32" s="12"/>
      <c r="O32" s="12"/>
      <c r="P32" s="12"/>
      <c r="Q32" s="5"/>
    </row>
    <row r="33" spans="1:17" ht="16.5" customHeight="1">
      <c r="G33" s="5"/>
      <c r="H33" s="5"/>
      <c r="I33" s="5"/>
      <c r="J33" s="5"/>
      <c r="K33" s="5"/>
      <c r="L33" s="5"/>
      <c r="M33" s="5"/>
      <c r="N33" s="5"/>
      <c r="O33" s="5"/>
      <c r="P33" s="5"/>
      <c r="Q33" s="5"/>
    </row>
    <row r="34" spans="1:17" ht="16.5" customHeight="1">
      <c r="G34" s="5"/>
      <c r="H34" s="5"/>
      <c r="I34" s="5"/>
      <c r="J34" s="5"/>
      <c r="K34" s="5"/>
      <c r="L34" s="5"/>
      <c r="M34" s="5"/>
      <c r="N34" s="5"/>
      <c r="O34" s="5"/>
      <c r="P34" s="5"/>
      <c r="Q34" s="5"/>
    </row>
    <row r="35" spans="1:17" ht="16.5" customHeight="1">
      <c r="A35" s="271" t="s">
        <v>679</v>
      </c>
      <c r="B35" s="271"/>
      <c r="C35" s="271"/>
      <c r="D35" s="271"/>
      <c r="G35" s="5"/>
      <c r="H35" s="5"/>
      <c r="I35" s="5"/>
      <c r="J35" s="5"/>
      <c r="K35" s="5"/>
      <c r="L35" s="5"/>
      <c r="M35" s="5"/>
      <c r="N35" s="5"/>
      <c r="O35" s="5"/>
      <c r="P35" s="5"/>
      <c r="Q35" s="5"/>
    </row>
    <row r="36" spans="1:17" ht="16.5" customHeight="1">
      <c r="A36" s="1" t="s">
        <v>153</v>
      </c>
      <c r="D36" s="20" t="s">
        <v>799</v>
      </c>
      <c r="E36" s="20" t="s">
        <v>799</v>
      </c>
      <c r="F36" s="20" t="s">
        <v>799</v>
      </c>
      <c r="G36" s="11">
        <v>0</v>
      </c>
      <c r="H36" s="12">
        <f>IF(G49=0,0,(G40+G37+G38))</f>
        <v>0</v>
      </c>
      <c r="I36" s="12">
        <f t="shared" ref="I36:P36" si="11">IF(H49=0,0,(H40+H37+H38))</f>
        <v>0</v>
      </c>
      <c r="J36" s="12">
        <f t="shared" si="11"/>
        <v>0</v>
      </c>
      <c r="K36" s="12">
        <f t="shared" si="11"/>
        <v>0</v>
      </c>
      <c r="L36" s="12">
        <f t="shared" si="11"/>
        <v>0</v>
      </c>
      <c r="M36" s="12">
        <f t="shared" si="11"/>
        <v>0</v>
      </c>
      <c r="N36" s="12">
        <f t="shared" si="11"/>
        <v>0</v>
      </c>
      <c r="O36" s="12">
        <f t="shared" si="11"/>
        <v>0</v>
      </c>
      <c r="P36" s="12">
        <f t="shared" si="11"/>
        <v>0</v>
      </c>
      <c r="Q36" s="5"/>
    </row>
    <row r="37" spans="1:17" ht="16.5" customHeight="1">
      <c r="A37" s="1" t="s">
        <v>154</v>
      </c>
      <c r="D37" s="20" t="s">
        <v>799</v>
      </c>
      <c r="E37" s="20" t="s">
        <v>799</v>
      </c>
      <c r="F37" s="20" t="s">
        <v>799</v>
      </c>
      <c r="G37" s="12">
        <f t="shared" ref="G37:P37" si="12">ROUND(0.006404*G51,0)</f>
        <v>0</v>
      </c>
      <c r="H37" s="12">
        <f t="shared" si="12"/>
        <v>0</v>
      </c>
      <c r="I37" s="12">
        <f t="shared" si="12"/>
        <v>0</v>
      </c>
      <c r="J37" s="12">
        <f t="shared" si="12"/>
        <v>0</v>
      </c>
      <c r="K37" s="12">
        <f t="shared" si="12"/>
        <v>0</v>
      </c>
      <c r="L37" s="12">
        <f t="shared" si="12"/>
        <v>0</v>
      </c>
      <c r="M37" s="12">
        <f t="shared" si="12"/>
        <v>0</v>
      </c>
      <c r="N37" s="12">
        <f t="shared" si="12"/>
        <v>0</v>
      </c>
      <c r="O37" s="12">
        <f t="shared" si="12"/>
        <v>0</v>
      </c>
      <c r="P37" s="12">
        <f t="shared" si="12"/>
        <v>0</v>
      </c>
      <c r="Q37" s="5"/>
    </row>
    <row r="38" spans="1:17" ht="16.5" customHeight="1">
      <c r="A38" s="1" t="s">
        <v>155</v>
      </c>
      <c r="D38" s="20" t="s">
        <v>799</v>
      </c>
      <c r="E38" s="20" t="s">
        <v>799</v>
      </c>
      <c r="F38" s="20" t="s">
        <v>799</v>
      </c>
      <c r="G38" s="12">
        <f t="shared" ref="G38:P38" si="13">ROUND(0.025*G46,0)</f>
        <v>0</v>
      </c>
      <c r="H38" s="12">
        <f t="shared" si="13"/>
        <v>0</v>
      </c>
      <c r="I38" s="12">
        <f t="shared" si="13"/>
        <v>0</v>
      </c>
      <c r="J38" s="12">
        <f t="shared" si="13"/>
        <v>0</v>
      </c>
      <c r="K38" s="12">
        <f t="shared" si="13"/>
        <v>0</v>
      </c>
      <c r="L38" s="12">
        <f t="shared" si="13"/>
        <v>0</v>
      </c>
      <c r="M38" s="12">
        <f t="shared" si="13"/>
        <v>0</v>
      </c>
      <c r="N38" s="12">
        <f t="shared" si="13"/>
        <v>0</v>
      </c>
      <c r="O38" s="12">
        <f t="shared" si="13"/>
        <v>0</v>
      </c>
      <c r="P38" s="12">
        <f t="shared" si="13"/>
        <v>0</v>
      </c>
      <c r="Q38" s="5"/>
    </row>
    <row r="39" spans="1:17" ht="16.5" customHeight="1">
      <c r="A39" s="1" t="s">
        <v>156</v>
      </c>
      <c r="D39" s="20" t="s">
        <v>799</v>
      </c>
      <c r="E39" s="20" t="s">
        <v>799</v>
      </c>
      <c r="F39" s="20" t="s">
        <v>799</v>
      </c>
      <c r="G39" s="11">
        <v>0</v>
      </c>
      <c r="H39" s="11">
        <v>0</v>
      </c>
      <c r="I39" s="11">
        <v>0</v>
      </c>
      <c r="J39" s="11">
        <v>0</v>
      </c>
      <c r="K39" s="11">
        <v>0</v>
      </c>
      <c r="L39" s="11">
        <v>0</v>
      </c>
      <c r="M39" s="11">
        <v>0</v>
      </c>
      <c r="N39" s="11">
        <v>0</v>
      </c>
      <c r="O39" s="11">
        <v>0</v>
      </c>
      <c r="P39" s="11">
        <v>0</v>
      </c>
      <c r="Q39" s="5"/>
    </row>
    <row r="40" spans="1:17" ht="16.5" customHeight="1">
      <c r="A40" s="1" t="s">
        <v>157</v>
      </c>
      <c r="D40" s="20" t="s">
        <v>799</v>
      </c>
      <c r="E40" s="20" t="s">
        <v>799</v>
      </c>
      <c r="F40" s="20" t="s">
        <v>799</v>
      </c>
      <c r="G40" s="12">
        <f t="shared" ref="G40:P40" si="14">IF(G36&lt;G45,(G36+G37+G38-G39),(G45+G41))</f>
        <v>0</v>
      </c>
      <c r="H40" s="12">
        <f t="shared" si="14"/>
        <v>0</v>
      </c>
      <c r="I40" s="12">
        <f t="shared" si="14"/>
        <v>0</v>
      </c>
      <c r="J40" s="12">
        <f t="shared" si="14"/>
        <v>0</v>
      </c>
      <c r="K40" s="12">
        <f t="shared" si="14"/>
        <v>0</v>
      </c>
      <c r="L40" s="12">
        <f t="shared" si="14"/>
        <v>0</v>
      </c>
      <c r="M40" s="12">
        <f t="shared" si="14"/>
        <v>0</v>
      </c>
      <c r="N40" s="12">
        <f t="shared" si="14"/>
        <v>0</v>
      </c>
      <c r="O40" s="12">
        <f t="shared" si="14"/>
        <v>0</v>
      </c>
      <c r="P40" s="12">
        <f t="shared" si="14"/>
        <v>0</v>
      </c>
      <c r="Q40" s="5"/>
    </row>
    <row r="41" spans="1:17" ht="16.5" customHeight="1">
      <c r="A41" s="1" t="s">
        <v>158</v>
      </c>
      <c r="D41" s="20" t="s">
        <v>799</v>
      </c>
      <c r="E41" s="20" t="s">
        <v>799</v>
      </c>
      <c r="F41" s="20" t="s">
        <v>799</v>
      </c>
      <c r="G41" s="12">
        <f t="shared" ref="G41:P41" si="15">ROUND((0.05*G45)+G38-(0.025*G48),0)</f>
        <v>0</v>
      </c>
      <c r="H41" s="12">
        <f t="shared" si="15"/>
        <v>0</v>
      </c>
      <c r="I41" s="12">
        <f t="shared" si="15"/>
        <v>0</v>
      </c>
      <c r="J41" s="12">
        <f t="shared" si="15"/>
        <v>0</v>
      </c>
      <c r="K41" s="12">
        <f t="shared" si="15"/>
        <v>0</v>
      </c>
      <c r="L41" s="12">
        <f t="shared" si="15"/>
        <v>0</v>
      </c>
      <c r="M41" s="12">
        <f t="shared" si="15"/>
        <v>0</v>
      </c>
      <c r="N41" s="12">
        <f t="shared" si="15"/>
        <v>0</v>
      </c>
      <c r="O41" s="12">
        <f t="shared" si="15"/>
        <v>0</v>
      </c>
      <c r="P41" s="12">
        <f t="shared" si="15"/>
        <v>0</v>
      </c>
      <c r="Q41" s="5"/>
    </row>
    <row r="42" spans="1:17" ht="16.5" customHeight="1">
      <c r="A42" s="1" t="s">
        <v>159</v>
      </c>
      <c r="D42" s="20" t="s">
        <v>799</v>
      </c>
      <c r="E42" s="20" t="s">
        <v>799</v>
      </c>
      <c r="F42" s="20" t="s">
        <v>799</v>
      </c>
      <c r="G42" s="12">
        <f>IF((G36+G37)&gt;=(G45+G46),(G45+G46),(G40-G41))</f>
        <v>0</v>
      </c>
      <c r="H42" s="12">
        <f t="shared" ref="H42:P42" si="16">IF((H36+H37)&gt;=(H45+H46),(H45+H46),(H40-H41))</f>
        <v>0</v>
      </c>
      <c r="I42" s="12">
        <f t="shared" si="16"/>
        <v>0</v>
      </c>
      <c r="J42" s="12">
        <f t="shared" si="16"/>
        <v>0</v>
      </c>
      <c r="K42" s="12">
        <f t="shared" si="16"/>
        <v>0</v>
      </c>
      <c r="L42" s="12">
        <f t="shared" si="16"/>
        <v>0</v>
      </c>
      <c r="M42" s="12">
        <f t="shared" si="16"/>
        <v>0</v>
      </c>
      <c r="N42" s="12">
        <f t="shared" si="16"/>
        <v>0</v>
      </c>
      <c r="O42" s="12">
        <f t="shared" si="16"/>
        <v>0</v>
      </c>
      <c r="P42" s="12">
        <f t="shared" si="16"/>
        <v>0</v>
      </c>
      <c r="Q42" s="5"/>
    </row>
    <row r="43" spans="1:17" ht="16.5" customHeight="1">
      <c r="D43" s="20"/>
      <c r="E43" s="20"/>
      <c r="F43" s="20"/>
      <c r="G43" s="5"/>
      <c r="H43" s="5"/>
      <c r="I43" s="5"/>
      <c r="J43" s="5"/>
      <c r="K43" s="5"/>
      <c r="L43" s="5"/>
      <c r="M43" s="5"/>
      <c r="N43" s="5"/>
      <c r="O43" s="5"/>
      <c r="P43" s="5"/>
      <c r="Q43" s="5"/>
    </row>
    <row r="44" spans="1:17" ht="16.5" customHeight="1">
      <c r="A44" s="1" t="s">
        <v>167</v>
      </c>
      <c r="D44" s="20" t="s">
        <v>799</v>
      </c>
      <c r="E44" s="20" t="s">
        <v>799</v>
      </c>
      <c r="F44" s="20" t="s">
        <v>799</v>
      </c>
      <c r="G44" s="5"/>
      <c r="H44" s="5"/>
      <c r="I44" s="5"/>
      <c r="J44" s="5"/>
      <c r="K44" s="5"/>
      <c r="L44" s="5"/>
      <c r="M44" s="5"/>
      <c r="N44" s="5"/>
      <c r="O44" s="5"/>
      <c r="P44" s="5"/>
      <c r="Q44" s="5"/>
    </row>
    <row r="45" spans="1:17" ht="16.5" customHeight="1">
      <c r="A45" s="1" t="s">
        <v>161</v>
      </c>
      <c r="D45" s="20" t="s">
        <v>799</v>
      </c>
      <c r="E45" s="20" t="s">
        <v>799</v>
      </c>
      <c r="F45" s="20" t="s">
        <v>799</v>
      </c>
      <c r="G45" s="11">
        <v>0</v>
      </c>
      <c r="H45" s="12">
        <f t="shared" ref="H45:P45" si="17">G49</f>
        <v>0</v>
      </c>
      <c r="I45" s="12">
        <f t="shared" si="17"/>
        <v>0</v>
      </c>
      <c r="J45" s="12">
        <f t="shared" si="17"/>
        <v>0</v>
      </c>
      <c r="K45" s="12">
        <f t="shared" si="17"/>
        <v>0</v>
      </c>
      <c r="L45" s="12">
        <f t="shared" si="17"/>
        <v>0</v>
      </c>
      <c r="M45" s="12">
        <f t="shared" si="17"/>
        <v>0</v>
      </c>
      <c r="N45" s="12">
        <f t="shared" si="17"/>
        <v>0</v>
      </c>
      <c r="O45" s="12">
        <f t="shared" si="17"/>
        <v>0</v>
      </c>
      <c r="P45" s="12">
        <f t="shared" si="17"/>
        <v>0</v>
      </c>
      <c r="Q45" s="5"/>
    </row>
    <row r="46" spans="1:17" ht="16.5" customHeight="1">
      <c r="A46" s="1" t="s">
        <v>162</v>
      </c>
      <c r="D46" s="20" t="s">
        <v>799</v>
      </c>
      <c r="E46" s="20" t="s">
        <v>799</v>
      </c>
      <c r="F46" s="20" t="s">
        <v>799</v>
      </c>
      <c r="G46" s="59">
        <v>0</v>
      </c>
      <c r="H46" s="59">
        <v>0</v>
      </c>
      <c r="I46" s="59">
        <v>0</v>
      </c>
      <c r="J46" s="59">
        <v>0</v>
      </c>
      <c r="K46" s="59">
        <v>0</v>
      </c>
      <c r="L46" s="59">
        <v>0</v>
      </c>
      <c r="M46" s="59">
        <v>0</v>
      </c>
      <c r="N46" s="59">
        <v>0</v>
      </c>
      <c r="O46" s="59">
        <v>0</v>
      </c>
      <c r="P46" s="59">
        <v>0</v>
      </c>
      <c r="Q46" s="5"/>
    </row>
    <row r="47" spans="1:17" ht="16.5" customHeight="1">
      <c r="A47" s="1" t="s">
        <v>163</v>
      </c>
      <c r="D47" s="20" t="s">
        <v>799</v>
      </c>
      <c r="E47" s="20" t="s">
        <v>799</v>
      </c>
      <c r="F47" s="20" t="s">
        <v>799</v>
      </c>
      <c r="G47" s="12">
        <f t="shared" ref="G47:O47" si="18">G42</f>
        <v>0</v>
      </c>
      <c r="H47" s="12">
        <f t="shared" si="18"/>
        <v>0</v>
      </c>
      <c r="I47" s="12">
        <f t="shared" si="18"/>
        <v>0</v>
      </c>
      <c r="J47" s="12">
        <f t="shared" si="18"/>
        <v>0</v>
      </c>
      <c r="K47" s="12">
        <f t="shared" si="18"/>
        <v>0</v>
      </c>
      <c r="L47" s="12">
        <f t="shared" si="18"/>
        <v>0</v>
      </c>
      <c r="M47" s="12">
        <f t="shared" si="18"/>
        <v>0</v>
      </c>
      <c r="N47" s="12">
        <f t="shared" si="18"/>
        <v>0</v>
      </c>
      <c r="O47" s="12">
        <f t="shared" si="18"/>
        <v>0</v>
      </c>
      <c r="P47" s="12">
        <f>P42</f>
        <v>0</v>
      </c>
      <c r="Q47" s="5"/>
    </row>
    <row r="48" spans="1:17" ht="16.5" customHeight="1">
      <c r="A48" s="1" t="s">
        <v>164</v>
      </c>
      <c r="D48" s="20" t="s">
        <v>799</v>
      </c>
      <c r="E48" s="20" t="s">
        <v>799</v>
      </c>
      <c r="F48" s="20" t="s">
        <v>799</v>
      </c>
      <c r="G48" s="11">
        <v>0</v>
      </c>
      <c r="H48" s="11">
        <v>0</v>
      </c>
      <c r="I48" s="11">
        <v>0</v>
      </c>
      <c r="J48" s="11">
        <v>0</v>
      </c>
      <c r="K48" s="11">
        <v>0</v>
      </c>
      <c r="L48" s="11">
        <v>0</v>
      </c>
      <c r="M48" s="11">
        <v>0</v>
      </c>
      <c r="N48" s="11">
        <v>0</v>
      </c>
      <c r="O48" s="11">
        <v>0</v>
      </c>
      <c r="P48" s="11">
        <v>0</v>
      </c>
      <c r="Q48" s="5"/>
    </row>
    <row r="49" spans="1:17" ht="16.5" customHeight="1">
      <c r="A49" s="1" t="s">
        <v>165</v>
      </c>
      <c r="D49" s="20" t="s">
        <v>799</v>
      </c>
      <c r="E49" s="20" t="s">
        <v>799</v>
      </c>
      <c r="F49" s="20" t="s">
        <v>799</v>
      </c>
      <c r="G49" s="12">
        <f t="shared" ref="G49:P49" si="19">G45+G46-G47-G48</f>
        <v>0</v>
      </c>
      <c r="H49" s="12">
        <f t="shared" si="19"/>
        <v>0</v>
      </c>
      <c r="I49" s="12">
        <f t="shared" si="19"/>
        <v>0</v>
      </c>
      <c r="J49" s="12">
        <f t="shared" si="19"/>
        <v>0</v>
      </c>
      <c r="K49" s="12">
        <f t="shared" si="19"/>
        <v>0</v>
      </c>
      <c r="L49" s="12">
        <f t="shared" si="19"/>
        <v>0</v>
      </c>
      <c r="M49" s="12">
        <f t="shared" si="19"/>
        <v>0</v>
      </c>
      <c r="N49" s="12">
        <f t="shared" si="19"/>
        <v>0</v>
      </c>
      <c r="O49" s="12">
        <f t="shared" si="19"/>
        <v>0</v>
      </c>
      <c r="P49" s="12">
        <f t="shared" si="19"/>
        <v>0</v>
      </c>
      <c r="Q49" s="5"/>
    </row>
    <row r="50" spans="1:17" ht="16.5" customHeight="1">
      <c r="D50" s="20"/>
      <c r="E50" s="20"/>
      <c r="F50" s="20"/>
      <c r="G50" s="5"/>
      <c r="H50" s="5"/>
      <c r="I50" s="5"/>
      <c r="J50" s="5"/>
      <c r="K50" s="5"/>
      <c r="L50" s="5"/>
      <c r="M50" s="5"/>
      <c r="N50" s="5"/>
      <c r="O50" s="5"/>
      <c r="P50" s="5"/>
      <c r="Q50" s="5"/>
    </row>
    <row r="51" spans="1:17" ht="16.5" customHeight="1">
      <c r="A51" s="1" t="s">
        <v>168</v>
      </c>
      <c r="D51" s="20" t="s">
        <v>799</v>
      </c>
      <c r="E51" s="20" t="s">
        <v>799</v>
      </c>
      <c r="F51" s="20" t="s">
        <v>799</v>
      </c>
      <c r="G51" s="59">
        <v>0</v>
      </c>
      <c r="H51" s="59">
        <v>0</v>
      </c>
      <c r="I51" s="59">
        <v>0</v>
      </c>
      <c r="J51" s="59">
        <f t="shared" ref="J51:P51" si="20">G46</f>
        <v>0</v>
      </c>
      <c r="K51" s="59">
        <f t="shared" si="20"/>
        <v>0</v>
      </c>
      <c r="L51" s="59">
        <f t="shared" si="20"/>
        <v>0</v>
      </c>
      <c r="M51" s="59">
        <f t="shared" si="20"/>
        <v>0</v>
      </c>
      <c r="N51" s="59">
        <f t="shared" si="20"/>
        <v>0</v>
      </c>
      <c r="O51" s="59">
        <f t="shared" si="20"/>
        <v>0</v>
      </c>
      <c r="P51" s="59">
        <f t="shared" si="20"/>
        <v>0</v>
      </c>
      <c r="Q51" s="5"/>
    </row>
    <row r="52" spans="1:17" ht="16.5" customHeight="1">
      <c r="G52" s="5"/>
      <c r="H52" s="5"/>
      <c r="I52" s="5"/>
      <c r="J52" s="5"/>
      <c r="K52" s="5"/>
      <c r="L52" s="5"/>
      <c r="M52" s="5"/>
      <c r="N52" s="5"/>
      <c r="O52" s="5"/>
      <c r="P52" s="5"/>
      <c r="Q52" s="5"/>
    </row>
  </sheetData>
  <sheetProtection sheet="1" objects="1" scenarios="1"/>
  <mergeCells count="4">
    <mergeCell ref="E3:F3"/>
    <mergeCell ref="I3:J3"/>
    <mergeCell ref="A7:D7"/>
    <mergeCell ref="A35:D35"/>
  </mergeCells>
  <phoneticPr fontId="0" type="noConversion"/>
  <pageMargins left="0.75" right="0.52" top="0.79" bottom="1" header="0.82" footer="0.5"/>
  <pageSetup scale="52"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26</vt:i4>
      </vt:variant>
      <vt:variant>
        <vt:lpstr>Charts</vt:lpstr>
      </vt:variant>
      <vt:variant>
        <vt:i4>80</vt:i4>
      </vt:variant>
      <vt:variant>
        <vt:lpstr>Named Ranges</vt:lpstr>
      </vt:variant>
      <vt:variant>
        <vt:i4>14</vt:i4>
      </vt:variant>
    </vt:vector>
  </HeadingPairs>
  <TitlesOfParts>
    <vt:vector size="120" baseType="lpstr">
      <vt:lpstr>Burden Statement</vt:lpstr>
      <vt:lpstr>Forecast Menu</vt:lpstr>
      <vt:lpstr>a &amp; b</vt:lpstr>
      <vt:lpstr>c &amp; d</vt:lpstr>
      <vt:lpstr>e - Sales</vt:lpstr>
      <vt:lpstr>f - Rev</vt:lpstr>
      <vt:lpstr>General Funds Calculation</vt:lpstr>
      <vt:lpstr>g - Plant</vt:lpstr>
      <vt:lpstr>h1 - 2%&amp;5%</vt:lpstr>
      <vt:lpstr>h2(a) - Debt RUS</vt:lpstr>
      <vt:lpstr>h2(b) - Debt RUS</vt:lpstr>
      <vt:lpstr>h3(a) - Debt Guar</vt:lpstr>
      <vt:lpstr>h3(b) - Debt Guar</vt:lpstr>
      <vt:lpstr>i1(a) - Debt Other</vt:lpstr>
      <vt:lpstr>i1(b) - Debt Other</vt:lpstr>
      <vt:lpstr>h4 - New RUS</vt:lpstr>
      <vt:lpstr>h5 - New Guar</vt:lpstr>
      <vt:lpstr>i2 - New Other</vt:lpstr>
      <vt:lpstr>j - Debt Sum</vt:lpstr>
      <vt:lpstr>k - Exp</vt:lpstr>
      <vt:lpstr>Input</vt:lpstr>
      <vt:lpstr>Summary</vt:lpstr>
      <vt:lpstr>Narrative Assumptions</vt:lpstr>
      <vt:lpstr>Est PC</vt:lpstr>
      <vt:lpstr>Blank Worksheet</vt:lpstr>
      <vt:lpstr>Historic Data</vt:lpstr>
      <vt:lpstr>Cumul Rate Incr</vt:lpstr>
      <vt:lpstr>KWH Sales &amp; Pur ALL</vt:lpstr>
      <vt:lpstr>Gen Funds ($)</vt:lpstr>
      <vt:lpstr>Gen Funds~TUP</vt:lpstr>
      <vt:lpstr>TIER</vt:lpstr>
      <vt:lpstr>TIER (ALL)</vt:lpstr>
      <vt:lpstr>Equity</vt:lpstr>
      <vt:lpstr>Equity (ALL)</vt:lpstr>
      <vt:lpstr>TUP ~ kWH</vt:lpstr>
      <vt:lpstr>TUP ~ MWH (ALL)</vt:lpstr>
      <vt:lpstr>A&amp;G ($)</vt:lpstr>
      <vt:lpstr>A&amp;G Ratio</vt:lpstr>
      <vt:lpstr>A&amp;G ($) (ALL)</vt:lpstr>
      <vt:lpstr>A&amp;G Ratio (ALL)</vt:lpstr>
      <vt:lpstr>Cons Acct ($)</vt:lpstr>
      <vt:lpstr>Cons Acct Ratio</vt:lpstr>
      <vt:lpstr>Cons Acct $ (ALL)</vt:lpstr>
      <vt:lpstr>Cons Acct Ratio (ALL)</vt:lpstr>
      <vt:lpstr>O&amp;M ($)</vt:lpstr>
      <vt:lpstr>O&amp;M Ratio</vt:lpstr>
      <vt:lpstr>O&amp;M $ (ALL)</vt:lpstr>
      <vt:lpstr>O&amp;M Ratio (ALL)</vt:lpstr>
      <vt:lpstr>Taxes ($)</vt:lpstr>
      <vt:lpstr>Tax Ratio</vt:lpstr>
      <vt:lpstr>Taxes $ (ALL)</vt:lpstr>
      <vt:lpstr>Tax Ratio (ALL)</vt:lpstr>
      <vt:lpstr>Power Cost ($)</vt:lpstr>
      <vt:lpstr>Power Cost ~ MWH</vt:lpstr>
      <vt:lpstr>Power Cost $ (ALL)</vt:lpstr>
      <vt:lpstr>Power Cost ~ MWH (ALL)</vt:lpstr>
      <vt:lpstr>Plant Additions ($)</vt:lpstr>
      <vt:lpstr>Total Utility Plant</vt:lpstr>
      <vt:lpstr>Deprec ($)</vt:lpstr>
      <vt:lpstr>Deprec Ratio</vt:lpstr>
      <vt:lpstr>Deprec $ (ALL)</vt:lpstr>
      <vt:lpstr>Deprec Ratio (ALL)</vt:lpstr>
      <vt:lpstr>Accum Deprec ~ TUP</vt:lpstr>
      <vt:lpstr>Interest Exp ($)</vt:lpstr>
      <vt:lpstr>Interest Exp (ALL)</vt:lpstr>
      <vt:lpstr>Consumers (#-1)</vt:lpstr>
      <vt:lpstr>Consumers (#-2)</vt:lpstr>
      <vt:lpstr>Consumers (Total)</vt:lpstr>
      <vt:lpstr>Consumers (ALL)</vt:lpstr>
      <vt:lpstr>Debt Balance</vt:lpstr>
      <vt:lpstr>Debt Balance (ALL)</vt:lpstr>
      <vt:lpstr>Assets - Liabil.</vt:lpstr>
      <vt:lpstr>DSC</vt:lpstr>
      <vt:lpstr>DSC (ALL)</vt:lpstr>
      <vt:lpstr>Cap Credit Retirements</vt:lpstr>
      <vt:lpstr>KWH Sales (#1)</vt:lpstr>
      <vt:lpstr>KWH Sales #1 (ALL)</vt:lpstr>
      <vt:lpstr>KWh Sales (#2)</vt:lpstr>
      <vt:lpstr>KWH Sales #2 (ALL)</vt:lpstr>
      <vt:lpstr>KWH Sales - Purch.</vt:lpstr>
      <vt:lpstr>Margins - GF Invest.</vt:lpstr>
      <vt:lpstr>Margins</vt:lpstr>
      <vt:lpstr>Non-Op Margins</vt:lpstr>
      <vt:lpstr>Rate of Return</vt:lpstr>
      <vt:lpstr>Rev Residential</vt:lpstr>
      <vt:lpstr>Rev Seasonal</vt:lpstr>
      <vt:lpstr>Rev Irrigation</vt:lpstr>
      <vt:lpstr>Rev Small Comm.</vt:lpstr>
      <vt:lpstr>Rev Large Comm.</vt:lpstr>
      <vt:lpstr>Rev Total</vt:lpstr>
      <vt:lpstr>G&amp;T CC Earned</vt:lpstr>
      <vt:lpstr>G&amp;T CC Earned (ALL)</vt:lpstr>
      <vt:lpstr>Rev Total (ALL)</vt:lpstr>
      <vt:lpstr>Rev - Power (ALL)</vt:lpstr>
      <vt:lpstr>Rev - Power ~ KWH (ALL)</vt:lpstr>
      <vt:lpstr>Avg. Rev</vt:lpstr>
      <vt:lpstr>Capital Budget</vt:lpstr>
      <vt:lpstr>Approved &amp; Advanced Loans</vt:lpstr>
      <vt:lpstr>Return on Eq</vt:lpstr>
      <vt:lpstr>Return on Eq (ALL)</vt:lpstr>
      <vt:lpstr>Plant Turnover</vt:lpstr>
      <vt:lpstr>Plant Tunrover (ALL)</vt:lpstr>
      <vt:lpstr>PRR</vt:lpstr>
      <vt:lpstr>PRR (ALL)</vt:lpstr>
      <vt:lpstr>EBITA</vt:lpstr>
      <vt:lpstr>EBITA (ALL)</vt:lpstr>
      <vt:lpstr>'a &amp; b'!Print_Area</vt:lpstr>
      <vt:lpstr>'c &amp; d'!Print_Area</vt:lpstr>
      <vt:lpstr>'e - Sales'!Print_Area</vt:lpstr>
      <vt:lpstr>'f - Rev'!Print_Area</vt:lpstr>
      <vt:lpstr>'g - Plant'!Print_Area</vt:lpstr>
      <vt:lpstr>'h1 - 2%&amp;5%'!Print_Area</vt:lpstr>
      <vt:lpstr>'h2(a) - Debt RUS'!Print_Area</vt:lpstr>
      <vt:lpstr>'h2(b) - Debt RUS'!Print_Area</vt:lpstr>
      <vt:lpstr>'h3(a) - Debt Guar'!Print_Area</vt:lpstr>
      <vt:lpstr>'h3(b) - Debt Guar'!Print_Area</vt:lpstr>
      <vt:lpstr>'i1(a) - Debt Other'!Print_Area</vt:lpstr>
      <vt:lpstr>'i1(b) - Debt Other'!Print_Area</vt:lpstr>
      <vt:lpstr>'i2 - New Other'!Print_Area</vt:lpstr>
      <vt:lpstr>'Narrative Assumptions'!Print_Area</vt:lpstr>
    </vt:vector>
  </TitlesOfParts>
  <Company>USDA-RUS-SRD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The Forecast</dc:subject>
  <dc:creator>Barnes &amp; Moran</dc:creator>
  <cp:lastModifiedBy>Bennett, Pamela - RD, VA</cp:lastModifiedBy>
  <cp:lastPrinted>2020-02-29T04:53:29Z</cp:lastPrinted>
  <dcterms:created xsi:type="dcterms:W3CDTF">2000-07-26T17:22:50Z</dcterms:created>
  <dcterms:modified xsi:type="dcterms:W3CDTF">2024-10-08T18:44:45Z</dcterms:modified>
</cp:coreProperties>
</file>