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.sharepoint.com/sites/FNS-SNAS-FoodDistributionPolicyBranch/Shared Documents/Food Distribution Policy Branch/Regulations and ICR/ICR Renewal 2026/Final Package/Appendices/"/>
    </mc:Choice>
  </mc:AlternateContent>
  <xr:revisionPtr revIDLastSave="564" documentId="8_{3FEB18D1-9B00-497C-AE34-2329808A86BE}" xr6:coauthVersionLast="47" xr6:coauthVersionMax="47" xr10:uidLastSave="{17602D20-F4AF-4033-886F-B725A3FB5774}"/>
  <bookViews>
    <workbookView xWindow="-105" yWindow="0" windowWidth="14610" windowHeight="17385" tabRatio="748" firstSheet="4" activeTab="4" xr2:uid="{00000000-000D-0000-FFFF-FFFF00000000}"/>
  </bookViews>
  <sheets>
    <sheet name="State, Local, Tribal (SLT)" sheetId="1" r:id="rId1"/>
    <sheet name="Private for Profit (PFP)" sheetId="8" r:id="rId2"/>
    <sheet name="Private NOT for Profit (PNP)" sheetId="9" r:id="rId3"/>
    <sheet name="Individuals" sheetId="10" r:id="rId4"/>
    <sheet name="Annualized Costs to Respondent" sheetId="5" r:id="rId5"/>
    <sheet name="Burden Summary" sheetId="6" r:id="rId6"/>
    <sheet name="Burden Table" sheetId="12" r:id="rId7"/>
    <sheet name="Sheet1" sheetId="13" r:id="rId8"/>
  </sheets>
  <definedNames>
    <definedName name="_xlnm._FilterDatabase" localSheetId="1" hidden="1">'Private for Profit (PFP)'!$A$21:$Q$21</definedName>
    <definedName name="_xlnm._FilterDatabase" localSheetId="2" hidden="1">'Private NOT for Profit (PNP)'!$A$5:$Q$15</definedName>
    <definedName name="_xlnm._FilterDatabase" localSheetId="0" hidden="1">'State, Local, Tribal (SLT)'!$A$5:$P$76</definedName>
    <definedName name="_xlnm.Print_Area" localSheetId="3">Individuals!$A$1:$R$10</definedName>
    <definedName name="_xlnm.Print_Area" localSheetId="1">'Private for Profit (PFP)'!$A$1:$Q$32</definedName>
    <definedName name="_xlnm.Print_Area" localSheetId="2">'Private NOT for Profit (PNP)'!$A$1:$Q$34</definedName>
    <definedName name="_xlnm.Print_Area" localSheetId="0">'State, Local, Tribal (SLT)'!$A$1:$P$133</definedName>
    <definedName name="_xlnm.Print_Titles" localSheetId="1">'Private for Profit (PFP)'!$21:$21</definedName>
    <definedName name="_xlnm.Print_Titles" localSheetId="2">'Private NOT for Profit (PNP)'!$17:$17</definedName>
    <definedName name="_xlnm.Print_Titles" localSheetId="0">'State, Local, Tribal (SLT)'!$5:$5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5" l="1"/>
  <c r="F9" i="5"/>
  <c r="D24" i="12"/>
  <c r="E24" i="12"/>
  <c r="F24" i="12"/>
  <c r="G24" i="12"/>
  <c r="H24" i="12"/>
  <c r="I24" i="12"/>
  <c r="C24" i="12"/>
  <c r="F6" i="5"/>
  <c r="E127" i="1"/>
  <c r="E22" i="12"/>
  <c r="G22" i="12" s="1"/>
  <c r="N103" i="1"/>
  <c r="F14" i="5"/>
  <c r="C14" i="5"/>
  <c r="D14" i="5"/>
  <c r="L76" i="1"/>
  <c r="K76" i="1"/>
  <c r="I27" i="12"/>
  <c r="H27" i="12"/>
  <c r="G27" i="12"/>
  <c r="F27" i="12"/>
  <c r="E27" i="12"/>
  <c r="D27" i="12"/>
  <c r="C27" i="12"/>
  <c r="I17" i="12"/>
  <c r="H17" i="12"/>
  <c r="G17" i="12"/>
  <c r="F17" i="12"/>
  <c r="E17" i="12"/>
  <c r="D17" i="12"/>
  <c r="C17" i="12"/>
  <c r="I14" i="12"/>
  <c r="H14" i="12"/>
  <c r="G14" i="12"/>
  <c r="F14" i="12"/>
  <c r="E14" i="12"/>
  <c r="D14" i="12"/>
  <c r="C14" i="12"/>
  <c r="H11" i="12"/>
  <c r="F11" i="12"/>
  <c r="D11" i="12"/>
  <c r="C11" i="12"/>
  <c r="C9" i="6"/>
  <c r="E76" i="1"/>
  <c r="F76" i="1"/>
  <c r="G76" i="1"/>
  <c r="H76" i="1"/>
  <c r="I76" i="1"/>
  <c r="J76" i="1"/>
  <c r="M76" i="1"/>
  <c r="N76" i="1"/>
  <c r="M27" i="9"/>
  <c r="O115" i="1"/>
  <c r="L115" i="1"/>
  <c r="H115" i="1"/>
  <c r="J115" i="1" s="1"/>
  <c r="O74" i="1"/>
  <c r="H75" i="1"/>
  <c r="J75" i="1" s="1"/>
  <c r="L75" i="1" s="1"/>
  <c r="O75" i="1" s="1"/>
  <c r="O76" i="1" s="1"/>
  <c r="O131" i="1" s="1"/>
  <c r="O63" i="1"/>
  <c r="H63" i="1"/>
  <c r="J63" i="1" s="1"/>
  <c r="H64" i="1"/>
  <c r="J64" i="1"/>
  <c r="O64" i="1"/>
  <c r="N18" i="8"/>
  <c r="P18" i="8" s="1"/>
  <c r="M17" i="8"/>
  <c r="P17" i="8" s="1"/>
  <c r="N16" i="8"/>
  <c r="P16" i="8" s="1"/>
  <c r="M15" i="8"/>
  <c r="P15" i="8" s="1"/>
  <c r="N13" i="8"/>
  <c r="P13" i="8" s="1"/>
  <c r="M12" i="8"/>
  <c r="P12" i="8" s="1"/>
  <c r="N11" i="8"/>
  <c r="P11" i="8" s="1"/>
  <c r="M10" i="8"/>
  <c r="P10" i="8" s="1"/>
  <c r="N9" i="8"/>
  <c r="P9" i="8" s="1"/>
  <c r="M8" i="8"/>
  <c r="P8" i="8" s="1"/>
  <c r="N7" i="10"/>
  <c r="O7" i="10" s="1"/>
  <c r="L6" i="10"/>
  <c r="O6" i="10" s="1"/>
  <c r="H67" i="1"/>
  <c r="J67" i="1" s="1"/>
  <c r="O67" i="1" s="1"/>
  <c r="H66" i="1"/>
  <c r="J66" i="1"/>
  <c r="O66" i="1" s="1"/>
  <c r="H62" i="1"/>
  <c r="J62" i="1" s="1"/>
  <c r="O62" i="1" s="1"/>
  <c r="H61" i="1"/>
  <c r="J61" i="1" s="1"/>
  <c r="H56" i="1"/>
  <c r="J56" i="1" s="1"/>
  <c r="E131" i="1"/>
  <c r="F28" i="12" l="1"/>
  <c r="G11" i="12"/>
  <c r="G18" i="12" s="1"/>
  <c r="I22" i="12"/>
  <c r="I11" i="12" s="1"/>
  <c r="I18" i="12" s="1"/>
  <c r="D28" i="12"/>
  <c r="E11" i="12"/>
  <c r="E18" i="12" s="1"/>
  <c r="C18" i="12"/>
  <c r="I28" i="12"/>
  <c r="C28" i="12"/>
  <c r="D18" i="12"/>
  <c r="F18" i="12"/>
  <c r="H28" i="12"/>
  <c r="H18" i="12"/>
  <c r="E28" i="12"/>
  <c r="G28" i="12"/>
  <c r="L56" i="1"/>
  <c r="O56" i="1"/>
  <c r="P18" i="9"/>
  <c r="B15" i="6"/>
  <c r="F29" i="12" l="1"/>
  <c r="D29" i="12"/>
  <c r="E29" i="12"/>
  <c r="I29" i="12"/>
  <c r="G29" i="12"/>
  <c r="C29" i="12"/>
  <c r="H29" i="12"/>
  <c r="E26" i="8"/>
  <c r="E132" i="1"/>
  <c r="B14" i="6" s="1"/>
  <c r="K10" i="10"/>
  <c r="F10" i="10" l="1"/>
  <c r="G15" i="9"/>
  <c r="E33" i="9"/>
  <c r="I28" i="9"/>
  <c r="H28" i="9"/>
  <c r="G28" i="9"/>
  <c r="E28" i="9"/>
  <c r="L15" i="9"/>
  <c r="E15" i="9"/>
  <c r="E32" i="9" s="1"/>
  <c r="E32" i="8"/>
  <c r="L26" i="8"/>
  <c r="K26" i="8"/>
  <c r="I26" i="8"/>
  <c r="H26" i="8" s="1"/>
  <c r="G26" i="8"/>
  <c r="L19" i="8"/>
  <c r="G19" i="8"/>
  <c r="E19" i="8"/>
  <c r="K127" i="1"/>
  <c r="E133" i="1" l="1"/>
  <c r="O70" i="1"/>
  <c r="H69" i="1" l="1"/>
  <c r="J69" i="1" s="1"/>
  <c r="O69" i="1" s="1"/>
  <c r="E34" i="9" l="1"/>
  <c r="E31" i="8"/>
  <c r="E30" i="8"/>
  <c r="H47" i="1" l="1"/>
  <c r="J47" i="1" s="1"/>
  <c r="N47" i="1" s="1"/>
  <c r="O100" i="1"/>
  <c r="I17" i="8" l="1"/>
  <c r="K17" i="8" s="1"/>
  <c r="I16" i="8"/>
  <c r="K16" i="8" s="1"/>
  <c r="I15" i="8"/>
  <c r="K15" i="8" s="1"/>
  <c r="I18" i="8"/>
  <c r="K18" i="8" l="1"/>
  <c r="I13" i="8"/>
  <c r="K13" i="8" s="1"/>
  <c r="I12" i="8"/>
  <c r="K12" i="8" s="1"/>
  <c r="I11" i="8"/>
  <c r="K11" i="8" s="1"/>
  <c r="I9" i="8"/>
  <c r="K9" i="8" s="1"/>
  <c r="N28" i="9" l="1"/>
  <c r="N26" i="8"/>
  <c r="H7" i="10" l="1"/>
  <c r="H6" i="10"/>
  <c r="J7" i="10" l="1"/>
  <c r="J6" i="10"/>
  <c r="H104" i="1"/>
  <c r="H103" i="1"/>
  <c r="I23" i="9"/>
  <c r="K23" i="9" s="1"/>
  <c r="H100" i="1"/>
  <c r="H87" i="1"/>
  <c r="H49" i="1"/>
  <c r="H46" i="1"/>
  <c r="I11" i="9"/>
  <c r="K11" i="9" s="1"/>
  <c r="H37" i="1"/>
  <c r="J37" i="1" s="1"/>
  <c r="L37" i="1" s="1"/>
  <c r="O37" i="1" s="1"/>
  <c r="H36" i="1"/>
  <c r="H33" i="1"/>
  <c r="J33" i="1" s="1"/>
  <c r="L33" i="1" s="1"/>
  <c r="O33" i="1" s="1"/>
  <c r="H27" i="1"/>
  <c r="J27" i="1" s="1"/>
  <c r="L27" i="1" s="1"/>
  <c r="O27" i="1" s="1"/>
  <c r="H26" i="1"/>
  <c r="H22" i="1"/>
  <c r="J22" i="1" s="1"/>
  <c r="H21" i="1"/>
  <c r="H24" i="1"/>
  <c r="J26" i="1" l="1"/>
  <c r="J87" i="1"/>
  <c r="N87" i="1" s="1"/>
  <c r="O87" i="1" s="1"/>
  <c r="J100" i="1"/>
  <c r="J103" i="1"/>
  <c r="O103" i="1" s="1"/>
  <c r="J104" i="1"/>
  <c r="N104" i="1" s="1"/>
  <c r="O104" i="1" s="1"/>
  <c r="J49" i="1"/>
  <c r="J46" i="1"/>
  <c r="J21" i="1"/>
  <c r="J36" i="1"/>
  <c r="O23" i="9"/>
  <c r="P23" i="9" s="1"/>
  <c r="M11" i="9"/>
  <c r="P11" i="9" s="1"/>
  <c r="L22" i="1"/>
  <c r="O22" i="1" s="1"/>
  <c r="N49" i="1" l="1"/>
  <c r="O49" i="1" s="1"/>
  <c r="N46" i="1"/>
  <c r="O46" i="1" s="1"/>
  <c r="N36" i="1"/>
  <c r="O36" i="1" s="1"/>
  <c r="N26" i="1"/>
  <c r="O26" i="1" s="1"/>
  <c r="N21" i="1"/>
  <c r="O21" i="1" s="1"/>
  <c r="N10" i="10"/>
  <c r="N33" i="9" l="1"/>
  <c r="M10" i="10" l="1"/>
  <c r="N31" i="8"/>
  <c r="O14" i="1"/>
  <c r="O8" i="1"/>
  <c r="O7" i="1"/>
  <c r="O6" i="1"/>
  <c r="I26" i="9" l="1"/>
  <c r="K26" i="9" s="1"/>
  <c r="L26" i="9" s="1"/>
  <c r="M21" i="9"/>
  <c r="L32" i="9"/>
  <c r="L31" i="8"/>
  <c r="L30" i="8"/>
  <c r="L32" i="8" s="1"/>
  <c r="P21" i="9" l="1"/>
  <c r="M28" i="9"/>
  <c r="O26" i="9"/>
  <c r="P26" i="9" s="1"/>
  <c r="B8" i="6" l="1"/>
  <c r="B9" i="5" s="1"/>
  <c r="H73" i="1" l="1"/>
  <c r="J73" i="1" s="1"/>
  <c r="H114" i="1"/>
  <c r="J114" i="1" s="1"/>
  <c r="I25" i="9"/>
  <c r="K25" i="9" s="1"/>
  <c r="L25" i="9" s="1"/>
  <c r="H113" i="1"/>
  <c r="J113" i="1" s="1"/>
  <c r="H112" i="1"/>
  <c r="H111" i="1"/>
  <c r="H110" i="1"/>
  <c r="H109" i="1"/>
  <c r="H108" i="1"/>
  <c r="H68" i="1"/>
  <c r="J68" i="1" s="1"/>
  <c r="H65" i="1"/>
  <c r="H60" i="1"/>
  <c r="H59" i="1"/>
  <c r="I14" i="9"/>
  <c r="K14" i="9" s="1"/>
  <c r="H105" i="1"/>
  <c r="H43" i="1"/>
  <c r="I19" i="9"/>
  <c r="K19" i="9" s="1"/>
  <c r="O19" i="9" s="1"/>
  <c r="I6" i="9"/>
  <c r="I18" i="9"/>
  <c r="H82" i="1"/>
  <c r="O73" i="1" l="1"/>
  <c r="O14" i="9"/>
  <c r="P14" i="9" s="1"/>
  <c r="J111" i="1"/>
  <c r="O111" i="1" s="1"/>
  <c r="J109" i="1"/>
  <c r="N109" i="1" s="1"/>
  <c r="O109" i="1" s="1"/>
  <c r="J110" i="1"/>
  <c r="N110" i="1" s="1"/>
  <c r="O110" i="1" s="1"/>
  <c r="J105" i="1"/>
  <c r="N105" i="1" s="1"/>
  <c r="O105" i="1" s="1"/>
  <c r="J108" i="1"/>
  <c r="N108" i="1" s="1"/>
  <c r="O108" i="1" s="1"/>
  <c r="J112" i="1"/>
  <c r="N112" i="1" s="1"/>
  <c r="O112" i="1" s="1"/>
  <c r="J60" i="1"/>
  <c r="O60" i="1" s="1"/>
  <c r="J59" i="1"/>
  <c r="J65" i="1"/>
  <c r="O65" i="1" s="1"/>
  <c r="O61" i="1"/>
  <c r="J43" i="1"/>
  <c r="O113" i="1"/>
  <c r="M114" i="1"/>
  <c r="O114" i="1" s="1"/>
  <c r="M68" i="1"/>
  <c r="O68" i="1" s="1"/>
  <c r="P19" i="9"/>
  <c r="O25" i="9"/>
  <c r="P25" i="9" s="1"/>
  <c r="K6" i="9"/>
  <c r="K18" i="9"/>
  <c r="N43" i="1" l="1"/>
  <c r="O43" i="1" s="1"/>
  <c r="O59" i="1"/>
  <c r="N6" i="9"/>
  <c r="H9" i="10"/>
  <c r="J9" i="10" s="1"/>
  <c r="N9" i="10" s="1"/>
  <c r="H8" i="10"/>
  <c r="H10" i="10" s="1"/>
  <c r="B16" i="6"/>
  <c r="I27" i="9"/>
  <c r="K27" i="9" s="1"/>
  <c r="K28" i="9" s="1"/>
  <c r="I24" i="9"/>
  <c r="I22" i="9"/>
  <c r="K22" i="9" s="1"/>
  <c r="I20" i="9"/>
  <c r="B7" i="6"/>
  <c r="I13" i="9"/>
  <c r="K13" i="9" s="1"/>
  <c r="P13" i="9" s="1"/>
  <c r="I12" i="9"/>
  <c r="K12" i="9" s="1"/>
  <c r="O12" i="9" s="1"/>
  <c r="P12" i="9" s="1"/>
  <c r="I10" i="9"/>
  <c r="I9" i="9"/>
  <c r="K9" i="9" s="1"/>
  <c r="M9" i="9" s="1"/>
  <c r="P9" i="9" s="1"/>
  <c r="I8" i="9"/>
  <c r="K8" i="9" s="1"/>
  <c r="M8" i="9" s="1"/>
  <c r="I7" i="9"/>
  <c r="I6" i="8"/>
  <c r="I7" i="8"/>
  <c r="I19" i="8" s="1"/>
  <c r="H19" i="8" s="1"/>
  <c r="I8" i="8"/>
  <c r="K8" i="8" s="1"/>
  <c r="I10" i="8"/>
  <c r="K10" i="8" s="1"/>
  <c r="I14" i="8"/>
  <c r="K14" i="8" s="1"/>
  <c r="O14" i="8" s="1"/>
  <c r="I25" i="8"/>
  <c r="K25" i="8" s="1"/>
  <c r="O25" i="8" s="1"/>
  <c r="P25" i="8" s="1"/>
  <c r="I24" i="8"/>
  <c r="K24" i="8" s="1"/>
  <c r="I23" i="8"/>
  <c r="K23" i="8" s="1"/>
  <c r="I22" i="8"/>
  <c r="B6" i="6"/>
  <c r="B7" i="5" s="1"/>
  <c r="H44" i="1"/>
  <c r="H45" i="1"/>
  <c r="J45" i="1" s="1"/>
  <c r="M45" i="1" s="1"/>
  <c r="O45" i="1" s="1"/>
  <c r="H48" i="1"/>
  <c r="H118" i="1"/>
  <c r="H119" i="1"/>
  <c r="H120" i="1"/>
  <c r="H121" i="1"/>
  <c r="H122" i="1"/>
  <c r="H123" i="1"/>
  <c r="H117" i="1"/>
  <c r="H107" i="1"/>
  <c r="J107" i="1" s="1"/>
  <c r="H102" i="1"/>
  <c r="J102" i="1" s="1"/>
  <c r="H96" i="1"/>
  <c r="J96" i="1" s="1"/>
  <c r="H97" i="1"/>
  <c r="H98" i="1"/>
  <c r="H99" i="1"/>
  <c r="J99" i="1" s="1"/>
  <c r="M99" i="1" s="1"/>
  <c r="H101" i="1"/>
  <c r="J101" i="1" s="1"/>
  <c r="H88" i="1"/>
  <c r="J88" i="1" s="1"/>
  <c r="M88" i="1" s="1"/>
  <c r="H89" i="1"/>
  <c r="H90" i="1"/>
  <c r="J90" i="1" s="1"/>
  <c r="M90" i="1" s="1"/>
  <c r="O90" i="1" s="1"/>
  <c r="H91" i="1"/>
  <c r="J91" i="1" s="1"/>
  <c r="H92" i="1"/>
  <c r="H93" i="1"/>
  <c r="H94" i="1"/>
  <c r="H86" i="1"/>
  <c r="J86" i="1" s="1"/>
  <c r="L86" i="1" s="1"/>
  <c r="O86" i="1" s="1"/>
  <c r="H71" i="1"/>
  <c r="H55" i="1"/>
  <c r="J55" i="1" s="1"/>
  <c r="M55" i="1" s="1"/>
  <c r="O55" i="1" s="1"/>
  <c r="H54" i="1"/>
  <c r="J54" i="1" s="1"/>
  <c r="M54" i="1" s="1"/>
  <c r="O54" i="1" s="1"/>
  <c r="H53" i="1"/>
  <c r="J53" i="1" s="1"/>
  <c r="M53" i="1" s="1"/>
  <c r="O53" i="1" s="1"/>
  <c r="H52" i="1"/>
  <c r="H51" i="1"/>
  <c r="H42" i="1"/>
  <c r="H40" i="1"/>
  <c r="J40" i="1" s="1"/>
  <c r="M40" i="1" s="1"/>
  <c r="H39" i="1"/>
  <c r="H38" i="1"/>
  <c r="H34" i="1"/>
  <c r="J34" i="1" s="1"/>
  <c r="L34" i="1" s="1"/>
  <c r="O34" i="1" s="1"/>
  <c r="H32" i="1"/>
  <c r="H31" i="1"/>
  <c r="J24" i="1"/>
  <c r="N24" i="1" s="1"/>
  <c r="H28" i="1"/>
  <c r="J28" i="1" s="1"/>
  <c r="M28" i="1" s="1"/>
  <c r="H29" i="1"/>
  <c r="H30" i="1"/>
  <c r="J30" i="1" s="1"/>
  <c r="M30" i="1" s="1"/>
  <c r="O30" i="1" s="1"/>
  <c r="H23" i="1"/>
  <c r="J23" i="1" s="1"/>
  <c r="H20" i="1"/>
  <c r="H19" i="1"/>
  <c r="H18" i="1"/>
  <c r="K10" i="9" l="1"/>
  <c r="I15" i="9"/>
  <c r="K22" i="8"/>
  <c r="K6" i="8"/>
  <c r="K7" i="8"/>
  <c r="K19" i="8" s="1"/>
  <c r="J94" i="1"/>
  <c r="N94" i="1" s="1"/>
  <c r="O94" i="1" s="1"/>
  <c r="J93" i="1"/>
  <c r="N93" i="1" s="1"/>
  <c r="O93" i="1" s="1"/>
  <c r="J98" i="1"/>
  <c r="N98" i="1" s="1"/>
  <c r="O98" i="1" s="1"/>
  <c r="K132" i="1"/>
  <c r="J92" i="1"/>
  <c r="N92" i="1" s="1"/>
  <c r="O92" i="1" s="1"/>
  <c r="J97" i="1"/>
  <c r="N97" i="1" s="1"/>
  <c r="O97" i="1" s="1"/>
  <c r="J89" i="1"/>
  <c r="N89" i="1" s="1"/>
  <c r="O89" i="1" s="1"/>
  <c r="J31" i="1"/>
  <c r="J39" i="1"/>
  <c r="J20" i="1"/>
  <c r="O47" i="1"/>
  <c r="J38" i="1"/>
  <c r="J44" i="1"/>
  <c r="J29" i="1"/>
  <c r="J32" i="1"/>
  <c r="J48" i="1"/>
  <c r="J42" i="1"/>
  <c r="J51" i="1"/>
  <c r="J18" i="1"/>
  <c r="J19" i="1"/>
  <c r="J52" i="1"/>
  <c r="J71" i="1"/>
  <c r="J117" i="1"/>
  <c r="O117" i="1" s="1"/>
  <c r="J120" i="1"/>
  <c r="N120" i="1" s="1"/>
  <c r="O120" i="1" s="1"/>
  <c r="J119" i="1"/>
  <c r="O119" i="1" s="1"/>
  <c r="J121" i="1"/>
  <c r="O121" i="1" s="1"/>
  <c r="K20" i="9"/>
  <c r="K24" i="9"/>
  <c r="P24" i="9" s="1"/>
  <c r="B8" i="5"/>
  <c r="N15" i="9"/>
  <c r="N32" i="9" s="1"/>
  <c r="O28" i="1"/>
  <c r="P6" i="9"/>
  <c r="P8" i="9"/>
  <c r="O9" i="10"/>
  <c r="J8" i="10"/>
  <c r="M101" i="1"/>
  <c r="O101" i="1" s="1"/>
  <c r="M96" i="1"/>
  <c r="O96" i="1" s="1"/>
  <c r="M107" i="1"/>
  <c r="O107" i="1" s="1"/>
  <c r="M102" i="1"/>
  <c r="O102" i="1" s="1"/>
  <c r="O40" i="1"/>
  <c r="L23" i="1"/>
  <c r="O23" i="1" s="1"/>
  <c r="L91" i="1"/>
  <c r="O91" i="1" s="1"/>
  <c r="O99" i="1"/>
  <c r="M23" i="8"/>
  <c r="M26" i="8" s="1"/>
  <c r="O24" i="8"/>
  <c r="P24" i="8" s="1"/>
  <c r="O22" i="8"/>
  <c r="O22" i="9"/>
  <c r="K7" i="9"/>
  <c r="B18" i="6"/>
  <c r="H126" i="1"/>
  <c r="H125" i="1"/>
  <c r="H124" i="1"/>
  <c r="H84" i="1"/>
  <c r="H83" i="1"/>
  <c r="J82" i="1"/>
  <c r="H81" i="1"/>
  <c r="H80" i="1"/>
  <c r="H79" i="1"/>
  <c r="H72" i="1"/>
  <c r="H74" i="1"/>
  <c r="J74" i="1" s="1"/>
  <c r="H17" i="1"/>
  <c r="H16" i="1"/>
  <c r="H15" i="1"/>
  <c r="H14" i="1"/>
  <c r="H13" i="1"/>
  <c r="H12" i="1"/>
  <c r="H11" i="1"/>
  <c r="H9" i="1"/>
  <c r="L28" i="9" l="1"/>
  <c r="L33" i="9" s="1"/>
  <c r="L34" i="9" s="1"/>
  <c r="J10" i="10"/>
  <c r="F8" i="6" s="1"/>
  <c r="D9" i="5" s="1"/>
  <c r="N39" i="1"/>
  <c r="O39" i="1" s="1"/>
  <c r="N32" i="1"/>
  <c r="O32" i="1" s="1"/>
  <c r="N44" i="1"/>
  <c r="O44" i="1" s="1"/>
  <c r="N19" i="1"/>
  <c r="O19" i="1" s="1"/>
  <c r="N38" i="1"/>
  <c r="O38" i="1" s="1"/>
  <c r="N31" i="1"/>
  <c r="O31" i="1" s="1"/>
  <c r="N29" i="1"/>
  <c r="O29" i="1" s="1"/>
  <c r="N52" i="1"/>
  <c r="O52" i="1" s="1"/>
  <c r="N18" i="1"/>
  <c r="O18" i="1" s="1"/>
  <c r="N42" i="1"/>
  <c r="O42" i="1" s="1"/>
  <c r="N51" i="1"/>
  <c r="O51" i="1" s="1"/>
  <c r="N20" i="1"/>
  <c r="O20" i="1" s="1"/>
  <c r="H15" i="9"/>
  <c r="H32" i="9" s="1"/>
  <c r="C7" i="6" s="1"/>
  <c r="I32" i="9"/>
  <c r="I34" i="9" s="1"/>
  <c r="M10" i="9"/>
  <c r="K15" i="9"/>
  <c r="J15" i="9" s="1"/>
  <c r="G131" i="1"/>
  <c r="C5" i="6" s="1"/>
  <c r="H127" i="1"/>
  <c r="G127" i="1" s="1"/>
  <c r="O24" i="1"/>
  <c r="J19" i="8"/>
  <c r="J26" i="8"/>
  <c r="J31" i="8" s="1"/>
  <c r="E15" i="6" s="1"/>
  <c r="H33" i="9"/>
  <c r="O20" i="9"/>
  <c r="P20" i="9" s="1"/>
  <c r="O71" i="1"/>
  <c r="K48" i="1"/>
  <c r="M127" i="1"/>
  <c r="M132" i="1" s="1"/>
  <c r="D36" i="6" s="1"/>
  <c r="M6" i="8"/>
  <c r="M19" i="8" s="1"/>
  <c r="M30" i="8" s="1"/>
  <c r="O26" i="8"/>
  <c r="O31" i="8" s="1"/>
  <c r="O19" i="8"/>
  <c r="O30" i="8" s="1"/>
  <c r="P14" i="8"/>
  <c r="P27" i="9"/>
  <c r="K30" i="8"/>
  <c r="N7" i="8"/>
  <c r="J17" i="1"/>
  <c r="O17" i="1" s="1"/>
  <c r="J14" i="1"/>
  <c r="J12" i="1"/>
  <c r="J16" i="1"/>
  <c r="O16" i="1" s="1"/>
  <c r="J13" i="1"/>
  <c r="L13" i="1" s="1"/>
  <c r="O13" i="1" s="1"/>
  <c r="J11" i="1"/>
  <c r="L11" i="1" s="1"/>
  <c r="J15" i="1"/>
  <c r="N15" i="1" s="1"/>
  <c r="O15" i="1" s="1"/>
  <c r="J72" i="1"/>
  <c r="J81" i="1"/>
  <c r="N81" i="1" s="1"/>
  <c r="J83" i="1"/>
  <c r="N83" i="1" s="1"/>
  <c r="O83" i="1" s="1"/>
  <c r="J126" i="1"/>
  <c r="O126" i="1" s="1"/>
  <c r="J124" i="1"/>
  <c r="O124" i="1" s="1"/>
  <c r="J80" i="1"/>
  <c r="L80" i="1" s="1"/>
  <c r="O80" i="1" s="1"/>
  <c r="J84" i="1"/>
  <c r="N84" i="1" s="1"/>
  <c r="O84" i="1" s="1"/>
  <c r="B5" i="6"/>
  <c r="O7" i="9"/>
  <c r="O15" i="9" s="1"/>
  <c r="O32" i="9" s="1"/>
  <c r="L8" i="10"/>
  <c r="L10" i="10" s="1"/>
  <c r="N34" i="9"/>
  <c r="J125" i="1"/>
  <c r="O125" i="1" s="1"/>
  <c r="N82" i="1"/>
  <c r="O82" i="1" s="1"/>
  <c r="P23" i="8"/>
  <c r="M31" i="8"/>
  <c r="P22" i="8"/>
  <c r="M131" i="1"/>
  <c r="O88" i="1"/>
  <c r="P22" i="9"/>
  <c r="I31" i="8"/>
  <c r="D15" i="6" s="1"/>
  <c r="H31" i="8"/>
  <c r="K31" i="8"/>
  <c r="F15" i="6" s="1"/>
  <c r="D8" i="6"/>
  <c r="C9" i="5" s="1"/>
  <c r="G10" i="10"/>
  <c r="C8" i="6" s="1"/>
  <c r="I33" i="9"/>
  <c r="D16" i="6" s="1"/>
  <c r="B24" i="6"/>
  <c r="B25" i="6" s="1"/>
  <c r="J9" i="1"/>
  <c r="J79" i="1"/>
  <c r="I10" i="10" l="1"/>
  <c r="E8" i="6" s="1"/>
  <c r="D7" i="6"/>
  <c r="F6" i="6"/>
  <c r="K32" i="8"/>
  <c r="N48" i="1"/>
  <c r="P10" i="9"/>
  <c r="M15" i="9"/>
  <c r="M32" i="9" s="1"/>
  <c r="B6" i="5"/>
  <c r="B10" i="5" s="1"/>
  <c r="B9" i="6"/>
  <c r="K131" i="1"/>
  <c r="K133" i="1" s="1"/>
  <c r="O8" i="10"/>
  <c r="O10" i="10" s="1"/>
  <c r="O48" i="1"/>
  <c r="C15" i="6"/>
  <c r="O28" i="9"/>
  <c r="O33" i="9" s="1"/>
  <c r="P6" i="8"/>
  <c r="O81" i="1"/>
  <c r="N19" i="8"/>
  <c r="N30" i="8" s="1"/>
  <c r="N32" i="8" s="1"/>
  <c r="P7" i="8"/>
  <c r="C16" i="6"/>
  <c r="P7" i="9"/>
  <c r="P15" i="9" s="1"/>
  <c r="P32" i="9" s="1"/>
  <c r="P28" i="9"/>
  <c r="P33" i="9" s="1"/>
  <c r="O32" i="8"/>
  <c r="P26" i="8"/>
  <c r="P31" i="8" s="1"/>
  <c r="M32" i="8"/>
  <c r="M133" i="1"/>
  <c r="O11" i="1"/>
  <c r="O12" i="1"/>
  <c r="L79" i="1"/>
  <c r="L127" i="1" s="1"/>
  <c r="L132" i="1" s="1"/>
  <c r="D7" i="5"/>
  <c r="F7" i="5" s="1"/>
  <c r="J33" i="9"/>
  <c r="E16" i="6" s="1"/>
  <c r="C8" i="5"/>
  <c r="L9" i="1"/>
  <c r="K33" i="9"/>
  <c r="F16" i="6" s="1"/>
  <c r="H131" i="1"/>
  <c r="O72" i="1" l="1"/>
  <c r="D5" i="6"/>
  <c r="N131" i="1"/>
  <c r="E35" i="6" s="1"/>
  <c r="J131" i="1"/>
  <c r="D35" i="6"/>
  <c r="D37" i="6" s="1"/>
  <c r="P19" i="8"/>
  <c r="P30" i="8" s="1"/>
  <c r="P32" i="8" s="1"/>
  <c r="H34" i="9"/>
  <c r="O79" i="1"/>
  <c r="B23" i="6"/>
  <c r="P34" i="9"/>
  <c r="M33" i="9"/>
  <c r="O34" i="9"/>
  <c r="L131" i="1"/>
  <c r="L133" i="1" s="1"/>
  <c r="O9" i="1"/>
  <c r="I131" i="1"/>
  <c r="E5" i="6" s="1"/>
  <c r="F5" i="6" l="1"/>
  <c r="C35" i="6"/>
  <c r="M34" i="9"/>
  <c r="J118" i="1"/>
  <c r="J122" i="1"/>
  <c r="O122" i="1" s="1"/>
  <c r="J123" i="1"/>
  <c r="O123" i="1" s="1"/>
  <c r="J127" i="1" l="1"/>
  <c r="I127" i="1" s="1"/>
  <c r="I132" i="1" s="1"/>
  <c r="E14" i="6" s="1"/>
  <c r="N127" i="1"/>
  <c r="F35" i="6"/>
  <c r="H132" i="1"/>
  <c r="G132" i="1"/>
  <c r="D14" i="6" l="1"/>
  <c r="C14" i="6" s="1"/>
  <c r="H133" i="1"/>
  <c r="G133" i="1" s="1"/>
  <c r="N132" i="1"/>
  <c r="O118" i="1"/>
  <c r="O127" i="1" s="1"/>
  <c r="C36" i="6"/>
  <c r="J132" i="1"/>
  <c r="F14" i="6" l="1"/>
  <c r="D6" i="5" s="1"/>
  <c r="J133" i="1"/>
  <c r="I133" i="1" s="1"/>
  <c r="E36" i="6"/>
  <c r="E37" i="6" s="1"/>
  <c r="N133" i="1"/>
  <c r="O132" i="1"/>
  <c r="O133" i="1" s="1"/>
  <c r="C37" i="6"/>
  <c r="C6" i="5"/>
  <c r="D18" i="6"/>
  <c r="F18" i="6" l="1"/>
  <c r="F24" i="6" s="1"/>
  <c r="F36" i="6"/>
  <c r="F37" i="6" s="1"/>
  <c r="C18" i="6"/>
  <c r="D24" i="6"/>
  <c r="K32" i="9"/>
  <c r="J32" i="9"/>
  <c r="E7" i="6" s="1"/>
  <c r="E18" i="6" l="1"/>
  <c r="E24" i="6" s="1"/>
  <c r="C24" i="6"/>
  <c r="K34" i="9"/>
  <c r="F7" i="6"/>
  <c r="J34" i="9" l="1"/>
  <c r="D8" i="5"/>
  <c r="F9" i="6"/>
  <c r="F23" i="6" l="1"/>
  <c r="F25" i="6" s="1"/>
  <c r="F8" i="5"/>
  <c r="F10" i="5" s="1"/>
  <c r="F12" i="5" s="1"/>
  <c r="D10" i="5"/>
  <c r="C30" i="6" l="1"/>
  <c r="C31" i="6" s="1"/>
  <c r="H30" i="8"/>
  <c r="C6" i="6" s="1"/>
  <c r="J30" i="8"/>
  <c r="E6" i="6" s="1"/>
  <c r="I30" i="8"/>
  <c r="I32" i="8" s="1"/>
  <c r="D6" i="6" l="1"/>
  <c r="D9" i="6" s="1"/>
  <c r="D23" i="6" s="1"/>
  <c r="D25" i="6" s="1"/>
  <c r="C7" i="5"/>
  <c r="C10" i="5" s="1"/>
  <c r="H32" i="8"/>
  <c r="J32" i="8"/>
  <c r="C25" i="6" l="1"/>
  <c r="B30" i="6"/>
  <c r="E25" i="6"/>
  <c r="E9" i="6"/>
  <c r="E23" i="6" s="1"/>
  <c r="B31" i="6"/>
  <c r="C23" i="6" l="1"/>
</calcChain>
</file>

<file path=xl/sharedStrings.xml><?xml version="1.0" encoding="utf-8"?>
<sst xmlns="http://schemas.openxmlformats.org/spreadsheetml/2006/main" count="845" uniqueCount="390">
  <si>
    <t>Appendix W - FNS Food Distribution Programs Burden Hour Estimates</t>
  </si>
  <si>
    <t>AFFECTED PUBLIC:  STATE, LOCAL, AND TRIBAL GOVERNMENTS</t>
  </si>
  <si>
    <t>Sec. of Regs/Authority</t>
  </si>
  <si>
    <t>Prior citation</t>
  </si>
  <si>
    <t>Title</t>
  </si>
  <si>
    <t>Form No.</t>
  </si>
  <si>
    <t>Est. No. of Respondents</t>
  </si>
  <si>
    <t>Respondent Group</t>
  </si>
  <si>
    <t>Est. No. of Responses per Respondent</t>
  </si>
  <si>
    <t>Total Annual Responses 
[(d) X (e)]</t>
  </si>
  <si>
    <t>Est. Total Hours per Response</t>
  </si>
  <si>
    <t>Est. Total Burden
[(f) X (g)]</t>
  </si>
  <si>
    <t>Currently Approved Burden</t>
  </si>
  <si>
    <t>Program Change due to rulemaking</t>
  </si>
  <si>
    <t>Previously Omitted</t>
  </si>
  <si>
    <t>Adjustment</t>
  </si>
  <si>
    <t>Net Change</t>
  </si>
  <si>
    <t>Notes</t>
  </si>
  <si>
    <t>Cash in Lieu of Donated Foods for Nonresidential Child and Adult Care Institutions</t>
  </si>
  <si>
    <t>FNS-44</t>
  </si>
  <si>
    <t>Reporting burden contained in OMB #0584-0594, recordkeeping burden below</t>
  </si>
  <si>
    <t>N/A</t>
  </si>
  <si>
    <t>Cash in Lieu of Donated Foods for Commodity Schools</t>
  </si>
  <si>
    <t>FNS-10</t>
  </si>
  <si>
    <t>Funds for SAs That Have Phased Out Facilities</t>
  </si>
  <si>
    <t xml:space="preserve">247.4(a)(2) &amp; (b) &amp; (c) </t>
  </si>
  <si>
    <t>State/Local Agreements</t>
  </si>
  <si>
    <t>CSFP State Agency</t>
  </si>
  <si>
    <t>247.5(b)(16)</t>
  </si>
  <si>
    <t>New with final rulemaking (RIN 0584-AE92)
https://www.reginfo.gov/public/do/eAgendaViewRule?pubId=202204&amp;RIN=0584-AE92</t>
  </si>
  <si>
    <t>Public Posting of Availability of USDA Foods</t>
  </si>
  <si>
    <t>247.6(a)-(c)</t>
  </si>
  <si>
    <t>State Plan</t>
  </si>
  <si>
    <t>247.6(d)</t>
  </si>
  <si>
    <t>State Plan Amendments</t>
  </si>
  <si>
    <t>247.7(a)</t>
  </si>
  <si>
    <t>Applications of Recipient Agencies</t>
  </si>
  <si>
    <t>247.19(a)</t>
  </si>
  <si>
    <t>Agreement to Prevent Dual Participation</t>
  </si>
  <si>
    <t>247.23(b)</t>
  </si>
  <si>
    <t>State Provision of Administrative Funds</t>
  </si>
  <si>
    <t>Closeout Procedures</t>
  </si>
  <si>
    <t xml:space="preserve">SF-425
</t>
  </si>
  <si>
    <t>247.29(a) &amp; (b)(2)(ii)</t>
  </si>
  <si>
    <t>Receipt, Disposal, and Inventory of Donated Foods</t>
  </si>
  <si>
    <t>FNS-153</t>
  </si>
  <si>
    <t>247.31(c)</t>
  </si>
  <si>
    <t>Audit Responses</t>
  </si>
  <si>
    <t>Management Reviews</t>
  </si>
  <si>
    <t xml:space="preserve">250.1(c) </t>
  </si>
  <si>
    <t>Notification of Suspected Embezzlement, Misuse, Theft, etc.</t>
  </si>
  <si>
    <t>State Agencies</t>
  </si>
  <si>
    <t xml:space="preserve">250.4(c) </t>
  </si>
  <si>
    <t>Child Nutrition Program Recipient Agency Agreements</t>
  </si>
  <si>
    <t>SFAs</t>
  </si>
  <si>
    <t>250.10(a) &amp; 250.58(a)</t>
  </si>
  <si>
    <t>Child Nutrition Program Recipient Agency Input for Availability of Donated Foods</t>
  </si>
  <si>
    <t>250.10(b)</t>
  </si>
  <si>
    <t>Distributing Agency Provision of Donated Foods Information to Recipient Agencies</t>
  </si>
  <si>
    <t>250.11(a)</t>
  </si>
  <si>
    <t>Destination Data for Delivery of Donated Foods</t>
  </si>
  <si>
    <t>FNS-7</t>
  </si>
  <si>
    <t>250.11(b)</t>
  </si>
  <si>
    <t>Receipt of Shipments</t>
  </si>
  <si>
    <t>FNS-57</t>
  </si>
  <si>
    <t>Distributing Agency</t>
  </si>
  <si>
    <t>Recipient Agency</t>
  </si>
  <si>
    <t>250.12(b)</t>
  </si>
  <si>
    <t>Distributing Agency Reporting of Donated Food Losses to FNS</t>
  </si>
  <si>
    <t xml:space="preserve">250.12(c) </t>
  </si>
  <si>
    <t>Distributing Agency Request to Maintain Excess Inventories</t>
  </si>
  <si>
    <t>250.12(e)</t>
  </si>
  <si>
    <t>Distribution Agency Request for FNS Approval to Transfer Donated Foods from One Program to Another</t>
  </si>
  <si>
    <t>250.13(c) &amp; 250.18(d)</t>
  </si>
  <si>
    <t>Distributing Agency Storage and Distribution Charges</t>
  </si>
  <si>
    <t>250.13(d)</t>
  </si>
  <si>
    <t>Distributing Agency Justification of Cost of Storage and Distribution System</t>
  </si>
  <si>
    <t>CN State Agency</t>
  </si>
  <si>
    <t xml:space="preserve">250.14(c) </t>
  </si>
  <si>
    <t>Child Nutrition Programs and Charitable Institutions Recipient Agency Reporting of Donated Food Losses</t>
  </si>
  <si>
    <t>CN</t>
  </si>
  <si>
    <t>250.14(d)</t>
  </si>
  <si>
    <t>Distributing Agency Request for FNS Approval for Recipient Agencie's Transfers of Donated Foods</t>
  </si>
  <si>
    <t xml:space="preserve">250.15(c) </t>
  </si>
  <si>
    <t>Distributing Agency Recall Response Reporting</t>
  </si>
  <si>
    <t>Child Nutrition Program Recipient Agency Recall Response Reporting</t>
  </si>
  <si>
    <t>250.15(d)</t>
  </si>
  <si>
    <t>Distributing Agency Reporting of Complaints to FNS</t>
  </si>
  <si>
    <t>250.17(a)</t>
  </si>
  <si>
    <t>Excess Operating Funds Justification</t>
  </si>
  <si>
    <t xml:space="preserve">250.17(c) </t>
  </si>
  <si>
    <t>Donated Food Account Deposits and Expenditures</t>
  </si>
  <si>
    <t>250.18(a)</t>
  </si>
  <si>
    <t>Commodity Inventory Reporting</t>
  </si>
  <si>
    <t>Food Distribution Program on Indian Reservations (FDPIR)</t>
  </si>
  <si>
    <t>FNS-152</t>
  </si>
  <si>
    <t>ITOs</t>
  </si>
  <si>
    <t>The Emergency Food Assistance Program (TEFAP) and Child Nutrition Programs</t>
  </si>
  <si>
    <t>FNS-155</t>
  </si>
  <si>
    <t>Distributing Agency's Management Evaluation System</t>
  </si>
  <si>
    <t>250.22(b)</t>
  </si>
  <si>
    <t>Corrective Action Plans</t>
  </si>
  <si>
    <t>250.36(b)</t>
  </si>
  <si>
    <t>Processing Refund Applications</t>
  </si>
  <si>
    <t>250.30(f)</t>
  </si>
  <si>
    <t>Recipient Agency Processing Agreement</t>
  </si>
  <si>
    <t>250.39(b)</t>
  </si>
  <si>
    <t>Processing Manual</t>
  </si>
  <si>
    <t xml:space="preserve">Contract Provisions Between RAs and  Food Service Management Companies  </t>
  </si>
  <si>
    <t>Ordering Donated Food</t>
  </si>
  <si>
    <t>Direct Delivery of Donated Food</t>
  </si>
  <si>
    <t>FNS-52</t>
  </si>
  <si>
    <t>Multi-Food Requisition</t>
  </si>
  <si>
    <t>FNS-53</t>
  </si>
  <si>
    <t>250.69(a) &amp; 250.70(a)</t>
  </si>
  <si>
    <t>Congregate Meals in a Disaster or Situation of Distress</t>
  </si>
  <si>
    <t>250.69(b) &amp; 250.70(b)</t>
  </si>
  <si>
    <t>Household Distribution in a Disaster or Situation of Distress</t>
  </si>
  <si>
    <t>250.69(a)-(b) &amp; 250.70(a)-(b)</t>
  </si>
  <si>
    <t xml:space="preserve">250.69(c) &amp; 250.70(c) </t>
  </si>
  <si>
    <t>Distributing Agency Submission of Emergency Feeding Organization Application to FNS for Disasters and Situations of Distress</t>
  </si>
  <si>
    <t xml:space="preserve">Citation updated due to final rule. </t>
  </si>
  <si>
    <t>250.69(d)(3) &amp;
250.70(d)(3)</t>
  </si>
  <si>
    <t>Disaster Household Distribution Bi-Weekly Report</t>
  </si>
  <si>
    <t>Increase in burden hours due to program change due to final rule.</t>
  </si>
  <si>
    <t>250.69(f)-(g) &amp; 250.70(f)-(g)</t>
  </si>
  <si>
    <t>Distributing Agency Report of Donated Foods Distributed for Disaster Relief and Request for Replacement Foods</t>
  </si>
  <si>
    <t>FNS-292</t>
  </si>
  <si>
    <t>Reporting burden contained in OMB #0584-0594, recordkeeping below.</t>
  </si>
  <si>
    <t>251.2(c)(1)</t>
  </si>
  <si>
    <t>TEFAP Federal-State Agreements</t>
  </si>
  <si>
    <t>FNS-74</t>
  </si>
  <si>
    <t>Reporting burden contained in OMB #0584-0067, recordkeeping below.</t>
  </si>
  <si>
    <t>251.4(g)</t>
  </si>
  <si>
    <t>Availability and Control of Commodities</t>
  </si>
  <si>
    <t>TEFAP State Agencies</t>
  </si>
  <si>
    <t>251.4(j)</t>
  </si>
  <si>
    <t>Inter-Agency Agreements</t>
  </si>
  <si>
    <t xml:space="preserve">Citation updated due to prior error. </t>
  </si>
  <si>
    <t>251.4(l)</t>
  </si>
  <si>
    <t>Commodity Losses and Claims Determinations</t>
  </si>
  <si>
    <t>Requirement for the Public Posting of Availability of USDA Foods Through TEFAP</t>
  </si>
  <si>
    <t>251.6(a)</t>
  </si>
  <si>
    <t>State Agency Distribution Plan</t>
  </si>
  <si>
    <t xml:space="preserve">251.6(b)  </t>
  </si>
  <si>
    <t>251.9(e) &amp; 251.10(b) (1)</t>
  </si>
  <si>
    <t>251.9(e) &amp; 251.10(d) (1)</t>
  </si>
  <si>
    <t xml:space="preserve">Report of State Administrative Cost Matching Requirements </t>
  </si>
  <si>
    <t>FNS-667</t>
  </si>
  <si>
    <t>251.10(b)(3)</t>
  </si>
  <si>
    <t>Report of Eligible Recipient Agency List to FNS</t>
  </si>
  <si>
    <t>FNS-929</t>
  </si>
  <si>
    <t>251.10(b)(4)</t>
  </si>
  <si>
    <t>Recipients of USDA Foods for Home Consumption</t>
  </si>
  <si>
    <t>FNS-930</t>
  </si>
  <si>
    <t>251.10(e)</t>
  </si>
  <si>
    <t>Monitoring Eligible Recipient Agencies and Distribution Sites</t>
  </si>
  <si>
    <t>251.13(g)</t>
  </si>
  <si>
    <t>251.10(j)(6)</t>
  </si>
  <si>
    <t>Reporting Requirements</t>
  </si>
  <si>
    <t>251.13(h)</t>
  </si>
  <si>
    <t>251.10(j)(7)</t>
  </si>
  <si>
    <t>Cooperative Agreements</t>
  </si>
  <si>
    <t>253.5(a) &amp; 254.3(a)</t>
  </si>
  <si>
    <t>Plans of Operation</t>
  </si>
  <si>
    <t>253.5(i) &amp; 254.3(a)</t>
  </si>
  <si>
    <t>Monitoring and Review of Program Operations</t>
  </si>
  <si>
    <t>253.7 &amp; 254.3(a)</t>
  </si>
  <si>
    <t>Certification of Households to Participate - State Agencies or ITOs</t>
  </si>
  <si>
    <t>253.8(f) &amp; 254.3(a)</t>
  </si>
  <si>
    <t>Damaged, or Out of Condition Commodities</t>
  </si>
  <si>
    <t>Administrative Waivers</t>
  </si>
  <si>
    <t>TOTAL REPORTING</t>
  </si>
  <si>
    <t xml:space="preserve">Form No. </t>
  </si>
  <si>
    <t>Est. No. of Recordkeepers</t>
  </si>
  <si>
    <t>Est. No. of Records per Recordkeeper</t>
  </si>
  <si>
    <t>Total Annual Records
[(d)X(e)]</t>
  </si>
  <si>
    <t>Est. Total Hours per Record</t>
  </si>
  <si>
    <t>Est. Total Burden
[(f)X(g)]</t>
  </si>
  <si>
    <t>State Agencies:  Cash in Lieu of Donated Foods for Nonresidential Child and Adult Care Institutions</t>
  </si>
  <si>
    <t>CN State Agencies</t>
  </si>
  <si>
    <t>Funds For States That Have Phased Out Food Distribution Facilities</t>
  </si>
  <si>
    <t>247.27(b)(4)</t>
  </si>
  <si>
    <t>Record of Use of Funds</t>
  </si>
  <si>
    <t>CSFP State Agencies</t>
  </si>
  <si>
    <t>247.28(b)</t>
  </si>
  <si>
    <t>Records of Receipt, Disposal &amp; Inventory of Donated Foods</t>
  </si>
  <si>
    <t>247.29(a)</t>
  </si>
  <si>
    <t>Records of Fair Hearing Proceedings</t>
  </si>
  <si>
    <t>Distributing Agency Records of Receipt of Shipments</t>
  </si>
  <si>
    <t>Recipient Agency Records of Receipt of Shipments (Child Nutrition Program)</t>
  </si>
  <si>
    <t>Distributing Agency Maintenance of Inventory Record of Donated Foods</t>
  </si>
  <si>
    <t>250.12(b) &amp; 250.21(b)(2)</t>
  </si>
  <si>
    <t>Storage Facility Reviews</t>
  </si>
  <si>
    <t>Distributing Agency Maintenance of Records of Transfers and Related Inspections</t>
  </si>
  <si>
    <t>250.13(b)</t>
  </si>
  <si>
    <t>Distributing Agency Maintenance of Records Related to Costs Incurred in Storing and Distributing Donated Foods, Related Administrative Costs, and Funds Used</t>
  </si>
  <si>
    <t xml:space="preserve">Distributing Agency Complaint Records </t>
  </si>
  <si>
    <t>Distributing Agency Operating Funds</t>
  </si>
  <si>
    <t>Distributing Agency Donated Food Account</t>
  </si>
  <si>
    <t>250.19(a)</t>
  </si>
  <si>
    <t>Recordkeeping of Agreements, Reports, and Other Records</t>
  </si>
  <si>
    <t>Commercial Entity Agreements (Storage Facilities, Carriers, Etc.)</t>
  </si>
  <si>
    <t>Commodity Offer Value Method</t>
  </si>
  <si>
    <t>Management Evaluation and Review Records</t>
  </si>
  <si>
    <t>Multi-State and In-State Processor Audits</t>
  </si>
  <si>
    <t>Recipient/Subdistributing Agency Agreements - Child Nutrition Program Recipient Agency Maintenance</t>
  </si>
  <si>
    <t>Recipient/Subdistributing Agency Agreements - Distributing Agency Maintenance</t>
  </si>
  <si>
    <t>Records Related to the Receipt, Distribution, and Inventory of Donated Foods - Distributing Agency Maintenance</t>
  </si>
  <si>
    <t xml:space="preserve">Records Related to the Receipt, Distribution, and Inventory of Donated Foods (Child Nutrition Programs) </t>
  </si>
  <si>
    <t>Revision made in response to comments.</t>
  </si>
  <si>
    <t>250.53 &amp; 250.54</t>
  </si>
  <si>
    <t xml:space="preserve">Recipient Agency Recordkeeping and Reviews of Food Service Management Companies  </t>
  </si>
  <si>
    <t>250.67(a)</t>
  </si>
  <si>
    <t>Agreements with Correctional Institutions</t>
  </si>
  <si>
    <t>250.69(d) &amp; 250.70(d)</t>
  </si>
  <si>
    <t>Records for Disasters and Situations of Distress</t>
  </si>
  <si>
    <t>Applications to Become Disaster Organizations and Related Records</t>
  </si>
  <si>
    <t xml:space="preserve">251.2(c)(1) </t>
  </si>
  <si>
    <t>Federal-State Agreements</t>
  </si>
  <si>
    <t>251.2(c)(2)</t>
  </si>
  <si>
    <t>TEFAP Eligible Recipient Agency (ERA) Agreements</t>
  </si>
  <si>
    <t>Documentation of Transfer of Section 32 Commodities</t>
  </si>
  <si>
    <t>251.4(l)(5)</t>
  </si>
  <si>
    <t>Claims and Adjustments</t>
  </si>
  <si>
    <t>251.10(a)(1)</t>
  </si>
  <si>
    <t>Receipt, Disposal, and Inventory of Commodities - Distributing Agency</t>
  </si>
  <si>
    <t>251.10(a) (2)</t>
  </si>
  <si>
    <t>251.10(a)(2)</t>
  </si>
  <si>
    <t>Funds Paid to ERAs for Storage and Distribution - Distributing Agency</t>
  </si>
  <si>
    <t>251.10(a)(3)</t>
  </si>
  <si>
    <t>Eligible Recipient Agency List</t>
  </si>
  <si>
    <t>253.5(h) &amp; 254.3(a)</t>
  </si>
  <si>
    <t>Recordkeeping of Reports:</t>
  </si>
  <si>
    <t>Household Applications</t>
  </si>
  <si>
    <t>Reporting Changes</t>
  </si>
  <si>
    <t>Disposal of Out of Condition Commodities</t>
  </si>
  <si>
    <t>ITO Applications</t>
  </si>
  <si>
    <t>SF-424</t>
  </si>
  <si>
    <t>Commodity Inventories</t>
  </si>
  <si>
    <t>Damaged or Out of Condition Commodities</t>
  </si>
  <si>
    <t>253.5(j) &amp; 254.3(a)</t>
  </si>
  <si>
    <t>Investigations and Complaints</t>
  </si>
  <si>
    <t>253.7(h) &amp; 254.3(a)</t>
  </si>
  <si>
    <t>Fair Hearings</t>
  </si>
  <si>
    <t>253.11(b) &amp; 254.3(a)</t>
  </si>
  <si>
    <t>Management of Administrative Funds</t>
  </si>
  <si>
    <t>SF-425</t>
  </si>
  <si>
    <t>TOTAL RECORDKEEPING</t>
  </si>
  <si>
    <t>No. of Responses per Respondent</t>
  </si>
  <si>
    <t>Total Annual Responses</t>
  </si>
  <si>
    <t xml:space="preserve">Est. Total Burden </t>
  </si>
  <si>
    <t>Reporting</t>
  </si>
  <si>
    <t>Recordkeeping</t>
  </si>
  <si>
    <t>TOTAL</t>
  </si>
  <si>
    <t>AFFECTED PUBLIC:  PRIVATE - FOR PROFIT</t>
  </si>
  <si>
    <t>Sec. of Regs/ Authority</t>
  </si>
  <si>
    <t>Prior Citation</t>
  </si>
  <si>
    <t>Unique No. of Respondents</t>
  </si>
  <si>
    <t>Commercial Consignee Receipt of Shipments</t>
  </si>
  <si>
    <t>Distributors</t>
  </si>
  <si>
    <t>250.12(f)</t>
  </si>
  <si>
    <t>Warehouses</t>
  </si>
  <si>
    <t>250.18(b) and       250.37(a)</t>
  </si>
  <si>
    <t>250.18(b)</t>
  </si>
  <si>
    <t xml:space="preserve">Processor Performance Reports </t>
  </si>
  <si>
    <t>Processors</t>
  </si>
  <si>
    <t>250.37(c)</t>
  </si>
  <si>
    <t>Summary Performance Report</t>
  </si>
  <si>
    <t xml:space="preserve">250.20(c) </t>
  </si>
  <si>
    <t>Multi-State and In-State Processors' Responses to CPA Audit Deficiencies</t>
  </si>
  <si>
    <t>250.33(a)</t>
  </si>
  <si>
    <t>End Product Data Schedules</t>
  </si>
  <si>
    <t>Substitution of Donated Foods</t>
  </si>
  <si>
    <t>250.35(d)</t>
  </si>
  <si>
    <t>Limitation on Donated Food Inventories</t>
  </si>
  <si>
    <t>250.30(c)</t>
  </si>
  <si>
    <t>250.30(c )</t>
  </si>
  <si>
    <t>National Processing Agreement</t>
  </si>
  <si>
    <t>250.30(d)</t>
  </si>
  <si>
    <t>State Participation Agreement</t>
  </si>
  <si>
    <t>250.30(e)</t>
  </si>
  <si>
    <t>In-State Processing Agreement</t>
  </si>
  <si>
    <t>250.30(i)</t>
  </si>
  <si>
    <t>Agreements Between Processors and Distributors</t>
  </si>
  <si>
    <t>Est. No. of Record keepers</t>
  </si>
  <si>
    <t>Est. No. of Records per Record keeper</t>
  </si>
  <si>
    <t>Private Institutions:  Cash In Lieu of Donated Foods for Nonresidential Child Care Institutions</t>
  </si>
  <si>
    <t>CACFP</t>
  </si>
  <si>
    <t>Commercial Consignee Records of Receipt of Shipments</t>
  </si>
  <si>
    <t>Multi-State and In-State Processor CPA Audits</t>
  </si>
  <si>
    <t>250.37(d)</t>
  </si>
  <si>
    <t>Records Related to Processors' Receipt, Distribution, and Inventory of Donated Foods</t>
  </si>
  <si>
    <t>AFFECTED PUBLIC:  PRIVATE - NOT FOR PROFIT</t>
  </si>
  <si>
    <t>250.4(b)</t>
  </si>
  <si>
    <t>Subdistributing Agency Agreements</t>
  </si>
  <si>
    <t>FB</t>
  </si>
  <si>
    <t>Household Recipient Agency Agreements</t>
  </si>
  <si>
    <t>Household Recipient Agency Input for Availability of Donated Foods</t>
  </si>
  <si>
    <t>ERA</t>
  </si>
  <si>
    <t>250.14(b) &amp; 250.15(b)</t>
  </si>
  <si>
    <t>Recipient Agency in Household Programs Reporting of Donated Food Losses</t>
  </si>
  <si>
    <t>Recipient Agency Request for Approval to Transfer Donated Foods</t>
  </si>
  <si>
    <t>Household Recipient Agency Recall Response Reporting</t>
  </si>
  <si>
    <t>Emergency Feeding Organization Application to State for Disasters and Situations of Distress</t>
  </si>
  <si>
    <t xml:space="preserve"> </t>
  </si>
  <si>
    <t>Removed</t>
  </si>
  <si>
    <t>Disaster Agency Reporting of Household Information</t>
  </si>
  <si>
    <t>Decrease in burden due to final rule.</t>
  </si>
  <si>
    <t>TEFAP Eligible Recipient Agency Agreements</t>
  </si>
  <si>
    <t>Records of Receipt, Disposal &amp; Inventory of Donated Foods (CSFP)</t>
  </si>
  <si>
    <t>CSFP RA</t>
  </si>
  <si>
    <t>247.30(d)(3)</t>
  </si>
  <si>
    <t>Records of Participant Claims</t>
  </si>
  <si>
    <t>250.14(b)</t>
  </si>
  <si>
    <t>Subdistributing and Recipient Agency Maintenance of Inventory Record of Donated Foods</t>
  </si>
  <si>
    <t>Commercial Entity Agreements</t>
  </si>
  <si>
    <t>Recipient/Subdistributing Agency Agreements (Households)</t>
  </si>
  <si>
    <t>Records Related to the Receipt, Distribution, and Inventory of Donated Foods (Households)</t>
  </si>
  <si>
    <t>Receipt, Disposal, and Inventory of Commodities - Subdistributing Agencies and ERAs</t>
  </si>
  <si>
    <t>Funds Paid to ERAs for Storage and Distribution - ERAs</t>
  </si>
  <si>
    <t>251.10(a)(4)</t>
  </si>
  <si>
    <t>Eligibility Determination and Collection of Participating Household Information</t>
  </si>
  <si>
    <t>AFFECTED PUBLIC:  INDIVIDUALS</t>
  </si>
  <si>
    <t>Respondent Type</t>
  </si>
  <si>
    <t>247.8 &amp; 247.16(a)</t>
  </si>
  <si>
    <t>Elderly</t>
  </si>
  <si>
    <t>Applications/Recertifications</t>
  </si>
  <si>
    <t>Women, infants and children</t>
  </si>
  <si>
    <t xml:space="preserve">250.69(d) &amp; 250.70(d) </t>
  </si>
  <si>
    <t>Households</t>
  </si>
  <si>
    <t>Household Information Reporting for Disasters and Situations of Distress</t>
  </si>
  <si>
    <t>Final rule removed this requirement.</t>
  </si>
  <si>
    <t>Certification of Household to Participate</t>
  </si>
  <si>
    <t xml:space="preserve">                                                         Appendix W - FNS Food Distribution Programs Burden Hour Estimates</t>
  </si>
  <si>
    <t>OMB #0584-0293 ANNUALIZED COST TO RESPONDENTS</t>
  </si>
  <si>
    <t>Affected Public</t>
  </si>
  <si>
    <t>Est. Total Burden</t>
  </si>
  <si>
    <t>Hourly Wage Rate</t>
  </si>
  <si>
    <t>Respondent Cost</t>
  </si>
  <si>
    <t>State, Local, and Tribal Governments</t>
  </si>
  <si>
    <t>Private For Profit</t>
  </si>
  <si>
    <t>Private Not for Profit</t>
  </si>
  <si>
    <t>Individual</t>
  </si>
  <si>
    <t xml:space="preserve">Fully Loaded Wages </t>
  </si>
  <si>
    <t>Total</t>
  </si>
  <si>
    <t>Appendix W - FNS FOOD DISTRIBUTION PROGRAMS BURDEN HOUR ESTIMATES</t>
  </si>
  <si>
    <t>Est. total Hours per Response</t>
  </si>
  <si>
    <t>Est. total Burden</t>
  </si>
  <si>
    <t>Total Burden Estimates</t>
  </si>
  <si>
    <t>Record Keeping</t>
  </si>
  <si>
    <t>Summary</t>
  </si>
  <si>
    <t>Burden Type</t>
  </si>
  <si>
    <t xml:space="preserve">TOTAL </t>
  </si>
  <si>
    <t>Responses</t>
  </si>
  <si>
    <t>Time Burden</t>
  </si>
  <si>
    <t>Current OMB Inventory</t>
  </si>
  <si>
    <t>Burden Revision Requested</t>
  </si>
  <si>
    <t>Difference</t>
  </si>
  <si>
    <t xml:space="preserve">                 APPENDIX W: Burden Table                                            </t>
  </si>
  <si>
    <t>Regulatory Section</t>
  </si>
  <si>
    <t>Information Collected</t>
  </si>
  <si>
    <t>Estimated Number of Respondents</t>
  </si>
  <si>
    <t>Annual Responses per Respondent</t>
  </si>
  <si>
    <t>Number of Burden Hours per Request</t>
  </si>
  <si>
    <t>Estimated Total Burden Hours</t>
  </si>
  <si>
    <t>Previous Submission: Total Hours per Person</t>
  </si>
  <si>
    <t>Difference Due to Program Changes</t>
  </si>
  <si>
    <t>REPORTING BURDEN ESTIMATES</t>
  </si>
  <si>
    <t>Affected Public:  State and Local Agencies (including Indian Tribal Organizations and U.S. Territories)</t>
  </si>
  <si>
    <t xml:space="preserve">Disaster Household Distribution Weekly Report </t>
  </si>
  <si>
    <t>Public Posting of Availability of USDA Foods (CSFP)</t>
  </si>
  <si>
    <t>Public Posting of Availability of TEFAP Foods</t>
  </si>
  <si>
    <t>Report of Eligible Recipient Agency List to FNS (TEFAP)</t>
  </si>
  <si>
    <t>Recipients of USDA Foods for Home Consumption (TEFAP)</t>
  </si>
  <si>
    <t>Administrative Waivers (FDPIR)</t>
  </si>
  <si>
    <r>
      <t xml:space="preserve">Subtotal </t>
    </r>
    <r>
      <rPr>
        <b/>
        <i/>
        <sz val="10"/>
        <color rgb="FF000000"/>
        <rFont val="Times New Roman"/>
        <family val="1"/>
      </rPr>
      <t>Record Keeping: State and Local Agencies</t>
    </r>
  </si>
  <si>
    <t>Affected Public:  Private Not for Profit</t>
  </si>
  <si>
    <t>250.69(d) and 250.70(d)</t>
  </si>
  <si>
    <r>
      <t xml:space="preserve">Subtotal </t>
    </r>
    <r>
      <rPr>
        <b/>
        <i/>
        <sz val="10"/>
        <color rgb="FF000000"/>
        <rFont val="Times New Roman"/>
        <family val="1"/>
      </rPr>
      <t>Record Keeping: Private Not for Profit</t>
    </r>
  </si>
  <si>
    <t>Affected Public:  Individuals</t>
  </si>
  <si>
    <r>
      <t xml:space="preserve">Subtotal </t>
    </r>
    <r>
      <rPr>
        <b/>
        <i/>
        <sz val="10"/>
        <color rgb="FF000000"/>
        <rFont val="Times New Roman"/>
        <family val="1"/>
      </rPr>
      <t>Record Keeping: Individuals</t>
    </r>
  </si>
  <si>
    <t>GRAND SUBTOTAL: REPORTING</t>
  </si>
  <si>
    <t>RECORDKEEPING BURDEN ESTIMATES</t>
  </si>
  <si>
    <t>Recordkeeping of Agreements, Reports, and Other Records (Records Related to the Receipt, Distribution, and Inventory of Donated Foods – Child Nutrition Programs Recipient Agencies)</t>
  </si>
  <si>
    <t>Eligible Recipient Agency List (TEFAP)</t>
  </si>
  <si>
    <t>Eligibility Determination and Collection of Participating Household Information (TEFAP)</t>
  </si>
  <si>
    <r>
      <t xml:space="preserve">Subtotal </t>
    </r>
    <r>
      <rPr>
        <b/>
        <i/>
        <sz val="10"/>
        <color rgb="FF000000"/>
        <rFont val="Times New Roman"/>
        <family val="1"/>
      </rPr>
      <t>Reporting: Private Not for Profit</t>
    </r>
  </si>
  <si>
    <t>GRAND SUBTOTAL: RECORDKEEPING</t>
  </si>
  <si>
    <t xml:space="preserve">GRAND TOTAL: REPORTING AND RECORDKEEPING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</si>
</sst>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#,##0.000000"/>
    <numFmt numFmtId="167" formatCode="#,##0.00\ [$€-1];[Red]\-#,##0.00\ [$€-1]"/>
  </numFmts>
  <fonts count="3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3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9">
    <xf numFmtId="0" fontId="0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7" fillId="0" borderId="0"/>
    <xf numFmtId="0" fontId="14" fillId="0" borderId="0"/>
    <xf numFmtId="0" fontId="14" fillId="0" borderId="0"/>
  </cellStyleXfs>
  <cellXfs count="53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3" fillId="0" borderId="1" xfId="0" applyFont="1" applyBorder="1"/>
    <xf numFmtId="0" fontId="6" fillId="0" borderId="4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right" vertical="top" wrapText="1"/>
    </xf>
    <xf numFmtId="4" fontId="6" fillId="0" borderId="2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wrapText="1"/>
    </xf>
    <xf numFmtId="4" fontId="6" fillId="0" borderId="1" xfId="0" applyNumberFormat="1" applyFont="1" applyBorder="1" applyAlignment="1">
      <alignment wrapText="1"/>
    </xf>
    <xf numFmtId="4" fontId="6" fillId="0" borderId="5" xfId="0" applyNumberFormat="1" applyFont="1" applyBorder="1" applyAlignment="1">
      <alignment vertical="top" wrapText="1"/>
    </xf>
    <xf numFmtId="4" fontId="2" fillId="0" borderId="0" xfId="0" applyNumberFormat="1" applyFont="1" applyAlignment="1">
      <alignment wrapText="1"/>
    </xf>
    <xf numFmtId="4" fontId="3" fillId="0" borderId="9" xfId="0" applyNumberFormat="1" applyFont="1" applyBorder="1" applyAlignment="1">
      <alignment wrapText="1"/>
    </xf>
    <xf numFmtId="3" fontId="6" fillId="0" borderId="1" xfId="0" applyNumberFormat="1" applyFont="1" applyBorder="1" applyAlignment="1">
      <alignment horizontal="right" vertical="top" wrapText="1"/>
    </xf>
    <xf numFmtId="3" fontId="1" fillId="0" borderId="0" xfId="0" applyNumberFormat="1" applyFont="1" applyAlignment="1">
      <alignment wrapText="1"/>
    </xf>
    <xf numFmtId="3" fontId="6" fillId="0" borderId="1" xfId="0" applyNumberFormat="1" applyFont="1" applyBorder="1" applyAlignment="1">
      <alignment wrapText="1"/>
    </xf>
    <xf numFmtId="3" fontId="2" fillId="0" borderId="0" xfId="0" applyNumberFormat="1" applyFont="1" applyAlignment="1">
      <alignment wrapText="1"/>
    </xf>
    <xf numFmtId="3" fontId="6" fillId="0" borderId="1" xfId="0" applyNumberFormat="1" applyFont="1" applyBorder="1" applyAlignment="1">
      <alignment vertical="top" wrapText="1"/>
    </xf>
    <xf numFmtId="3" fontId="6" fillId="0" borderId="5" xfId="0" applyNumberFormat="1" applyFont="1" applyBorder="1" applyAlignment="1">
      <alignment vertical="top" wrapText="1"/>
    </xf>
    <xf numFmtId="3" fontId="3" fillId="0" borderId="9" xfId="0" applyNumberFormat="1" applyFont="1" applyBorder="1" applyAlignment="1">
      <alignment wrapText="1"/>
    </xf>
    <xf numFmtId="3" fontId="6" fillId="0" borderId="4" xfId="0" applyNumberFormat="1" applyFont="1" applyBorder="1" applyAlignment="1">
      <alignment horizontal="right" vertical="top" wrapText="1"/>
    </xf>
    <xf numFmtId="0" fontId="2" fillId="0" borderId="15" xfId="0" applyFont="1" applyBorder="1" applyAlignment="1">
      <alignment wrapText="1"/>
    </xf>
    <xf numFmtId="3" fontId="4" fillId="0" borderId="15" xfId="0" applyNumberFormat="1" applyFont="1" applyBorder="1" applyAlignment="1">
      <alignment horizontal="right" wrapText="1"/>
    </xf>
    <xf numFmtId="4" fontId="4" fillId="0" borderId="15" xfId="0" applyNumberFormat="1" applyFont="1" applyBorder="1" applyAlignment="1">
      <alignment horizontal="right" wrapText="1"/>
    </xf>
    <xf numFmtId="4" fontId="4" fillId="0" borderId="15" xfId="0" applyNumberFormat="1" applyFont="1" applyBorder="1" applyAlignment="1">
      <alignment wrapText="1"/>
    </xf>
    <xf numFmtId="0" fontId="9" fillId="0" borderId="1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horizontal="center" vertical="center" wrapText="1"/>
    </xf>
    <xf numFmtId="4" fontId="9" fillId="0" borderId="16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wrapText="1"/>
    </xf>
    <xf numFmtId="4" fontId="3" fillId="0" borderId="5" xfId="0" applyNumberFormat="1" applyFont="1" applyBorder="1" applyAlignment="1">
      <alignment wrapText="1"/>
    </xf>
    <xf numFmtId="3" fontId="4" fillId="0" borderId="17" xfId="0" applyNumberFormat="1" applyFont="1" applyBorder="1" applyAlignment="1">
      <alignment horizontal="center" wrapText="1"/>
    </xf>
    <xf numFmtId="4" fontId="4" fillId="0" borderId="15" xfId="0" applyNumberFormat="1" applyFont="1" applyBorder="1" applyAlignment="1">
      <alignment horizontal="center" wrapText="1"/>
    </xf>
    <xf numFmtId="3" fontId="6" fillId="0" borderId="5" xfId="0" applyNumberFormat="1" applyFont="1" applyBorder="1" applyAlignment="1">
      <alignment horizontal="right" vertical="top" wrapText="1"/>
    </xf>
    <xf numFmtId="4" fontId="6" fillId="0" borderId="5" xfId="0" applyNumberFormat="1" applyFont="1" applyBorder="1" applyAlignment="1">
      <alignment horizontal="right" vertical="top" wrapText="1"/>
    </xf>
    <xf numFmtId="0" fontId="9" fillId="0" borderId="16" xfId="0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1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5" xfId="0" applyFont="1" applyBorder="1" applyAlignment="1">
      <alignment wrapText="1"/>
    </xf>
    <xf numFmtId="0" fontId="3" fillId="0" borderId="6" xfId="0" applyFont="1" applyBorder="1"/>
    <xf numFmtId="0" fontId="4" fillId="0" borderId="17" xfId="0" applyFont="1" applyBorder="1"/>
    <xf numFmtId="0" fontId="3" fillId="0" borderId="5" xfId="0" applyFont="1" applyBorder="1" applyAlignment="1">
      <alignment horizontal="left" wrapText="1"/>
    </xf>
    <xf numFmtId="0" fontId="4" fillId="0" borderId="5" xfId="0" applyFont="1" applyBorder="1"/>
    <xf numFmtId="0" fontId="4" fillId="0" borderId="6" xfId="0" applyFont="1" applyBorder="1"/>
    <xf numFmtId="3" fontId="3" fillId="0" borderId="5" xfId="0" applyNumberFormat="1" applyFont="1" applyBorder="1"/>
    <xf numFmtId="4" fontId="3" fillId="0" borderId="5" xfId="0" applyNumberFormat="1" applyFont="1" applyBorder="1"/>
    <xf numFmtId="4" fontId="3" fillId="0" borderId="6" xfId="0" applyNumberFormat="1" applyFont="1" applyBorder="1"/>
    <xf numFmtId="3" fontId="3" fillId="0" borderId="1" xfId="0" applyNumberFormat="1" applyFont="1" applyBorder="1"/>
    <xf numFmtId="4" fontId="3" fillId="0" borderId="1" xfId="0" applyNumberFormat="1" applyFont="1" applyBorder="1"/>
    <xf numFmtId="4" fontId="4" fillId="0" borderId="15" xfId="0" applyNumberFormat="1" applyFont="1" applyBorder="1"/>
    <xf numFmtId="4" fontId="4" fillId="2" borderId="15" xfId="0" applyNumberFormat="1" applyFont="1" applyFill="1" applyBorder="1"/>
    <xf numFmtId="4" fontId="4" fillId="0" borderId="16" xfId="0" applyNumberFormat="1" applyFont="1" applyBorder="1"/>
    <xf numFmtId="3" fontId="3" fillId="0" borderId="6" xfId="0" applyNumberFormat="1" applyFont="1" applyBorder="1"/>
    <xf numFmtId="2" fontId="3" fillId="0" borderId="6" xfId="0" applyNumberFormat="1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3" fontId="4" fillId="0" borderId="15" xfId="0" applyNumberFormat="1" applyFont="1" applyBorder="1"/>
    <xf numFmtId="8" fontId="3" fillId="0" borderId="1" xfId="0" applyNumberFormat="1" applyFont="1" applyBorder="1"/>
    <xf numFmtId="0" fontId="9" fillId="0" borderId="18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2" fontId="9" fillId="0" borderId="15" xfId="2" applyNumberFormat="1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4" fontId="4" fillId="0" borderId="18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4" fontId="6" fillId="0" borderId="26" xfId="0" applyNumberFormat="1" applyFont="1" applyBorder="1" applyAlignment="1">
      <alignment vertical="top" wrapText="1"/>
    </xf>
    <xf numFmtId="4" fontId="6" fillId="0" borderId="26" xfId="0" applyNumberFormat="1" applyFont="1" applyBorder="1" applyAlignment="1">
      <alignment horizontal="right" vertical="top" wrapText="1"/>
    </xf>
    <xf numFmtId="2" fontId="9" fillId="0" borderId="30" xfId="2" applyNumberFormat="1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top" wrapText="1"/>
    </xf>
    <xf numFmtId="4" fontId="6" fillId="0" borderId="2" xfId="0" applyNumberFormat="1" applyFont="1" applyBorder="1" applyAlignment="1">
      <alignment wrapText="1"/>
    </xf>
    <xf numFmtId="4" fontId="3" fillId="0" borderId="26" xfId="0" applyNumberFormat="1" applyFont="1" applyBorder="1" applyAlignment="1">
      <alignment wrapText="1"/>
    </xf>
    <xf numFmtId="4" fontId="3" fillId="0" borderId="29" xfId="0" applyNumberFormat="1" applyFont="1" applyBorder="1" applyAlignment="1">
      <alignment wrapText="1"/>
    </xf>
    <xf numFmtId="4" fontId="4" fillId="0" borderId="18" xfId="0" applyNumberFormat="1" applyFont="1" applyBorder="1" applyAlignment="1">
      <alignment horizontal="center" wrapText="1"/>
    </xf>
    <xf numFmtId="2" fontId="9" fillId="0" borderId="34" xfId="2" applyNumberFormat="1" applyFont="1" applyBorder="1" applyAlignment="1">
      <alignment horizontal="left" vertical="top" wrapText="1"/>
    </xf>
    <xf numFmtId="43" fontId="8" fillId="0" borderId="20" xfId="5" applyFont="1" applyBorder="1" applyAlignment="1">
      <alignment vertical="top"/>
    </xf>
    <xf numFmtId="43" fontId="8" fillId="0" borderId="19" xfId="5" applyFont="1" applyBorder="1" applyAlignment="1">
      <alignment vertical="top"/>
    </xf>
    <xf numFmtId="43" fontId="8" fillId="0" borderId="1" xfId="5" applyFont="1" applyBorder="1" applyAlignment="1">
      <alignment vertical="top"/>
    </xf>
    <xf numFmtId="0" fontId="8" fillId="0" borderId="23" xfId="0" applyFont="1" applyBorder="1" applyAlignment="1">
      <alignment vertical="top" wrapText="1"/>
    </xf>
    <xf numFmtId="43" fontId="8" fillId="0" borderId="22" xfId="5" applyFont="1" applyBorder="1"/>
    <xf numFmtId="43" fontId="8" fillId="0" borderId="1" xfId="5" applyFont="1" applyBorder="1"/>
    <xf numFmtId="0" fontId="8" fillId="0" borderId="23" xfId="0" applyFont="1" applyBorder="1" applyAlignment="1">
      <alignment wrapText="1"/>
    </xf>
    <xf numFmtId="2" fontId="9" fillId="0" borderId="17" xfId="2" applyNumberFormat="1" applyFont="1" applyBorder="1" applyAlignment="1">
      <alignment horizontal="left" vertical="top" wrapText="1"/>
    </xf>
    <xf numFmtId="43" fontId="15" fillId="0" borderId="17" xfId="0" applyNumberFormat="1" applyFont="1" applyBorder="1"/>
    <xf numFmtId="43" fontId="0" fillId="0" borderId="24" xfId="0" applyNumberFormat="1" applyBorder="1"/>
    <xf numFmtId="164" fontId="6" fillId="0" borderId="1" xfId="5" applyNumberFormat="1" applyFont="1" applyFill="1" applyBorder="1" applyAlignment="1">
      <alignment horizontal="right" vertical="top" wrapText="1"/>
    </xf>
    <xf numFmtId="0" fontId="8" fillId="0" borderId="21" xfId="0" applyFont="1" applyBorder="1" applyAlignment="1">
      <alignment vertical="top" wrapText="1"/>
    </xf>
    <xf numFmtId="43" fontId="8" fillId="0" borderId="41" xfId="5" applyFont="1" applyBorder="1" applyAlignment="1">
      <alignment vertical="top"/>
    </xf>
    <xf numFmtId="43" fontId="8" fillId="0" borderId="2" xfId="5" applyFont="1" applyBorder="1"/>
    <xf numFmtId="4" fontId="6" fillId="0" borderId="23" xfId="0" applyNumberFormat="1" applyFont="1" applyBorder="1" applyAlignment="1">
      <alignment horizontal="right" vertical="top" wrapText="1"/>
    </xf>
    <xf numFmtId="0" fontId="0" fillId="0" borderId="25" xfId="0" applyBorder="1" applyAlignment="1">
      <alignment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5" fillId="0" borderId="0" xfId="0" applyFont="1" applyAlignment="1">
      <alignment wrapText="1"/>
    </xf>
    <xf numFmtId="0" fontId="9" fillId="0" borderId="46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2" fontId="9" fillId="0" borderId="18" xfId="2" applyNumberFormat="1" applyFont="1" applyBorder="1" applyAlignment="1">
      <alignment horizontal="left" vertical="top" wrapText="1"/>
    </xf>
    <xf numFmtId="2" fontId="9" fillId="0" borderId="42" xfId="2" applyNumberFormat="1" applyFont="1" applyBorder="1" applyAlignment="1">
      <alignment horizontal="left" vertical="top" wrapText="1"/>
    </xf>
    <xf numFmtId="3" fontId="3" fillId="0" borderId="8" xfId="0" applyNumberFormat="1" applyFont="1" applyBorder="1" applyAlignment="1">
      <alignment wrapText="1"/>
    </xf>
    <xf numFmtId="3" fontId="3" fillId="0" borderId="11" xfId="0" applyNumberFormat="1" applyFont="1" applyBorder="1" applyAlignment="1">
      <alignment wrapText="1"/>
    </xf>
    <xf numFmtId="43" fontId="8" fillId="0" borderId="2" xfId="5" applyFont="1" applyFill="1" applyBorder="1" applyAlignment="1">
      <alignment vertical="top"/>
    </xf>
    <xf numFmtId="0" fontId="2" fillId="0" borderId="10" xfId="0" applyFont="1" applyBorder="1" applyAlignment="1">
      <alignment wrapText="1"/>
    </xf>
    <xf numFmtId="3" fontId="4" fillId="0" borderId="10" xfId="0" applyNumberFormat="1" applyFont="1" applyBorder="1" applyAlignment="1">
      <alignment wrapText="1"/>
    </xf>
    <xf numFmtId="4" fontId="4" fillId="0" borderId="10" xfId="0" applyNumberFormat="1" applyFont="1" applyBorder="1" applyAlignment="1">
      <alignment wrapText="1"/>
    </xf>
    <xf numFmtId="0" fontId="0" fillId="0" borderId="40" xfId="0" applyBorder="1" applyAlignment="1">
      <alignment wrapText="1"/>
    </xf>
    <xf numFmtId="1" fontId="1" fillId="0" borderId="0" xfId="0" applyNumberFormat="1" applyFont="1" applyAlignment="1">
      <alignment wrapText="1"/>
    </xf>
    <xf numFmtId="1" fontId="9" fillId="0" borderId="15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right" wrapText="1"/>
    </xf>
    <xf numFmtId="4" fontId="4" fillId="0" borderId="10" xfId="0" applyNumberFormat="1" applyFont="1" applyBorder="1" applyAlignment="1">
      <alignment horizontal="right" wrapText="1"/>
    </xf>
    <xf numFmtId="4" fontId="0" fillId="0" borderId="0" xfId="0" applyNumberFormat="1"/>
    <xf numFmtId="2" fontId="9" fillId="0" borderId="15" xfId="2" applyNumberFormat="1" applyFont="1" applyBorder="1" applyAlignment="1">
      <alignment horizontal="center" vertical="top" wrapText="1"/>
    </xf>
    <xf numFmtId="43" fontId="0" fillId="0" borderId="36" xfId="0" applyNumberFormat="1" applyBorder="1"/>
    <xf numFmtId="0" fontId="0" fillId="0" borderId="37" xfId="0" applyBorder="1" applyAlignment="1">
      <alignment wrapText="1"/>
    </xf>
    <xf numFmtId="43" fontId="15" fillId="0" borderId="45" xfId="0" applyNumberFormat="1" applyFont="1" applyBorder="1"/>
    <xf numFmtId="0" fontId="2" fillId="0" borderId="9" xfId="0" applyFont="1" applyBorder="1" applyAlignment="1">
      <alignment wrapText="1"/>
    </xf>
    <xf numFmtId="3" fontId="4" fillId="0" borderId="9" xfId="0" applyNumberFormat="1" applyFont="1" applyBorder="1" applyAlignment="1">
      <alignment wrapText="1"/>
    </xf>
    <xf numFmtId="4" fontId="4" fillId="0" borderId="9" xfId="0" applyNumberFormat="1" applyFont="1" applyBorder="1" applyAlignment="1">
      <alignment wrapText="1"/>
    </xf>
    <xf numFmtId="43" fontId="15" fillId="0" borderId="9" xfId="0" applyNumberFormat="1" applyFont="1" applyBorder="1"/>
    <xf numFmtId="0" fontId="0" fillId="0" borderId="33" xfId="0" applyBorder="1"/>
    <xf numFmtId="0" fontId="6" fillId="0" borderId="23" xfId="0" applyFont="1" applyBorder="1" applyAlignment="1">
      <alignment horizontal="left" vertical="top" wrapText="1"/>
    </xf>
    <xf numFmtId="2" fontId="9" fillId="0" borderId="51" xfId="2" applyNumberFormat="1" applyFont="1" applyBorder="1" applyAlignment="1">
      <alignment horizontal="left" vertical="top" wrapText="1"/>
    </xf>
    <xf numFmtId="165" fontId="3" fillId="0" borderId="1" xfId="0" applyNumberFormat="1" applyFont="1" applyBorder="1"/>
    <xf numFmtId="165" fontId="3" fillId="0" borderId="6" xfId="0" applyNumberFormat="1" applyFont="1" applyBorder="1"/>
    <xf numFmtId="165" fontId="4" fillId="0" borderId="16" xfId="0" applyNumberFormat="1" applyFont="1" applyBorder="1"/>
    <xf numFmtId="4" fontId="6" fillId="0" borderId="2" xfId="0" applyNumberFormat="1" applyFont="1" applyBorder="1" applyAlignment="1">
      <alignment vertical="top" wrapText="1"/>
    </xf>
    <xf numFmtId="43" fontId="6" fillId="0" borderId="1" xfId="5" applyFont="1" applyFill="1" applyBorder="1" applyAlignment="1">
      <alignment vertical="top"/>
    </xf>
    <xf numFmtId="0" fontId="6" fillId="0" borderId="23" xfId="0" applyFont="1" applyBorder="1" applyAlignment="1">
      <alignment vertical="top" wrapText="1"/>
    </xf>
    <xf numFmtId="43" fontId="0" fillId="0" borderId="6" xfId="0" applyNumberFormat="1" applyBorder="1"/>
    <xf numFmtId="43" fontId="15" fillId="0" borderId="15" xfId="0" applyNumberFormat="1" applyFont="1" applyBorder="1"/>
    <xf numFmtId="43" fontId="15" fillId="0" borderId="16" xfId="0" applyNumberFormat="1" applyFont="1" applyBorder="1"/>
    <xf numFmtId="2" fontId="0" fillId="0" borderId="0" xfId="0" applyNumberFormat="1"/>
    <xf numFmtId="0" fontId="0" fillId="0" borderId="36" xfId="0" applyBorder="1"/>
    <xf numFmtId="43" fontId="0" fillId="0" borderId="5" xfId="0" applyNumberFormat="1" applyBorder="1"/>
    <xf numFmtId="43" fontId="0" fillId="0" borderId="37" xfId="0" applyNumberFormat="1" applyBorder="1"/>
    <xf numFmtId="2" fontId="0" fillId="0" borderId="24" xfId="0" applyNumberFormat="1" applyBorder="1"/>
    <xf numFmtId="43" fontId="0" fillId="0" borderId="25" xfId="0" applyNumberFormat="1" applyBorder="1"/>
    <xf numFmtId="0" fontId="0" fillId="0" borderId="0" xfId="0" applyAlignment="1">
      <alignment horizontal="right"/>
    </xf>
    <xf numFmtId="43" fontId="6" fillId="0" borderId="22" xfId="5" applyFont="1" applyFill="1" applyBorder="1" applyAlignment="1">
      <alignment vertical="top"/>
    </xf>
    <xf numFmtId="43" fontId="6" fillId="0" borderId="2" xfId="5" applyFont="1" applyFill="1" applyBorder="1" applyAlignment="1">
      <alignment vertical="top"/>
    </xf>
    <xf numFmtId="0" fontId="6" fillId="0" borderId="4" xfId="0" applyFont="1" applyBorder="1" applyAlignment="1">
      <alignment horizontal="left" vertical="top" wrapText="1" indent="4"/>
    </xf>
    <xf numFmtId="1" fontId="2" fillId="0" borderId="0" xfId="0" applyNumberFormat="1" applyFont="1" applyAlignment="1">
      <alignment wrapText="1"/>
    </xf>
    <xf numFmtId="1" fontId="4" fillId="0" borderId="34" xfId="0" applyNumberFormat="1" applyFont="1" applyBorder="1" applyAlignment="1">
      <alignment horizontal="center" wrapText="1"/>
    </xf>
    <xf numFmtId="4" fontId="4" fillId="0" borderId="30" xfId="0" applyNumberFormat="1" applyFont="1" applyBorder="1" applyAlignment="1">
      <alignment horizontal="center" wrapText="1"/>
    </xf>
    <xf numFmtId="4" fontId="4" fillId="0" borderId="42" xfId="0" applyNumberFormat="1" applyFont="1" applyBorder="1" applyAlignment="1">
      <alignment horizontal="center" wrapText="1"/>
    </xf>
    <xf numFmtId="3" fontId="3" fillId="0" borderId="19" xfId="0" applyNumberFormat="1" applyFont="1" applyBorder="1" applyAlignment="1">
      <alignment wrapText="1"/>
    </xf>
    <xf numFmtId="4" fontId="3" fillId="0" borderId="19" xfId="0" applyNumberFormat="1" applyFont="1" applyBorder="1" applyAlignment="1">
      <alignment wrapText="1"/>
    </xf>
    <xf numFmtId="43" fontId="0" fillId="0" borderId="20" xfId="0" applyNumberFormat="1" applyBorder="1"/>
    <xf numFmtId="43" fontId="0" fillId="0" borderId="19" xfId="0" applyNumberFormat="1" applyBorder="1"/>
    <xf numFmtId="0" fontId="0" fillId="0" borderId="47" xfId="0" applyBorder="1" applyAlignment="1">
      <alignment wrapText="1"/>
    </xf>
    <xf numFmtId="0" fontId="0" fillId="0" borderId="48" xfId="0" applyBorder="1" applyAlignment="1">
      <alignment wrapText="1"/>
    </xf>
    <xf numFmtId="4" fontId="4" fillId="0" borderId="16" xfId="0" applyNumberFormat="1" applyFont="1" applyBorder="1" applyAlignment="1">
      <alignment horizontal="right" wrapText="1"/>
    </xf>
    <xf numFmtId="0" fontId="0" fillId="0" borderId="45" xfId="0" applyBorder="1" applyAlignment="1">
      <alignment wrapText="1"/>
    </xf>
    <xf numFmtId="43" fontId="6" fillId="0" borderId="5" xfId="5" applyFont="1" applyFill="1" applyBorder="1" applyAlignment="1">
      <alignment vertical="top"/>
    </xf>
    <xf numFmtId="0" fontId="6" fillId="0" borderId="23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/>
    </xf>
    <xf numFmtId="0" fontId="16" fillId="0" borderId="22" xfId="2" applyFont="1" applyBorder="1" applyAlignment="1">
      <alignment wrapText="1"/>
    </xf>
    <xf numFmtId="43" fontId="18" fillId="0" borderId="23" xfId="3" applyFont="1" applyFill="1" applyBorder="1" applyAlignment="1">
      <alignment horizontal="right" wrapText="1"/>
    </xf>
    <xf numFmtId="0" fontId="16" fillId="0" borderId="24" xfId="2" applyFont="1" applyBorder="1" applyAlignment="1">
      <alignment wrapText="1"/>
    </xf>
    <xf numFmtId="43" fontId="3" fillId="0" borderId="6" xfId="3" applyFont="1" applyFill="1" applyBorder="1" applyAlignment="1">
      <alignment horizontal="right" wrapText="1"/>
    </xf>
    <xf numFmtId="43" fontId="3" fillId="0" borderId="25" xfId="3" applyFont="1" applyFill="1" applyBorder="1" applyAlignment="1">
      <alignment horizontal="right" wrapText="1"/>
    </xf>
    <xf numFmtId="43" fontId="0" fillId="0" borderId="0" xfId="0" applyNumberFormat="1"/>
    <xf numFmtId="0" fontId="3" fillId="0" borderId="20" xfId="1" applyFont="1" applyBorder="1" applyAlignment="1">
      <alignment wrapText="1"/>
    </xf>
    <xf numFmtId="0" fontId="4" fillId="0" borderId="19" xfId="1" applyFont="1" applyBorder="1" applyAlignment="1">
      <alignment wrapText="1"/>
    </xf>
    <xf numFmtId="43" fontId="4" fillId="0" borderId="21" xfId="1" applyNumberFormat="1" applyFont="1" applyBorder="1" applyAlignment="1">
      <alignment wrapText="1"/>
    </xf>
    <xf numFmtId="0" fontId="16" fillId="0" borderId="0" xfId="0" applyFont="1"/>
    <xf numFmtId="43" fontId="16" fillId="0" borderId="0" xfId="0" applyNumberFormat="1" applyFont="1"/>
    <xf numFmtId="0" fontId="15" fillId="0" borderId="17" xfId="2" applyFont="1" applyBorder="1" applyAlignment="1">
      <alignment wrapText="1"/>
    </xf>
    <xf numFmtId="164" fontId="15" fillId="0" borderId="15" xfId="3" applyNumberFormat="1" applyFont="1" applyFill="1" applyBorder="1" applyAlignment="1">
      <alignment wrapText="1"/>
    </xf>
    <xf numFmtId="164" fontId="15" fillId="0" borderId="16" xfId="3" applyNumberFormat="1" applyFont="1" applyFill="1" applyBorder="1" applyAlignment="1">
      <alignment wrapText="1"/>
    </xf>
    <xf numFmtId="2" fontId="4" fillId="0" borderId="17" xfId="2" applyNumberFormat="1" applyFont="1" applyBorder="1" applyAlignment="1">
      <alignment horizontal="left" vertical="top" wrapText="1"/>
    </xf>
    <xf numFmtId="2" fontId="4" fillId="0" borderId="18" xfId="2" applyNumberFormat="1" applyFont="1" applyBorder="1" applyAlignment="1">
      <alignment horizontal="left" vertical="top" wrapText="1"/>
    </xf>
    <xf numFmtId="2" fontId="4" fillId="0" borderId="16" xfId="2" applyNumberFormat="1" applyFont="1" applyBorder="1" applyAlignment="1">
      <alignment horizontal="left" vertical="top" wrapText="1"/>
    </xf>
    <xf numFmtId="43" fontId="16" fillId="0" borderId="36" xfId="0" applyNumberFormat="1" applyFont="1" applyBorder="1"/>
    <xf numFmtId="43" fontId="16" fillId="0" borderId="49" xfId="0" applyNumberFormat="1" applyFont="1" applyBorder="1"/>
    <xf numFmtId="3" fontId="0" fillId="0" borderId="0" xfId="0" applyNumberFormat="1"/>
    <xf numFmtId="166" fontId="0" fillId="0" borderId="0" xfId="0" applyNumberFormat="1"/>
    <xf numFmtId="3" fontId="2" fillId="0" borderId="0" xfId="0" applyNumberFormat="1" applyFont="1"/>
    <xf numFmtId="43" fontId="8" fillId="0" borderId="22" xfId="5" applyFont="1" applyFill="1" applyBorder="1" applyAlignment="1">
      <alignment vertical="top"/>
    </xf>
    <xf numFmtId="0" fontId="6" fillId="0" borderId="3" xfId="0" applyFont="1" applyBorder="1" applyAlignment="1">
      <alignment horizontal="left" vertical="top" wrapText="1"/>
    </xf>
    <xf numFmtId="43" fontId="15" fillId="0" borderId="17" xfId="5" applyFont="1" applyFill="1" applyBorder="1"/>
    <xf numFmtId="43" fontId="0" fillId="0" borderId="0" xfId="0" applyNumberFormat="1" applyAlignment="1">
      <alignment horizontal="right"/>
    </xf>
    <xf numFmtId="4" fontId="2" fillId="0" borderId="0" xfId="0" applyNumberFormat="1" applyFont="1"/>
    <xf numFmtId="0" fontId="19" fillId="0" borderId="0" xfId="0" applyFont="1"/>
    <xf numFmtId="3" fontId="4" fillId="0" borderId="28" xfId="0" applyNumberFormat="1" applyFont="1" applyBorder="1" applyAlignment="1">
      <alignment horizontal="center" wrapText="1"/>
    </xf>
    <xf numFmtId="1" fontId="4" fillId="0" borderId="51" xfId="0" applyNumberFormat="1" applyFont="1" applyBorder="1" applyAlignment="1">
      <alignment horizontal="center" wrapText="1"/>
    </xf>
    <xf numFmtId="43" fontId="6" fillId="0" borderId="2" xfId="5" applyFont="1" applyFill="1" applyBorder="1"/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9" xfId="0" applyFont="1" applyBorder="1" applyAlignment="1">
      <alignment wrapText="1"/>
    </xf>
    <xf numFmtId="3" fontId="6" fillId="0" borderId="9" xfId="0" applyNumberFormat="1" applyFont="1" applyBorder="1" applyAlignment="1">
      <alignment wrapText="1"/>
    </xf>
    <xf numFmtId="4" fontId="6" fillId="0" borderId="9" xfId="0" applyNumberFormat="1" applyFont="1" applyBorder="1" applyAlignment="1">
      <alignment wrapText="1"/>
    </xf>
    <xf numFmtId="4" fontId="6" fillId="0" borderId="29" xfId="0" applyNumberFormat="1" applyFont="1" applyBorder="1" applyAlignment="1">
      <alignment wrapText="1"/>
    </xf>
    <xf numFmtId="43" fontId="6" fillId="0" borderId="24" xfId="5" applyFont="1" applyFill="1" applyBorder="1"/>
    <xf numFmtId="43" fontId="6" fillId="0" borderId="6" xfId="5" applyFont="1" applyFill="1" applyBorder="1"/>
    <xf numFmtId="43" fontId="6" fillId="0" borderId="27" xfId="5" applyFont="1" applyFill="1" applyBorder="1"/>
    <xf numFmtId="0" fontId="6" fillId="0" borderId="25" xfId="0" applyFont="1" applyBorder="1" applyAlignment="1">
      <alignment wrapText="1"/>
    </xf>
    <xf numFmtId="3" fontId="6" fillId="0" borderId="12" xfId="0" applyNumberFormat="1" applyFont="1" applyBorder="1" applyAlignment="1">
      <alignment horizontal="right" vertical="top" wrapText="1"/>
    </xf>
    <xf numFmtId="4" fontId="6" fillId="0" borderId="12" xfId="0" applyNumberFormat="1" applyFont="1" applyBorder="1" applyAlignment="1">
      <alignment horizontal="right" vertical="top" wrapText="1"/>
    </xf>
    <xf numFmtId="43" fontId="6" fillId="0" borderId="12" xfId="5" applyFont="1" applyFill="1" applyBorder="1" applyAlignment="1">
      <alignment vertical="top"/>
    </xf>
    <xf numFmtId="4" fontId="6" fillId="0" borderId="4" xfId="0" applyNumberFormat="1" applyFont="1" applyBorder="1" applyAlignment="1">
      <alignment horizontal="right" vertical="top" wrapText="1"/>
    </xf>
    <xf numFmtId="43" fontId="6" fillId="0" borderId="4" xfId="5" applyFont="1" applyFill="1" applyBorder="1" applyAlignment="1">
      <alignment vertical="top"/>
    </xf>
    <xf numFmtId="0" fontId="6" fillId="0" borderId="7" xfId="0" applyFont="1" applyBorder="1" applyAlignment="1">
      <alignment vertical="top" wrapText="1"/>
    </xf>
    <xf numFmtId="3" fontId="6" fillId="0" borderId="52" xfId="0" applyNumberFormat="1" applyFont="1" applyBorder="1" applyAlignment="1">
      <alignment horizontal="right" vertical="top" wrapText="1"/>
    </xf>
    <xf numFmtId="4" fontId="6" fillId="0" borderId="52" xfId="0" applyNumberFormat="1" applyFont="1" applyBorder="1" applyAlignment="1">
      <alignment horizontal="right" vertical="top" wrapText="1"/>
    </xf>
    <xf numFmtId="4" fontId="6" fillId="0" borderId="37" xfId="0" applyNumberFormat="1" applyFont="1" applyBorder="1" applyAlignment="1">
      <alignment horizontal="right" vertical="top" wrapText="1"/>
    </xf>
    <xf numFmtId="43" fontId="6" fillId="0" borderId="52" xfId="5" applyFont="1" applyFill="1" applyBorder="1" applyAlignment="1">
      <alignment vertical="top"/>
    </xf>
    <xf numFmtId="43" fontId="6" fillId="0" borderId="0" xfId="5" applyFont="1" applyFill="1" applyBorder="1" applyAlignment="1">
      <alignment vertical="top"/>
    </xf>
    <xf numFmtId="167" fontId="6" fillId="0" borderId="6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vertical="top" wrapText="1"/>
    </xf>
    <xf numFmtId="3" fontId="6" fillId="3" borderId="1" xfId="0" applyNumberFormat="1" applyFont="1" applyFill="1" applyBorder="1" applyAlignment="1">
      <alignment horizontal="right" vertical="top" wrapText="1"/>
    </xf>
    <xf numFmtId="4" fontId="6" fillId="3" borderId="1" xfId="0" applyNumberFormat="1" applyFont="1" applyFill="1" applyBorder="1" applyAlignment="1">
      <alignment horizontal="right" vertical="top" wrapText="1"/>
    </xf>
    <xf numFmtId="4" fontId="6" fillId="3" borderId="2" xfId="0" applyNumberFormat="1" applyFont="1" applyFill="1" applyBorder="1" applyAlignment="1">
      <alignment horizontal="right" vertical="top" wrapText="1"/>
    </xf>
    <xf numFmtId="0" fontId="0" fillId="3" borderId="0" xfId="0" applyFill="1"/>
    <xf numFmtId="0" fontId="6" fillId="3" borderId="22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3" fontId="6" fillId="3" borderId="1" xfId="0" applyNumberFormat="1" applyFont="1" applyFill="1" applyBorder="1" applyAlignment="1">
      <alignment vertical="top" wrapText="1"/>
    </xf>
    <xf numFmtId="4" fontId="6" fillId="3" borderId="1" xfId="0" applyNumberFormat="1" applyFont="1" applyFill="1" applyBorder="1" applyAlignment="1">
      <alignment vertical="top" wrapText="1"/>
    </xf>
    <xf numFmtId="43" fontId="6" fillId="3" borderId="1" xfId="5" applyFont="1" applyFill="1" applyBorder="1" applyAlignment="1">
      <alignment vertical="top"/>
    </xf>
    <xf numFmtId="0" fontId="6" fillId="3" borderId="23" xfId="0" applyFont="1" applyFill="1" applyBorder="1" applyAlignment="1">
      <alignment vertical="top" wrapText="1"/>
    </xf>
    <xf numFmtId="0" fontId="6" fillId="3" borderId="1" xfId="6" applyFont="1" applyFill="1" applyBorder="1" applyAlignment="1">
      <alignment horizontal="left" vertical="top" wrapText="1"/>
    </xf>
    <xf numFmtId="43" fontId="6" fillId="3" borderId="22" xfId="5" applyFont="1" applyFill="1" applyBorder="1" applyAlignment="1">
      <alignment vertical="top"/>
    </xf>
    <xf numFmtId="0" fontId="6" fillId="3" borderId="5" xfId="0" applyFont="1" applyFill="1" applyBorder="1" applyAlignment="1">
      <alignment horizontal="left" vertical="top" wrapText="1"/>
    </xf>
    <xf numFmtId="0" fontId="6" fillId="3" borderId="1" xfId="2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vertical="top" wrapText="1"/>
    </xf>
    <xf numFmtId="3" fontId="6" fillId="3" borderId="5" xfId="0" applyNumberFormat="1" applyFont="1" applyFill="1" applyBorder="1" applyAlignment="1">
      <alignment wrapText="1"/>
    </xf>
    <xf numFmtId="4" fontId="6" fillId="3" borderId="5" xfId="0" applyNumberFormat="1" applyFont="1" applyFill="1" applyBorder="1" applyAlignment="1">
      <alignment wrapText="1"/>
    </xf>
    <xf numFmtId="4" fontId="6" fillId="3" borderId="26" xfId="0" applyNumberFormat="1" applyFont="1" applyFill="1" applyBorder="1" applyAlignment="1">
      <alignment wrapText="1"/>
    </xf>
    <xf numFmtId="43" fontId="8" fillId="3" borderId="20" xfId="5" applyFont="1" applyFill="1" applyBorder="1"/>
    <xf numFmtId="43" fontId="8" fillId="3" borderId="19" xfId="5" applyFont="1" applyFill="1" applyBorder="1"/>
    <xf numFmtId="43" fontId="8" fillId="3" borderId="41" xfId="5" applyFont="1" applyFill="1" applyBorder="1"/>
    <xf numFmtId="0" fontId="8" fillId="3" borderId="21" xfId="0" applyFont="1" applyFill="1" applyBorder="1" applyAlignment="1">
      <alignment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3" fontId="6" fillId="3" borderId="1" xfId="0" applyNumberFormat="1" applyFont="1" applyFill="1" applyBorder="1" applyAlignment="1">
      <alignment wrapText="1"/>
    </xf>
    <xf numFmtId="4" fontId="6" fillId="3" borderId="1" xfId="0" applyNumberFormat="1" applyFont="1" applyFill="1" applyBorder="1" applyAlignment="1">
      <alignment wrapText="1"/>
    </xf>
    <xf numFmtId="4" fontId="6" fillId="3" borderId="2" xfId="0" applyNumberFormat="1" applyFont="1" applyFill="1" applyBorder="1" applyAlignment="1">
      <alignment wrapText="1"/>
    </xf>
    <xf numFmtId="43" fontId="6" fillId="3" borderId="22" xfId="5" applyFont="1" applyFill="1" applyBorder="1"/>
    <xf numFmtId="43" fontId="6" fillId="3" borderId="1" xfId="5" applyFont="1" applyFill="1" applyBorder="1"/>
    <xf numFmtId="43" fontId="6" fillId="3" borderId="2" xfId="5" applyFont="1" applyFill="1" applyBorder="1"/>
    <xf numFmtId="0" fontId="6" fillId="3" borderId="23" xfId="0" applyFont="1" applyFill="1" applyBorder="1" applyAlignment="1">
      <alignment wrapText="1"/>
    </xf>
    <xf numFmtId="0" fontId="6" fillId="3" borderId="4" xfId="0" applyFont="1" applyFill="1" applyBorder="1" applyAlignment="1">
      <alignment vertical="top" wrapText="1"/>
    </xf>
    <xf numFmtId="4" fontId="6" fillId="3" borderId="2" xfId="0" applyNumberFormat="1" applyFont="1" applyFill="1" applyBorder="1" applyAlignment="1">
      <alignment vertical="top" wrapText="1"/>
    </xf>
    <xf numFmtId="0" fontId="6" fillId="3" borderId="37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53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vertical="top" wrapText="1"/>
    </xf>
    <xf numFmtId="0" fontId="6" fillId="3" borderId="5" xfId="0" applyFont="1" applyFill="1" applyBorder="1" applyAlignment="1">
      <alignment wrapText="1"/>
    </xf>
    <xf numFmtId="3" fontId="6" fillId="3" borderId="5" xfId="0" applyNumberFormat="1" applyFont="1" applyFill="1" applyBorder="1" applyAlignment="1">
      <alignment horizontal="right" vertical="top" wrapText="1"/>
    </xf>
    <xf numFmtId="4" fontId="6" fillId="3" borderId="5" xfId="0" applyNumberFormat="1" applyFont="1" applyFill="1" applyBorder="1" applyAlignment="1">
      <alignment horizontal="right" vertical="top" wrapText="1"/>
    </xf>
    <xf numFmtId="4" fontId="6" fillId="3" borderId="26" xfId="0" applyNumberFormat="1" applyFont="1" applyFill="1" applyBorder="1" applyAlignment="1">
      <alignment horizontal="right" vertical="top" wrapText="1"/>
    </xf>
    <xf numFmtId="43" fontId="6" fillId="3" borderId="20" xfId="5" applyFont="1" applyFill="1" applyBorder="1" applyAlignment="1">
      <alignment vertical="top"/>
    </xf>
    <xf numFmtId="43" fontId="6" fillId="3" borderId="19" xfId="5" applyFont="1" applyFill="1" applyBorder="1" applyAlignment="1">
      <alignment vertical="top"/>
    </xf>
    <xf numFmtId="43" fontId="6" fillId="3" borderId="30" xfId="5" applyFont="1" applyFill="1" applyBorder="1" applyAlignment="1">
      <alignment vertical="top"/>
    </xf>
    <xf numFmtId="0" fontId="6" fillId="3" borderId="31" xfId="0" applyFont="1" applyFill="1" applyBorder="1" applyAlignment="1">
      <alignment vertical="top" wrapText="1"/>
    </xf>
    <xf numFmtId="4" fontId="6" fillId="0" borderId="1" xfId="0" applyNumberFormat="1" applyFont="1" applyBorder="1" applyAlignment="1">
      <alignment vertical="top" wrapText="1"/>
    </xf>
    <xf numFmtId="165" fontId="0" fillId="0" borderId="0" xfId="0" applyNumberForma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0" applyFont="1"/>
    <xf numFmtId="0" fontId="8" fillId="0" borderId="54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5" xfId="0" applyFont="1" applyBorder="1" applyAlignment="1">
      <alignment horizontal="right" vertical="top"/>
    </xf>
    <xf numFmtId="0" fontId="8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left" vertical="top"/>
    </xf>
    <xf numFmtId="4" fontId="8" fillId="0" borderId="1" xfId="0" applyNumberFormat="1" applyFont="1" applyBorder="1" applyAlignment="1">
      <alignment horizontal="right" vertical="top"/>
    </xf>
    <xf numFmtId="4" fontId="8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2" fontId="6" fillId="0" borderId="1" xfId="2" applyNumberFormat="1" applyFont="1" applyBorder="1" applyAlignment="1">
      <alignment horizontal="right" vertical="top" wrapText="1"/>
    </xf>
    <xf numFmtId="4" fontId="6" fillId="0" borderId="0" xfId="0" applyNumberFormat="1" applyFont="1" applyAlignment="1">
      <alignment horizontal="right" vertical="top" wrapText="1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 indent="2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left" vertical="top" wrapText="1" indent="3"/>
    </xf>
    <xf numFmtId="4" fontId="8" fillId="0" borderId="6" xfId="0" applyNumberFormat="1" applyFont="1" applyBorder="1" applyAlignment="1">
      <alignment horizontal="left" vertical="top"/>
    </xf>
    <xf numFmtId="0" fontId="4" fillId="0" borderId="15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4" fontId="9" fillId="0" borderId="30" xfId="0" applyNumberFormat="1" applyFont="1" applyBorder="1" applyAlignment="1">
      <alignment horizontal="center" vertical="center" wrapText="1"/>
    </xf>
    <xf numFmtId="4" fontId="9" fillId="0" borderId="31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top" wrapText="1"/>
    </xf>
    <xf numFmtId="0" fontId="6" fillId="0" borderId="19" xfId="0" applyFont="1" applyBorder="1" applyAlignment="1">
      <alignment vertical="top" wrapText="1"/>
    </xf>
    <xf numFmtId="0" fontId="6" fillId="0" borderId="19" xfId="0" applyFont="1" applyBorder="1" applyAlignment="1">
      <alignment wrapText="1"/>
    </xf>
    <xf numFmtId="3" fontId="6" fillId="0" borderId="19" xfId="0" applyNumberFormat="1" applyFont="1" applyBorder="1" applyAlignment="1">
      <alignment vertical="top" wrapText="1"/>
    </xf>
    <xf numFmtId="3" fontId="6" fillId="0" borderId="30" xfId="0" applyNumberFormat="1" applyFont="1" applyBorder="1" applyAlignment="1">
      <alignment vertical="top" wrapText="1"/>
    </xf>
    <xf numFmtId="4" fontId="6" fillId="0" borderId="19" xfId="0" applyNumberFormat="1" applyFont="1" applyBorder="1" applyAlignment="1">
      <alignment vertical="top" wrapText="1"/>
    </xf>
    <xf numFmtId="2" fontId="6" fillId="0" borderId="19" xfId="2" applyNumberFormat="1" applyFont="1" applyBorder="1" applyAlignment="1">
      <alignment horizontal="right" vertical="top" wrapText="1"/>
    </xf>
    <xf numFmtId="2" fontId="8" fillId="0" borderId="19" xfId="0" applyNumberFormat="1" applyFont="1" applyBorder="1" applyAlignment="1">
      <alignment vertical="top"/>
    </xf>
    <xf numFmtId="2" fontId="8" fillId="0" borderId="1" xfId="0" applyNumberFormat="1" applyFont="1" applyBorder="1" applyAlignment="1">
      <alignment vertical="top"/>
    </xf>
    <xf numFmtId="2" fontId="6" fillId="0" borderId="1" xfId="0" applyNumberFormat="1" applyFont="1" applyBorder="1" applyAlignment="1">
      <alignment vertical="top"/>
    </xf>
    <xf numFmtId="0" fontId="6" fillId="0" borderId="23" xfId="0" applyFont="1" applyBorder="1"/>
    <xf numFmtId="0" fontId="8" fillId="0" borderId="1" xfId="0" applyFont="1" applyBorder="1"/>
    <xf numFmtId="0" fontId="6" fillId="0" borderId="4" xfId="0" applyFont="1" applyBorder="1" applyAlignment="1">
      <alignment horizontal="left" vertical="top" wrapText="1" indent="2"/>
    </xf>
    <xf numFmtId="2" fontId="9" fillId="0" borderId="16" xfId="2" applyNumberFormat="1" applyFont="1" applyBorder="1" applyAlignment="1">
      <alignment horizontal="left" vertical="top" wrapText="1"/>
    </xf>
    <xf numFmtId="43" fontId="8" fillId="0" borderId="1" xfId="5" applyFont="1" applyFill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 vertical="top" wrapText="1"/>
    </xf>
    <xf numFmtId="3" fontId="21" fillId="0" borderId="1" xfId="0" applyNumberFormat="1" applyFont="1" applyBorder="1" applyAlignment="1">
      <alignment horizontal="right" vertical="top" wrapText="1"/>
    </xf>
    <xf numFmtId="4" fontId="21" fillId="0" borderId="1" xfId="0" applyNumberFormat="1" applyFont="1" applyBorder="1" applyAlignment="1">
      <alignment horizontal="right" vertical="top" wrapText="1"/>
    </xf>
    <xf numFmtId="4" fontId="21" fillId="0" borderId="2" xfId="0" applyNumberFormat="1" applyFont="1" applyBorder="1" applyAlignment="1">
      <alignment horizontal="right" vertical="top" wrapText="1"/>
    </xf>
    <xf numFmtId="4" fontId="21" fillId="0" borderId="1" xfId="0" applyNumberFormat="1" applyFont="1" applyBorder="1" applyAlignment="1">
      <alignment horizontal="left" vertical="top"/>
    </xf>
    <xf numFmtId="0" fontId="21" fillId="0" borderId="1" xfId="0" applyFont="1" applyBorder="1" applyAlignment="1">
      <alignment horizontal="left" vertical="top" wrapText="1"/>
    </xf>
    <xf numFmtId="2" fontId="21" fillId="0" borderId="1" xfId="2" applyNumberFormat="1" applyFont="1" applyBorder="1" applyAlignment="1">
      <alignment horizontal="right" vertical="top" wrapText="1"/>
    </xf>
    <xf numFmtId="0" fontId="21" fillId="0" borderId="5" xfId="0" applyFont="1" applyBorder="1" applyAlignment="1">
      <alignment horizontal="left" vertical="top" wrapText="1"/>
    </xf>
    <xf numFmtId="0" fontId="21" fillId="0" borderId="1" xfId="0" applyFont="1" applyBorder="1" applyAlignment="1">
      <alignment vertical="top" wrapText="1"/>
    </xf>
    <xf numFmtId="4" fontId="21" fillId="0" borderId="1" xfId="0" applyNumberFormat="1" applyFont="1" applyBorder="1" applyAlignment="1">
      <alignment horizontal="right" vertical="top"/>
    </xf>
    <xf numFmtId="0" fontId="21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vertical="top" wrapText="1"/>
    </xf>
    <xf numFmtId="0" fontId="21" fillId="0" borderId="25" xfId="0" applyFont="1" applyBorder="1" applyAlignment="1">
      <alignment horizontal="left" vertical="top" wrapText="1"/>
    </xf>
    <xf numFmtId="0" fontId="21" fillId="0" borderId="23" xfId="0" applyFont="1" applyBorder="1" applyAlignment="1">
      <alignment vertical="top" wrapText="1"/>
    </xf>
    <xf numFmtId="0" fontId="21" fillId="0" borderId="22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4" fontId="21" fillId="0" borderId="23" xfId="0" applyNumberFormat="1" applyFont="1" applyBorder="1" applyAlignment="1">
      <alignment horizontal="right" vertical="top" wrapText="1"/>
    </xf>
    <xf numFmtId="43" fontId="21" fillId="0" borderId="1" xfId="5" applyFont="1" applyFill="1" applyBorder="1" applyAlignment="1">
      <alignment vertical="top"/>
    </xf>
    <xf numFmtId="43" fontId="21" fillId="0" borderId="2" xfId="5" applyFont="1" applyFill="1" applyBorder="1" applyAlignment="1">
      <alignment vertical="top"/>
    </xf>
    <xf numFmtId="0" fontId="21" fillId="0" borderId="36" xfId="0" applyFont="1" applyBorder="1" applyAlignment="1">
      <alignment horizontal="left" vertical="top" wrapText="1"/>
    </xf>
    <xf numFmtId="164" fontId="21" fillId="0" borderId="1" xfId="5" applyNumberFormat="1" applyFont="1" applyFill="1" applyBorder="1" applyAlignment="1">
      <alignment horizontal="right" vertical="top" wrapText="1"/>
    </xf>
    <xf numFmtId="43" fontId="21" fillId="0" borderId="1" xfId="5" applyFont="1" applyBorder="1" applyAlignment="1">
      <alignment vertical="top"/>
    </xf>
    <xf numFmtId="0" fontId="21" fillId="0" borderId="0" xfId="0" applyFont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1" fillId="3" borderId="22" xfId="0" applyFont="1" applyFill="1" applyBorder="1" applyAlignment="1">
      <alignment horizontal="left" vertical="top" wrapText="1"/>
    </xf>
    <xf numFmtId="0" fontId="21" fillId="0" borderId="55" xfId="0" applyFont="1" applyBorder="1" applyAlignment="1">
      <alignment horizontal="left" vertical="top" wrapText="1"/>
    </xf>
    <xf numFmtId="0" fontId="21" fillId="0" borderId="4" xfId="0" applyFont="1" applyBorder="1" applyAlignment="1">
      <alignment vertical="top" wrapText="1"/>
    </xf>
    <xf numFmtId="3" fontId="21" fillId="0" borderId="1" xfId="0" applyNumberFormat="1" applyFont="1" applyBorder="1" applyAlignment="1">
      <alignment vertical="top" wrapText="1"/>
    </xf>
    <xf numFmtId="4" fontId="21" fillId="0" borderId="1" xfId="0" applyNumberFormat="1" applyFont="1" applyBorder="1" applyAlignment="1">
      <alignment vertical="top" wrapText="1"/>
    </xf>
    <xf numFmtId="2" fontId="21" fillId="0" borderId="1" xfId="0" applyNumberFormat="1" applyFont="1" applyBorder="1" applyAlignment="1">
      <alignment vertical="top"/>
    </xf>
    <xf numFmtId="0" fontId="21" fillId="3" borderId="4" xfId="0" applyFont="1" applyFill="1" applyBorder="1" applyAlignment="1">
      <alignment horizontal="left" vertical="top" wrapText="1"/>
    </xf>
    <xf numFmtId="0" fontId="21" fillId="3" borderId="4" xfId="0" applyFont="1" applyFill="1" applyBorder="1" applyAlignment="1">
      <alignment vertical="top" wrapText="1"/>
    </xf>
    <xf numFmtId="0" fontId="21" fillId="3" borderId="1" xfId="0" applyFont="1" applyFill="1" applyBorder="1" applyAlignment="1">
      <alignment vertical="top" wrapText="1"/>
    </xf>
    <xf numFmtId="3" fontId="21" fillId="3" borderId="1" xfId="0" applyNumberFormat="1" applyFont="1" applyFill="1" applyBorder="1" applyAlignment="1">
      <alignment vertical="top" wrapText="1"/>
    </xf>
    <xf numFmtId="4" fontId="21" fillId="3" borderId="1" xfId="0" applyNumberFormat="1" applyFont="1" applyFill="1" applyBorder="1" applyAlignment="1">
      <alignment vertical="top" wrapText="1"/>
    </xf>
    <xf numFmtId="4" fontId="21" fillId="3" borderId="2" xfId="0" applyNumberFormat="1" applyFont="1" applyFill="1" applyBorder="1" applyAlignment="1">
      <alignment vertical="top" wrapText="1"/>
    </xf>
    <xf numFmtId="43" fontId="21" fillId="3" borderId="22" xfId="5" applyFont="1" applyFill="1" applyBorder="1" applyAlignment="1">
      <alignment vertical="top"/>
    </xf>
    <xf numFmtId="43" fontId="21" fillId="3" borderId="1" xfId="5" applyFont="1" applyFill="1" applyBorder="1" applyAlignment="1">
      <alignment vertical="top"/>
    </xf>
    <xf numFmtId="0" fontId="21" fillId="0" borderId="52" xfId="0" applyFont="1" applyBorder="1" applyAlignment="1">
      <alignment horizontal="left" vertical="top" wrapText="1"/>
    </xf>
    <xf numFmtId="0" fontId="21" fillId="0" borderId="7" xfId="0" applyFont="1" applyBorder="1" applyAlignment="1">
      <alignment vertical="top" wrapText="1"/>
    </xf>
    <xf numFmtId="3" fontId="21" fillId="0" borderId="7" xfId="0" applyNumberFormat="1" applyFont="1" applyBorder="1" applyAlignment="1">
      <alignment horizontal="right" vertical="top" wrapText="1"/>
    </xf>
    <xf numFmtId="4" fontId="21" fillId="0" borderId="7" xfId="0" applyNumberFormat="1" applyFont="1" applyBorder="1" applyAlignment="1">
      <alignment horizontal="right" vertical="top" wrapText="1"/>
    </xf>
    <xf numFmtId="4" fontId="21" fillId="0" borderId="7" xfId="0" applyNumberFormat="1" applyFont="1" applyBorder="1" applyAlignment="1">
      <alignment horizontal="right" vertical="top"/>
    </xf>
    <xf numFmtId="4" fontId="21" fillId="0" borderId="7" xfId="0" applyNumberFormat="1" applyFont="1" applyBorder="1" applyAlignment="1">
      <alignment horizontal="left" vertical="top"/>
    </xf>
    <xf numFmtId="0" fontId="25" fillId="0" borderId="57" xfId="0" applyFont="1" applyBorder="1" applyAlignment="1">
      <alignment vertical="center" wrapText="1"/>
    </xf>
    <xf numFmtId="0" fontId="25" fillId="0" borderId="58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4" fillId="5" borderId="0" xfId="0" applyFont="1" applyFill="1" applyAlignment="1">
      <alignment vertical="center" wrapText="1"/>
    </xf>
    <xf numFmtId="0" fontId="25" fillId="0" borderId="59" xfId="0" applyFont="1" applyBorder="1" applyAlignment="1">
      <alignment vertical="center" wrapText="1"/>
    </xf>
    <xf numFmtId="0" fontId="24" fillId="5" borderId="57" xfId="0" applyFont="1" applyFill="1" applyBorder="1" applyAlignment="1">
      <alignment vertical="center" wrapText="1"/>
    </xf>
    <xf numFmtId="0" fontId="26" fillId="0" borderId="58" xfId="0" applyFont="1" applyBorder="1" applyAlignment="1">
      <alignment vertical="center" wrapText="1"/>
    </xf>
    <xf numFmtId="0" fontId="27" fillId="0" borderId="58" xfId="0" applyFont="1" applyBorder="1" applyAlignment="1">
      <alignment vertical="center" wrapText="1"/>
    </xf>
    <xf numFmtId="0" fontId="25" fillId="0" borderId="61" xfId="0" applyFont="1" applyBorder="1" applyAlignment="1">
      <alignment vertical="center" wrapText="1"/>
    </xf>
    <xf numFmtId="0" fontId="28" fillId="8" borderId="62" xfId="0" applyFont="1" applyFill="1" applyBorder="1" applyAlignment="1">
      <alignment vertical="center" wrapText="1"/>
    </xf>
    <xf numFmtId="0" fontId="26" fillId="0" borderId="64" xfId="0" applyFont="1" applyBorder="1" applyAlignment="1">
      <alignment horizontal="right" vertical="center" wrapText="1"/>
    </xf>
    <xf numFmtId="4" fontId="27" fillId="0" borderId="63" xfId="0" applyNumberFormat="1" applyFont="1" applyBorder="1" applyAlignment="1">
      <alignment horizontal="right" vertical="center" wrapText="1"/>
    </xf>
    <xf numFmtId="0" fontId="25" fillId="0" borderId="65" xfId="0" applyFont="1" applyBorder="1" applyAlignment="1">
      <alignment vertical="center" wrapText="1"/>
    </xf>
    <xf numFmtId="0" fontId="28" fillId="8" borderId="62" xfId="0" applyFont="1" applyFill="1" applyBorder="1" applyAlignment="1">
      <alignment horizontal="right" vertical="center" wrapText="1"/>
    </xf>
    <xf numFmtId="0" fontId="28" fillId="5" borderId="62" xfId="0" applyFont="1" applyFill="1" applyBorder="1" applyAlignment="1">
      <alignment horizontal="right" vertical="center" wrapText="1"/>
    </xf>
    <xf numFmtId="0" fontId="27" fillId="0" borderId="66" xfId="0" applyFont="1" applyBorder="1" applyAlignment="1">
      <alignment horizontal="right" vertical="center" wrapText="1"/>
    </xf>
    <xf numFmtId="4" fontId="28" fillId="5" borderId="49" xfId="0" applyNumberFormat="1" applyFont="1" applyFill="1" applyBorder="1" applyAlignment="1">
      <alignment horizontal="right" vertical="center" wrapText="1"/>
    </xf>
    <xf numFmtId="4" fontId="27" fillId="0" borderId="62" xfId="0" applyNumberFormat="1" applyFont="1" applyBorder="1" applyAlignment="1">
      <alignment horizontal="right" vertical="center" wrapText="1"/>
    </xf>
    <xf numFmtId="0" fontId="28" fillId="8" borderId="66" xfId="0" applyFont="1" applyFill="1" applyBorder="1" applyAlignment="1">
      <alignment horizontal="right" vertical="center" wrapText="1"/>
    </xf>
    <xf numFmtId="0" fontId="25" fillId="0" borderId="67" xfId="0" applyFont="1" applyBorder="1" applyAlignment="1">
      <alignment vertical="center" wrapText="1"/>
    </xf>
    <xf numFmtId="0" fontId="28" fillId="8" borderId="64" xfId="0" applyFont="1" applyFill="1" applyBorder="1" applyAlignment="1">
      <alignment vertical="center" wrapText="1"/>
    </xf>
    <xf numFmtId="0" fontId="27" fillId="0" borderId="64" xfId="0" applyFont="1" applyBorder="1" applyAlignment="1">
      <alignment horizontal="right" vertical="center" wrapText="1"/>
    </xf>
    <xf numFmtId="0" fontId="28" fillId="5" borderId="64" xfId="0" applyFont="1" applyFill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4" fontId="28" fillId="5" borderId="68" xfId="0" applyNumberFormat="1" applyFont="1" applyFill="1" applyBorder="1" applyAlignment="1">
      <alignment horizontal="right" vertical="center" wrapText="1"/>
    </xf>
    <xf numFmtId="4" fontId="27" fillId="0" borderId="64" xfId="0" applyNumberFormat="1" applyFont="1" applyBorder="1" applyAlignment="1">
      <alignment horizontal="right" vertical="center" wrapText="1"/>
    </xf>
    <xf numFmtId="0" fontId="28" fillId="8" borderId="68" xfId="0" applyFont="1" applyFill="1" applyBorder="1" applyAlignment="1">
      <alignment horizontal="right" vertical="center" wrapText="1"/>
    </xf>
    <xf numFmtId="0" fontId="28" fillId="8" borderId="64" xfId="0" applyFont="1" applyFill="1" applyBorder="1" applyAlignment="1">
      <alignment horizontal="right" vertical="center" wrapText="1"/>
    </xf>
    <xf numFmtId="0" fontId="28" fillId="8" borderId="3" xfId="0" applyFont="1" applyFill="1" applyBorder="1" applyAlignment="1">
      <alignment horizontal="right" vertical="center" wrapText="1"/>
    </xf>
    <xf numFmtId="0" fontId="29" fillId="8" borderId="64" xfId="0" applyFont="1" applyFill="1" applyBorder="1" applyAlignment="1">
      <alignment horizontal="right" vertical="center" wrapText="1"/>
    </xf>
    <xf numFmtId="0" fontId="25" fillId="0" borderId="69" xfId="0" applyFont="1" applyBorder="1" applyAlignment="1">
      <alignment horizontal="left" vertical="center" wrapText="1"/>
    </xf>
    <xf numFmtId="0" fontId="28" fillId="8" borderId="70" xfId="0" applyFont="1" applyFill="1" applyBorder="1" applyAlignment="1">
      <alignment vertical="center" wrapText="1"/>
    </xf>
    <xf numFmtId="0" fontId="28" fillId="8" borderId="60" xfId="0" applyFont="1" applyFill="1" applyBorder="1" applyAlignment="1">
      <alignment horizontal="right" vertical="center" wrapText="1"/>
    </xf>
    <xf numFmtId="0" fontId="28" fillId="5" borderId="60" xfId="0" applyFont="1" applyFill="1" applyBorder="1" applyAlignment="1">
      <alignment horizontal="right" vertical="center" wrapText="1"/>
    </xf>
    <xf numFmtId="0" fontId="28" fillId="8" borderId="71" xfId="0" applyFont="1" applyFill="1" applyBorder="1" applyAlignment="1">
      <alignment horizontal="right" vertical="center" wrapText="1"/>
    </xf>
    <xf numFmtId="4" fontId="28" fillId="5" borderId="60" xfId="0" applyNumberFormat="1" applyFont="1" applyFill="1" applyBorder="1" applyAlignment="1">
      <alignment horizontal="right" vertical="center" wrapText="1"/>
    </xf>
    <xf numFmtId="0" fontId="29" fillId="8" borderId="60" xfId="0" applyFont="1" applyFill="1" applyBorder="1" applyAlignment="1">
      <alignment horizontal="right" vertical="center" wrapText="1"/>
    </xf>
    <xf numFmtId="4" fontId="27" fillId="0" borderId="60" xfId="0" applyNumberFormat="1" applyFont="1" applyBorder="1" applyAlignment="1">
      <alignment horizontal="right" vertical="center" wrapText="1"/>
    </xf>
    <xf numFmtId="3" fontId="24" fillId="9" borderId="45" xfId="0" applyNumberFormat="1" applyFont="1" applyFill="1" applyBorder="1" applyAlignment="1">
      <alignment horizontal="right" vertical="center" wrapText="1"/>
    </xf>
    <xf numFmtId="3" fontId="30" fillId="9" borderId="45" xfId="0" applyNumberFormat="1" applyFont="1" applyFill="1" applyBorder="1" applyAlignment="1">
      <alignment horizontal="right" vertical="center" wrapText="1"/>
    </xf>
    <xf numFmtId="0" fontId="27" fillId="0" borderId="63" xfId="0" applyFont="1" applyBorder="1" applyAlignment="1">
      <alignment vertical="center" wrapText="1"/>
    </xf>
    <xf numFmtId="3" fontId="27" fillId="0" borderId="45" xfId="0" applyNumberFormat="1" applyFont="1" applyBorder="1" applyAlignment="1">
      <alignment horizontal="right" vertical="center" wrapText="1"/>
    </xf>
    <xf numFmtId="3" fontId="27" fillId="0" borderId="56" xfId="0" applyNumberFormat="1" applyFont="1" applyBorder="1" applyAlignment="1">
      <alignment horizontal="right" vertical="center" wrapText="1"/>
    </xf>
    <xf numFmtId="3" fontId="28" fillId="5" borderId="45" xfId="0" applyNumberFormat="1" applyFont="1" applyFill="1" applyBorder="1" applyAlignment="1">
      <alignment horizontal="right" vertical="center" wrapText="1"/>
    </xf>
    <xf numFmtId="3" fontId="27" fillId="0" borderId="14" xfId="0" applyNumberFormat="1" applyFont="1" applyBorder="1" applyAlignment="1">
      <alignment horizontal="right" vertical="center" wrapText="1"/>
    </xf>
    <xf numFmtId="3" fontId="26" fillId="0" borderId="56" xfId="0" applyNumberFormat="1" applyFont="1" applyBorder="1" applyAlignment="1">
      <alignment horizontal="right" vertical="center" wrapText="1"/>
    </xf>
    <xf numFmtId="0" fontId="24" fillId="9" borderId="45" xfId="0" applyFont="1" applyFill="1" applyBorder="1" applyAlignment="1">
      <alignment horizontal="right" vertical="center" wrapText="1"/>
    </xf>
    <xf numFmtId="0" fontId="25" fillId="0" borderId="72" xfId="0" applyFont="1" applyBorder="1" applyAlignment="1">
      <alignment vertical="center" wrapText="1"/>
    </xf>
    <xf numFmtId="0" fontId="27" fillId="0" borderId="73" xfId="0" applyFont="1" applyBorder="1" applyAlignment="1">
      <alignment vertical="center" wrapText="1"/>
    </xf>
    <xf numFmtId="0" fontId="27" fillId="0" borderId="74" xfId="0" applyFont="1" applyBorder="1" applyAlignment="1">
      <alignment horizontal="right" vertical="center" wrapText="1"/>
    </xf>
    <xf numFmtId="0" fontId="28" fillId="5" borderId="74" xfId="0" applyFont="1" applyFill="1" applyBorder="1" applyAlignment="1">
      <alignment horizontal="right" vertical="center" wrapText="1"/>
    </xf>
    <xf numFmtId="0" fontId="30" fillId="9" borderId="45" xfId="0" applyFont="1" applyFill="1" applyBorder="1" applyAlignment="1">
      <alignment horizontal="right" vertical="center" wrapText="1"/>
    </xf>
    <xf numFmtId="0" fontId="24" fillId="3" borderId="38" xfId="0" applyFont="1" applyFill="1" applyBorder="1" applyAlignment="1">
      <alignment vertical="center" wrapText="1"/>
    </xf>
    <xf numFmtId="0" fontId="24" fillId="3" borderId="14" xfId="0" applyFont="1" applyFill="1" applyBorder="1" applyAlignment="1">
      <alignment vertical="center" wrapText="1"/>
    </xf>
    <xf numFmtId="0" fontId="24" fillId="3" borderId="14" xfId="0" applyFont="1" applyFill="1" applyBorder="1" applyAlignment="1">
      <alignment horizontal="right" vertical="center" wrapText="1"/>
    </xf>
    <xf numFmtId="0" fontId="30" fillId="3" borderId="14" xfId="0" applyFont="1" applyFill="1" applyBorder="1" applyAlignment="1">
      <alignment horizontal="right" vertical="center" wrapText="1"/>
    </xf>
    <xf numFmtId="0" fontId="24" fillId="3" borderId="56" xfId="0" applyFont="1" applyFill="1" applyBorder="1" applyAlignment="1">
      <alignment horizontal="right" vertical="center" wrapText="1"/>
    </xf>
    <xf numFmtId="0" fontId="25" fillId="0" borderId="13" xfId="0" applyFont="1" applyBorder="1" applyAlignment="1">
      <alignment vertical="center" wrapText="1"/>
    </xf>
    <xf numFmtId="0" fontId="28" fillId="8" borderId="56" xfId="0" applyFont="1" applyFill="1" applyBorder="1" applyAlignment="1">
      <alignment vertical="center" wrapText="1"/>
    </xf>
    <xf numFmtId="0" fontId="28" fillId="8" borderId="56" xfId="0" applyFont="1" applyFill="1" applyBorder="1" applyAlignment="1">
      <alignment horizontal="right" vertical="center" wrapText="1"/>
    </xf>
    <xf numFmtId="0" fontId="28" fillId="5" borderId="56" xfId="0" applyFont="1" applyFill="1" applyBorder="1" applyAlignment="1">
      <alignment horizontal="right" vertical="center" wrapText="1"/>
    </xf>
    <xf numFmtId="0" fontId="28" fillId="8" borderId="45" xfId="0" applyFont="1" applyFill="1" applyBorder="1" applyAlignment="1">
      <alignment horizontal="right" vertical="center" wrapText="1"/>
    </xf>
    <xf numFmtId="4" fontId="28" fillId="5" borderId="56" xfId="0" applyNumberFormat="1" applyFont="1" applyFill="1" applyBorder="1" applyAlignment="1">
      <alignment horizontal="right" vertical="center" wrapText="1"/>
    </xf>
    <xf numFmtId="0" fontId="29" fillId="8" borderId="56" xfId="0" applyFont="1" applyFill="1" applyBorder="1" applyAlignment="1">
      <alignment horizontal="right" vertical="center" wrapText="1"/>
    </xf>
    <xf numFmtId="4" fontId="27" fillId="0" borderId="56" xfId="0" applyNumberFormat="1" applyFont="1" applyBorder="1" applyAlignment="1">
      <alignment horizontal="right" vertical="center" wrapText="1"/>
    </xf>
    <xf numFmtId="0" fontId="27" fillId="0" borderId="56" xfId="0" applyFont="1" applyBorder="1" applyAlignment="1">
      <alignment vertical="center" wrapText="1"/>
    </xf>
    <xf numFmtId="3" fontId="28" fillId="5" borderId="56" xfId="0" applyNumberFormat="1" applyFont="1" applyFill="1" applyBorder="1" applyAlignment="1">
      <alignment horizontal="right" vertical="center" wrapText="1"/>
    </xf>
    <xf numFmtId="3" fontId="24" fillId="10" borderId="71" xfId="0" applyNumberFormat="1" applyFont="1" applyFill="1" applyBorder="1" applyAlignment="1">
      <alignment horizontal="right" vertical="center" wrapText="1"/>
    </xf>
    <xf numFmtId="3" fontId="30" fillId="10" borderId="71" xfId="0" applyNumberFormat="1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top" wrapText="1" indent="3"/>
    </xf>
    <xf numFmtId="0" fontId="21" fillId="0" borderId="1" xfId="0" applyFont="1" applyBorder="1" applyAlignment="1">
      <alignment wrapText="1"/>
    </xf>
    <xf numFmtId="0" fontId="28" fillId="8" borderId="49" xfId="0" applyFont="1" applyFill="1" applyBorder="1" applyAlignment="1">
      <alignment horizontal="right" vertical="center" wrapText="1"/>
    </xf>
    <xf numFmtId="0" fontId="26" fillId="0" borderId="62" xfId="0" applyFont="1" applyBorder="1" applyAlignment="1">
      <alignment horizontal="right" vertical="center" wrapText="1"/>
    </xf>
    <xf numFmtId="3" fontId="28" fillId="8" borderId="56" xfId="0" applyNumberFormat="1" applyFont="1" applyFill="1" applyBorder="1" applyAlignment="1">
      <alignment horizontal="right" vertical="center" wrapText="1"/>
    </xf>
    <xf numFmtId="0" fontId="27" fillId="0" borderId="14" xfId="0" applyFont="1" applyBorder="1" applyAlignment="1">
      <alignment horizontal="right" vertical="center" wrapText="1"/>
    </xf>
    <xf numFmtId="4" fontId="28" fillId="5" borderId="45" xfId="0" applyNumberFormat="1" applyFont="1" applyFill="1" applyBorder="1" applyAlignment="1">
      <alignment horizontal="right" vertical="center" wrapText="1"/>
    </xf>
    <xf numFmtId="0" fontId="26" fillId="0" borderId="56" xfId="0" applyFont="1" applyBorder="1" applyAlignment="1">
      <alignment horizontal="right" vertical="center" wrapText="1"/>
    </xf>
    <xf numFmtId="43" fontId="18" fillId="0" borderId="2" xfId="3" applyFont="1" applyFill="1" applyBorder="1" applyAlignment="1">
      <alignment horizontal="right" wrapText="1"/>
    </xf>
    <xf numFmtId="0" fontId="6" fillId="0" borderId="39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5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6" fillId="0" borderId="5" xfId="0" applyNumberFormat="1" applyFont="1" applyBorder="1" applyAlignment="1">
      <alignment horizontal="left" vertical="top" wrapText="1"/>
    </xf>
    <xf numFmtId="4" fontId="6" fillId="0" borderId="26" xfId="0" applyNumberFormat="1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left" vertical="top" wrapText="1"/>
    </xf>
    <xf numFmtId="4" fontId="6" fillId="0" borderId="2" xfId="0" applyNumberFormat="1" applyFont="1" applyBorder="1" applyAlignment="1">
      <alignment horizontal="left" vertical="top" wrapText="1"/>
    </xf>
    <xf numFmtId="0" fontId="4" fillId="0" borderId="17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4" fillId="0" borderId="38" xfId="0" applyFont="1" applyBorder="1" applyAlignment="1">
      <alignment horizontal="right" wrapText="1"/>
    </xf>
    <xf numFmtId="0" fontId="4" fillId="0" borderId="44" xfId="0" applyFont="1" applyBorder="1" applyAlignment="1">
      <alignment horizontal="right" wrapText="1"/>
    </xf>
    <xf numFmtId="0" fontId="3" fillId="0" borderId="20" xfId="0" applyFont="1" applyBorder="1" applyAlignment="1">
      <alignment horizontal="right" wrapText="1"/>
    </xf>
    <xf numFmtId="0" fontId="3" fillId="0" borderId="21" xfId="0" applyFont="1" applyBorder="1" applyAlignment="1">
      <alignment horizontal="right" wrapText="1"/>
    </xf>
    <xf numFmtId="0" fontId="3" fillId="0" borderId="32" xfId="0" applyFont="1" applyBorder="1" applyAlignment="1">
      <alignment horizontal="right" wrapText="1"/>
    </xf>
    <xf numFmtId="0" fontId="3" fillId="0" borderId="33" xfId="0" applyFont="1" applyBorder="1" applyAlignment="1">
      <alignment horizontal="right" wrapText="1"/>
    </xf>
    <xf numFmtId="0" fontId="6" fillId="0" borderId="25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5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50" xfId="0" applyFont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4" fontId="6" fillId="0" borderId="3" xfId="0" applyNumberFormat="1" applyFont="1" applyBorder="1" applyAlignment="1">
      <alignment horizontal="left" vertical="top" wrapText="1"/>
    </xf>
    <xf numFmtId="4" fontId="6" fillId="0" borderId="4" xfId="0" applyNumberFormat="1" applyFont="1" applyBorder="1" applyAlignment="1">
      <alignment horizontal="left" vertical="top" wrapText="1"/>
    </xf>
    <xf numFmtId="0" fontId="4" fillId="0" borderId="13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28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6" fillId="0" borderId="7" xfId="6" applyFont="1" applyBorder="1" applyAlignment="1">
      <alignment horizontal="center" vertical="top" wrapText="1"/>
    </xf>
    <xf numFmtId="0" fontId="4" fillId="0" borderId="35" xfId="0" applyFont="1" applyBorder="1" applyAlignment="1">
      <alignment horizontal="right" wrapText="1"/>
    </xf>
    <xf numFmtId="0" fontId="4" fillId="0" borderId="43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3" fillId="0" borderId="19" xfId="0" applyFont="1" applyBorder="1" applyAlignment="1">
      <alignment horizontal="right" wrapText="1"/>
    </xf>
    <xf numFmtId="0" fontId="6" fillId="0" borderId="4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right" wrapText="1"/>
    </xf>
    <xf numFmtId="0" fontId="3" fillId="0" borderId="29" xfId="0" applyFont="1" applyBorder="1" applyAlignment="1">
      <alignment horizontal="right" wrapText="1"/>
    </xf>
    <xf numFmtId="0" fontId="4" fillId="0" borderId="18" xfId="0" applyFont="1" applyBorder="1" applyAlignment="1">
      <alignment horizontal="right" wrapText="1"/>
    </xf>
    <xf numFmtId="0" fontId="24" fillId="9" borderId="38" xfId="0" applyFont="1" applyFill="1" applyBorder="1" applyAlignment="1">
      <alignment vertical="center" wrapText="1"/>
    </xf>
    <xf numFmtId="0" fontId="24" fillId="9" borderId="60" xfId="0" applyFont="1" applyFill="1" applyBorder="1" applyAlignment="1">
      <alignment vertical="center" wrapText="1"/>
    </xf>
    <xf numFmtId="0" fontId="24" fillId="4" borderId="13" xfId="0" applyFont="1" applyFill="1" applyBorder="1" applyAlignment="1">
      <alignment vertical="center" wrapText="1"/>
    </xf>
    <xf numFmtId="0" fontId="24" fillId="4" borderId="14" xfId="0" applyFont="1" applyFill="1" applyBorder="1" applyAlignment="1">
      <alignment vertical="center" wrapText="1"/>
    </xf>
    <xf numFmtId="0" fontId="24" fillId="4" borderId="56" xfId="0" applyFont="1" applyFill="1" applyBorder="1" applyAlignment="1">
      <alignment vertical="center" wrapText="1"/>
    </xf>
    <xf numFmtId="0" fontId="24" fillId="6" borderId="13" xfId="0" applyFont="1" applyFill="1" applyBorder="1" applyAlignment="1">
      <alignment vertical="center" wrapText="1"/>
    </xf>
    <xf numFmtId="0" fontId="24" fillId="6" borderId="14" xfId="0" applyFont="1" applyFill="1" applyBorder="1" applyAlignment="1">
      <alignment vertical="center" wrapText="1"/>
    </xf>
    <xf numFmtId="0" fontId="24" fillId="6" borderId="56" xfId="0" applyFont="1" applyFill="1" applyBorder="1" applyAlignment="1">
      <alignment vertical="center" wrapText="1"/>
    </xf>
    <xf numFmtId="0" fontId="24" fillId="7" borderId="38" xfId="0" applyFont="1" applyFill="1" applyBorder="1" applyAlignment="1">
      <alignment vertical="center" wrapText="1"/>
    </xf>
    <xf numFmtId="0" fontId="24" fillId="7" borderId="44" xfId="0" applyFont="1" applyFill="1" applyBorder="1" applyAlignment="1">
      <alignment vertical="center" wrapText="1"/>
    </xf>
    <xf numFmtId="0" fontId="24" fillId="7" borderId="60" xfId="0" applyFont="1" applyFill="1" applyBorder="1" applyAlignment="1">
      <alignment vertical="center" wrapText="1"/>
    </xf>
    <xf numFmtId="0" fontId="24" fillId="7" borderId="13" xfId="0" applyFont="1" applyFill="1" applyBorder="1" applyAlignment="1">
      <alignment vertical="center" wrapText="1"/>
    </xf>
    <xf numFmtId="0" fontId="24" fillId="7" borderId="14" xfId="0" applyFont="1" applyFill="1" applyBorder="1" applyAlignment="1">
      <alignment vertical="center" wrapText="1"/>
    </xf>
    <xf numFmtId="0" fontId="24" fillId="7" borderId="56" xfId="0" applyFont="1" applyFill="1" applyBorder="1" applyAlignment="1">
      <alignment vertical="center" wrapText="1"/>
    </xf>
    <xf numFmtId="0" fontId="24" fillId="9" borderId="56" xfId="0" applyFont="1" applyFill="1" applyBorder="1" applyAlignment="1">
      <alignment vertical="center" wrapText="1"/>
    </xf>
    <xf numFmtId="0" fontId="24" fillId="10" borderId="13" xfId="0" applyFont="1" applyFill="1" applyBorder="1" applyAlignment="1">
      <alignment vertical="center" wrapText="1"/>
    </xf>
    <xf numFmtId="0" fontId="24" fillId="10" borderId="56" xfId="0" applyFont="1" applyFill="1" applyBorder="1" applyAlignment="1">
      <alignment vertical="center" wrapText="1"/>
    </xf>
  </cellXfs>
  <cellStyles count="9">
    <cellStyle name="Comma" xfId="5" builtinId="3"/>
    <cellStyle name="Comma 2" xfId="4" xr:uid="{00000000-0005-0000-0000-000001000000}"/>
    <cellStyle name="Comma 3" xfId="3" xr:uid="{00000000-0005-0000-0000-000002000000}"/>
    <cellStyle name="Normal" xfId="0" builtinId="0"/>
    <cellStyle name="Normal 2" xfId="2" xr:uid="{00000000-0005-0000-0000-000004000000}"/>
    <cellStyle name="Normal 3" xfId="1" xr:uid="{00000000-0005-0000-0000-000005000000}"/>
    <cellStyle name="Normal 4" xfId="6" xr:uid="{00000000-0005-0000-0000-000006000000}"/>
    <cellStyle name="Normal 4 2" xfId="7" xr:uid="{00000000-0005-0000-0000-000007000000}"/>
    <cellStyle name="Normal 4 3" xfId="8" xr:uid="{00000000-0005-0000-0000-000008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39"/>
  <sheetViews>
    <sheetView zoomScaleNormal="100" zoomScalePageLayoutView="65" workbookViewId="0">
      <pane xSplit="1" topLeftCell="B1" activePane="topRight" state="frozen"/>
      <selection pane="topRight" activeCell="C59" sqref="C59"/>
      <selection activeCell="A6" sqref="A6"/>
    </sheetView>
  </sheetViews>
  <sheetFormatPr defaultColWidth="9.140625" defaultRowHeight="15"/>
  <cols>
    <col min="1" max="1" width="13.7109375" style="16" customWidth="1"/>
    <col min="2" max="2" width="21.42578125" style="16" bestFit="1" customWidth="1"/>
    <col min="3" max="3" width="32" style="11" customWidth="1"/>
    <col min="4" max="4" width="8.7109375" customWidth="1"/>
    <col min="5" max="5" width="17.85546875" bestFit="1" customWidth="1"/>
    <col min="6" max="6" width="12.28515625" hidden="1" customWidth="1"/>
    <col min="7" max="7" width="17" customWidth="1"/>
    <col min="8" max="8" width="18.140625" customWidth="1"/>
    <col min="9" max="9" width="11" customWidth="1"/>
    <col min="10" max="10" width="16.42578125" customWidth="1"/>
    <col min="11" max="11" width="14.85546875" bestFit="1" customWidth="1"/>
    <col min="12" max="12" width="18.5703125" customWidth="1"/>
    <col min="13" max="13" width="12.7109375" customWidth="1"/>
    <col min="14" max="14" width="15.42578125" customWidth="1"/>
    <col min="15" max="15" width="12.7109375" customWidth="1"/>
    <col min="16" max="16" width="22.85546875" style="83" customWidth="1"/>
    <col min="17" max="17" width="4.42578125" customWidth="1"/>
    <col min="18" max="18" width="14.85546875" customWidth="1"/>
  </cols>
  <sheetData>
    <row r="1" spans="1:16" s="5" customFormat="1" ht="17.25">
      <c r="A1" s="472" t="s">
        <v>0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</row>
    <row r="2" spans="1:16" s="5" customFormat="1">
      <c r="A2" s="12"/>
      <c r="B2" s="12"/>
      <c r="C2" s="8"/>
      <c r="D2" s="4"/>
      <c r="E2" s="4"/>
      <c r="F2" s="4"/>
      <c r="G2" s="4"/>
      <c r="H2" s="4"/>
      <c r="I2" s="4"/>
      <c r="J2" s="4"/>
      <c r="P2" s="84"/>
    </row>
    <row r="3" spans="1:16" s="5" customFormat="1">
      <c r="A3" s="473" t="s">
        <v>1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</row>
    <row r="4" spans="1:16" ht="15.75" thickBot="1">
      <c r="A4" s="13"/>
      <c r="B4" s="13"/>
      <c r="C4" s="9"/>
      <c r="D4" s="1"/>
      <c r="E4" s="1"/>
      <c r="F4" s="1"/>
      <c r="G4" s="1"/>
      <c r="H4" s="1"/>
      <c r="I4" s="1"/>
      <c r="J4" s="1"/>
    </row>
    <row r="5" spans="1:16" ht="39" thickBot="1">
      <c r="A5" s="43" t="s">
        <v>2</v>
      </c>
      <c r="B5" s="82" t="s">
        <v>3</v>
      </c>
      <c r="C5" s="44" t="s">
        <v>4</v>
      </c>
      <c r="D5" s="44" t="s">
        <v>5</v>
      </c>
      <c r="E5" s="44" t="s">
        <v>6</v>
      </c>
      <c r="F5" s="44" t="s">
        <v>7</v>
      </c>
      <c r="G5" s="44" t="s">
        <v>8</v>
      </c>
      <c r="H5" s="44" t="s">
        <v>9</v>
      </c>
      <c r="I5" s="44" t="s">
        <v>10</v>
      </c>
      <c r="J5" s="81" t="s">
        <v>11</v>
      </c>
      <c r="K5" s="133" t="s">
        <v>12</v>
      </c>
      <c r="L5" s="85" t="s">
        <v>13</v>
      </c>
      <c r="M5" s="119" t="s">
        <v>14</v>
      </c>
      <c r="N5" s="119" t="s">
        <v>15</v>
      </c>
      <c r="O5" s="119" t="s">
        <v>16</v>
      </c>
      <c r="P5" s="86" t="s">
        <v>17</v>
      </c>
    </row>
    <row r="6" spans="1:16" ht="36">
      <c r="A6" s="463">
        <v>240.4</v>
      </c>
      <c r="B6" s="463">
        <v>240.4</v>
      </c>
      <c r="C6" s="18" t="s">
        <v>18</v>
      </c>
      <c r="D6" s="463" t="s">
        <v>19</v>
      </c>
      <c r="E6" s="474" t="s">
        <v>20</v>
      </c>
      <c r="F6" s="474"/>
      <c r="G6" s="474"/>
      <c r="H6" s="474"/>
      <c r="I6" s="474"/>
      <c r="J6" s="475"/>
      <c r="K6" s="290" t="s">
        <v>21</v>
      </c>
      <c r="L6" s="291">
        <v>0</v>
      </c>
      <c r="M6" s="291">
        <v>0</v>
      </c>
      <c r="N6" s="291">
        <v>0</v>
      </c>
      <c r="O6" s="291">
        <f>SUM(L6:N6)</f>
        <v>0</v>
      </c>
      <c r="P6" s="292"/>
    </row>
    <row r="7" spans="1:16" ht="24">
      <c r="A7" s="463">
        <v>240.5</v>
      </c>
      <c r="B7" s="463">
        <v>240.5</v>
      </c>
      <c r="C7" s="18" t="s">
        <v>22</v>
      </c>
      <c r="D7" s="463" t="s">
        <v>23</v>
      </c>
      <c r="E7" s="474" t="s">
        <v>20</v>
      </c>
      <c r="F7" s="474"/>
      <c r="G7" s="474"/>
      <c r="H7" s="474"/>
      <c r="I7" s="474"/>
      <c r="J7" s="475"/>
      <c r="K7" s="293" t="s">
        <v>21</v>
      </c>
      <c r="L7" s="294">
        <v>0</v>
      </c>
      <c r="M7" s="294">
        <v>0</v>
      </c>
      <c r="N7" s="294">
        <v>0</v>
      </c>
      <c r="O7" s="294">
        <f>SUM(L7:N7)</f>
        <v>0</v>
      </c>
      <c r="P7" s="292"/>
    </row>
    <row r="8" spans="1:16" ht="24">
      <c r="A8" s="464">
        <v>240.6</v>
      </c>
      <c r="B8" s="464">
        <v>240.6</v>
      </c>
      <c r="C8" s="17" t="s">
        <v>24</v>
      </c>
      <c r="D8" s="464" t="s">
        <v>23</v>
      </c>
      <c r="E8" s="476" t="s">
        <v>20</v>
      </c>
      <c r="F8" s="476"/>
      <c r="G8" s="476"/>
      <c r="H8" s="476"/>
      <c r="I8" s="476"/>
      <c r="J8" s="477"/>
      <c r="K8" s="293" t="s">
        <v>21</v>
      </c>
      <c r="L8" s="294">
        <v>0</v>
      </c>
      <c r="M8" s="294">
        <v>0</v>
      </c>
      <c r="N8" s="294">
        <v>0</v>
      </c>
      <c r="O8" s="294">
        <f>SUM(L8:N8)</f>
        <v>0</v>
      </c>
      <c r="P8" s="292"/>
    </row>
    <row r="9" spans="1:16" ht="24">
      <c r="A9" s="464" t="s">
        <v>25</v>
      </c>
      <c r="B9" s="464" t="s">
        <v>25</v>
      </c>
      <c r="C9" s="17" t="s">
        <v>26</v>
      </c>
      <c r="D9" s="464"/>
      <c r="E9" s="31">
        <v>50</v>
      </c>
      <c r="F9" s="31" t="s">
        <v>27</v>
      </c>
      <c r="G9" s="24">
        <v>1</v>
      </c>
      <c r="H9" s="24">
        <f t="shared" ref="H9:H17" si="0">(E9*G9)</f>
        <v>50</v>
      </c>
      <c r="I9" s="24">
        <v>2</v>
      </c>
      <c r="J9" s="25">
        <f t="shared" ref="J9:J17" si="1">(H9*I9)</f>
        <v>100</v>
      </c>
      <c r="K9" s="295">
        <v>100</v>
      </c>
      <c r="L9" s="296">
        <f>+J9-K9</f>
        <v>0</v>
      </c>
      <c r="M9" s="296">
        <v>0</v>
      </c>
      <c r="N9" s="296">
        <v>0</v>
      </c>
      <c r="O9" s="294">
        <f t="shared" ref="O9:O13" si="2">SUM(L9:N9)</f>
        <v>0</v>
      </c>
      <c r="P9" s="297"/>
    </row>
    <row r="10" spans="1:16" s="3" customFormat="1" ht="84">
      <c r="A10" s="337" t="s">
        <v>28</v>
      </c>
      <c r="B10" s="337" t="s">
        <v>29</v>
      </c>
      <c r="C10" s="340" t="s">
        <v>30</v>
      </c>
      <c r="D10" s="337"/>
      <c r="E10" s="333">
        <v>59</v>
      </c>
      <c r="F10" s="333"/>
      <c r="G10" s="334">
        <v>1</v>
      </c>
      <c r="H10" s="334">
        <v>59</v>
      </c>
      <c r="I10" s="334">
        <v>4</v>
      </c>
      <c r="J10" s="335">
        <v>236</v>
      </c>
      <c r="K10" s="341">
        <v>0</v>
      </c>
      <c r="L10" s="336">
        <v>236</v>
      </c>
      <c r="M10" s="336">
        <v>0</v>
      </c>
      <c r="N10" s="336">
        <v>0</v>
      </c>
      <c r="O10" s="342">
        <v>236</v>
      </c>
      <c r="P10" s="337"/>
    </row>
    <row r="11" spans="1:16" ht="24">
      <c r="A11" s="464" t="s">
        <v>31</v>
      </c>
      <c r="B11" s="464" t="s">
        <v>31</v>
      </c>
      <c r="C11" s="17" t="s">
        <v>32</v>
      </c>
      <c r="D11" s="464"/>
      <c r="E11" s="31">
        <v>1</v>
      </c>
      <c r="F11" s="31" t="s">
        <v>27</v>
      </c>
      <c r="G11" s="24">
        <v>1</v>
      </c>
      <c r="H11" s="24">
        <f t="shared" si="0"/>
        <v>1</v>
      </c>
      <c r="I11" s="24">
        <v>50</v>
      </c>
      <c r="J11" s="25">
        <f t="shared" si="1"/>
        <v>50</v>
      </c>
      <c r="K11" s="295">
        <v>50</v>
      </c>
      <c r="L11" s="296">
        <f t="shared" ref="L11:L13" si="3">+J11-K11</f>
        <v>0</v>
      </c>
      <c r="M11" s="296">
        <v>0</v>
      </c>
      <c r="N11" s="296">
        <v>0</v>
      </c>
      <c r="O11" s="294">
        <f t="shared" si="2"/>
        <v>0</v>
      </c>
      <c r="P11" s="297"/>
    </row>
    <row r="12" spans="1:16" ht="24">
      <c r="A12" s="464" t="s">
        <v>33</v>
      </c>
      <c r="B12" s="464" t="s">
        <v>33</v>
      </c>
      <c r="C12" s="17" t="s">
        <v>34</v>
      </c>
      <c r="D12" s="464"/>
      <c r="E12" s="31">
        <v>45</v>
      </c>
      <c r="F12" s="31" t="s">
        <v>27</v>
      </c>
      <c r="G12" s="24">
        <v>1</v>
      </c>
      <c r="H12" s="24">
        <f t="shared" si="0"/>
        <v>45</v>
      </c>
      <c r="I12" s="24">
        <v>5.25</v>
      </c>
      <c r="J12" s="25">
        <f t="shared" si="1"/>
        <v>236.25</v>
      </c>
      <c r="K12" s="295">
        <v>236.25</v>
      </c>
      <c r="L12" s="296">
        <v>0</v>
      </c>
      <c r="M12" s="296">
        <v>0</v>
      </c>
      <c r="N12" s="296">
        <v>0</v>
      </c>
      <c r="O12" s="294">
        <f t="shared" si="2"/>
        <v>0</v>
      </c>
      <c r="P12" s="297"/>
    </row>
    <row r="13" spans="1:16" ht="24">
      <c r="A13" s="464" t="s">
        <v>35</v>
      </c>
      <c r="B13" s="464" t="s">
        <v>35</v>
      </c>
      <c r="C13" s="17" t="s">
        <v>36</v>
      </c>
      <c r="D13" s="464"/>
      <c r="E13" s="31">
        <v>30</v>
      </c>
      <c r="F13" s="31" t="s">
        <v>27</v>
      </c>
      <c r="G13" s="24">
        <v>1</v>
      </c>
      <c r="H13" s="24">
        <f t="shared" si="0"/>
        <v>30</v>
      </c>
      <c r="I13" s="24">
        <v>2</v>
      </c>
      <c r="J13" s="25">
        <f t="shared" si="1"/>
        <v>60</v>
      </c>
      <c r="K13" s="295">
        <v>60</v>
      </c>
      <c r="L13" s="296">
        <f t="shared" si="3"/>
        <v>0</v>
      </c>
      <c r="M13" s="296">
        <v>0</v>
      </c>
      <c r="N13" s="296">
        <v>0</v>
      </c>
      <c r="O13" s="294">
        <f t="shared" si="2"/>
        <v>0</v>
      </c>
      <c r="P13" s="297"/>
    </row>
    <row r="14" spans="1:16" ht="24">
      <c r="A14" s="464" t="s">
        <v>37</v>
      </c>
      <c r="B14" s="464" t="s">
        <v>37</v>
      </c>
      <c r="C14" s="17" t="s">
        <v>38</v>
      </c>
      <c r="D14" s="464"/>
      <c r="E14" s="31">
        <v>60</v>
      </c>
      <c r="F14" s="31" t="s">
        <v>27</v>
      </c>
      <c r="G14" s="24">
        <v>1</v>
      </c>
      <c r="H14" s="24">
        <f t="shared" si="0"/>
        <v>60</v>
      </c>
      <c r="I14" s="24">
        <v>1</v>
      </c>
      <c r="J14" s="25">
        <f t="shared" si="1"/>
        <v>60</v>
      </c>
      <c r="K14" s="295">
        <v>60</v>
      </c>
      <c r="L14" s="296">
        <v>0</v>
      </c>
      <c r="M14" s="296">
        <v>0</v>
      </c>
      <c r="N14" s="296">
        <v>0</v>
      </c>
      <c r="O14" s="294">
        <f t="shared" ref="O14:O73" si="4">SUM(L14:N14)</f>
        <v>0</v>
      </c>
      <c r="P14" s="297"/>
    </row>
    <row r="15" spans="1:16" ht="24">
      <c r="A15" s="464" t="s">
        <v>39</v>
      </c>
      <c r="B15" s="464" t="s">
        <v>39</v>
      </c>
      <c r="C15" s="17" t="s">
        <v>40</v>
      </c>
      <c r="D15" s="464"/>
      <c r="E15" s="31">
        <v>5</v>
      </c>
      <c r="F15" s="31" t="s">
        <v>27</v>
      </c>
      <c r="G15" s="24">
        <v>1</v>
      </c>
      <c r="H15" s="24">
        <f t="shared" si="0"/>
        <v>5</v>
      </c>
      <c r="I15" s="24">
        <v>5</v>
      </c>
      <c r="J15" s="25">
        <f t="shared" si="1"/>
        <v>25</v>
      </c>
      <c r="K15" s="295">
        <v>25</v>
      </c>
      <c r="L15" s="296">
        <v>0</v>
      </c>
      <c r="M15" s="296">
        <v>0</v>
      </c>
      <c r="N15" s="296">
        <f>+J15-K15</f>
        <v>0</v>
      </c>
      <c r="O15" s="294">
        <f t="shared" si="4"/>
        <v>0</v>
      </c>
      <c r="P15" s="297"/>
    </row>
    <row r="16" spans="1:16" ht="24">
      <c r="A16" s="464">
        <v>247.26</v>
      </c>
      <c r="B16" s="464">
        <v>247.26</v>
      </c>
      <c r="C16" s="17" t="s">
        <v>41</v>
      </c>
      <c r="D16" s="464" t="s">
        <v>42</v>
      </c>
      <c r="E16" s="31">
        <v>45</v>
      </c>
      <c r="F16" s="31" t="s">
        <v>27</v>
      </c>
      <c r="G16" s="24">
        <v>1</v>
      </c>
      <c r="H16" s="24">
        <f t="shared" si="0"/>
        <v>45</v>
      </c>
      <c r="I16" s="24">
        <v>8</v>
      </c>
      <c r="J16" s="25">
        <f t="shared" si="1"/>
        <v>360</v>
      </c>
      <c r="K16" s="295">
        <v>360</v>
      </c>
      <c r="L16" s="296">
        <v>0</v>
      </c>
      <c r="M16" s="296">
        <v>0</v>
      </c>
      <c r="N16" s="296">
        <v>0</v>
      </c>
      <c r="O16" s="294">
        <f t="shared" si="4"/>
        <v>0</v>
      </c>
      <c r="P16" s="297"/>
    </row>
    <row r="17" spans="1:16" ht="24">
      <c r="A17" s="464" t="s">
        <v>43</v>
      </c>
      <c r="B17" s="464" t="s">
        <v>43</v>
      </c>
      <c r="C17" s="17" t="s">
        <v>44</v>
      </c>
      <c r="D17" s="464" t="s">
        <v>45</v>
      </c>
      <c r="E17" s="31">
        <v>45</v>
      </c>
      <c r="F17" s="31" t="s">
        <v>27</v>
      </c>
      <c r="G17" s="24">
        <v>12</v>
      </c>
      <c r="H17" s="24">
        <f t="shared" si="0"/>
        <v>540</v>
      </c>
      <c r="I17" s="24">
        <v>6</v>
      </c>
      <c r="J17" s="25">
        <f t="shared" si="1"/>
        <v>3240</v>
      </c>
      <c r="K17" s="295">
        <v>3240</v>
      </c>
      <c r="L17" s="296">
        <v>0</v>
      </c>
      <c r="M17" s="296">
        <v>0</v>
      </c>
      <c r="N17" s="296">
        <v>0</v>
      </c>
      <c r="O17" s="294">
        <f t="shared" si="4"/>
        <v>0</v>
      </c>
      <c r="P17" s="297"/>
    </row>
    <row r="18" spans="1:16" ht="24">
      <c r="A18" s="464" t="s">
        <v>46</v>
      </c>
      <c r="B18" s="464" t="s">
        <v>46</v>
      </c>
      <c r="C18" s="17" t="s">
        <v>47</v>
      </c>
      <c r="D18" s="464"/>
      <c r="E18" s="31">
        <v>42</v>
      </c>
      <c r="F18" s="31" t="s">
        <v>27</v>
      </c>
      <c r="G18" s="24">
        <v>4</v>
      </c>
      <c r="H18" s="24">
        <f t="shared" ref="H18:H24" si="5">(E18*G18)</f>
        <v>168</v>
      </c>
      <c r="I18" s="24">
        <v>30</v>
      </c>
      <c r="J18" s="25">
        <f>(H18*I18)</f>
        <v>5040</v>
      </c>
      <c r="K18" s="298">
        <v>5040</v>
      </c>
      <c r="L18" s="296">
        <v>0</v>
      </c>
      <c r="M18" s="296">
        <v>0</v>
      </c>
      <c r="N18" s="296">
        <f>+J18-K18</f>
        <v>0</v>
      </c>
      <c r="O18" s="294">
        <f t="shared" si="4"/>
        <v>0</v>
      </c>
      <c r="P18" s="297"/>
    </row>
    <row r="19" spans="1:16" ht="24">
      <c r="A19" s="464">
        <v>247.34</v>
      </c>
      <c r="B19" s="464">
        <v>247.34</v>
      </c>
      <c r="C19" s="17" t="s">
        <v>48</v>
      </c>
      <c r="D19" s="464"/>
      <c r="E19" s="31">
        <v>42</v>
      </c>
      <c r="F19" s="31" t="s">
        <v>27</v>
      </c>
      <c r="G19" s="24">
        <v>2</v>
      </c>
      <c r="H19" s="24">
        <f t="shared" si="5"/>
        <v>84</v>
      </c>
      <c r="I19" s="24">
        <v>8</v>
      </c>
      <c r="J19" s="25">
        <f>(H19*I19)</f>
        <v>672</v>
      </c>
      <c r="K19" s="298">
        <v>672</v>
      </c>
      <c r="L19" s="296">
        <v>0</v>
      </c>
      <c r="M19" s="296">
        <v>0</v>
      </c>
      <c r="N19" s="296">
        <f>+J19-K19</f>
        <v>0</v>
      </c>
      <c r="O19" s="294">
        <f t="shared" si="4"/>
        <v>0</v>
      </c>
      <c r="P19" s="297"/>
    </row>
    <row r="20" spans="1:16" ht="24">
      <c r="A20" s="464" t="s">
        <v>49</v>
      </c>
      <c r="B20" s="464" t="s">
        <v>49</v>
      </c>
      <c r="C20" s="17" t="s">
        <v>50</v>
      </c>
      <c r="D20" s="464"/>
      <c r="E20" s="31">
        <v>57</v>
      </c>
      <c r="F20" s="31" t="s">
        <v>51</v>
      </c>
      <c r="G20" s="24">
        <v>1</v>
      </c>
      <c r="H20" s="24">
        <f t="shared" si="5"/>
        <v>57</v>
      </c>
      <c r="I20" s="299">
        <v>0.33</v>
      </c>
      <c r="J20" s="25">
        <f>(H20*I20)</f>
        <v>18.810000000000002</v>
      </c>
      <c r="K20" s="298">
        <v>18.810000000000002</v>
      </c>
      <c r="L20" s="300">
        <v>0</v>
      </c>
      <c r="M20" s="300">
        <v>0</v>
      </c>
      <c r="N20" s="300">
        <f>+J20-K20</f>
        <v>0</v>
      </c>
      <c r="O20" s="301">
        <f t="shared" si="4"/>
        <v>0</v>
      </c>
      <c r="P20" s="297"/>
    </row>
    <row r="21" spans="1:16" ht="102.2" customHeight="1">
      <c r="A21" s="464" t="s">
        <v>52</v>
      </c>
      <c r="B21" s="464" t="s">
        <v>52</v>
      </c>
      <c r="C21" s="17" t="s">
        <v>53</v>
      </c>
      <c r="D21" s="464"/>
      <c r="E21" s="31">
        <v>230</v>
      </c>
      <c r="F21" s="31" t="s">
        <v>54</v>
      </c>
      <c r="G21" s="24">
        <v>1</v>
      </c>
      <c r="H21" s="24">
        <f t="shared" si="5"/>
        <v>230</v>
      </c>
      <c r="I21" s="24">
        <v>2</v>
      </c>
      <c r="J21" s="24">
        <f t="shared" ref="J21:J22" si="6">(H21*I21)</f>
        <v>460</v>
      </c>
      <c r="K21" s="298">
        <v>460</v>
      </c>
      <c r="L21" s="300">
        <v>0</v>
      </c>
      <c r="M21" s="300">
        <v>0</v>
      </c>
      <c r="N21" s="300">
        <f>+J21-K21</f>
        <v>0</v>
      </c>
      <c r="O21" s="301">
        <f>SUM(L21:N21)</f>
        <v>0</v>
      </c>
      <c r="P21" s="297"/>
    </row>
    <row r="22" spans="1:16" ht="36.75" customHeight="1">
      <c r="A22" s="464" t="s">
        <v>55</v>
      </c>
      <c r="B22" s="464" t="s">
        <v>55</v>
      </c>
      <c r="C22" s="17" t="s">
        <v>56</v>
      </c>
      <c r="D22" s="464"/>
      <c r="E22" s="31">
        <v>10926</v>
      </c>
      <c r="F22" s="31" t="s">
        <v>54</v>
      </c>
      <c r="G22" s="24">
        <v>1</v>
      </c>
      <c r="H22" s="24">
        <f t="shared" si="5"/>
        <v>10926</v>
      </c>
      <c r="I22" s="24">
        <v>0.25</v>
      </c>
      <c r="J22" s="24">
        <f t="shared" si="6"/>
        <v>2731.5</v>
      </c>
      <c r="K22" s="298">
        <v>2731.5</v>
      </c>
      <c r="L22" s="300">
        <f t="shared" ref="L22" si="7">+J22-K22</f>
        <v>0</v>
      </c>
      <c r="M22" s="300">
        <v>0</v>
      </c>
      <c r="N22" s="300">
        <v>0</v>
      </c>
      <c r="O22" s="301">
        <f t="shared" ref="O22" si="8">SUM(L22:N22)</f>
        <v>0</v>
      </c>
      <c r="P22" s="297"/>
    </row>
    <row r="23" spans="1:16" ht="36">
      <c r="A23" s="464" t="s">
        <v>57</v>
      </c>
      <c r="B23" s="464" t="s">
        <v>57</v>
      </c>
      <c r="C23" s="17" t="s">
        <v>58</v>
      </c>
      <c r="D23" s="464"/>
      <c r="E23" s="31">
        <v>100</v>
      </c>
      <c r="F23" s="31" t="s">
        <v>54</v>
      </c>
      <c r="G23" s="24">
        <v>225</v>
      </c>
      <c r="H23" s="24">
        <f t="shared" si="5"/>
        <v>22500</v>
      </c>
      <c r="I23" s="24">
        <v>0.05</v>
      </c>
      <c r="J23" s="24">
        <f t="shared" ref="J23:J40" si="9">(H23*I23)</f>
        <v>1125</v>
      </c>
      <c r="K23" s="298">
        <v>1125</v>
      </c>
      <c r="L23" s="300">
        <f>+J23-K23</f>
        <v>0</v>
      </c>
      <c r="M23" s="300">
        <v>0</v>
      </c>
      <c r="N23" s="300">
        <v>0</v>
      </c>
      <c r="O23" s="301">
        <f t="shared" si="4"/>
        <v>0</v>
      </c>
      <c r="P23" s="297"/>
    </row>
    <row r="24" spans="1:16" ht="24">
      <c r="A24" s="464" t="s">
        <v>59</v>
      </c>
      <c r="B24" s="464" t="s">
        <v>59</v>
      </c>
      <c r="C24" s="17" t="s">
        <v>60</v>
      </c>
      <c r="D24" s="464" t="s">
        <v>61</v>
      </c>
      <c r="E24" s="31">
        <v>100</v>
      </c>
      <c r="F24" s="31" t="s">
        <v>54</v>
      </c>
      <c r="G24" s="24">
        <v>5</v>
      </c>
      <c r="H24" s="24">
        <f t="shared" si="5"/>
        <v>500</v>
      </c>
      <c r="I24" s="24">
        <v>0.05</v>
      </c>
      <c r="J24" s="24">
        <f t="shared" si="9"/>
        <v>25</v>
      </c>
      <c r="K24" s="298">
        <v>25</v>
      </c>
      <c r="L24" s="300">
        <v>0</v>
      </c>
      <c r="M24" s="300">
        <v>0</v>
      </c>
      <c r="N24" s="300">
        <f>+J24-K24</f>
        <v>0</v>
      </c>
      <c r="O24" s="301">
        <f t="shared" si="4"/>
        <v>0</v>
      </c>
      <c r="P24" s="297"/>
    </row>
    <row r="25" spans="1:16" ht="24" customHeight="1">
      <c r="A25" s="470" t="s">
        <v>62</v>
      </c>
      <c r="B25" s="470" t="s">
        <v>62</v>
      </c>
      <c r="C25" s="17" t="s">
        <v>63</v>
      </c>
      <c r="D25" s="464" t="s">
        <v>64</v>
      </c>
      <c r="E25" s="31"/>
      <c r="F25" s="31"/>
      <c r="G25" s="24"/>
      <c r="H25" s="24"/>
      <c r="I25" s="24"/>
      <c r="J25" s="24"/>
      <c r="K25" s="298">
        <v>0</v>
      </c>
      <c r="L25" s="300"/>
      <c r="M25" s="300"/>
      <c r="N25" s="300"/>
      <c r="O25" s="301"/>
      <c r="P25" s="297"/>
    </row>
    <row r="26" spans="1:16">
      <c r="A26" s="470"/>
      <c r="B26" s="470"/>
      <c r="C26" s="302" t="s">
        <v>65</v>
      </c>
      <c r="D26" s="303"/>
      <c r="E26" s="31">
        <v>100</v>
      </c>
      <c r="F26" s="31" t="s">
        <v>54</v>
      </c>
      <c r="G26" s="24">
        <v>303</v>
      </c>
      <c r="H26" s="24">
        <f t="shared" ref="H26:H34" si="10">(E26*G26)</f>
        <v>30300</v>
      </c>
      <c r="I26" s="24">
        <v>0.02</v>
      </c>
      <c r="J26" s="24">
        <f>(H26*I26)</f>
        <v>606</v>
      </c>
      <c r="K26" s="298">
        <v>606</v>
      </c>
      <c r="L26" s="300">
        <v>0</v>
      </c>
      <c r="M26" s="300">
        <v>0</v>
      </c>
      <c r="N26" s="300">
        <f>+J26-K26</f>
        <v>0</v>
      </c>
      <c r="O26" s="301">
        <f>SUM(L26:N26)</f>
        <v>0</v>
      </c>
      <c r="P26" s="297"/>
    </row>
    <row r="27" spans="1:16">
      <c r="A27" s="470"/>
      <c r="B27" s="470"/>
      <c r="C27" s="302" t="s">
        <v>66</v>
      </c>
      <c r="D27" s="303"/>
      <c r="E27" s="31">
        <v>100</v>
      </c>
      <c r="F27" s="31" t="s">
        <v>54</v>
      </c>
      <c r="G27" s="24">
        <v>303</v>
      </c>
      <c r="H27" s="24">
        <f t="shared" si="10"/>
        <v>30300</v>
      </c>
      <c r="I27" s="24">
        <v>0.02</v>
      </c>
      <c r="J27" s="24">
        <f t="shared" ref="J27" si="11">(H27*I27)</f>
        <v>606</v>
      </c>
      <c r="K27" s="298">
        <v>606</v>
      </c>
      <c r="L27" s="300">
        <f t="shared" ref="L27" si="12">+J27-K27</f>
        <v>0</v>
      </c>
      <c r="M27" s="300">
        <v>0</v>
      </c>
      <c r="N27" s="300">
        <v>0</v>
      </c>
      <c r="O27" s="301">
        <f t="shared" ref="O27" si="13">SUM(L27:N27)</f>
        <v>0</v>
      </c>
      <c r="P27" s="297"/>
    </row>
    <row r="28" spans="1:16" ht="24">
      <c r="A28" s="464" t="s">
        <v>67</v>
      </c>
      <c r="B28" s="464" t="s">
        <v>67</v>
      </c>
      <c r="C28" s="17" t="s">
        <v>68</v>
      </c>
      <c r="D28" s="464"/>
      <c r="E28" s="31">
        <v>35</v>
      </c>
      <c r="F28" s="31" t="s">
        <v>51</v>
      </c>
      <c r="G28" s="24">
        <v>1</v>
      </c>
      <c r="H28" s="24">
        <f t="shared" si="10"/>
        <v>35</v>
      </c>
      <c r="I28" s="24">
        <v>0.25</v>
      </c>
      <c r="J28" s="25">
        <f t="shared" si="9"/>
        <v>8.75</v>
      </c>
      <c r="K28" s="298">
        <v>8.75</v>
      </c>
      <c r="L28" s="300">
        <v>0</v>
      </c>
      <c r="M28" s="300">
        <f>+J28-K28</f>
        <v>0</v>
      </c>
      <c r="N28" s="300">
        <v>0</v>
      </c>
      <c r="O28" s="301">
        <f t="shared" si="4"/>
        <v>0</v>
      </c>
      <c r="P28" s="297"/>
    </row>
    <row r="29" spans="1:16" ht="24">
      <c r="A29" s="464" t="s">
        <v>69</v>
      </c>
      <c r="B29" s="464" t="s">
        <v>69</v>
      </c>
      <c r="C29" s="17" t="s">
        <v>70</v>
      </c>
      <c r="D29" s="464"/>
      <c r="E29" s="31">
        <v>100</v>
      </c>
      <c r="F29" s="31" t="s">
        <v>51</v>
      </c>
      <c r="G29" s="24">
        <v>1</v>
      </c>
      <c r="H29" s="24">
        <f t="shared" si="10"/>
        <v>100</v>
      </c>
      <c r="I29" s="24">
        <v>1</v>
      </c>
      <c r="J29" s="25">
        <f t="shared" si="9"/>
        <v>100</v>
      </c>
      <c r="K29" s="298">
        <v>100</v>
      </c>
      <c r="L29" s="300">
        <v>0</v>
      </c>
      <c r="M29" s="300">
        <v>0</v>
      </c>
      <c r="N29" s="300">
        <f>+J29-K29</f>
        <v>0</v>
      </c>
      <c r="O29" s="301">
        <f t="shared" si="4"/>
        <v>0</v>
      </c>
      <c r="P29" s="297"/>
    </row>
    <row r="30" spans="1:16" ht="36">
      <c r="A30" s="464" t="s">
        <v>71</v>
      </c>
      <c r="B30" s="464" t="s">
        <v>71</v>
      </c>
      <c r="C30" s="17" t="s">
        <v>72</v>
      </c>
      <c r="D30" s="464"/>
      <c r="E30" s="31">
        <v>15</v>
      </c>
      <c r="F30" s="31" t="s">
        <v>51</v>
      </c>
      <c r="G30" s="24">
        <v>1</v>
      </c>
      <c r="H30" s="24">
        <f t="shared" si="10"/>
        <v>15</v>
      </c>
      <c r="I30" s="24">
        <v>0.25</v>
      </c>
      <c r="J30" s="25">
        <f t="shared" si="9"/>
        <v>3.75</v>
      </c>
      <c r="K30" s="298">
        <v>3.75</v>
      </c>
      <c r="L30" s="300">
        <v>0</v>
      </c>
      <c r="M30" s="300">
        <f t="shared" ref="M30" si="14">+J30-K30</f>
        <v>0</v>
      </c>
      <c r="N30" s="300">
        <v>0</v>
      </c>
      <c r="O30" s="301">
        <f t="shared" si="4"/>
        <v>0</v>
      </c>
      <c r="P30" s="297"/>
    </row>
    <row r="31" spans="1:16" ht="24">
      <c r="A31" s="464" t="s">
        <v>73</v>
      </c>
      <c r="B31" s="464" t="s">
        <v>73</v>
      </c>
      <c r="C31" s="17" t="s">
        <v>74</v>
      </c>
      <c r="D31" s="464"/>
      <c r="E31" s="31">
        <v>20</v>
      </c>
      <c r="F31" s="31" t="s">
        <v>51</v>
      </c>
      <c r="G31" s="24">
        <v>1</v>
      </c>
      <c r="H31" s="24">
        <f t="shared" si="10"/>
        <v>20</v>
      </c>
      <c r="I31" s="24">
        <v>0.25</v>
      </c>
      <c r="J31" s="25">
        <f t="shared" si="9"/>
        <v>5</v>
      </c>
      <c r="K31" s="298">
        <v>5</v>
      </c>
      <c r="L31" s="300">
        <v>0</v>
      </c>
      <c r="M31" s="300">
        <v>0</v>
      </c>
      <c r="N31" s="300">
        <f>+J31-K31</f>
        <v>0</v>
      </c>
      <c r="O31" s="301">
        <f t="shared" si="4"/>
        <v>0</v>
      </c>
      <c r="P31" s="297"/>
    </row>
    <row r="32" spans="1:16" ht="36">
      <c r="A32" s="464" t="s">
        <v>75</v>
      </c>
      <c r="B32" s="464" t="s">
        <v>75</v>
      </c>
      <c r="C32" s="17" t="s">
        <v>76</v>
      </c>
      <c r="D32" s="464"/>
      <c r="E32" s="31">
        <v>1</v>
      </c>
      <c r="F32" s="31" t="s">
        <v>77</v>
      </c>
      <c r="G32" s="24">
        <v>1</v>
      </c>
      <c r="H32" s="24">
        <f t="shared" si="10"/>
        <v>1</v>
      </c>
      <c r="I32" s="24">
        <v>10</v>
      </c>
      <c r="J32" s="25">
        <f t="shared" si="9"/>
        <v>10</v>
      </c>
      <c r="K32" s="298">
        <v>10</v>
      </c>
      <c r="L32" s="300">
        <v>0</v>
      </c>
      <c r="M32" s="300">
        <v>0</v>
      </c>
      <c r="N32" s="300">
        <f>+J32-K32</f>
        <v>0</v>
      </c>
      <c r="O32" s="301">
        <f t="shared" si="4"/>
        <v>0</v>
      </c>
      <c r="P32" s="297"/>
    </row>
    <row r="33" spans="1:18" s="3" customFormat="1" ht="48">
      <c r="A33" s="464" t="s">
        <v>78</v>
      </c>
      <c r="B33" s="464" t="s">
        <v>78</v>
      </c>
      <c r="C33" s="17" t="s">
        <v>79</v>
      </c>
      <c r="D33" s="464"/>
      <c r="E33" s="31">
        <v>560</v>
      </c>
      <c r="F33" s="31" t="s">
        <v>80</v>
      </c>
      <c r="G33" s="24">
        <v>1</v>
      </c>
      <c r="H33" s="24">
        <f t="shared" si="10"/>
        <v>560</v>
      </c>
      <c r="I33" s="24">
        <v>0.25</v>
      </c>
      <c r="J33" s="24">
        <f>(H33*I33)</f>
        <v>140</v>
      </c>
      <c r="K33" s="298">
        <v>140</v>
      </c>
      <c r="L33" s="300">
        <f t="shared" ref="L33" si="15">+J33-K33</f>
        <v>0</v>
      </c>
      <c r="M33" s="300">
        <v>0</v>
      </c>
      <c r="N33" s="300">
        <v>0</v>
      </c>
      <c r="O33" s="301">
        <f t="shared" ref="O33" si="16">SUM(L33:N33)</f>
        <v>0</v>
      </c>
      <c r="P33" s="297"/>
    </row>
    <row r="34" spans="1:18" ht="36">
      <c r="A34" s="464" t="s">
        <v>81</v>
      </c>
      <c r="B34" s="464" t="s">
        <v>81</v>
      </c>
      <c r="C34" s="17" t="s">
        <v>82</v>
      </c>
      <c r="D34" s="464"/>
      <c r="E34" s="31">
        <v>10</v>
      </c>
      <c r="F34" s="31" t="s">
        <v>80</v>
      </c>
      <c r="G34" s="24">
        <v>1</v>
      </c>
      <c r="H34" s="24">
        <f t="shared" si="10"/>
        <v>10</v>
      </c>
      <c r="I34" s="24">
        <v>0.25</v>
      </c>
      <c r="J34" s="24">
        <f t="shared" si="9"/>
        <v>2.5</v>
      </c>
      <c r="K34" s="298">
        <v>2.5</v>
      </c>
      <c r="L34" s="300">
        <f t="shared" ref="L34" si="17">+J34-K34</f>
        <v>0</v>
      </c>
      <c r="M34" s="300">
        <v>0</v>
      </c>
      <c r="N34" s="300">
        <v>0</v>
      </c>
      <c r="O34" s="301">
        <f t="shared" si="4"/>
        <v>0</v>
      </c>
      <c r="P34" s="297"/>
    </row>
    <row r="35" spans="1:18">
      <c r="A35" s="470" t="s">
        <v>83</v>
      </c>
      <c r="B35" s="470" t="s">
        <v>83</v>
      </c>
      <c r="C35" s="17"/>
      <c r="D35" s="464"/>
      <c r="E35" s="31"/>
      <c r="F35" s="31"/>
      <c r="G35" s="24"/>
      <c r="H35" s="24"/>
      <c r="I35" s="24"/>
      <c r="J35" s="24"/>
      <c r="K35" s="304"/>
      <c r="L35" s="300"/>
      <c r="M35" s="300"/>
      <c r="N35" s="300"/>
      <c r="O35" s="301"/>
      <c r="P35" s="297"/>
    </row>
    <row r="36" spans="1:18" ht="14.45" customHeight="1">
      <c r="A36" s="470"/>
      <c r="B36" s="470"/>
      <c r="C36" s="17" t="s">
        <v>84</v>
      </c>
      <c r="D36" s="464"/>
      <c r="E36" s="31">
        <v>15</v>
      </c>
      <c r="F36" s="31" t="s">
        <v>51</v>
      </c>
      <c r="G36" s="24">
        <v>4</v>
      </c>
      <c r="H36" s="24">
        <f>(E36*G36)</f>
        <v>60</v>
      </c>
      <c r="I36" s="24">
        <v>24</v>
      </c>
      <c r="J36" s="24">
        <f t="shared" ref="J36" si="18">(H36*I36)</f>
        <v>1440</v>
      </c>
      <c r="K36" s="305">
        <v>1440</v>
      </c>
      <c r="L36" s="300">
        <v>0</v>
      </c>
      <c r="M36" s="300">
        <v>0</v>
      </c>
      <c r="N36" s="300">
        <f>+J36-K36</f>
        <v>0</v>
      </c>
      <c r="O36" s="301">
        <f t="shared" ref="O36" si="19">SUM(L36:N36)</f>
        <v>0</v>
      </c>
      <c r="P36" s="297"/>
    </row>
    <row r="37" spans="1:18" ht="24">
      <c r="A37" s="470"/>
      <c r="B37" s="470"/>
      <c r="C37" s="17" t="s">
        <v>85</v>
      </c>
      <c r="D37" s="464"/>
      <c r="E37" s="31">
        <v>485</v>
      </c>
      <c r="F37" s="31" t="s">
        <v>54</v>
      </c>
      <c r="G37" s="24">
        <v>1</v>
      </c>
      <c r="H37" s="24">
        <f>(E37*G37)</f>
        <v>485</v>
      </c>
      <c r="I37" s="24">
        <v>4</v>
      </c>
      <c r="J37" s="24">
        <f>(H37*I37)</f>
        <v>1940</v>
      </c>
      <c r="K37" s="305">
        <v>1940</v>
      </c>
      <c r="L37" s="300">
        <f t="shared" ref="L37" si="20">+J37-K37</f>
        <v>0</v>
      </c>
      <c r="M37" s="300">
        <v>0</v>
      </c>
      <c r="N37" s="300">
        <v>0</v>
      </c>
      <c r="O37" s="301">
        <f t="shared" ref="O37" si="21">SUM(L37:N37)</f>
        <v>0</v>
      </c>
      <c r="P37" s="297"/>
    </row>
    <row r="38" spans="1:18" s="5" customFormat="1" ht="24">
      <c r="A38" s="464" t="s">
        <v>86</v>
      </c>
      <c r="B38" s="464" t="s">
        <v>86</v>
      </c>
      <c r="C38" s="17" t="s">
        <v>87</v>
      </c>
      <c r="D38" s="464"/>
      <c r="E38" s="31">
        <v>78</v>
      </c>
      <c r="F38" s="31" t="s">
        <v>51</v>
      </c>
      <c r="G38" s="24">
        <v>8</v>
      </c>
      <c r="H38" s="24">
        <f>(E38*G38)</f>
        <v>624</v>
      </c>
      <c r="I38" s="24">
        <v>0.1</v>
      </c>
      <c r="J38" s="25">
        <f t="shared" si="9"/>
        <v>62.400000000000006</v>
      </c>
      <c r="K38" s="305">
        <v>62.400000000000006</v>
      </c>
      <c r="L38" s="300">
        <v>0</v>
      </c>
      <c r="M38" s="300">
        <v>0</v>
      </c>
      <c r="N38" s="300">
        <f>+J38-K38</f>
        <v>0</v>
      </c>
      <c r="O38" s="301">
        <f t="shared" si="4"/>
        <v>0</v>
      </c>
      <c r="P38" s="297"/>
    </row>
    <row r="39" spans="1:18" s="5" customFormat="1" ht="24">
      <c r="A39" s="464" t="s">
        <v>88</v>
      </c>
      <c r="B39" s="464" t="s">
        <v>88</v>
      </c>
      <c r="C39" s="17" t="s">
        <v>89</v>
      </c>
      <c r="D39" s="464"/>
      <c r="E39" s="31">
        <v>5</v>
      </c>
      <c r="F39" s="31" t="s">
        <v>77</v>
      </c>
      <c r="G39" s="24">
        <v>1</v>
      </c>
      <c r="H39" s="24">
        <f>(E39*G39)</f>
        <v>5</v>
      </c>
      <c r="I39" s="24">
        <v>0.33</v>
      </c>
      <c r="J39" s="25">
        <f t="shared" si="9"/>
        <v>1.6500000000000001</v>
      </c>
      <c r="K39" s="305">
        <v>1.6500000000000001</v>
      </c>
      <c r="L39" s="300">
        <v>0</v>
      </c>
      <c r="M39" s="300">
        <v>0</v>
      </c>
      <c r="N39" s="300">
        <f>+J39-K39</f>
        <v>0</v>
      </c>
      <c r="O39" s="301">
        <f t="shared" si="4"/>
        <v>0</v>
      </c>
      <c r="P39" s="297"/>
    </row>
    <row r="40" spans="1:18" s="5" customFormat="1" ht="24">
      <c r="A40" s="464" t="s">
        <v>90</v>
      </c>
      <c r="B40" s="464" t="s">
        <v>90</v>
      </c>
      <c r="C40" s="17" t="s">
        <v>91</v>
      </c>
      <c r="D40" s="464"/>
      <c r="E40" s="31">
        <v>10</v>
      </c>
      <c r="F40" s="31" t="s">
        <v>77</v>
      </c>
      <c r="G40" s="24">
        <v>1</v>
      </c>
      <c r="H40" s="24">
        <f>(E40*G40)</f>
        <v>10</v>
      </c>
      <c r="I40" s="24">
        <v>0.25</v>
      </c>
      <c r="J40" s="25">
        <f t="shared" si="9"/>
        <v>2.5</v>
      </c>
      <c r="K40" s="305">
        <v>2.5</v>
      </c>
      <c r="L40" s="300">
        <v>0</v>
      </c>
      <c r="M40" s="300">
        <f t="shared" ref="M40" si="22">+J40-K40</f>
        <v>0</v>
      </c>
      <c r="N40" s="300">
        <v>0</v>
      </c>
      <c r="O40" s="301">
        <f t="shared" si="4"/>
        <v>0</v>
      </c>
      <c r="P40" s="297"/>
    </row>
    <row r="41" spans="1:18" s="5" customFormat="1">
      <c r="A41" s="467" t="s">
        <v>92</v>
      </c>
      <c r="B41" s="467" t="s">
        <v>92</v>
      </c>
      <c r="C41" s="17" t="s">
        <v>93</v>
      </c>
      <c r="D41" s="20"/>
      <c r="E41" s="306"/>
      <c r="F41" s="306"/>
      <c r="G41" s="307"/>
      <c r="H41" s="307"/>
      <c r="I41" s="307"/>
      <c r="J41" s="308"/>
      <c r="K41" s="305">
        <v>0</v>
      </c>
      <c r="L41" s="300"/>
      <c r="M41" s="300"/>
      <c r="N41" s="300"/>
      <c r="O41" s="301"/>
      <c r="P41" s="297"/>
    </row>
    <row r="42" spans="1:18" s="5" customFormat="1" ht="24">
      <c r="A42" s="468"/>
      <c r="B42" s="468"/>
      <c r="C42" s="302" t="s">
        <v>94</v>
      </c>
      <c r="D42" s="464" t="s">
        <v>95</v>
      </c>
      <c r="E42" s="31">
        <v>115</v>
      </c>
      <c r="F42" s="31" t="s">
        <v>96</v>
      </c>
      <c r="G42" s="24">
        <v>12</v>
      </c>
      <c r="H42" s="24">
        <f t="shared" ref="H42:H49" si="23">(E42*G42)</f>
        <v>1380</v>
      </c>
      <c r="I42" s="24">
        <v>2.5</v>
      </c>
      <c r="J42" s="25">
        <f t="shared" ref="J42:J48" si="24">(H42*I42)</f>
        <v>3450</v>
      </c>
      <c r="K42" s="305">
        <v>3450</v>
      </c>
      <c r="L42" s="300">
        <v>0</v>
      </c>
      <c r="M42" s="300">
        <v>0</v>
      </c>
      <c r="N42" s="300">
        <f t="shared" ref="N42:N43" si="25">+J42-K42</f>
        <v>0</v>
      </c>
      <c r="O42" s="301">
        <f t="shared" si="4"/>
        <v>0</v>
      </c>
      <c r="P42" s="297"/>
    </row>
    <row r="43" spans="1:18" s="5" customFormat="1" ht="36">
      <c r="A43" s="469"/>
      <c r="B43" s="469"/>
      <c r="C43" s="302" t="s">
        <v>97</v>
      </c>
      <c r="D43" s="464" t="s">
        <v>98</v>
      </c>
      <c r="E43" s="31">
        <v>106</v>
      </c>
      <c r="F43" s="31" t="s">
        <v>51</v>
      </c>
      <c r="G43" s="24">
        <v>2</v>
      </c>
      <c r="H43" s="24">
        <f t="shared" si="23"/>
        <v>212</v>
      </c>
      <c r="I43" s="24">
        <v>2.5</v>
      </c>
      <c r="J43" s="25">
        <f t="shared" si="24"/>
        <v>530</v>
      </c>
      <c r="K43" s="305">
        <v>530</v>
      </c>
      <c r="L43" s="300">
        <v>0</v>
      </c>
      <c r="M43" s="300">
        <v>0</v>
      </c>
      <c r="N43" s="300">
        <f t="shared" si="25"/>
        <v>0</v>
      </c>
      <c r="O43" s="301">
        <f t="shared" si="4"/>
        <v>0</v>
      </c>
      <c r="P43" s="297"/>
    </row>
    <row r="44" spans="1:18" s="5" customFormat="1" ht="24">
      <c r="A44" s="464">
        <v>250.21</v>
      </c>
      <c r="B44" s="464">
        <v>250.21</v>
      </c>
      <c r="C44" s="17" t="s">
        <v>99</v>
      </c>
      <c r="D44" s="20"/>
      <c r="E44" s="31">
        <v>97</v>
      </c>
      <c r="F44" s="31" t="s">
        <v>51</v>
      </c>
      <c r="G44" s="24">
        <v>1</v>
      </c>
      <c r="H44" s="24">
        <f t="shared" si="23"/>
        <v>97</v>
      </c>
      <c r="I44" s="24">
        <v>0.33</v>
      </c>
      <c r="J44" s="25">
        <f t="shared" si="24"/>
        <v>32.01</v>
      </c>
      <c r="K44" s="305">
        <v>32.01</v>
      </c>
      <c r="L44" s="300">
        <v>0</v>
      </c>
      <c r="M44" s="300">
        <v>0</v>
      </c>
      <c r="N44" s="300">
        <f>+J44-K44</f>
        <v>0</v>
      </c>
      <c r="O44" s="301">
        <f t="shared" si="4"/>
        <v>0</v>
      </c>
      <c r="P44" s="297"/>
    </row>
    <row r="45" spans="1:18" s="5" customFormat="1" ht="30.2" customHeight="1">
      <c r="A45" s="464" t="s">
        <v>100</v>
      </c>
      <c r="B45" s="464" t="s">
        <v>100</v>
      </c>
      <c r="C45" s="17" t="s">
        <v>101</v>
      </c>
      <c r="D45" s="20"/>
      <c r="E45" s="31">
        <v>15</v>
      </c>
      <c r="F45" s="31" t="s">
        <v>51</v>
      </c>
      <c r="G45" s="24">
        <v>1</v>
      </c>
      <c r="H45" s="24">
        <f t="shared" si="23"/>
        <v>15</v>
      </c>
      <c r="I45" s="24">
        <v>4</v>
      </c>
      <c r="J45" s="25">
        <f t="shared" si="24"/>
        <v>60</v>
      </c>
      <c r="K45" s="305">
        <v>60</v>
      </c>
      <c r="L45" s="300">
        <v>0</v>
      </c>
      <c r="M45" s="300">
        <f t="shared" ref="M45" si="26">+J45-K45</f>
        <v>0</v>
      </c>
      <c r="N45" s="300">
        <v>0</v>
      </c>
      <c r="O45" s="301">
        <f t="shared" si="4"/>
        <v>0</v>
      </c>
      <c r="P45" s="297"/>
    </row>
    <row r="46" spans="1:18">
      <c r="A46" s="464" t="s">
        <v>102</v>
      </c>
      <c r="B46" s="464" t="s">
        <v>102</v>
      </c>
      <c r="C46" s="17" t="s">
        <v>103</v>
      </c>
      <c r="D46" s="464"/>
      <c r="E46" s="31">
        <v>4700</v>
      </c>
      <c r="F46" s="31" t="s">
        <v>54</v>
      </c>
      <c r="G46" s="24">
        <v>3</v>
      </c>
      <c r="H46" s="24">
        <f t="shared" si="23"/>
        <v>14100</v>
      </c>
      <c r="I46" s="24">
        <v>0.5</v>
      </c>
      <c r="J46" s="24">
        <f>(H46*I46)</f>
        <v>7050</v>
      </c>
      <c r="K46" s="304">
        <v>7050</v>
      </c>
      <c r="L46" s="300">
        <v>0</v>
      </c>
      <c r="M46" s="300">
        <v>0</v>
      </c>
      <c r="N46" s="300">
        <f t="shared" ref="N46:N52" si="27">+J46-K46</f>
        <v>0</v>
      </c>
      <c r="O46" s="301">
        <f>SUM(L46:N46)</f>
        <v>0</v>
      </c>
      <c r="P46" s="17"/>
      <c r="Q46" s="83"/>
      <c r="R46" s="83"/>
    </row>
    <row r="47" spans="1:18" s="5" customFormat="1" ht="24">
      <c r="A47" s="464" t="s">
        <v>104</v>
      </c>
      <c r="B47" s="464" t="s">
        <v>104</v>
      </c>
      <c r="C47" s="17" t="s">
        <v>105</v>
      </c>
      <c r="D47" s="309"/>
      <c r="E47" s="31">
        <v>1</v>
      </c>
      <c r="F47" s="31" t="s">
        <v>54</v>
      </c>
      <c r="G47" s="24">
        <v>1</v>
      </c>
      <c r="H47" s="24">
        <f t="shared" si="23"/>
        <v>1</v>
      </c>
      <c r="I47" s="24">
        <v>2</v>
      </c>
      <c r="J47" s="25">
        <f t="shared" ref="J47" si="28">(H47*I47)</f>
        <v>2</v>
      </c>
      <c r="K47" s="304">
        <v>2</v>
      </c>
      <c r="L47" s="300">
        <v>0</v>
      </c>
      <c r="M47" s="300">
        <v>0</v>
      </c>
      <c r="N47" s="300">
        <f>+J47-K47</f>
        <v>0</v>
      </c>
      <c r="O47" s="301">
        <f t="shared" si="4"/>
        <v>0</v>
      </c>
      <c r="P47" s="464"/>
    </row>
    <row r="48" spans="1:18" s="5" customFormat="1" ht="24">
      <c r="A48" s="464" t="s">
        <v>106</v>
      </c>
      <c r="B48" s="464" t="s">
        <v>106</v>
      </c>
      <c r="C48" s="17" t="s">
        <v>107</v>
      </c>
      <c r="D48" s="309"/>
      <c r="E48" s="31">
        <v>57</v>
      </c>
      <c r="F48" s="31" t="s">
        <v>77</v>
      </c>
      <c r="G48" s="24">
        <v>1</v>
      </c>
      <c r="H48" s="24">
        <f t="shared" si="23"/>
        <v>57</v>
      </c>
      <c r="I48" s="24">
        <v>0.33</v>
      </c>
      <c r="J48" s="24">
        <f t="shared" si="24"/>
        <v>18.810000000000002</v>
      </c>
      <c r="K48" s="305">
        <f>+J48</f>
        <v>18.810000000000002</v>
      </c>
      <c r="L48" s="300">
        <v>0</v>
      </c>
      <c r="M48" s="300">
        <v>0</v>
      </c>
      <c r="N48" s="300">
        <f t="shared" si="27"/>
        <v>0</v>
      </c>
      <c r="O48" s="301">
        <f t="shared" si="4"/>
        <v>0</v>
      </c>
      <c r="P48" s="17"/>
    </row>
    <row r="49" spans="1:18" s="5" customFormat="1" ht="24">
      <c r="A49" s="464">
        <v>250.53</v>
      </c>
      <c r="B49" s="464">
        <v>250.53</v>
      </c>
      <c r="C49" s="17" t="s">
        <v>108</v>
      </c>
      <c r="D49" s="464"/>
      <c r="E49" s="31">
        <v>6783</v>
      </c>
      <c r="F49" s="31" t="s">
        <v>54</v>
      </c>
      <c r="G49" s="24">
        <v>1</v>
      </c>
      <c r="H49" s="24">
        <f t="shared" si="23"/>
        <v>6783</v>
      </c>
      <c r="I49" s="24">
        <v>1</v>
      </c>
      <c r="J49" s="24">
        <f>(H49*I49)</f>
        <v>6783</v>
      </c>
      <c r="K49" s="305">
        <v>6783</v>
      </c>
      <c r="L49" s="300">
        <v>0</v>
      </c>
      <c r="M49" s="300">
        <v>0</v>
      </c>
      <c r="N49" s="300">
        <f t="shared" si="27"/>
        <v>0</v>
      </c>
      <c r="O49" s="301">
        <f t="shared" si="4"/>
        <v>0</v>
      </c>
      <c r="P49" s="17"/>
    </row>
    <row r="50" spans="1:18" s="5" customFormat="1">
      <c r="A50" s="461">
        <v>250.58</v>
      </c>
      <c r="B50" s="461">
        <v>250.58</v>
      </c>
      <c r="C50" s="17" t="s">
        <v>109</v>
      </c>
      <c r="D50" s="464"/>
      <c r="E50" s="31"/>
      <c r="F50" s="31"/>
      <c r="G50" s="24"/>
      <c r="H50" s="24"/>
      <c r="I50" s="24"/>
      <c r="J50" s="25"/>
      <c r="K50" s="304"/>
      <c r="L50" s="300"/>
      <c r="M50" s="300"/>
      <c r="N50" s="300"/>
      <c r="O50" s="301"/>
      <c r="P50" s="464"/>
    </row>
    <row r="51" spans="1:18" s="5" customFormat="1">
      <c r="A51" s="462"/>
      <c r="B51" s="462"/>
      <c r="C51" s="310" t="s">
        <v>110</v>
      </c>
      <c r="D51" s="464" t="s">
        <v>111</v>
      </c>
      <c r="E51" s="31">
        <v>158</v>
      </c>
      <c r="F51" s="31" t="s">
        <v>54</v>
      </c>
      <c r="G51" s="24">
        <v>542</v>
      </c>
      <c r="H51" s="24">
        <f t="shared" ref="H51:H55" si="29">(E51*G51)</f>
        <v>85636</v>
      </c>
      <c r="I51" s="24">
        <v>0.1</v>
      </c>
      <c r="J51" s="25">
        <f t="shared" ref="J51:J56" si="30">(H51*I51)</f>
        <v>8563.6</v>
      </c>
      <c r="K51" s="298">
        <v>8563.6</v>
      </c>
      <c r="L51" s="300">
        <v>0</v>
      </c>
      <c r="M51" s="300">
        <v>0</v>
      </c>
      <c r="N51" s="300">
        <f t="shared" si="27"/>
        <v>0</v>
      </c>
      <c r="O51" s="301">
        <f t="shared" si="4"/>
        <v>0</v>
      </c>
      <c r="P51" s="464"/>
    </row>
    <row r="52" spans="1:18" s="5" customFormat="1">
      <c r="A52" s="463"/>
      <c r="B52" s="463"/>
      <c r="C52" s="310" t="s">
        <v>112</v>
      </c>
      <c r="D52" s="464" t="s">
        <v>113</v>
      </c>
      <c r="E52" s="31">
        <v>157</v>
      </c>
      <c r="F52" s="31" t="s">
        <v>54</v>
      </c>
      <c r="G52" s="24">
        <v>30</v>
      </c>
      <c r="H52" s="24">
        <f t="shared" si="29"/>
        <v>4710</v>
      </c>
      <c r="I52" s="24">
        <v>0.1</v>
      </c>
      <c r="J52" s="25">
        <f t="shared" si="30"/>
        <v>471</v>
      </c>
      <c r="K52" s="298">
        <v>471</v>
      </c>
      <c r="L52" s="300">
        <v>0</v>
      </c>
      <c r="M52" s="296">
        <v>0</v>
      </c>
      <c r="N52" s="296">
        <f t="shared" si="27"/>
        <v>0</v>
      </c>
      <c r="O52" s="294">
        <f t="shared" si="4"/>
        <v>0</v>
      </c>
      <c r="P52" s="464"/>
    </row>
    <row r="53" spans="1:18" s="5" customFormat="1" ht="24">
      <c r="A53" s="464" t="s">
        <v>114</v>
      </c>
      <c r="B53" s="464" t="s">
        <v>114</v>
      </c>
      <c r="C53" s="464" t="s">
        <v>115</v>
      </c>
      <c r="D53" s="464"/>
      <c r="E53" s="31">
        <v>5</v>
      </c>
      <c r="F53" s="31" t="s">
        <v>51</v>
      </c>
      <c r="G53" s="24">
        <v>1</v>
      </c>
      <c r="H53" s="24">
        <f t="shared" si="29"/>
        <v>5</v>
      </c>
      <c r="I53" s="24">
        <v>0.25</v>
      </c>
      <c r="J53" s="25">
        <f t="shared" si="30"/>
        <v>1.25</v>
      </c>
      <c r="K53" s="298">
        <v>1.25</v>
      </c>
      <c r="L53" s="300">
        <v>0</v>
      </c>
      <c r="M53" s="296">
        <f>+J53-K53</f>
        <v>0</v>
      </c>
      <c r="N53" s="296">
        <v>0</v>
      </c>
      <c r="O53" s="294">
        <f t="shared" si="4"/>
        <v>0</v>
      </c>
      <c r="P53" s="297"/>
    </row>
    <row r="54" spans="1:18" s="5" customFormat="1" ht="24">
      <c r="A54" s="464" t="s">
        <v>116</v>
      </c>
      <c r="B54" s="464" t="s">
        <v>116</v>
      </c>
      <c r="C54" s="464" t="s">
        <v>117</v>
      </c>
      <c r="D54" s="464"/>
      <c r="E54" s="31">
        <v>5</v>
      </c>
      <c r="F54" s="31" t="s">
        <v>51</v>
      </c>
      <c r="G54" s="24">
        <v>1</v>
      </c>
      <c r="H54" s="24">
        <f t="shared" si="29"/>
        <v>5</v>
      </c>
      <c r="I54" s="24">
        <v>0.25</v>
      </c>
      <c r="J54" s="25">
        <f t="shared" si="30"/>
        <v>1.25</v>
      </c>
      <c r="K54" s="298">
        <v>1.25</v>
      </c>
      <c r="L54" s="300">
        <v>0</v>
      </c>
      <c r="M54" s="296">
        <f>+J54-K54</f>
        <v>0</v>
      </c>
      <c r="N54" s="296">
        <v>0</v>
      </c>
      <c r="O54" s="294">
        <f t="shared" si="4"/>
        <v>0</v>
      </c>
      <c r="P54" s="297"/>
    </row>
    <row r="55" spans="1:18" s="5" customFormat="1" ht="48">
      <c r="A55" s="337" t="s">
        <v>118</v>
      </c>
      <c r="B55" s="464" t="s">
        <v>119</v>
      </c>
      <c r="C55" s="464" t="s">
        <v>120</v>
      </c>
      <c r="D55" s="464"/>
      <c r="E55" s="31">
        <v>5</v>
      </c>
      <c r="F55" s="31" t="s">
        <v>51</v>
      </c>
      <c r="G55" s="24">
        <v>5</v>
      </c>
      <c r="H55" s="24">
        <f t="shared" si="29"/>
        <v>25</v>
      </c>
      <c r="I55" s="24">
        <v>0.5</v>
      </c>
      <c r="J55" s="25">
        <f t="shared" si="30"/>
        <v>12.5</v>
      </c>
      <c r="K55" s="298">
        <v>12.5</v>
      </c>
      <c r="L55" s="300">
        <v>0</v>
      </c>
      <c r="M55" s="296">
        <f>+J55-K55</f>
        <v>0</v>
      </c>
      <c r="N55" s="296">
        <v>0</v>
      </c>
      <c r="O55" s="294">
        <f t="shared" si="4"/>
        <v>0</v>
      </c>
      <c r="P55" s="337" t="s">
        <v>121</v>
      </c>
    </row>
    <row r="56" spans="1:18" s="3" customFormat="1" ht="84">
      <c r="A56" s="337" t="s">
        <v>122</v>
      </c>
      <c r="B56" s="337" t="s">
        <v>29</v>
      </c>
      <c r="C56" s="337" t="s">
        <v>123</v>
      </c>
      <c r="D56" s="337"/>
      <c r="E56" s="333">
        <v>7</v>
      </c>
      <c r="F56" s="333"/>
      <c r="G56" s="334">
        <v>15</v>
      </c>
      <c r="H56" s="334">
        <f>(E56*G56)</f>
        <v>105</v>
      </c>
      <c r="I56" s="334">
        <v>1</v>
      </c>
      <c r="J56" s="335">
        <f t="shared" si="30"/>
        <v>105</v>
      </c>
      <c r="K56" s="338">
        <v>0</v>
      </c>
      <c r="L56" s="336">
        <f>J56-K56</f>
        <v>105</v>
      </c>
      <c r="M56" s="336">
        <v>0</v>
      </c>
      <c r="N56" s="336">
        <v>0</v>
      </c>
      <c r="O56" s="336">
        <f>J56-K56</f>
        <v>105</v>
      </c>
      <c r="P56" s="339" t="s">
        <v>124</v>
      </c>
    </row>
    <row r="57" spans="1:18" s="5" customFormat="1" ht="36">
      <c r="A57" s="464" t="s">
        <v>125</v>
      </c>
      <c r="B57" s="464" t="s">
        <v>125</v>
      </c>
      <c r="C57" s="17" t="s">
        <v>126</v>
      </c>
      <c r="D57" s="464" t="s">
        <v>127</v>
      </c>
      <c r="E57" s="476" t="s">
        <v>128</v>
      </c>
      <c r="F57" s="476"/>
      <c r="G57" s="476"/>
      <c r="H57" s="476"/>
      <c r="I57" s="476"/>
      <c r="J57" s="476"/>
      <c r="K57" s="293"/>
      <c r="L57" s="296"/>
      <c r="M57" s="296"/>
      <c r="N57" s="296"/>
      <c r="O57" s="294"/>
      <c r="P57" s="292"/>
    </row>
    <row r="58" spans="1:18" s="5" customFormat="1">
      <c r="A58" s="464" t="s">
        <v>129</v>
      </c>
      <c r="B58" s="464" t="s">
        <v>129</v>
      </c>
      <c r="C58" s="17" t="s">
        <v>130</v>
      </c>
      <c r="D58" s="464" t="s">
        <v>131</v>
      </c>
      <c r="E58" s="477" t="s">
        <v>132</v>
      </c>
      <c r="F58" s="495"/>
      <c r="G58" s="495"/>
      <c r="H58" s="495"/>
      <c r="I58" s="495"/>
      <c r="J58" s="496"/>
      <c r="K58" s="293"/>
      <c r="L58" s="296"/>
      <c r="M58" s="296"/>
      <c r="N58" s="296"/>
      <c r="O58" s="294"/>
      <c r="P58" s="292"/>
    </row>
    <row r="59" spans="1:18" s="5" customFormat="1" ht="39.75" customHeight="1">
      <c r="A59" s="464" t="s">
        <v>133</v>
      </c>
      <c r="B59" s="464" t="s">
        <v>133</v>
      </c>
      <c r="C59" s="17" t="s">
        <v>134</v>
      </c>
      <c r="D59" s="464"/>
      <c r="E59" s="31">
        <v>54</v>
      </c>
      <c r="F59" s="31" t="s">
        <v>135</v>
      </c>
      <c r="G59" s="24">
        <v>1</v>
      </c>
      <c r="H59" s="24">
        <f t="shared" ref="H59:H75" si="31">(E59*G59)</f>
        <v>54</v>
      </c>
      <c r="I59" s="24">
        <v>2</v>
      </c>
      <c r="J59" s="24">
        <f t="shared" ref="J59:J69" si="32">(H59*I59)</f>
        <v>108</v>
      </c>
      <c r="K59" s="295">
        <v>108</v>
      </c>
      <c r="L59" s="296">
        <v>0</v>
      </c>
      <c r="M59" s="296">
        <v>0</v>
      </c>
      <c r="N59" s="296">
        <v>0</v>
      </c>
      <c r="O59" s="294">
        <f t="shared" si="4"/>
        <v>0</v>
      </c>
      <c r="P59" s="297"/>
    </row>
    <row r="60" spans="1:18" s="5" customFormat="1" ht="41.25" customHeight="1">
      <c r="A60" s="464" t="s">
        <v>136</v>
      </c>
      <c r="B60" s="464" t="s">
        <v>136</v>
      </c>
      <c r="C60" s="17" t="s">
        <v>137</v>
      </c>
      <c r="D60" s="464"/>
      <c r="E60" s="31">
        <v>2</v>
      </c>
      <c r="F60" s="31" t="s">
        <v>135</v>
      </c>
      <c r="G60" s="24">
        <v>1</v>
      </c>
      <c r="H60" s="24">
        <f t="shared" si="31"/>
        <v>2</v>
      </c>
      <c r="I60" s="24">
        <v>0.5</v>
      </c>
      <c r="J60" s="24">
        <f t="shared" si="32"/>
        <v>1</v>
      </c>
      <c r="K60" s="295">
        <v>1</v>
      </c>
      <c r="L60" s="296">
        <v>0</v>
      </c>
      <c r="M60" s="296">
        <v>0</v>
      </c>
      <c r="N60" s="296">
        <v>0</v>
      </c>
      <c r="O60" s="294">
        <f t="shared" si="4"/>
        <v>0</v>
      </c>
      <c r="P60" s="337" t="s">
        <v>138</v>
      </c>
    </row>
    <row r="61" spans="1:18" s="5" customFormat="1" ht="24">
      <c r="A61" s="337" t="s">
        <v>133</v>
      </c>
      <c r="B61" s="464" t="s">
        <v>139</v>
      </c>
      <c r="C61" s="343" t="s">
        <v>140</v>
      </c>
      <c r="D61" s="464"/>
      <c r="E61" s="31">
        <v>54</v>
      </c>
      <c r="F61" s="31" t="s">
        <v>135</v>
      </c>
      <c r="G61" s="24">
        <v>2</v>
      </c>
      <c r="H61" s="24">
        <f t="shared" si="31"/>
        <v>108</v>
      </c>
      <c r="I61" s="24">
        <v>8</v>
      </c>
      <c r="J61" s="24">
        <f t="shared" si="32"/>
        <v>864</v>
      </c>
      <c r="K61" s="295">
        <v>864</v>
      </c>
      <c r="L61" s="296">
        <v>0</v>
      </c>
      <c r="M61" s="296">
        <v>0</v>
      </c>
      <c r="N61" s="296">
        <v>0</v>
      </c>
      <c r="O61" s="294">
        <f t="shared" si="4"/>
        <v>0</v>
      </c>
      <c r="P61" s="297"/>
    </row>
    <row r="62" spans="1:18" s="3" customFormat="1" ht="84">
      <c r="A62" s="337" t="s">
        <v>139</v>
      </c>
      <c r="B62" s="337" t="s">
        <v>29</v>
      </c>
      <c r="C62" s="340" t="s">
        <v>141</v>
      </c>
      <c r="D62" s="337"/>
      <c r="E62" s="333">
        <v>54</v>
      </c>
      <c r="F62" s="333"/>
      <c r="G62" s="334">
        <v>1</v>
      </c>
      <c r="H62" s="334">
        <f t="shared" si="31"/>
        <v>54</v>
      </c>
      <c r="I62" s="334">
        <v>4</v>
      </c>
      <c r="J62" s="334">
        <f t="shared" si="32"/>
        <v>216</v>
      </c>
      <c r="K62" s="341">
        <v>0</v>
      </c>
      <c r="L62" s="336">
        <v>216</v>
      </c>
      <c r="M62" s="336">
        <v>0</v>
      </c>
      <c r="N62" s="336">
        <v>0</v>
      </c>
      <c r="O62" s="336">
        <f>J62-K62</f>
        <v>216</v>
      </c>
      <c r="P62" s="337" t="s">
        <v>124</v>
      </c>
    </row>
    <row r="63" spans="1:18" s="3" customFormat="1">
      <c r="A63" s="355" t="s">
        <v>142</v>
      </c>
      <c r="B63" s="355" t="s">
        <v>142</v>
      </c>
      <c r="C63" s="17" t="s">
        <v>143</v>
      </c>
      <c r="D63" s="464"/>
      <c r="E63" s="31">
        <v>25</v>
      </c>
      <c r="F63" s="31"/>
      <c r="G63" s="24">
        <v>1</v>
      </c>
      <c r="H63" s="24">
        <f t="shared" ref="H63" si="33">(E63*G63)</f>
        <v>25</v>
      </c>
      <c r="I63" s="24">
        <v>4</v>
      </c>
      <c r="J63" s="24">
        <f t="shared" ref="J63" si="34">(H63*I63)</f>
        <v>100</v>
      </c>
      <c r="K63" s="295">
        <v>100</v>
      </c>
      <c r="L63" s="296">
        <v>0</v>
      </c>
      <c r="M63" s="296">
        <v>0</v>
      </c>
      <c r="N63" s="296">
        <v>0</v>
      </c>
      <c r="O63" s="294">
        <f t="shared" ref="O63" si="35">SUM(L63:N63)</f>
        <v>0</v>
      </c>
      <c r="P63" s="297"/>
      <c r="Q63" s="5"/>
      <c r="R63" s="5"/>
    </row>
    <row r="64" spans="1:18" s="5" customFormat="1" ht="24">
      <c r="A64" s="464" t="s">
        <v>144</v>
      </c>
      <c r="B64" s="464" t="s">
        <v>144</v>
      </c>
      <c r="C64" s="17" t="s">
        <v>143</v>
      </c>
      <c r="D64" s="464"/>
      <c r="E64" s="31">
        <v>14</v>
      </c>
      <c r="F64" s="31" t="s">
        <v>135</v>
      </c>
      <c r="G64" s="24">
        <v>1</v>
      </c>
      <c r="H64" s="24">
        <f t="shared" si="31"/>
        <v>14</v>
      </c>
      <c r="I64" s="24">
        <v>8</v>
      </c>
      <c r="J64" s="24">
        <f t="shared" si="32"/>
        <v>112</v>
      </c>
      <c r="K64" s="295">
        <v>112</v>
      </c>
      <c r="L64" s="296">
        <v>0</v>
      </c>
      <c r="M64" s="296">
        <v>0</v>
      </c>
      <c r="N64" s="296">
        <v>0</v>
      </c>
      <c r="O64" s="294">
        <f t="shared" si="4"/>
        <v>0</v>
      </c>
      <c r="P64" s="297"/>
    </row>
    <row r="65" spans="1:17" s="5" customFormat="1" ht="42" customHeight="1">
      <c r="A65" s="337" t="s">
        <v>145</v>
      </c>
      <c r="B65" s="464" t="s">
        <v>146</v>
      </c>
      <c r="C65" s="17" t="s">
        <v>147</v>
      </c>
      <c r="D65" s="464" t="s">
        <v>148</v>
      </c>
      <c r="E65" s="31">
        <v>54</v>
      </c>
      <c r="F65" s="31" t="s">
        <v>135</v>
      </c>
      <c r="G65" s="24">
        <v>5</v>
      </c>
      <c r="H65" s="24">
        <f t="shared" si="31"/>
        <v>270</v>
      </c>
      <c r="I65" s="24">
        <v>3.5</v>
      </c>
      <c r="J65" s="24">
        <f t="shared" si="32"/>
        <v>945</v>
      </c>
      <c r="K65" s="295">
        <v>945</v>
      </c>
      <c r="L65" s="296">
        <v>0</v>
      </c>
      <c r="M65" s="296">
        <v>0</v>
      </c>
      <c r="N65" s="296">
        <v>0</v>
      </c>
      <c r="O65" s="294">
        <f t="shared" si="4"/>
        <v>0</v>
      </c>
      <c r="P65" s="337" t="s">
        <v>121</v>
      </c>
    </row>
    <row r="66" spans="1:17" s="3" customFormat="1" ht="42" customHeight="1">
      <c r="A66" s="337" t="s">
        <v>149</v>
      </c>
      <c r="B66" s="337" t="s">
        <v>29</v>
      </c>
      <c r="C66" s="340" t="s">
        <v>150</v>
      </c>
      <c r="D66" s="337" t="s">
        <v>151</v>
      </c>
      <c r="E66" s="333">
        <v>54</v>
      </c>
      <c r="F66" s="333"/>
      <c r="G66" s="334">
        <v>1</v>
      </c>
      <c r="H66" s="334">
        <f t="shared" si="31"/>
        <v>54</v>
      </c>
      <c r="I66" s="334">
        <v>1</v>
      </c>
      <c r="J66" s="334">
        <f t="shared" si="32"/>
        <v>54</v>
      </c>
      <c r="K66" s="341">
        <v>0</v>
      </c>
      <c r="L66" s="336">
        <v>54</v>
      </c>
      <c r="M66" s="336">
        <v>0</v>
      </c>
      <c r="N66" s="336">
        <v>0</v>
      </c>
      <c r="O66" s="336">
        <f>J66-K66</f>
        <v>54</v>
      </c>
      <c r="P66" s="337" t="s">
        <v>124</v>
      </c>
    </row>
    <row r="67" spans="1:17" s="3" customFormat="1" ht="42" customHeight="1">
      <c r="A67" s="337" t="s">
        <v>152</v>
      </c>
      <c r="B67" s="337" t="s">
        <v>29</v>
      </c>
      <c r="C67" s="340" t="s">
        <v>153</v>
      </c>
      <c r="D67" s="337" t="s">
        <v>154</v>
      </c>
      <c r="E67" s="333">
        <v>54</v>
      </c>
      <c r="F67" s="333"/>
      <c r="G67" s="334">
        <v>4</v>
      </c>
      <c r="H67" s="334">
        <f t="shared" si="31"/>
        <v>216</v>
      </c>
      <c r="I67" s="334">
        <v>2</v>
      </c>
      <c r="J67" s="334">
        <f t="shared" si="32"/>
        <v>432</v>
      </c>
      <c r="K67" s="341">
        <v>0</v>
      </c>
      <c r="L67" s="336">
        <v>432</v>
      </c>
      <c r="M67" s="336">
        <v>0</v>
      </c>
      <c r="N67" s="336">
        <v>0</v>
      </c>
      <c r="O67" s="336">
        <f>J67-K67</f>
        <v>432</v>
      </c>
      <c r="P67" s="337" t="s">
        <v>124</v>
      </c>
    </row>
    <row r="68" spans="1:17" s="5" customFormat="1" ht="39.200000000000003" customHeight="1">
      <c r="A68" s="337">
        <v>251.11</v>
      </c>
      <c r="B68" s="464" t="s">
        <v>155</v>
      </c>
      <c r="C68" s="17" t="s">
        <v>156</v>
      </c>
      <c r="D68" s="464"/>
      <c r="E68" s="31">
        <v>54</v>
      </c>
      <c r="F68" s="31" t="s">
        <v>135</v>
      </c>
      <c r="G68" s="24">
        <v>1</v>
      </c>
      <c r="H68" s="24">
        <f t="shared" si="31"/>
        <v>54</v>
      </c>
      <c r="I68" s="24">
        <v>2</v>
      </c>
      <c r="J68" s="24">
        <f t="shared" si="32"/>
        <v>108</v>
      </c>
      <c r="K68" s="295">
        <v>108</v>
      </c>
      <c r="L68" s="296">
        <v>0</v>
      </c>
      <c r="M68" s="296">
        <f>+J68-K68</f>
        <v>0</v>
      </c>
      <c r="N68" s="296">
        <v>0</v>
      </c>
      <c r="O68" s="294">
        <f t="shared" si="4"/>
        <v>0</v>
      </c>
      <c r="P68" s="337" t="s">
        <v>121</v>
      </c>
      <c r="Q68"/>
    </row>
    <row r="69" spans="1:17" s="5" customFormat="1" ht="39.200000000000003" customHeight="1">
      <c r="A69" s="337" t="s">
        <v>157</v>
      </c>
      <c r="B69" s="464" t="s">
        <v>158</v>
      </c>
      <c r="C69" s="17" t="s">
        <v>159</v>
      </c>
      <c r="D69" s="464" t="s">
        <v>42</v>
      </c>
      <c r="E69" s="31">
        <v>14</v>
      </c>
      <c r="F69" s="31"/>
      <c r="G69" s="24">
        <v>2</v>
      </c>
      <c r="H69" s="24">
        <f t="shared" si="31"/>
        <v>28</v>
      </c>
      <c r="I69" s="24">
        <v>1.5</v>
      </c>
      <c r="J69" s="24">
        <f t="shared" si="32"/>
        <v>42</v>
      </c>
      <c r="K69" s="295">
        <v>42</v>
      </c>
      <c r="L69" s="296">
        <v>0</v>
      </c>
      <c r="M69" s="296">
        <v>0</v>
      </c>
      <c r="N69" s="296">
        <v>0</v>
      </c>
      <c r="O69" s="294">
        <f t="shared" si="4"/>
        <v>0</v>
      </c>
      <c r="P69" s="337" t="s">
        <v>121</v>
      </c>
      <c r="Q69"/>
    </row>
    <row r="70" spans="1:17" s="5" customFormat="1" ht="39.200000000000003" customHeight="1">
      <c r="A70" s="337" t="s">
        <v>160</v>
      </c>
      <c r="B70" s="464" t="s">
        <v>161</v>
      </c>
      <c r="C70" s="17" t="s">
        <v>162</v>
      </c>
      <c r="D70" s="464"/>
      <c r="E70" s="31">
        <v>2</v>
      </c>
      <c r="F70" s="31"/>
      <c r="G70" s="24">
        <v>1</v>
      </c>
      <c r="H70" s="24">
        <v>2</v>
      </c>
      <c r="I70" s="24">
        <v>1</v>
      </c>
      <c r="J70" s="24">
        <v>2</v>
      </c>
      <c r="K70" s="295">
        <v>2</v>
      </c>
      <c r="L70" s="296">
        <v>0</v>
      </c>
      <c r="M70" s="296">
        <v>0</v>
      </c>
      <c r="N70" s="296">
        <v>0</v>
      </c>
      <c r="O70" s="294">
        <f t="shared" si="4"/>
        <v>0</v>
      </c>
      <c r="P70" s="337" t="s">
        <v>121</v>
      </c>
      <c r="Q70"/>
    </row>
    <row r="71" spans="1:17" ht="24">
      <c r="A71" s="464" t="s">
        <v>163</v>
      </c>
      <c r="B71" s="464" t="s">
        <v>163</v>
      </c>
      <c r="C71" s="17" t="s">
        <v>164</v>
      </c>
      <c r="D71" s="464"/>
      <c r="E71" s="31">
        <v>24</v>
      </c>
      <c r="F71" s="31" t="s">
        <v>96</v>
      </c>
      <c r="G71" s="24">
        <v>1.01</v>
      </c>
      <c r="H71" s="24">
        <f t="shared" si="31"/>
        <v>24.240000000000002</v>
      </c>
      <c r="I71" s="24">
        <v>3</v>
      </c>
      <c r="J71" s="24">
        <f t="shared" ref="J71" si="36">(H71*I71)</f>
        <v>72.72</v>
      </c>
      <c r="K71" s="295">
        <v>72.72</v>
      </c>
      <c r="L71" s="296">
        <v>0</v>
      </c>
      <c r="M71" s="296">
        <v>0</v>
      </c>
      <c r="N71" s="296">
        <v>0</v>
      </c>
      <c r="O71" s="294">
        <f t="shared" si="4"/>
        <v>0</v>
      </c>
      <c r="P71" s="297"/>
    </row>
    <row r="72" spans="1:17" ht="24">
      <c r="A72" s="461" t="s">
        <v>165</v>
      </c>
      <c r="B72" s="461" t="s">
        <v>165</v>
      </c>
      <c r="C72" s="22" t="s">
        <v>166</v>
      </c>
      <c r="D72" s="22"/>
      <c r="E72" s="31">
        <v>117</v>
      </c>
      <c r="F72" s="31" t="s">
        <v>96</v>
      </c>
      <c r="G72" s="24">
        <v>1</v>
      </c>
      <c r="H72" s="24">
        <f t="shared" si="31"/>
        <v>117</v>
      </c>
      <c r="I72" s="24">
        <v>2</v>
      </c>
      <c r="J72" s="24">
        <f>(H72*I72)</f>
        <v>234</v>
      </c>
      <c r="K72" s="295">
        <v>234</v>
      </c>
      <c r="L72" s="296">
        <v>0</v>
      </c>
      <c r="M72" s="296">
        <v>0</v>
      </c>
      <c r="N72" s="296">
        <v>0</v>
      </c>
      <c r="O72" s="294">
        <f t="shared" si="4"/>
        <v>0</v>
      </c>
      <c r="P72" s="297"/>
    </row>
    <row r="73" spans="1:17" ht="24">
      <c r="A73" s="464" t="s">
        <v>167</v>
      </c>
      <c r="B73" s="464" t="s">
        <v>167</v>
      </c>
      <c r="C73" s="464" t="s">
        <v>168</v>
      </c>
      <c r="D73" s="464"/>
      <c r="E73" s="38">
        <v>117</v>
      </c>
      <c r="F73" s="38" t="s">
        <v>96</v>
      </c>
      <c r="G73" s="24">
        <v>180</v>
      </c>
      <c r="H73" s="24">
        <f t="shared" si="31"/>
        <v>21060</v>
      </c>
      <c r="I73" s="24">
        <v>0.5</v>
      </c>
      <c r="J73" s="25">
        <f>(H73*I73)</f>
        <v>10530</v>
      </c>
      <c r="K73" s="295">
        <v>10530</v>
      </c>
      <c r="L73" s="296">
        <v>0</v>
      </c>
      <c r="M73" s="296">
        <v>0</v>
      </c>
      <c r="N73" s="296">
        <v>0</v>
      </c>
      <c r="O73" s="294">
        <f t="shared" si="4"/>
        <v>0</v>
      </c>
      <c r="P73" s="297"/>
    </row>
    <row r="74" spans="1:17" ht="24">
      <c r="A74" s="464" t="s">
        <v>169</v>
      </c>
      <c r="B74" s="464" t="s">
        <v>169</v>
      </c>
      <c r="C74" s="17" t="s">
        <v>170</v>
      </c>
      <c r="D74" s="17" t="s">
        <v>64</v>
      </c>
      <c r="E74" s="31">
        <v>117</v>
      </c>
      <c r="F74" s="31" t="s">
        <v>96</v>
      </c>
      <c r="G74" s="24">
        <v>2</v>
      </c>
      <c r="H74" s="24">
        <f t="shared" si="31"/>
        <v>234</v>
      </c>
      <c r="I74" s="24">
        <v>0.25</v>
      </c>
      <c r="J74" s="24">
        <f>H74*I74</f>
        <v>58.5</v>
      </c>
      <c r="K74" s="295">
        <v>58.5</v>
      </c>
      <c r="L74" s="296">
        <v>0</v>
      </c>
      <c r="M74" s="296">
        <v>0</v>
      </c>
      <c r="N74" s="311">
        <v>0</v>
      </c>
      <c r="O74" s="296">
        <f>SUM(L74:N74)</f>
        <v>0</v>
      </c>
      <c r="P74" s="297"/>
    </row>
    <row r="75" spans="1:17" ht="84.75" thickBot="1">
      <c r="A75" s="370">
        <v>253.12</v>
      </c>
      <c r="B75" s="337" t="s">
        <v>29</v>
      </c>
      <c r="C75" s="371" t="s">
        <v>171</v>
      </c>
      <c r="D75" s="371"/>
      <c r="E75" s="372">
        <v>11</v>
      </c>
      <c r="F75" s="372"/>
      <c r="G75" s="373">
        <v>1</v>
      </c>
      <c r="H75" s="373">
        <f t="shared" si="31"/>
        <v>11</v>
      </c>
      <c r="I75" s="373">
        <v>8</v>
      </c>
      <c r="J75" s="373">
        <f>H75*I75</f>
        <v>88</v>
      </c>
      <c r="K75" s="374">
        <v>0</v>
      </c>
      <c r="L75" s="375">
        <f>J75</f>
        <v>88</v>
      </c>
      <c r="M75" s="375">
        <v>0</v>
      </c>
      <c r="N75" s="375">
        <v>0</v>
      </c>
      <c r="O75" s="336">
        <f>SUM(L75:N75)</f>
        <v>88</v>
      </c>
      <c r="P75" s="337" t="s">
        <v>124</v>
      </c>
    </row>
    <row r="76" spans="1:17" ht="15.75" thickBot="1">
      <c r="A76" s="478" t="s">
        <v>172</v>
      </c>
      <c r="B76" s="479"/>
      <c r="C76" s="479"/>
      <c r="D76" s="312"/>
      <c r="E76" s="42">
        <f t="shared" ref="E76:N76" si="37">SUM(E6:E75)</f>
        <v>26403</v>
      </c>
      <c r="F76" s="42">
        <f t="shared" si="37"/>
        <v>0</v>
      </c>
      <c r="G76" s="42">
        <f t="shared" si="37"/>
        <v>1709.01</v>
      </c>
      <c r="H76" s="42">
        <f t="shared" si="37"/>
        <v>233283.24</v>
      </c>
      <c r="I76" s="42">
        <f t="shared" si="37"/>
        <v>231.51</v>
      </c>
      <c r="J76" s="42">
        <f t="shared" si="37"/>
        <v>60415.75</v>
      </c>
      <c r="K76" s="42">
        <f>SUM(K6:K75)</f>
        <v>59284.75</v>
      </c>
      <c r="L76" s="42">
        <f>SUM(L6:L75)</f>
        <v>1131</v>
      </c>
      <c r="M76" s="42">
        <f t="shared" si="37"/>
        <v>0</v>
      </c>
      <c r="N76" s="42">
        <f t="shared" si="37"/>
        <v>0</v>
      </c>
      <c r="O76" s="42">
        <f>SUM(O6:O75)</f>
        <v>1131</v>
      </c>
      <c r="P76" s="313"/>
    </row>
    <row r="77" spans="1:17" ht="15.75" thickBot="1">
      <c r="A77" s="15"/>
      <c r="B77" s="15"/>
      <c r="C77" s="10"/>
      <c r="D77" s="6"/>
      <c r="E77" s="26"/>
      <c r="F77" s="26"/>
      <c r="G77" s="26"/>
      <c r="H77" s="26"/>
      <c r="I77" s="26"/>
      <c r="J77" s="26"/>
    </row>
    <row r="78" spans="1:17" ht="39" thickBot="1">
      <c r="A78" s="178" t="s">
        <v>2</v>
      </c>
      <c r="B78" s="179" t="s">
        <v>3</v>
      </c>
      <c r="C78" s="180" t="s">
        <v>4</v>
      </c>
      <c r="D78" s="180" t="s">
        <v>173</v>
      </c>
      <c r="E78" s="314" t="s">
        <v>174</v>
      </c>
      <c r="F78" s="314"/>
      <c r="G78" s="314" t="s">
        <v>175</v>
      </c>
      <c r="H78" s="314" t="s">
        <v>176</v>
      </c>
      <c r="I78" s="314" t="s">
        <v>177</v>
      </c>
      <c r="J78" s="315" t="s">
        <v>178</v>
      </c>
      <c r="K78" s="91" t="s">
        <v>12</v>
      </c>
      <c r="L78" s="91" t="s">
        <v>13</v>
      </c>
      <c r="M78" s="120" t="s">
        <v>14</v>
      </c>
      <c r="N78" s="120" t="s">
        <v>15</v>
      </c>
      <c r="O78" s="120" t="s">
        <v>16</v>
      </c>
      <c r="P78" s="92" t="s">
        <v>17</v>
      </c>
    </row>
    <row r="79" spans="1:17" ht="36">
      <c r="A79" s="316">
        <v>240.4</v>
      </c>
      <c r="B79" s="316">
        <v>240.4</v>
      </c>
      <c r="C79" s="317" t="s">
        <v>179</v>
      </c>
      <c r="D79" s="318"/>
      <c r="E79" s="319">
        <v>56</v>
      </c>
      <c r="F79" s="320" t="s">
        <v>180</v>
      </c>
      <c r="G79" s="321">
        <v>12</v>
      </c>
      <c r="H79" s="321">
        <f t="shared" ref="H79:H84" si="38">SUM(E79*G79)</f>
        <v>672</v>
      </c>
      <c r="I79" s="321">
        <v>0.25</v>
      </c>
      <c r="J79" s="321">
        <f t="shared" ref="J79:J94" si="39">(H79*I79)</f>
        <v>168</v>
      </c>
      <c r="K79" s="322">
        <v>168</v>
      </c>
      <c r="L79" s="323">
        <f>+J79-K79</f>
        <v>0</v>
      </c>
      <c r="M79" s="323">
        <v>0</v>
      </c>
      <c r="N79" s="323">
        <v>0</v>
      </c>
      <c r="O79" s="323">
        <f>SUM(L79:N79)</f>
        <v>0</v>
      </c>
      <c r="P79" s="109"/>
    </row>
    <row r="80" spans="1:17" ht="24">
      <c r="A80" s="465">
        <v>240.5</v>
      </c>
      <c r="B80" s="465">
        <v>240.5</v>
      </c>
      <c r="C80" s="17" t="s">
        <v>22</v>
      </c>
      <c r="D80" s="19"/>
      <c r="E80" s="35">
        <v>3</v>
      </c>
      <c r="F80" s="35" t="s">
        <v>180</v>
      </c>
      <c r="G80" s="283">
        <v>12</v>
      </c>
      <c r="H80" s="283">
        <f t="shared" si="38"/>
        <v>36</v>
      </c>
      <c r="I80" s="283">
        <v>0.25</v>
      </c>
      <c r="J80" s="283">
        <f t="shared" si="39"/>
        <v>9</v>
      </c>
      <c r="K80" s="298">
        <v>9</v>
      </c>
      <c r="L80" s="324">
        <f>+J80-K80</f>
        <v>0</v>
      </c>
      <c r="M80" s="324">
        <v>0</v>
      </c>
      <c r="N80" s="324">
        <v>0</v>
      </c>
      <c r="O80" s="324">
        <f>SUM(L80:N80)</f>
        <v>0</v>
      </c>
      <c r="P80" s="101"/>
    </row>
    <row r="81" spans="1:16" ht="24">
      <c r="A81" s="465">
        <v>240.6</v>
      </c>
      <c r="B81" s="465">
        <v>240.6</v>
      </c>
      <c r="C81" s="17" t="s">
        <v>181</v>
      </c>
      <c r="D81" s="19"/>
      <c r="E81" s="35">
        <v>56</v>
      </c>
      <c r="F81" s="36" t="s">
        <v>180</v>
      </c>
      <c r="G81" s="283">
        <v>94</v>
      </c>
      <c r="H81" s="283">
        <f t="shared" si="38"/>
        <v>5264</v>
      </c>
      <c r="I81" s="283">
        <v>0.25</v>
      </c>
      <c r="J81" s="283">
        <f t="shared" si="39"/>
        <v>1316</v>
      </c>
      <c r="K81" s="298">
        <v>1316</v>
      </c>
      <c r="L81" s="324">
        <v>0</v>
      </c>
      <c r="M81" s="324">
        <v>0</v>
      </c>
      <c r="N81" s="324">
        <f>+J81-K81</f>
        <v>0</v>
      </c>
      <c r="O81" s="324">
        <f t="shared" ref="O81:O126" si="40">SUM(L81:N81)</f>
        <v>0</v>
      </c>
      <c r="P81" s="101"/>
    </row>
    <row r="82" spans="1:16" ht="24">
      <c r="A82" s="465" t="s">
        <v>182</v>
      </c>
      <c r="B82" s="465" t="s">
        <v>182</v>
      </c>
      <c r="C82" s="17" t="s">
        <v>183</v>
      </c>
      <c r="D82" s="19"/>
      <c r="E82" s="35">
        <v>42</v>
      </c>
      <c r="F82" s="35" t="s">
        <v>184</v>
      </c>
      <c r="G82" s="283">
        <v>12</v>
      </c>
      <c r="H82" s="283">
        <f t="shared" si="38"/>
        <v>504</v>
      </c>
      <c r="I82" s="283">
        <v>0.05</v>
      </c>
      <c r="J82" s="283">
        <f t="shared" si="39"/>
        <v>25.200000000000003</v>
      </c>
      <c r="K82" s="298">
        <v>25.200000000000003</v>
      </c>
      <c r="L82" s="324">
        <v>0</v>
      </c>
      <c r="M82" s="324">
        <v>0</v>
      </c>
      <c r="N82" s="324">
        <f t="shared" ref="N82:N84" si="41">+J82-K82</f>
        <v>0</v>
      </c>
      <c r="O82" s="324">
        <f t="shared" si="40"/>
        <v>0</v>
      </c>
      <c r="P82" s="101"/>
    </row>
    <row r="83" spans="1:16" ht="24">
      <c r="A83" s="465" t="s">
        <v>185</v>
      </c>
      <c r="B83" s="465" t="s">
        <v>185</v>
      </c>
      <c r="C83" s="17" t="s">
        <v>186</v>
      </c>
      <c r="D83" s="19"/>
      <c r="E83" s="35">
        <v>42</v>
      </c>
      <c r="F83" s="35" t="s">
        <v>184</v>
      </c>
      <c r="G83" s="283">
        <v>12</v>
      </c>
      <c r="H83" s="283">
        <f t="shared" si="38"/>
        <v>504</v>
      </c>
      <c r="I83" s="283">
        <v>0.05</v>
      </c>
      <c r="J83" s="283">
        <f t="shared" si="39"/>
        <v>25.200000000000003</v>
      </c>
      <c r="K83" s="298">
        <v>25.200000000000003</v>
      </c>
      <c r="L83" s="324">
        <v>0</v>
      </c>
      <c r="M83" s="324">
        <v>0</v>
      </c>
      <c r="N83" s="324">
        <f t="shared" si="41"/>
        <v>0</v>
      </c>
      <c r="O83" s="324">
        <f t="shared" si="40"/>
        <v>0</v>
      </c>
      <c r="P83" s="101"/>
    </row>
    <row r="84" spans="1:16" s="5" customFormat="1" ht="24">
      <c r="A84" s="465" t="s">
        <v>187</v>
      </c>
      <c r="B84" s="465" t="s">
        <v>187</v>
      </c>
      <c r="C84" s="17" t="s">
        <v>188</v>
      </c>
      <c r="D84" s="19"/>
      <c r="E84" s="35">
        <v>42</v>
      </c>
      <c r="F84" s="35" t="s">
        <v>184</v>
      </c>
      <c r="G84" s="283">
        <v>36</v>
      </c>
      <c r="H84" s="283">
        <f t="shared" si="38"/>
        <v>1512</v>
      </c>
      <c r="I84" s="283">
        <v>0.05</v>
      </c>
      <c r="J84" s="283">
        <f t="shared" si="39"/>
        <v>75.600000000000009</v>
      </c>
      <c r="K84" s="298">
        <v>75.600000000000009</v>
      </c>
      <c r="L84" s="325">
        <v>0</v>
      </c>
      <c r="M84" s="325">
        <v>0</v>
      </c>
      <c r="N84" s="325">
        <f t="shared" si="41"/>
        <v>0</v>
      </c>
      <c r="O84" s="325">
        <f t="shared" si="40"/>
        <v>0</v>
      </c>
      <c r="P84" s="149"/>
    </row>
    <row r="85" spans="1:16">
      <c r="A85" s="471" t="s">
        <v>62</v>
      </c>
      <c r="B85" s="471" t="s">
        <v>62</v>
      </c>
      <c r="C85" s="17" t="s">
        <v>63</v>
      </c>
      <c r="D85" s="17" t="s">
        <v>64</v>
      </c>
      <c r="E85" s="309">
        <v>100</v>
      </c>
      <c r="F85" s="309"/>
      <c r="G85" s="309"/>
      <c r="H85" s="309"/>
      <c r="I85" s="309"/>
      <c r="J85" s="309"/>
      <c r="K85" s="298"/>
      <c r="L85" s="309"/>
      <c r="M85" s="309"/>
      <c r="N85" s="309"/>
      <c r="O85" s="309"/>
      <c r="P85" s="326"/>
    </row>
    <row r="86" spans="1:16" ht="99" customHeight="1">
      <c r="A86" s="471"/>
      <c r="B86" s="471"/>
      <c r="C86" s="17" t="s">
        <v>189</v>
      </c>
      <c r="D86" s="19"/>
      <c r="E86" s="35">
        <v>100</v>
      </c>
      <c r="F86" s="35" t="s">
        <v>51</v>
      </c>
      <c r="G86" s="283">
        <v>303</v>
      </c>
      <c r="H86" s="283">
        <f t="shared" ref="H86:H94" si="42">SUM(E86*G86)</f>
        <v>30300</v>
      </c>
      <c r="I86" s="283">
        <v>0.02</v>
      </c>
      <c r="J86" s="283">
        <f>(H86*I86)</f>
        <v>606</v>
      </c>
      <c r="K86" s="298">
        <v>606</v>
      </c>
      <c r="L86" s="325">
        <f>+J86-K86</f>
        <v>0</v>
      </c>
      <c r="M86" s="325">
        <v>0</v>
      </c>
      <c r="N86" s="325">
        <v>0</v>
      </c>
      <c r="O86" s="325">
        <f>SUM(L86:N86)</f>
        <v>0</v>
      </c>
      <c r="P86" s="149"/>
    </row>
    <row r="87" spans="1:16" ht="24">
      <c r="A87" s="471"/>
      <c r="B87" s="471"/>
      <c r="C87" s="17" t="s">
        <v>190</v>
      </c>
      <c r="D87" s="17"/>
      <c r="E87" s="35">
        <v>100</v>
      </c>
      <c r="F87" s="35" t="s">
        <v>180</v>
      </c>
      <c r="G87" s="283">
        <v>303</v>
      </c>
      <c r="H87" s="283">
        <f t="shared" si="42"/>
        <v>30300</v>
      </c>
      <c r="I87" s="283">
        <v>0.02</v>
      </c>
      <c r="J87" s="283">
        <f>(H87*I87)</f>
        <v>606</v>
      </c>
      <c r="K87" s="298">
        <v>606</v>
      </c>
      <c r="L87" s="325">
        <v>0</v>
      </c>
      <c r="M87" s="325">
        <v>0</v>
      </c>
      <c r="N87" s="148">
        <f>+J87-K87</f>
        <v>0</v>
      </c>
      <c r="O87" s="148">
        <f>SUM(L87:N87)</f>
        <v>0</v>
      </c>
      <c r="P87" s="149"/>
    </row>
    <row r="88" spans="1:16" ht="24">
      <c r="A88" s="465" t="s">
        <v>67</v>
      </c>
      <c r="B88" s="465" t="s">
        <v>67</v>
      </c>
      <c r="C88" s="17" t="s">
        <v>191</v>
      </c>
      <c r="D88" s="19"/>
      <c r="E88" s="35">
        <v>263</v>
      </c>
      <c r="F88" s="35" t="s">
        <v>51</v>
      </c>
      <c r="G88" s="283">
        <v>1</v>
      </c>
      <c r="H88" s="283">
        <f t="shared" si="42"/>
        <v>263</v>
      </c>
      <c r="I88" s="283">
        <v>0.08</v>
      </c>
      <c r="J88" s="283">
        <f t="shared" si="39"/>
        <v>21.04</v>
      </c>
      <c r="K88" s="298">
        <v>21.04</v>
      </c>
      <c r="L88" s="325">
        <v>0</v>
      </c>
      <c r="M88" s="325">
        <f>+J88-K88</f>
        <v>0</v>
      </c>
      <c r="N88" s="325">
        <v>0</v>
      </c>
      <c r="O88" s="325">
        <f t="shared" si="40"/>
        <v>0</v>
      </c>
      <c r="P88" s="149"/>
    </row>
    <row r="89" spans="1:16" ht="24">
      <c r="A89" s="465" t="s">
        <v>192</v>
      </c>
      <c r="B89" s="465" t="s">
        <v>192</v>
      </c>
      <c r="C89" s="17" t="s">
        <v>193</v>
      </c>
      <c r="D89" s="19"/>
      <c r="E89" s="35">
        <v>263</v>
      </c>
      <c r="F89" s="35" t="s">
        <v>51</v>
      </c>
      <c r="G89" s="283">
        <v>2</v>
      </c>
      <c r="H89" s="283">
        <f t="shared" si="42"/>
        <v>526</v>
      </c>
      <c r="I89" s="283">
        <v>0.08</v>
      </c>
      <c r="J89" s="283">
        <f t="shared" si="39"/>
        <v>42.08</v>
      </c>
      <c r="K89" s="298">
        <v>42.08</v>
      </c>
      <c r="L89" s="325">
        <v>0</v>
      </c>
      <c r="M89" s="325">
        <v>0</v>
      </c>
      <c r="N89" s="325">
        <f>+J89-K89</f>
        <v>0</v>
      </c>
      <c r="O89" s="325">
        <f t="shared" si="40"/>
        <v>0</v>
      </c>
      <c r="P89" s="149"/>
    </row>
    <row r="90" spans="1:16" ht="36">
      <c r="A90" s="465" t="s">
        <v>71</v>
      </c>
      <c r="B90" s="465" t="s">
        <v>71</v>
      </c>
      <c r="C90" s="17" t="s">
        <v>194</v>
      </c>
      <c r="D90" s="19"/>
      <c r="E90" s="35">
        <v>25</v>
      </c>
      <c r="F90" s="35" t="s">
        <v>51</v>
      </c>
      <c r="G90" s="283">
        <v>1</v>
      </c>
      <c r="H90" s="283">
        <f t="shared" si="42"/>
        <v>25</v>
      </c>
      <c r="I90" s="283">
        <v>0.08</v>
      </c>
      <c r="J90" s="283">
        <f t="shared" si="39"/>
        <v>2</v>
      </c>
      <c r="K90" s="298">
        <v>2</v>
      </c>
      <c r="L90" s="325">
        <v>0</v>
      </c>
      <c r="M90" s="325">
        <f t="shared" ref="M90" si="43">+J90-K90</f>
        <v>0</v>
      </c>
      <c r="N90" s="325">
        <v>0</v>
      </c>
      <c r="O90" s="325">
        <f t="shared" si="40"/>
        <v>0</v>
      </c>
      <c r="P90" s="149"/>
    </row>
    <row r="91" spans="1:16" ht="60">
      <c r="A91" s="465" t="s">
        <v>195</v>
      </c>
      <c r="B91" s="465" t="s">
        <v>195</v>
      </c>
      <c r="C91" s="17" t="s">
        <v>196</v>
      </c>
      <c r="D91" s="19"/>
      <c r="E91" s="35">
        <v>100</v>
      </c>
      <c r="F91" s="35" t="s">
        <v>51</v>
      </c>
      <c r="G91" s="283">
        <v>1</v>
      </c>
      <c r="H91" s="283">
        <f t="shared" si="42"/>
        <v>100</v>
      </c>
      <c r="I91" s="283">
        <v>0.02</v>
      </c>
      <c r="J91" s="283">
        <f t="shared" si="39"/>
        <v>2</v>
      </c>
      <c r="K91" s="298">
        <v>2</v>
      </c>
      <c r="L91" s="324">
        <f>+J91-K91</f>
        <v>0</v>
      </c>
      <c r="M91" s="324">
        <v>0</v>
      </c>
      <c r="N91" s="324">
        <v>0</v>
      </c>
      <c r="O91" s="324">
        <f t="shared" si="40"/>
        <v>0</v>
      </c>
      <c r="P91" s="101"/>
    </row>
    <row r="92" spans="1:16" ht="24">
      <c r="A92" s="465" t="s">
        <v>86</v>
      </c>
      <c r="B92" s="465" t="s">
        <v>86</v>
      </c>
      <c r="C92" s="17" t="s">
        <v>197</v>
      </c>
      <c r="D92" s="19"/>
      <c r="E92" s="35">
        <v>263</v>
      </c>
      <c r="F92" s="35" t="s">
        <v>51</v>
      </c>
      <c r="G92" s="283">
        <v>1</v>
      </c>
      <c r="H92" s="283">
        <f t="shared" si="42"/>
        <v>263</v>
      </c>
      <c r="I92" s="283">
        <v>0.33</v>
      </c>
      <c r="J92" s="283">
        <f t="shared" si="39"/>
        <v>86.79</v>
      </c>
      <c r="K92" s="298">
        <v>86.79</v>
      </c>
      <c r="L92" s="324">
        <v>0</v>
      </c>
      <c r="M92" s="324">
        <v>0</v>
      </c>
      <c r="N92" s="324">
        <f>+J92-K92</f>
        <v>0</v>
      </c>
      <c r="O92" s="324">
        <f t="shared" si="40"/>
        <v>0</v>
      </c>
      <c r="P92" s="101"/>
    </row>
    <row r="93" spans="1:16" ht="24">
      <c r="A93" s="465" t="s">
        <v>88</v>
      </c>
      <c r="B93" s="465" t="s">
        <v>88</v>
      </c>
      <c r="C93" s="17" t="s">
        <v>198</v>
      </c>
      <c r="D93" s="19"/>
      <c r="E93" s="35">
        <v>52</v>
      </c>
      <c r="F93" s="35" t="s">
        <v>51</v>
      </c>
      <c r="G93" s="283">
        <v>1</v>
      </c>
      <c r="H93" s="283">
        <f t="shared" si="42"/>
        <v>52</v>
      </c>
      <c r="I93" s="283">
        <v>0.08</v>
      </c>
      <c r="J93" s="283">
        <f t="shared" si="39"/>
        <v>4.16</v>
      </c>
      <c r="K93" s="298">
        <v>4.16</v>
      </c>
      <c r="L93" s="324">
        <v>0</v>
      </c>
      <c r="M93" s="324">
        <v>0</v>
      </c>
      <c r="N93" s="324">
        <f>+J93-K93</f>
        <v>0</v>
      </c>
      <c r="O93" s="324">
        <f t="shared" si="40"/>
        <v>0</v>
      </c>
      <c r="P93" s="101"/>
    </row>
    <row r="94" spans="1:16" ht="24">
      <c r="A94" s="465" t="s">
        <v>90</v>
      </c>
      <c r="B94" s="465" t="s">
        <v>90</v>
      </c>
      <c r="C94" s="17" t="s">
        <v>199</v>
      </c>
      <c r="D94" s="19"/>
      <c r="E94" s="35">
        <v>263</v>
      </c>
      <c r="F94" s="35" t="s">
        <v>51</v>
      </c>
      <c r="G94" s="283">
        <v>1</v>
      </c>
      <c r="H94" s="283">
        <f t="shared" si="42"/>
        <v>263</v>
      </c>
      <c r="I94" s="283">
        <v>0.08</v>
      </c>
      <c r="J94" s="283">
        <f t="shared" si="39"/>
        <v>21.04</v>
      </c>
      <c r="K94" s="298">
        <v>21.04</v>
      </c>
      <c r="L94" s="324">
        <v>0</v>
      </c>
      <c r="M94" s="324">
        <v>0</v>
      </c>
      <c r="N94" s="324">
        <f>+J94-K94</f>
        <v>0</v>
      </c>
      <c r="O94" s="324">
        <f t="shared" si="40"/>
        <v>0</v>
      </c>
      <c r="P94" s="101"/>
    </row>
    <row r="95" spans="1:16" ht="24">
      <c r="A95" s="492" t="s">
        <v>200</v>
      </c>
      <c r="B95" s="492" t="s">
        <v>200</v>
      </c>
      <c r="C95" s="17" t="s">
        <v>201</v>
      </c>
      <c r="D95" s="19"/>
      <c r="E95" s="283"/>
      <c r="F95" s="283"/>
      <c r="G95" s="283"/>
      <c r="H95" s="283"/>
      <c r="I95" s="283"/>
      <c r="J95" s="283"/>
      <c r="K95" s="298"/>
      <c r="L95" s="324"/>
      <c r="M95" s="324"/>
      <c r="N95" s="324"/>
      <c r="O95" s="324"/>
      <c r="P95" s="101"/>
    </row>
    <row r="96" spans="1:16" ht="24">
      <c r="A96" s="493"/>
      <c r="B96" s="493"/>
      <c r="C96" s="310" t="s">
        <v>202</v>
      </c>
      <c r="D96" s="19"/>
      <c r="E96" s="35">
        <v>127</v>
      </c>
      <c r="F96" s="35" t="s">
        <v>51</v>
      </c>
      <c r="G96" s="283">
        <v>1</v>
      </c>
      <c r="H96" s="283">
        <f t="shared" ref="H96:H105" si="44">SUM(E96*G96)</f>
        <v>127</v>
      </c>
      <c r="I96" s="283">
        <v>0.08</v>
      </c>
      <c r="J96" s="283">
        <f t="shared" ref="J96:J105" si="45">(H96*I96)</f>
        <v>10.16</v>
      </c>
      <c r="K96" s="298">
        <v>10.16</v>
      </c>
      <c r="L96" s="324">
        <v>0</v>
      </c>
      <c r="M96" s="324">
        <f t="shared" ref="M96" si="46">+J96-K96</f>
        <v>0</v>
      </c>
      <c r="N96" s="324">
        <v>0</v>
      </c>
      <c r="O96" s="324">
        <f t="shared" si="40"/>
        <v>0</v>
      </c>
      <c r="P96" s="101"/>
    </row>
    <row r="97" spans="1:17" ht="24">
      <c r="A97" s="493"/>
      <c r="B97" s="493"/>
      <c r="C97" s="310" t="s">
        <v>203</v>
      </c>
      <c r="D97" s="19"/>
      <c r="E97" s="35">
        <v>52</v>
      </c>
      <c r="F97" s="35" t="s">
        <v>180</v>
      </c>
      <c r="G97" s="283">
        <v>2</v>
      </c>
      <c r="H97" s="283">
        <f t="shared" si="44"/>
        <v>104</v>
      </c>
      <c r="I97" s="283">
        <v>0.08</v>
      </c>
      <c r="J97" s="283">
        <f t="shared" si="45"/>
        <v>8.32</v>
      </c>
      <c r="K97" s="298">
        <v>8.32</v>
      </c>
      <c r="L97" s="324">
        <v>0</v>
      </c>
      <c r="M97" s="324">
        <v>0</v>
      </c>
      <c r="N97" s="324">
        <f>+J97-K97</f>
        <v>0</v>
      </c>
      <c r="O97" s="324">
        <f t="shared" si="40"/>
        <v>0</v>
      </c>
      <c r="P97" s="101"/>
    </row>
    <row r="98" spans="1:17" ht="24">
      <c r="A98" s="493"/>
      <c r="B98" s="493"/>
      <c r="C98" s="310" t="s">
        <v>204</v>
      </c>
      <c r="D98" s="19"/>
      <c r="E98" s="35">
        <v>263</v>
      </c>
      <c r="F98" s="35" t="s">
        <v>51</v>
      </c>
      <c r="G98" s="283">
        <v>1</v>
      </c>
      <c r="H98" s="283">
        <f t="shared" si="44"/>
        <v>263</v>
      </c>
      <c r="I98" s="283">
        <v>0.33</v>
      </c>
      <c r="J98" s="283">
        <f t="shared" si="45"/>
        <v>86.79</v>
      </c>
      <c r="K98" s="298">
        <v>86.79</v>
      </c>
      <c r="L98" s="324">
        <v>0</v>
      </c>
      <c r="M98" s="324">
        <v>0</v>
      </c>
      <c r="N98" s="324">
        <f>J98-K98</f>
        <v>0</v>
      </c>
      <c r="O98" s="324">
        <f t="shared" si="40"/>
        <v>0</v>
      </c>
      <c r="P98" s="101"/>
    </row>
    <row r="99" spans="1:17" ht="84.75" customHeight="1">
      <c r="A99" s="493"/>
      <c r="B99" s="493"/>
      <c r="C99" s="310" t="s">
        <v>205</v>
      </c>
      <c r="D99" s="19"/>
      <c r="E99" s="35">
        <v>52</v>
      </c>
      <c r="F99" s="35" t="s">
        <v>180</v>
      </c>
      <c r="G99" s="283">
        <v>2</v>
      </c>
      <c r="H99" s="283">
        <f t="shared" si="44"/>
        <v>104</v>
      </c>
      <c r="I99" s="283">
        <v>0.08</v>
      </c>
      <c r="J99" s="283">
        <f t="shared" si="45"/>
        <v>8.32</v>
      </c>
      <c r="K99" s="298">
        <v>8.32</v>
      </c>
      <c r="L99" s="324">
        <v>0</v>
      </c>
      <c r="M99" s="324">
        <f t="shared" ref="M99:M101" si="47">+J99-K99</f>
        <v>0</v>
      </c>
      <c r="N99" s="324">
        <v>0</v>
      </c>
      <c r="O99" s="324">
        <f t="shared" si="40"/>
        <v>0</v>
      </c>
      <c r="P99" s="101"/>
    </row>
    <row r="100" spans="1:17" ht="39.200000000000003" customHeight="1">
      <c r="A100" s="493"/>
      <c r="B100" s="493"/>
      <c r="C100" s="310" t="s">
        <v>206</v>
      </c>
      <c r="D100" s="17"/>
      <c r="E100" s="35">
        <v>20866</v>
      </c>
      <c r="F100" s="35" t="s">
        <v>54</v>
      </c>
      <c r="G100" s="283">
        <v>1</v>
      </c>
      <c r="H100" s="283">
        <f t="shared" si="44"/>
        <v>20866</v>
      </c>
      <c r="I100" s="283">
        <v>0.05</v>
      </c>
      <c r="J100" s="283">
        <f>(H100*I100)</f>
        <v>1043.3</v>
      </c>
      <c r="K100" s="298">
        <v>1043.3</v>
      </c>
      <c r="L100" s="325">
        <v>0</v>
      </c>
      <c r="M100" s="325">
        <v>0</v>
      </c>
      <c r="N100" s="324">
        <v>0</v>
      </c>
      <c r="O100" s="324">
        <f t="shared" ref="O100" si="48">SUM(L100:N100)</f>
        <v>0</v>
      </c>
      <c r="P100" s="149"/>
    </row>
    <row r="101" spans="1:17" ht="36">
      <c r="A101" s="493"/>
      <c r="B101" s="493"/>
      <c r="C101" s="310" t="s">
        <v>207</v>
      </c>
      <c r="D101" s="19"/>
      <c r="E101" s="35">
        <v>263</v>
      </c>
      <c r="F101" s="35" t="s">
        <v>54</v>
      </c>
      <c r="G101" s="283">
        <v>80.42</v>
      </c>
      <c r="H101" s="283">
        <f t="shared" si="44"/>
        <v>21150.46</v>
      </c>
      <c r="I101" s="283">
        <v>0.05</v>
      </c>
      <c r="J101" s="283">
        <f t="shared" si="45"/>
        <v>1057.5229999999999</v>
      </c>
      <c r="K101" s="298">
        <v>1057.5229999999999</v>
      </c>
      <c r="L101" s="325">
        <v>0</v>
      </c>
      <c r="M101" s="325">
        <f t="shared" si="47"/>
        <v>0</v>
      </c>
      <c r="N101" s="325">
        <v>0</v>
      </c>
      <c r="O101" s="325">
        <f t="shared" si="40"/>
        <v>0</v>
      </c>
      <c r="P101" s="149"/>
    </row>
    <row r="102" spans="1:17" ht="48">
      <c r="A102" s="493"/>
      <c r="B102" s="493"/>
      <c r="C102" s="310" t="s">
        <v>208</v>
      </c>
      <c r="D102" s="19"/>
      <c r="E102" s="35">
        <v>263</v>
      </c>
      <c r="F102" s="35" t="s">
        <v>54</v>
      </c>
      <c r="G102" s="283">
        <v>15</v>
      </c>
      <c r="H102" s="283">
        <f t="shared" si="44"/>
        <v>3945</v>
      </c>
      <c r="I102" s="283">
        <v>0.08</v>
      </c>
      <c r="J102" s="283">
        <f>(H102*I102)</f>
        <v>315.60000000000002</v>
      </c>
      <c r="K102" s="298">
        <v>315.60000000000002</v>
      </c>
      <c r="L102" s="325">
        <v>0</v>
      </c>
      <c r="M102" s="325">
        <f>+J102-K102</f>
        <v>0</v>
      </c>
      <c r="N102" s="325">
        <v>0</v>
      </c>
      <c r="O102" s="325">
        <f>SUM(L102:N102)</f>
        <v>0</v>
      </c>
      <c r="P102" s="149"/>
    </row>
    <row r="103" spans="1:17" ht="48.75" customHeight="1">
      <c r="A103" s="494"/>
      <c r="B103" s="494"/>
      <c r="C103" s="445" t="s">
        <v>209</v>
      </c>
      <c r="D103" s="446"/>
      <c r="E103" s="359">
        <v>20866</v>
      </c>
      <c r="F103" s="359" t="s">
        <v>54</v>
      </c>
      <c r="G103" s="360">
        <v>15</v>
      </c>
      <c r="H103" s="360">
        <f t="shared" si="44"/>
        <v>312990</v>
      </c>
      <c r="I103" s="360">
        <v>0.1</v>
      </c>
      <c r="J103" s="360">
        <f>(H103*I103)</f>
        <v>31299</v>
      </c>
      <c r="K103" s="338">
        <v>25039.200000000001</v>
      </c>
      <c r="L103" s="361">
        <v>0</v>
      </c>
      <c r="M103" s="361">
        <v>0</v>
      </c>
      <c r="N103" s="361">
        <f>J103-K103</f>
        <v>6259.7999999999993</v>
      </c>
      <c r="O103" s="361">
        <f>SUM(L103:N103)</f>
        <v>6259.7999999999993</v>
      </c>
      <c r="P103" s="345" t="s">
        <v>210</v>
      </c>
    </row>
    <row r="104" spans="1:17" s="3" customFormat="1" ht="36">
      <c r="A104" s="465" t="s">
        <v>211</v>
      </c>
      <c r="B104" s="465" t="s">
        <v>211</v>
      </c>
      <c r="C104" s="17" t="s">
        <v>212</v>
      </c>
      <c r="D104" s="17"/>
      <c r="E104" s="35">
        <v>6783</v>
      </c>
      <c r="F104" s="35" t="s">
        <v>54</v>
      </c>
      <c r="G104" s="283">
        <v>1</v>
      </c>
      <c r="H104" s="283">
        <f t="shared" si="44"/>
        <v>6783</v>
      </c>
      <c r="I104" s="283">
        <v>0.25</v>
      </c>
      <c r="J104" s="283">
        <f>(H104*I104)</f>
        <v>1695.75</v>
      </c>
      <c r="K104" s="298">
        <v>1695.75</v>
      </c>
      <c r="L104" s="325">
        <v>0</v>
      </c>
      <c r="M104" s="325">
        <v>0</v>
      </c>
      <c r="N104" s="324">
        <f>+J104-K104</f>
        <v>0</v>
      </c>
      <c r="O104" s="324">
        <f t="shared" ref="O104" si="49">SUM(L104:N104)</f>
        <v>0</v>
      </c>
      <c r="P104" s="149"/>
    </row>
    <row r="105" spans="1:17" ht="24">
      <c r="A105" s="459" t="s">
        <v>213</v>
      </c>
      <c r="B105" s="459" t="s">
        <v>213</v>
      </c>
      <c r="C105" s="17" t="s">
        <v>214</v>
      </c>
      <c r="D105" s="17"/>
      <c r="E105" s="35">
        <v>52</v>
      </c>
      <c r="F105" s="35" t="s">
        <v>51</v>
      </c>
      <c r="G105" s="283">
        <v>6</v>
      </c>
      <c r="H105" s="283">
        <f t="shared" si="44"/>
        <v>312</v>
      </c>
      <c r="I105" s="283">
        <v>0.08</v>
      </c>
      <c r="J105" s="283">
        <f t="shared" si="45"/>
        <v>24.96</v>
      </c>
      <c r="K105" s="298">
        <v>24.96</v>
      </c>
      <c r="L105" s="324">
        <v>0</v>
      </c>
      <c r="M105" s="324">
        <v>0</v>
      </c>
      <c r="N105" s="324">
        <f>+J105-K105</f>
        <v>0</v>
      </c>
      <c r="O105" s="324">
        <f t="shared" si="40"/>
        <v>0</v>
      </c>
      <c r="P105" s="101"/>
    </row>
    <row r="106" spans="1:17" ht="24">
      <c r="A106" s="344" t="s">
        <v>215</v>
      </c>
      <c r="B106" s="456" t="s">
        <v>125</v>
      </c>
      <c r="C106" s="17" t="s">
        <v>216</v>
      </c>
      <c r="D106" s="19"/>
      <c r="E106" s="35"/>
      <c r="F106" s="35"/>
      <c r="G106" s="283"/>
      <c r="H106" s="283"/>
      <c r="I106" s="283"/>
      <c r="J106" s="283"/>
      <c r="K106" s="298"/>
      <c r="L106" s="324"/>
      <c r="M106" s="324"/>
      <c r="N106" s="324"/>
      <c r="O106" s="324"/>
      <c r="P106" s="345" t="s">
        <v>121</v>
      </c>
    </row>
    <row r="107" spans="1:17" ht="24">
      <c r="A107" s="455"/>
      <c r="B107" s="458"/>
      <c r="C107" s="302" t="s">
        <v>217</v>
      </c>
      <c r="D107" s="19"/>
      <c r="E107" s="35">
        <v>5</v>
      </c>
      <c r="F107" s="35" t="s">
        <v>51</v>
      </c>
      <c r="G107" s="283">
        <v>400</v>
      </c>
      <c r="H107" s="283">
        <f>SUM(E107*G107)</f>
        <v>2000</v>
      </c>
      <c r="I107" s="283">
        <v>0.02</v>
      </c>
      <c r="J107" s="283">
        <f>(H107*I107)</f>
        <v>40</v>
      </c>
      <c r="K107" s="298">
        <v>40</v>
      </c>
      <c r="L107" s="324">
        <v>0</v>
      </c>
      <c r="M107" s="324">
        <f t="shared" ref="M107" si="50">+J107-K107</f>
        <v>0</v>
      </c>
      <c r="N107" s="324">
        <v>0</v>
      </c>
      <c r="O107" s="324">
        <f t="shared" si="40"/>
        <v>0</v>
      </c>
      <c r="P107" s="101"/>
    </row>
    <row r="108" spans="1:17" ht="24">
      <c r="A108" s="465" t="s">
        <v>218</v>
      </c>
      <c r="B108" s="465" t="s">
        <v>218</v>
      </c>
      <c r="C108" s="17" t="s">
        <v>219</v>
      </c>
      <c r="D108" s="17"/>
      <c r="E108" s="35">
        <v>54</v>
      </c>
      <c r="F108" s="35" t="s">
        <v>135</v>
      </c>
      <c r="G108" s="283">
        <v>1</v>
      </c>
      <c r="H108" s="283">
        <f t="shared" ref="H108:H115" si="51">SUM(E108*G108)</f>
        <v>54</v>
      </c>
      <c r="I108" s="283">
        <v>0.08</v>
      </c>
      <c r="J108" s="283">
        <f t="shared" ref="J108:J115" si="52">(H108*I108)</f>
        <v>4.32</v>
      </c>
      <c r="K108" s="298">
        <v>4.32</v>
      </c>
      <c r="L108" s="324">
        <v>0</v>
      </c>
      <c r="M108" s="324">
        <v>0</v>
      </c>
      <c r="N108" s="324">
        <f>J108-K108</f>
        <v>0</v>
      </c>
      <c r="O108" s="324">
        <f t="shared" si="40"/>
        <v>0</v>
      </c>
      <c r="P108" s="101"/>
      <c r="Q108" s="153"/>
    </row>
    <row r="109" spans="1:17" ht="24">
      <c r="A109" s="465" t="s">
        <v>220</v>
      </c>
      <c r="B109" s="465" t="s">
        <v>220</v>
      </c>
      <c r="C109" s="17" t="s">
        <v>221</v>
      </c>
      <c r="D109" s="17"/>
      <c r="E109" s="35">
        <v>54</v>
      </c>
      <c r="F109" s="35" t="s">
        <v>135</v>
      </c>
      <c r="G109" s="283">
        <v>30</v>
      </c>
      <c r="H109" s="283">
        <f t="shared" si="51"/>
        <v>1620</v>
      </c>
      <c r="I109" s="283">
        <v>0.08</v>
      </c>
      <c r="J109" s="283">
        <f t="shared" si="52"/>
        <v>129.6</v>
      </c>
      <c r="K109" s="298">
        <v>129.6</v>
      </c>
      <c r="L109" s="324">
        <v>0</v>
      </c>
      <c r="M109" s="324">
        <v>0</v>
      </c>
      <c r="N109" s="324">
        <f t="shared" ref="N109:N112" si="53">J109-K109</f>
        <v>0</v>
      </c>
      <c r="O109" s="324">
        <f t="shared" si="40"/>
        <v>0</v>
      </c>
      <c r="P109" s="101"/>
      <c r="Q109" s="153"/>
    </row>
    <row r="110" spans="1:17" ht="24">
      <c r="A110" s="465" t="s">
        <v>133</v>
      </c>
      <c r="B110" s="465" t="s">
        <v>133</v>
      </c>
      <c r="C110" s="17" t="s">
        <v>222</v>
      </c>
      <c r="D110" s="17"/>
      <c r="E110" s="35">
        <v>54</v>
      </c>
      <c r="F110" s="35" t="s">
        <v>135</v>
      </c>
      <c r="G110" s="283">
        <v>1</v>
      </c>
      <c r="H110" s="283">
        <f t="shared" si="51"/>
        <v>54</v>
      </c>
      <c r="I110" s="283">
        <v>0.33</v>
      </c>
      <c r="J110" s="283">
        <f t="shared" si="52"/>
        <v>17.82</v>
      </c>
      <c r="K110" s="298">
        <v>17.82</v>
      </c>
      <c r="L110" s="324">
        <v>0</v>
      </c>
      <c r="M110" s="324">
        <v>0</v>
      </c>
      <c r="N110" s="324">
        <f t="shared" si="53"/>
        <v>0</v>
      </c>
      <c r="O110" s="324">
        <f t="shared" si="40"/>
        <v>0</v>
      </c>
      <c r="P110" s="101"/>
      <c r="Q110" s="153"/>
    </row>
    <row r="111" spans="1:17" ht="24">
      <c r="A111" s="465" t="s">
        <v>136</v>
      </c>
      <c r="B111" s="465" t="s">
        <v>136</v>
      </c>
      <c r="C111" s="17" t="s">
        <v>137</v>
      </c>
      <c r="D111" s="17"/>
      <c r="E111" s="35">
        <v>2</v>
      </c>
      <c r="F111" s="35" t="s">
        <v>135</v>
      </c>
      <c r="G111" s="283">
        <v>1</v>
      </c>
      <c r="H111" s="283">
        <f t="shared" si="51"/>
        <v>2</v>
      </c>
      <c r="I111" s="283">
        <v>0.5</v>
      </c>
      <c r="J111" s="283">
        <f t="shared" si="52"/>
        <v>1</v>
      </c>
      <c r="K111" s="298">
        <v>1</v>
      </c>
      <c r="L111" s="324">
        <v>0</v>
      </c>
      <c r="M111" s="324">
        <v>0</v>
      </c>
      <c r="N111" s="324">
        <v>0</v>
      </c>
      <c r="O111" s="324">
        <f t="shared" si="40"/>
        <v>0</v>
      </c>
      <c r="P111" s="101"/>
      <c r="Q111" s="153"/>
    </row>
    <row r="112" spans="1:17" ht="24">
      <c r="A112" s="346" t="s">
        <v>133</v>
      </c>
      <c r="B112" s="465" t="s">
        <v>223</v>
      </c>
      <c r="C112" s="17" t="s">
        <v>224</v>
      </c>
      <c r="D112" s="17"/>
      <c r="E112" s="35">
        <v>54</v>
      </c>
      <c r="F112" s="35" t="s">
        <v>135</v>
      </c>
      <c r="G112" s="283">
        <v>1</v>
      </c>
      <c r="H112" s="283">
        <f t="shared" si="51"/>
        <v>54</v>
      </c>
      <c r="I112" s="283">
        <v>2</v>
      </c>
      <c r="J112" s="283">
        <f t="shared" si="52"/>
        <v>108</v>
      </c>
      <c r="K112" s="298">
        <v>108</v>
      </c>
      <c r="L112" s="324">
        <v>0</v>
      </c>
      <c r="M112" s="324">
        <v>0</v>
      </c>
      <c r="N112" s="324">
        <f t="shared" si="53"/>
        <v>0</v>
      </c>
      <c r="O112" s="324">
        <f t="shared" si="40"/>
        <v>0</v>
      </c>
      <c r="P112" s="337" t="s">
        <v>138</v>
      </c>
    </row>
    <row r="113" spans="1:16" ht="24">
      <c r="A113" s="465" t="s">
        <v>225</v>
      </c>
      <c r="B113" s="465" t="s">
        <v>225</v>
      </c>
      <c r="C113" s="17" t="s">
        <v>226</v>
      </c>
      <c r="D113" s="17"/>
      <c r="E113" s="35">
        <v>54</v>
      </c>
      <c r="F113" s="35" t="s">
        <v>135</v>
      </c>
      <c r="G113" s="283">
        <v>15</v>
      </c>
      <c r="H113" s="283">
        <f t="shared" si="51"/>
        <v>810</v>
      </c>
      <c r="I113" s="283">
        <v>0.08</v>
      </c>
      <c r="J113" s="283">
        <f t="shared" si="52"/>
        <v>64.8</v>
      </c>
      <c r="K113" s="298">
        <v>64.8</v>
      </c>
      <c r="L113" s="324">
        <v>0</v>
      </c>
      <c r="M113" s="324">
        <v>0</v>
      </c>
      <c r="N113" s="324">
        <v>0</v>
      </c>
      <c r="O113" s="324">
        <f t="shared" si="40"/>
        <v>0</v>
      </c>
      <c r="P113" s="101"/>
    </row>
    <row r="114" spans="1:16" ht="24" customHeight="1">
      <c r="A114" s="459" t="s">
        <v>227</v>
      </c>
      <c r="B114" s="459" t="s">
        <v>228</v>
      </c>
      <c r="C114" s="17" t="s">
        <v>229</v>
      </c>
      <c r="D114" s="17"/>
      <c r="E114" s="35">
        <v>54</v>
      </c>
      <c r="F114" s="35" t="s">
        <v>135</v>
      </c>
      <c r="G114" s="283">
        <v>12</v>
      </c>
      <c r="H114" s="283">
        <f t="shared" si="51"/>
        <v>648</v>
      </c>
      <c r="I114" s="283">
        <v>0.08</v>
      </c>
      <c r="J114" s="283">
        <f t="shared" si="52"/>
        <v>51.84</v>
      </c>
      <c r="K114" s="298">
        <v>51.84</v>
      </c>
      <c r="L114" s="324">
        <v>0</v>
      </c>
      <c r="M114" s="324">
        <f t="shared" ref="M114" si="54">+J114-K114</f>
        <v>0</v>
      </c>
      <c r="N114" s="324">
        <v>0</v>
      </c>
      <c r="O114" s="324">
        <f t="shared" si="40"/>
        <v>0</v>
      </c>
      <c r="P114" s="101"/>
    </row>
    <row r="115" spans="1:16" s="3" customFormat="1" ht="38.450000000000003" customHeight="1">
      <c r="A115" s="357" t="s">
        <v>230</v>
      </c>
      <c r="B115" s="337" t="s">
        <v>29</v>
      </c>
      <c r="C115" s="358" t="s">
        <v>231</v>
      </c>
      <c r="D115" s="340"/>
      <c r="E115" s="359">
        <v>54</v>
      </c>
      <c r="F115" s="359"/>
      <c r="G115" s="360">
        <v>1</v>
      </c>
      <c r="H115" s="360">
        <f t="shared" si="51"/>
        <v>54</v>
      </c>
      <c r="I115" s="360">
        <v>1</v>
      </c>
      <c r="J115" s="338">
        <f t="shared" si="52"/>
        <v>54</v>
      </c>
      <c r="K115" s="361">
        <v>0</v>
      </c>
      <c r="L115" s="361">
        <f>J115</f>
        <v>54</v>
      </c>
      <c r="M115" s="361">
        <v>0</v>
      </c>
      <c r="N115" s="361">
        <v>0</v>
      </c>
      <c r="O115" s="361">
        <f t="shared" si="40"/>
        <v>54</v>
      </c>
      <c r="P115" s="337" t="s">
        <v>124</v>
      </c>
    </row>
    <row r="116" spans="1:16">
      <c r="A116" s="486" t="s">
        <v>232</v>
      </c>
      <c r="B116" s="489" t="s">
        <v>163</v>
      </c>
      <c r="C116" s="21" t="s">
        <v>233</v>
      </c>
      <c r="D116" s="327"/>
      <c r="E116" s="35"/>
      <c r="F116" s="35"/>
      <c r="G116" s="283"/>
      <c r="H116" s="283"/>
      <c r="I116" s="283"/>
      <c r="J116" s="283"/>
      <c r="K116" s="298"/>
      <c r="L116" s="324"/>
      <c r="M116" s="324"/>
      <c r="N116" s="324"/>
      <c r="O116" s="324"/>
      <c r="P116" s="101"/>
    </row>
    <row r="117" spans="1:16">
      <c r="A117" s="487"/>
      <c r="B117" s="490"/>
      <c r="C117" s="328" t="s">
        <v>164</v>
      </c>
      <c r="D117" s="327"/>
      <c r="E117" s="31">
        <v>117</v>
      </c>
      <c r="F117" s="31" t="s">
        <v>96</v>
      </c>
      <c r="G117" s="24">
        <v>1</v>
      </c>
      <c r="H117" s="24">
        <f t="shared" ref="H117:H126" si="55">SUM(E117*G117)</f>
        <v>117</v>
      </c>
      <c r="I117" s="24">
        <v>0.08</v>
      </c>
      <c r="J117" s="24">
        <f t="shared" ref="J117:J126" si="56">(H117*I117)</f>
        <v>9.36</v>
      </c>
      <c r="K117" s="298">
        <v>9.36</v>
      </c>
      <c r="L117" s="324">
        <v>0</v>
      </c>
      <c r="M117" s="324">
        <v>0</v>
      </c>
      <c r="N117" s="324">
        <v>0</v>
      </c>
      <c r="O117" s="324">
        <f t="shared" si="40"/>
        <v>0</v>
      </c>
      <c r="P117" s="101"/>
    </row>
    <row r="118" spans="1:16">
      <c r="A118" s="487"/>
      <c r="B118" s="490"/>
      <c r="C118" s="328" t="s">
        <v>234</v>
      </c>
      <c r="D118" s="327"/>
      <c r="E118" s="31">
        <v>117</v>
      </c>
      <c r="F118" s="31" t="s">
        <v>96</v>
      </c>
      <c r="G118" s="24">
        <v>180</v>
      </c>
      <c r="H118" s="24">
        <f t="shared" si="55"/>
        <v>21060</v>
      </c>
      <c r="I118" s="24">
        <v>0.08</v>
      </c>
      <c r="J118" s="24">
        <f t="shared" si="56"/>
        <v>1684.8</v>
      </c>
      <c r="K118" s="298">
        <v>1684</v>
      </c>
      <c r="L118" s="324">
        <v>0</v>
      </c>
      <c r="M118" s="324">
        <v>0</v>
      </c>
      <c r="N118" s="324">
        <v>0</v>
      </c>
      <c r="O118" s="324">
        <f t="shared" si="40"/>
        <v>0</v>
      </c>
      <c r="P118" s="101"/>
    </row>
    <row r="119" spans="1:16">
      <c r="A119" s="487"/>
      <c r="B119" s="490"/>
      <c r="C119" s="328" t="s">
        <v>235</v>
      </c>
      <c r="D119" s="327"/>
      <c r="E119" s="31">
        <v>117</v>
      </c>
      <c r="F119" s="31" t="s">
        <v>96</v>
      </c>
      <c r="G119" s="24">
        <v>50</v>
      </c>
      <c r="H119" s="24">
        <f t="shared" si="55"/>
        <v>5850</v>
      </c>
      <c r="I119" s="24">
        <v>0.08</v>
      </c>
      <c r="J119" s="24">
        <f t="shared" si="56"/>
        <v>468</v>
      </c>
      <c r="K119" s="298">
        <v>468</v>
      </c>
      <c r="L119" s="324">
        <v>0</v>
      </c>
      <c r="M119" s="324">
        <v>0</v>
      </c>
      <c r="N119" s="324">
        <v>0</v>
      </c>
      <c r="O119" s="324">
        <f t="shared" si="40"/>
        <v>0</v>
      </c>
      <c r="P119" s="101"/>
    </row>
    <row r="120" spans="1:16" ht="24">
      <c r="A120" s="487"/>
      <c r="B120" s="490"/>
      <c r="C120" s="328" t="s">
        <v>236</v>
      </c>
      <c r="D120" s="327"/>
      <c r="E120" s="31">
        <v>25</v>
      </c>
      <c r="F120" s="31" t="s">
        <v>96</v>
      </c>
      <c r="G120" s="24">
        <v>1</v>
      </c>
      <c r="H120" s="24">
        <f t="shared" si="55"/>
        <v>25</v>
      </c>
      <c r="I120" s="24">
        <v>0.08</v>
      </c>
      <c r="J120" s="24">
        <f t="shared" si="56"/>
        <v>2</v>
      </c>
      <c r="K120" s="298">
        <v>2</v>
      </c>
      <c r="L120" s="324">
        <v>0</v>
      </c>
      <c r="M120" s="324">
        <v>0</v>
      </c>
      <c r="N120" s="324">
        <f t="shared" ref="N120" si="57">+J120-K120</f>
        <v>0</v>
      </c>
      <c r="O120" s="324">
        <f t="shared" si="40"/>
        <v>0</v>
      </c>
      <c r="P120" s="101"/>
    </row>
    <row r="121" spans="1:16">
      <c r="A121" s="487"/>
      <c r="B121" s="490"/>
      <c r="C121" s="328" t="s">
        <v>237</v>
      </c>
      <c r="D121" s="19" t="s">
        <v>238</v>
      </c>
      <c r="E121" s="31">
        <v>117</v>
      </c>
      <c r="F121" s="31" t="s">
        <v>96</v>
      </c>
      <c r="G121" s="24">
        <v>1</v>
      </c>
      <c r="H121" s="24">
        <f t="shared" si="55"/>
        <v>117</v>
      </c>
      <c r="I121" s="24">
        <v>0.08</v>
      </c>
      <c r="J121" s="24">
        <f t="shared" si="56"/>
        <v>9.36</v>
      </c>
      <c r="K121" s="298">
        <v>9.36</v>
      </c>
      <c r="L121" s="324">
        <v>0</v>
      </c>
      <c r="M121" s="324">
        <v>0</v>
      </c>
      <c r="N121" s="324">
        <v>0</v>
      </c>
      <c r="O121" s="324">
        <f t="shared" si="40"/>
        <v>0</v>
      </c>
      <c r="P121" s="101"/>
    </row>
    <row r="122" spans="1:16">
      <c r="A122" s="487"/>
      <c r="B122" s="490"/>
      <c r="C122" s="328" t="s">
        <v>239</v>
      </c>
      <c r="D122" s="19"/>
      <c r="E122" s="31">
        <v>117</v>
      </c>
      <c r="F122" s="31" t="s">
        <v>96</v>
      </c>
      <c r="G122" s="24">
        <v>12</v>
      </c>
      <c r="H122" s="24">
        <f t="shared" si="55"/>
        <v>1404</v>
      </c>
      <c r="I122" s="24">
        <v>0.08</v>
      </c>
      <c r="J122" s="24">
        <f t="shared" si="56"/>
        <v>112.32000000000001</v>
      </c>
      <c r="K122" s="298">
        <v>112.32</v>
      </c>
      <c r="L122" s="324">
        <v>0</v>
      </c>
      <c r="M122" s="324">
        <v>0</v>
      </c>
      <c r="N122" s="324">
        <v>0</v>
      </c>
      <c r="O122" s="324">
        <f t="shared" si="40"/>
        <v>0</v>
      </c>
      <c r="P122" s="101"/>
    </row>
    <row r="123" spans="1:16" s="5" customFormat="1" ht="24">
      <c r="A123" s="488"/>
      <c r="B123" s="491"/>
      <c r="C123" s="328" t="s">
        <v>240</v>
      </c>
      <c r="D123" s="19"/>
      <c r="E123" s="31">
        <v>117</v>
      </c>
      <c r="F123" s="31" t="s">
        <v>96</v>
      </c>
      <c r="G123" s="24">
        <v>2</v>
      </c>
      <c r="H123" s="24">
        <f t="shared" si="55"/>
        <v>234</v>
      </c>
      <c r="I123" s="24">
        <v>0.08</v>
      </c>
      <c r="J123" s="24">
        <f t="shared" si="56"/>
        <v>18.72</v>
      </c>
      <c r="K123" s="298">
        <v>18.72</v>
      </c>
      <c r="L123" s="324">
        <v>0</v>
      </c>
      <c r="M123" s="324">
        <v>0</v>
      </c>
      <c r="N123" s="324">
        <v>0</v>
      </c>
      <c r="O123" s="324">
        <f t="shared" si="40"/>
        <v>0</v>
      </c>
      <c r="P123" s="101"/>
    </row>
    <row r="124" spans="1:16" s="5" customFormat="1" ht="24">
      <c r="A124" s="460" t="s">
        <v>241</v>
      </c>
      <c r="B124" s="460" t="s">
        <v>241</v>
      </c>
      <c r="C124" s="17" t="s">
        <v>242</v>
      </c>
      <c r="D124" s="19"/>
      <c r="E124" s="31">
        <v>117</v>
      </c>
      <c r="F124" s="31" t="s">
        <v>96</v>
      </c>
      <c r="G124" s="24">
        <v>1</v>
      </c>
      <c r="H124" s="24">
        <f t="shared" si="55"/>
        <v>117</v>
      </c>
      <c r="I124" s="24">
        <v>3</v>
      </c>
      <c r="J124" s="24">
        <f t="shared" si="56"/>
        <v>351</v>
      </c>
      <c r="K124" s="298">
        <v>351</v>
      </c>
      <c r="L124" s="324">
        <v>0</v>
      </c>
      <c r="M124" s="324">
        <v>0</v>
      </c>
      <c r="N124" s="324">
        <v>0</v>
      </c>
      <c r="O124" s="324">
        <f>SUM(L124:N124)</f>
        <v>0</v>
      </c>
      <c r="P124" s="101"/>
    </row>
    <row r="125" spans="1:16" s="5" customFormat="1" ht="24">
      <c r="A125" s="465" t="s">
        <v>243</v>
      </c>
      <c r="B125" s="465" t="s">
        <v>243</v>
      </c>
      <c r="C125" s="17" t="s">
        <v>244</v>
      </c>
      <c r="D125" s="19"/>
      <c r="E125" s="31">
        <v>117</v>
      </c>
      <c r="F125" s="31" t="s">
        <v>96</v>
      </c>
      <c r="G125" s="24">
        <v>1</v>
      </c>
      <c r="H125" s="24">
        <f t="shared" si="55"/>
        <v>117</v>
      </c>
      <c r="I125" s="24">
        <v>0.25</v>
      </c>
      <c r="J125" s="24">
        <f t="shared" si="56"/>
        <v>29.25</v>
      </c>
      <c r="K125" s="298">
        <v>29.25</v>
      </c>
      <c r="L125" s="324">
        <v>0</v>
      </c>
      <c r="M125" s="324">
        <v>0</v>
      </c>
      <c r="N125" s="324">
        <v>0</v>
      </c>
      <c r="O125" s="324">
        <f t="shared" si="40"/>
        <v>0</v>
      </c>
      <c r="P125" s="101"/>
    </row>
    <row r="126" spans="1:16" s="3" customFormat="1" ht="24">
      <c r="A126" s="465" t="s">
        <v>245</v>
      </c>
      <c r="B126" s="465" t="s">
        <v>245</v>
      </c>
      <c r="C126" s="17" t="s">
        <v>246</v>
      </c>
      <c r="D126" s="19" t="s">
        <v>247</v>
      </c>
      <c r="E126" s="31">
        <v>117</v>
      </c>
      <c r="F126" s="31" t="s">
        <v>96</v>
      </c>
      <c r="G126" s="24">
        <v>1</v>
      </c>
      <c r="H126" s="24">
        <f t="shared" si="55"/>
        <v>117</v>
      </c>
      <c r="I126" s="24">
        <v>0.5</v>
      </c>
      <c r="J126" s="24">
        <f t="shared" si="56"/>
        <v>58.5</v>
      </c>
      <c r="K126" s="298">
        <v>58.5</v>
      </c>
      <c r="L126" s="324">
        <v>0</v>
      </c>
      <c r="M126" s="324">
        <v>0</v>
      </c>
      <c r="N126" s="324">
        <v>0</v>
      </c>
      <c r="O126" s="324">
        <f t="shared" si="40"/>
        <v>0</v>
      </c>
      <c r="P126" s="101"/>
    </row>
    <row r="127" spans="1:16" ht="15.75" thickBot="1">
      <c r="A127" s="480" t="s">
        <v>248</v>
      </c>
      <c r="B127" s="481"/>
      <c r="C127" s="481"/>
      <c r="D127" s="124"/>
      <c r="E127" s="130">
        <f>(SUM(E124:E126))+(SUM(E121:E122))+((SUM(E118:E119))+(SUM(E112:E114))+(SUM(E108:E110))+(SUM(E95:E105))+E93+(SUM(E89:F91))+E87+(SUM(E79:F85)))</f>
        <v>51611</v>
      </c>
      <c r="F127" s="130"/>
      <c r="G127" s="131">
        <f>H127/E127</f>
        <v>9.1391846699347035</v>
      </c>
      <c r="H127" s="131">
        <f>SUM(H79:H126)</f>
        <v>471682.45999999996</v>
      </c>
      <c r="I127" s="131">
        <f>J127/H127</f>
        <v>8.8564927769415047E-2</v>
      </c>
      <c r="J127" s="131">
        <f t="shared" ref="J127:O127" si="58">SUM(J79:J126)</f>
        <v>41774.523000000001</v>
      </c>
      <c r="K127" s="131">
        <f t="shared" si="58"/>
        <v>35459.923000000003</v>
      </c>
      <c r="L127" s="131">
        <f t="shared" si="58"/>
        <v>54</v>
      </c>
      <c r="M127" s="131">
        <f t="shared" si="58"/>
        <v>0</v>
      </c>
      <c r="N127" s="131">
        <f t="shared" si="58"/>
        <v>6259.7999999999993</v>
      </c>
      <c r="O127" s="131">
        <f t="shared" si="58"/>
        <v>6313.7999999999993</v>
      </c>
      <c r="P127" s="127"/>
    </row>
    <row r="128" spans="1:16">
      <c r="A128" s="14"/>
      <c r="B128" s="14"/>
      <c r="C128" s="7"/>
      <c r="D128" s="2"/>
      <c r="E128" s="34"/>
      <c r="F128" s="34"/>
      <c r="G128" s="29"/>
      <c r="H128" s="29"/>
      <c r="I128" s="29"/>
      <c r="J128" s="29"/>
    </row>
    <row r="129" spans="1:15" ht="15.75" thickBot="1">
      <c r="A129" s="14"/>
      <c r="B129" s="14"/>
      <c r="C129" s="7"/>
      <c r="D129" s="2"/>
      <c r="E129" s="34"/>
      <c r="F129" s="34"/>
      <c r="G129" s="29"/>
      <c r="H129" s="29"/>
      <c r="I129" s="29"/>
      <c r="J129" s="29"/>
    </row>
    <row r="130" spans="1:15" ht="45.75" thickBot="1">
      <c r="A130" s="14"/>
      <c r="B130" s="14"/>
      <c r="C130" s="7"/>
      <c r="D130" s="2"/>
      <c r="E130" s="49" t="s">
        <v>6</v>
      </c>
      <c r="F130" s="211"/>
      <c r="G130" s="50" t="s">
        <v>249</v>
      </c>
      <c r="H130" s="50" t="s">
        <v>250</v>
      </c>
      <c r="I130" s="50" t="s">
        <v>10</v>
      </c>
      <c r="J130" s="96" t="s">
        <v>251</v>
      </c>
      <c r="K130" s="105" t="s">
        <v>12</v>
      </c>
      <c r="L130" s="85" t="s">
        <v>13</v>
      </c>
      <c r="M130" s="119" t="s">
        <v>14</v>
      </c>
      <c r="N130" s="119" t="s">
        <v>15</v>
      </c>
      <c r="O130" s="329" t="s">
        <v>16</v>
      </c>
    </row>
    <row r="131" spans="1:15">
      <c r="A131" s="15"/>
      <c r="B131" s="15"/>
      <c r="C131" s="482" t="s">
        <v>252</v>
      </c>
      <c r="D131" s="483"/>
      <c r="E131" s="121">
        <f>E76</f>
        <v>26403</v>
      </c>
      <c r="F131" s="121"/>
      <c r="G131" s="48">
        <f>G76</f>
        <v>1709.01</v>
      </c>
      <c r="H131" s="48">
        <f>H76</f>
        <v>233283.24</v>
      </c>
      <c r="I131" s="48">
        <f>I76</f>
        <v>231.51</v>
      </c>
      <c r="J131" s="94">
        <f>J76</f>
        <v>60415.75</v>
      </c>
      <c r="K131" s="154">
        <f>+K76</f>
        <v>59284.75</v>
      </c>
      <c r="L131" s="155">
        <f>+L76</f>
        <v>1131</v>
      </c>
      <c r="M131" s="155">
        <f>+M76</f>
        <v>0</v>
      </c>
      <c r="N131" s="155">
        <f>+N76</f>
        <v>0</v>
      </c>
      <c r="O131" s="156">
        <f>+O76</f>
        <v>1131</v>
      </c>
    </row>
    <row r="132" spans="1:15" ht="15.75" thickBot="1">
      <c r="A132" s="15"/>
      <c r="B132" s="15"/>
      <c r="C132" s="484" t="s">
        <v>253</v>
      </c>
      <c r="D132" s="485"/>
      <c r="E132" s="122">
        <f>E127</f>
        <v>51611</v>
      </c>
      <c r="F132" s="122"/>
      <c r="G132" s="30">
        <f t="shared" ref="G132:J132" si="59">G127</f>
        <v>9.1391846699347035</v>
      </c>
      <c r="H132" s="30">
        <f t="shared" si="59"/>
        <v>471682.45999999996</v>
      </c>
      <c r="I132" s="30">
        <f t="shared" si="59"/>
        <v>8.8564927769415047E-2</v>
      </c>
      <c r="J132" s="95">
        <f t="shared" si="59"/>
        <v>41774.523000000001</v>
      </c>
      <c r="K132" s="157">
        <f>+K127</f>
        <v>35459.923000000003</v>
      </c>
      <c r="L132" s="150">
        <f>+L127</f>
        <v>54</v>
      </c>
      <c r="M132" s="150">
        <f t="shared" ref="M132:O132" si="60">+M127</f>
        <v>0</v>
      </c>
      <c r="N132" s="150">
        <f t="shared" si="60"/>
        <v>6259.7999999999993</v>
      </c>
      <c r="O132" s="158">
        <f t="shared" si="60"/>
        <v>6313.7999999999993</v>
      </c>
    </row>
    <row r="133" spans="1:15" ht="15.75" thickBot="1">
      <c r="A133" s="15"/>
      <c r="B133" s="15"/>
      <c r="C133" s="478" t="s">
        <v>254</v>
      </c>
      <c r="D133" s="479"/>
      <c r="E133" s="40">
        <f>SUM(E131:E132)</f>
        <v>78014</v>
      </c>
      <c r="F133" s="40"/>
      <c r="G133" s="41">
        <f>H133/E133</f>
        <v>9.036399876945163</v>
      </c>
      <c r="H133" s="41">
        <f>SUM(H131:H132)</f>
        <v>704965.7</v>
      </c>
      <c r="I133" s="41">
        <f>J133/H133</f>
        <v>0.14495779440049353</v>
      </c>
      <c r="J133" s="87">
        <f>SUM(J131:J132)</f>
        <v>102190.273</v>
      </c>
      <c r="K133" s="207">
        <f>SUM(K131:K132)</f>
        <v>94744.67300000001</v>
      </c>
      <c r="L133" s="151">
        <f>SUM(L131:L132)</f>
        <v>1185</v>
      </c>
      <c r="M133" s="151">
        <f t="shared" ref="M133:O133" si="61">SUM(M131:M132)</f>
        <v>0</v>
      </c>
      <c r="N133" s="151">
        <f t="shared" si="61"/>
        <v>6259.7999999999993</v>
      </c>
      <c r="O133" s="152">
        <f t="shared" si="61"/>
        <v>7444.7999999999993</v>
      </c>
    </row>
    <row r="134" spans="1:15">
      <c r="E134" s="159"/>
      <c r="F134" s="159"/>
      <c r="G134" s="159"/>
      <c r="H134" s="159"/>
      <c r="I134" s="159"/>
      <c r="J134" s="208"/>
      <c r="K134" s="153"/>
    </row>
    <row r="135" spans="1:15">
      <c r="A135" s="285"/>
      <c r="B135" s="285"/>
      <c r="C135" s="286"/>
      <c r="D135" s="287"/>
      <c r="E135" s="287"/>
      <c r="F135" s="287"/>
      <c r="G135" s="287"/>
    </row>
    <row r="136" spans="1:15">
      <c r="A136" s="285"/>
      <c r="B136" s="285"/>
      <c r="C136" s="286"/>
      <c r="D136" s="287"/>
      <c r="E136" s="287"/>
      <c r="F136" s="287"/>
      <c r="G136" s="287"/>
    </row>
    <row r="137" spans="1:15">
      <c r="A137" s="285"/>
      <c r="B137" s="285"/>
      <c r="C137" s="286"/>
      <c r="D137" s="287"/>
      <c r="E137" s="287"/>
      <c r="F137" s="287"/>
      <c r="G137" s="287"/>
    </row>
    <row r="138" spans="1:15">
      <c r="A138" s="285"/>
      <c r="B138" s="285"/>
      <c r="C138" s="286"/>
      <c r="D138" s="287"/>
      <c r="E138" s="287"/>
      <c r="F138" s="287"/>
      <c r="G138" s="287"/>
    </row>
    <row r="139" spans="1:15" ht="14.1" customHeight="1">
      <c r="A139" s="288"/>
      <c r="B139" s="289"/>
      <c r="C139" s="289"/>
      <c r="D139" s="289"/>
      <c r="E139" s="289"/>
      <c r="F139" s="289"/>
      <c r="G139" s="289"/>
    </row>
  </sheetData>
  <autoFilter ref="A5:P76" xr:uid="{00000000-0009-0000-0000-000000000000}"/>
  <mergeCells count="24">
    <mergeCell ref="C133:D133"/>
    <mergeCell ref="E57:J57"/>
    <mergeCell ref="A76:C76"/>
    <mergeCell ref="A127:C127"/>
    <mergeCell ref="C131:D131"/>
    <mergeCell ref="C132:D132"/>
    <mergeCell ref="A116:A123"/>
    <mergeCell ref="B116:B123"/>
    <mergeCell ref="A95:A103"/>
    <mergeCell ref="E58:J58"/>
    <mergeCell ref="B95:B103"/>
    <mergeCell ref="A1:P1"/>
    <mergeCell ref="A3:P3"/>
    <mergeCell ref="E6:J6"/>
    <mergeCell ref="E7:J7"/>
    <mergeCell ref="E8:J8"/>
    <mergeCell ref="A41:A43"/>
    <mergeCell ref="A25:A27"/>
    <mergeCell ref="A35:A37"/>
    <mergeCell ref="A85:A87"/>
    <mergeCell ref="B25:B27"/>
    <mergeCell ref="B35:B37"/>
    <mergeCell ref="B41:B43"/>
    <mergeCell ref="B85:B87"/>
  </mergeCells>
  <phoneticPr fontId="20" type="noConversion"/>
  <pageMargins left="0.2" right="0.2" top="0.5" bottom="0.5" header="0.3" footer="0.3"/>
  <pageSetup scale="48" fitToHeight="10" orientation="landscape" r:id="rId1"/>
  <headerFooter>
    <oddHeader>&amp;L#0584-0293&amp;C&amp;A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6"/>
  <sheetViews>
    <sheetView zoomScaleNormal="100" workbookViewId="0">
      <pane xSplit="1" ySplit="5" topLeftCell="B6" activePane="bottomRight" state="frozen"/>
      <selection pane="bottomRight" sqref="A1:Q1"/>
      <selection pane="bottomLeft" activeCell="A6" sqref="A6"/>
      <selection pane="topRight" activeCell="B1" sqref="B1"/>
    </sheetView>
  </sheetViews>
  <sheetFormatPr defaultRowHeight="15"/>
  <cols>
    <col min="1" max="1" width="12" style="16" customWidth="1"/>
    <col min="2" max="2" width="11" style="16" customWidth="1"/>
    <col min="3" max="3" width="29.42578125" style="11" customWidth="1"/>
    <col min="4" max="5" width="15.7109375" customWidth="1"/>
    <col min="6" max="6" width="15.7109375" hidden="1" customWidth="1"/>
    <col min="7" max="7" width="15.7109375" customWidth="1"/>
    <col min="8" max="8" width="15.42578125" customWidth="1"/>
    <col min="9" max="10" width="20.7109375" customWidth="1"/>
    <col min="11" max="11" width="15.7109375" customWidth="1"/>
    <col min="12" max="12" width="15.42578125" bestFit="1" customWidth="1"/>
    <col min="13" max="13" width="21.5703125" bestFit="1" customWidth="1"/>
    <col min="14" max="14" width="10.5703125" customWidth="1"/>
    <col min="15" max="15" width="14.140625" bestFit="1" customWidth="1"/>
    <col min="16" max="16" width="15.42578125" bestFit="1" customWidth="1"/>
    <col min="17" max="17" width="28.7109375" style="83" customWidth="1"/>
  </cols>
  <sheetData>
    <row r="1" spans="1:17" s="5" customFormat="1" ht="17.25">
      <c r="A1" s="472" t="s">
        <v>0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</row>
    <row r="2" spans="1:17" s="5" customFormat="1">
      <c r="A2" s="12"/>
      <c r="B2" s="12"/>
      <c r="C2" s="8"/>
      <c r="D2" s="4"/>
      <c r="E2" s="4"/>
      <c r="F2" s="4"/>
      <c r="G2" s="4"/>
      <c r="H2" s="4"/>
      <c r="I2" s="4"/>
      <c r="J2" s="4"/>
      <c r="K2" s="4"/>
      <c r="Q2" s="84"/>
    </row>
    <row r="3" spans="1:17" s="5" customFormat="1">
      <c r="A3" s="473" t="s">
        <v>255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</row>
    <row r="4" spans="1:17" ht="15.75" thickBot="1">
      <c r="A4" s="13"/>
      <c r="B4" s="13"/>
      <c r="C4" s="9"/>
      <c r="D4" s="1"/>
      <c r="E4" s="1"/>
      <c r="F4" s="1"/>
      <c r="G4" s="1"/>
      <c r="H4" s="1"/>
      <c r="I4" s="1"/>
      <c r="J4" s="1"/>
      <c r="K4" s="1"/>
    </row>
    <row r="5" spans="1:17" ht="39" thickBot="1">
      <c r="A5" s="43" t="s">
        <v>256</v>
      </c>
      <c r="B5" s="82" t="s">
        <v>257</v>
      </c>
      <c r="C5" s="44" t="s">
        <v>4</v>
      </c>
      <c r="D5" s="44" t="s">
        <v>5</v>
      </c>
      <c r="E5" s="44" t="s">
        <v>6</v>
      </c>
      <c r="F5" s="44" t="s">
        <v>7</v>
      </c>
      <c r="G5" s="44" t="s">
        <v>258</v>
      </c>
      <c r="H5" s="44" t="s">
        <v>8</v>
      </c>
      <c r="I5" s="44" t="s">
        <v>9</v>
      </c>
      <c r="J5" s="44" t="s">
        <v>10</v>
      </c>
      <c r="K5" s="53" t="s">
        <v>11</v>
      </c>
      <c r="L5" s="91" t="s">
        <v>12</v>
      </c>
      <c r="M5" s="85" t="s">
        <v>13</v>
      </c>
      <c r="N5" s="119" t="s">
        <v>14</v>
      </c>
      <c r="O5" s="119" t="s">
        <v>15</v>
      </c>
      <c r="P5" s="119" t="s">
        <v>16</v>
      </c>
      <c r="Q5" s="92" t="s">
        <v>17</v>
      </c>
    </row>
    <row r="6" spans="1:17" ht="24">
      <c r="A6" s="463" t="s">
        <v>62</v>
      </c>
      <c r="B6" s="463" t="s">
        <v>62</v>
      </c>
      <c r="C6" s="18" t="s">
        <v>259</v>
      </c>
      <c r="D6" s="463" t="s">
        <v>64</v>
      </c>
      <c r="E6" s="51">
        <v>2812</v>
      </c>
      <c r="F6" s="51" t="s">
        <v>260</v>
      </c>
      <c r="G6" s="51">
        <v>2812</v>
      </c>
      <c r="H6" s="52">
        <v>303</v>
      </c>
      <c r="I6" s="52">
        <f>(E6*H6)</f>
        <v>852036</v>
      </c>
      <c r="J6" s="52">
        <v>0.02</v>
      </c>
      <c r="K6" s="90">
        <f>(I6*J6)</f>
        <v>17040.72</v>
      </c>
      <c r="L6" s="98">
        <v>17040.72</v>
      </c>
      <c r="M6" s="99">
        <f>+K6-L6</f>
        <v>0</v>
      </c>
      <c r="N6" s="110">
        <v>0</v>
      </c>
      <c r="O6" s="110">
        <v>0</v>
      </c>
      <c r="P6" s="110">
        <f t="shared" ref="P6:P13" si="0">SUM(M6:O6)</f>
        <v>0</v>
      </c>
      <c r="Q6" s="109"/>
    </row>
    <row r="7" spans="1:17" ht="24">
      <c r="A7" s="464" t="s">
        <v>261</v>
      </c>
      <c r="B7" s="464" t="s">
        <v>261</v>
      </c>
      <c r="C7" s="17" t="s">
        <v>202</v>
      </c>
      <c r="D7" s="464"/>
      <c r="E7" s="31">
        <v>63</v>
      </c>
      <c r="F7" s="31" t="s">
        <v>262</v>
      </c>
      <c r="G7" s="31">
        <v>131</v>
      </c>
      <c r="H7" s="24">
        <v>1</v>
      </c>
      <c r="I7" s="24">
        <f t="shared" ref="I7:I18" si="1">(E7*H7)</f>
        <v>63</v>
      </c>
      <c r="J7" s="24">
        <v>2</v>
      </c>
      <c r="K7" s="25">
        <f t="shared" ref="K7:K18" si="2">(I7*J7)</f>
        <v>126</v>
      </c>
      <c r="L7" s="205">
        <v>126</v>
      </c>
      <c r="M7" s="330">
        <v>0</v>
      </c>
      <c r="N7" s="123">
        <f>+K7-L7</f>
        <v>0</v>
      </c>
      <c r="O7" s="123">
        <v>0</v>
      </c>
      <c r="P7" s="123">
        <f t="shared" si="0"/>
        <v>0</v>
      </c>
      <c r="Q7" s="101"/>
    </row>
    <row r="8" spans="1:17" s="241" customFormat="1" ht="41.25" customHeight="1">
      <c r="A8" s="236" t="s">
        <v>263</v>
      </c>
      <c r="B8" s="248" t="s">
        <v>264</v>
      </c>
      <c r="C8" s="237" t="s">
        <v>265</v>
      </c>
      <c r="D8" s="236"/>
      <c r="E8" s="238">
        <v>500</v>
      </c>
      <c r="F8" s="238" t="s">
        <v>266</v>
      </c>
      <c r="G8" s="238">
        <v>500</v>
      </c>
      <c r="H8" s="239">
        <v>12</v>
      </c>
      <c r="I8" s="239">
        <f t="shared" si="1"/>
        <v>6000</v>
      </c>
      <c r="J8" s="239">
        <v>1</v>
      </c>
      <c r="K8" s="240">
        <f t="shared" si="2"/>
        <v>6000</v>
      </c>
      <c r="L8" s="249">
        <v>6000</v>
      </c>
      <c r="M8" s="99">
        <f>+K8-L8</f>
        <v>0</v>
      </c>
      <c r="N8" s="110">
        <v>0</v>
      </c>
      <c r="O8" s="110">
        <v>0</v>
      </c>
      <c r="P8" s="110">
        <f t="shared" si="0"/>
        <v>0</v>
      </c>
      <c r="Q8" s="247"/>
    </row>
    <row r="9" spans="1:17" ht="30.2" customHeight="1">
      <c r="A9" s="464" t="s">
        <v>267</v>
      </c>
      <c r="B9" s="464" t="s">
        <v>267</v>
      </c>
      <c r="C9" s="17" t="s">
        <v>268</v>
      </c>
      <c r="D9" s="464"/>
      <c r="E9" s="31">
        <v>110</v>
      </c>
      <c r="F9" s="31" t="s">
        <v>266</v>
      </c>
      <c r="G9" s="31"/>
      <c r="H9" s="24">
        <v>12</v>
      </c>
      <c r="I9" s="24">
        <f t="shared" si="1"/>
        <v>1320</v>
      </c>
      <c r="J9" s="24">
        <v>1</v>
      </c>
      <c r="K9" s="25">
        <f t="shared" si="2"/>
        <v>1320</v>
      </c>
      <c r="L9" s="160">
        <v>1320</v>
      </c>
      <c r="M9" s="330">
        <v>0</v>
      </c>
      <c r="N9" s="123">
        <f>+K9-L9</f>
        <v>0</v>
      </c>
      <c r="O9" s="123">
        <v>0</v>
      </c>
      <c r="P9" s="123">
        <f t="shared" si="0"/>
        <v>0</v>
      </c>
      <c r="Q9" s="149"/>
    </row>
    <row r="10" spans="1:17" ht="36">
      <c r="A10" s="464" t="s">
        <v>269</v>
      </c>
      <c r="B10" s="464" t="s">
        <v>269</v>
      </c>
      <c r="C10" s="17" t="s">
        <v>270</v>
      </c>
      <c r="D10" s="464"/>
      <c r="E10" s="31">
        <v>50</v>
      </c>
      <c r="F10" s="31" t="s">
        <v>266</v>
      </c>
      <c r="G10" s="31"/>
      <c r="H10" s="24">
        <v>2</v>
      </c>
      <c r="I10" s="24">
        <f t="shared" si="1"/>
        <v>100</v>
      </c>
      <c r="J10" s="24">
        <v>4</v>
      </c>
      <c r="K10" s="25">
        <f t="shared" si="2"/>
        <v>400</v>
      </c>
      <c r="L10" s="205">
        <v>400</v>
      </c>
      <c r="M10" s="99">
        <f>+K10-L10</f>
        <v>0</v>
      </c>
      <c r="N10" s="110">
        <v>0</v>
      </c>
      <c r="O10" s="110">
        <v>0</v>
      </c>
      <c r="P10" s="110">
        <f t="shared" si="0"/>
        <v>0</v>
      </c>
      <c r="Q10" s="101"/>
    </row>
    <row r="11" spans="1:17" ht="24" customHeight="1">
      <c r="A11" s="461" t="s">
        <v>271</v>
      </c>
      <c r="B11" s="461" t="s">
        <v>271</v>
      </c>
      <c r="C11" s="22" t="s">
        <v>272</v>
      </c>
      <c r="D11" s="456"/>
      <c r="E11" s="224">
        <v>131</v>
      </c>
      <c r="F11" s="31" t="s">
        <v>266</v>
      </c>
      <c r="G11" s="224"/>
      <c r="H11" s="225">
        <v>12</v>
      </c>
      <c r="I11" s="225">
        <f t="shared" si="1"/>
        <v>1572</v>
      </c>
      <c r="J11" s="225">
        <v>0.5</v>
      </c>
      <c r="K11" s="112">
        <f t="shared" si="2"/>
        <v>786</v>
      </c>
      <c r="L11" s="226">
        <v>786</v>
      </c>
      <c r="M11" s="330">
        <v>0</v>
      </c>
      <c r="N11" s="123">
        <f>+K11-L11</f>
        <v>0</v>
      </c>
      <c r="O11" s="123">
        <v>0</v>
      </c>
      <c r="P11" s="123">
        <f t="shared" si="0"/>
        <v>0</v>
      </c>
      <c r="Q11" s="149"/>
    </row>
    <row r="12" spans="1:17" ht="27.75" customHeight="1">
      <c r="A12" s="461">
        <v>250.34</v>
      </c>
      <c r="B12" s="461">
        <v>250.34</v>
      </c>
      <c r="C12" s="22" t="s">
        <v>273</v>
      </c>
      <c r="D12" s="456"/>
      <c r="E12" s="224">
        <v>1</v>
      </c>
      <c r="F12" s="31" t="s">
        <v>266</v>
      </c>
      <c r="G12" s="224"/>
      <c r="H12" s="225">
        <v>1</v>
      </c>
      <c r="I12" s="225">
        <f t="shared" si="1"/>
        <v>1</v>
      </c>
      <c r="J12" s="225">
        <v>1</v>
      </c>
      <c r="K12" s="112">
        <f t="shared" si="2"/>
        <v>1</v>
      </c>
      <c r="L12" s="226">
        <v>1</v>
      </c>
      <c r="M12" s="99">
        <f>+K12-L12</f>
        <v>0</v>
      </c>
      <c r="N12" s="110">
        <v>0</v>
      </c>
      <c r="O12" s="110">
        <v>0</v>
      </c>
      <c r="P12" s="110">
        <f t="shared" si="0"/>
        <v>0</v>
      </c>
      <c r="Q12" s="149"/>
    </row>
    <row r="13" spans="1:17" ht="29.25" customHeight="1">
      <c r="A13" s="464" t="s">
        <v>274</v>
      </c>
      <c r="B13" s="464" t="s">
        <v>274</v>
      </c>
      <c r="C13" s="17" t="s">
        <v>275</v>
      </c>
      <c r="D13" s="466"/>
      <c r="E13" s="38">
        <v>1</v>
      </c>
      <c r="F13" s="31" t="s">
        <v>266</v>
      </c>
      <c r="G13" s="38"/>
      <c r="H13" s="227">
        <v>1</v>
      </c>
      <c r="I13" s="227">
        <f t="shared" si="1"/>
        <v>1</v>
      </c>
      <c r="J13" s="227">
        <v>1</v>
      </c>
      <c r="K13" s="112">
        <f t="shared" si="2"/>
        <v>1</v>
      </c>
      <c r="L13" s="228">
        <v>1</v>
      </c>
      <c r="M13" s="330">
        <v>0</v>
      </c>
      <c r="N13" s="123">
        <f>+K13-L13</f>
        <v>0</v>
      </c>
      <c r="O13" s="123">
        <v>0</v>
      </c>
      <c r="P13" s="123">
        <f t="shared" si="0"/>
        <v>0</v>
      </c>
      <c r="Q13" s="149"/>
    </row>
    <row r="14" spans="1:17">
      <c r="A14" s="462" t="s">
        <v>276</v>
      </c>
      <c r="B14" s="502" t="s">
        <v>277</v>
      </c>
      <c r="C14" s="229" t="s">
        <v>278</v>
      </c>
      <c r="D14" s="457"/>
      <c r="E14" s="230">
        <v>5</v>
      </c>
      <c r="F14" s="31" t="s">
        <v>266</v>
      </c>
      <c r="G14" s="230"/>
      <c r="H14" s="231">
        <v>1</v>
      </c>
      <c r="I14" s="231">
        <f t="shared" si="1"/>
        <v>5</v>
      </c>
      <c r="J14" s="231">
        <v>2</v>
      </c>
      <c r="K14" s="232">
        <f t="shared" si="2"/>
        <v>10</v>
      </c>
      <c r="L14" s="233">
        <v>10</v>
      </c>
      <c r="M14" s="175">
        <v>0</v>
      </c>
      <c r="N14" s="234">
        <v>0</v>
      </c>
      <c r="O14" s="175">
        <f>+K14-L14</f>
        <v>0</v>
      </c>
      <c r="P14" s="161">
        <f t="shared" ref="P14" si="3">SUM(M14:O14)</f>
        <v>0</v>
      </c>
      <c r="Q14" s="149"/>
    </row>
    <row r="15" spans="1:17">
      <c r="A15" s="461" t="s">
        <v>279</v>
      </c>
      <c r="B15" s="502"/>
      <c r="C15" s="22" t="s">
        <v>280</v>
      </c>
      <c r="D15" s="456"/>
      <c r="E15" s="224">
        <v>500</v>
      </c>
      <c r="F15" s="31" t="s">
        <v>266</v>
      </c>
      <c r="G15" s="224"/>
      <c r="H15" s="225">
        <v>1</v>
      </c>
      <c r="I15" s="225">
        <f t="shared" si="1"/>
        <v>500</v>
      </c>
      <c r="J15" s="225">
        <v>0.5</v>
      </c>
      <c r="K15" s="112">
        <f t="shared" si="2"/>
        <v>250</v>
      </c>
      <c r="L15" s="226">
        <v>250</v>
      </c>
      <c r="M15" s="99">
        <f>+K15-L15</f>
        <v>0</v>
      </c>
      <c r="N15" s="110">
        <v>0</v>
      </c>
      <c r="O15" s="110">
        <v>0</v>
      </c>
      <c r="P15" s="110">
        <f>SUM(M15:O15)</f>
        <v>0</v>
      </c>
      <c r="Q15" s="149"/>
    </row>
    <row r="16" spans="1:17">
      <c r="A16" s="235" t="s">
        <v>281</v>
      </c>
      <c r="B16" s="502"/>
      <c r="C16" s="22" t="s">
        <v>282</v>
      </c>
      <c r="D16" s="456"/>
      <c r="E16" s="224">
        <v>4</v>
      </c>
      <c r="F16" s="31" t="s">
        <v>266</v>
      </c>
      <c r="G16" s="224"/>
      <c r="H16" s="225">
        <v>1</v>
      </c>
      <c r="I16" s="225">
        <f t="shared" si="1"/>
        <v>4</v>
      </c>
      <c r="J16" s="225">
        <v>0.5</v>
      </c>
      <c r="K16" s="112">
        <f t="shared" si="2"/>
        <v>2</v>
      </c>
      <c r="L16" s="226">
        <v>2</v>
      </c>
      <c r="M16" s="330">
        <v>0</v>
      </c>
      <c r="N16" s="123">
        <f>+K16-L16</f>
        <v>0</v>
      </c>
      <c r="O16" s="123">
        <v>0</v>
      </c>
      <c r="P16" s="123">
        <f>SUM(M16:O16)</f>
        <v>0</v>
      </c>
      <c r="Q16" s="149"/>
    </row>
    <row r="17" spans="1:17" ht="24">
      <c r="A17" s="461" t="s">
        <v>104</v>
      </c>
      <c r="B17" s="502"/>
      <c r="C17" s="22" t="s">
        <v>105</v>
      </c>
      <c r="D17" s="456"/>
      <c r="E17" s="224">
        <v>1</v>
      </c>
      <c r="F17" s="31" t="s">
        <v>266</v>
      </c>
      <c r="G17" s="224"/>
      <c r="H17" s="225">
        <v>1</v>
      </c>
      <c r="I17" s="225">
        <f t="shared" si="1"/>
        <v>1</v>
      </c>
      <c r="J17" s="225">
        <v>0.5</v>
      </c>
      <c r="K17" s="112">
        <f t="shared" si="2"/>
        <v>0.5</v>
      </c>
      <c r="L17" s="226">
        <v>0.5</v>
      </c>
      <c r="M17" s="99">
        <f>+K17-L17</f>
        <v>0</v>
      </c>
      <c r="N17" s="110">
        <v>0</v>
      </c>
      <c r="O17" s="110">
        <v>0</v>
      </c>
      <c r="P17" s="110">
        <f>SUM(M17:O17)</f>
        <v>0</v>
      </c>
      <c r="Q17" s="149"/>
    </row>
    <row r="18" spans="1:17" ht="24">
      <c r="A18" s="461" t="s">
        <v>283</v>
      </c>
      <c r="B18" s="461" t="s">
        <v>283</v>
      </c>
      <c r="C18" s="22" t="s">
        <v>284</v>
      </c>
      <c r="D18" s="456"/>
      <c r="E18" s="225">
        <v>78.33</v>
      </c>
      <c r="F18" s="31" t="s">
        <v>266</v>
      </c>
      <c r="G18" s="225"/>
      <c r="H18" s="225">
        <v>1</v>
      </c>
      <c r="I18" s="225">
        <f t="shared" si="1"/>
        <v>78.33</v>
      </c>
      <c r="J18" s="225">
        <v>2</v>
      </c>
      <c r="K18" s="112">
        <f t="shared" si="2"/>
        <v>156.66</v>
      </c>
      <c r="L18" s="226">
        <v>156.66</v>
      </c>
      <c r="M18" s="330">
        <v>0</v>
      </c>
      <c r="N18" s="123">
        <f>+K18-L18</f>
        <v>0</v>
      </c>
      <c r="O18" s="123">
        <v>0</v>
      </c>
      <c r="P18" s="123">
        <f>SUM(M18:O18)</f>
        <v>0</v>
      </c>
      <c r="Q18" s="149"/>
    </row>
    <row r="19" spans="1:17">
      <c r="A19" s="497" t="s">
        <v>172</v>
      </c>
      <c r="B19" s="498"/>
      <c r="C19" s="499"/>
      <c r="D19" s="39"/>
      <c r="E19" s="42">
        <f>SUM(E6:E18)</f>
        <v>4256.33</v>
      </c>
      <c r="F19" s="42"/>
      <c r="G19" s="42">
        <f>SUM(G6:G18)</f>
        <v>3443</v>
      </c>
      <c r="H19" s="42">
        <f>I19/E19</f>
        <v>202.44702126009966</v>
      </c>
      <c r="I19" s="42">
        <f>SUM(I6:I18)</f>
        <v>861681.33</v>
      </c>
      <c r="J19" s="42">
        <f>K19/I19</f>
        <v>3.028251755205141E-2</v>
      </c>
      <c r="K19" s="42">
        <f>SUM(K6:K18)</f>
        <v>26093.88</v>
      </c>
      <c r="L19" s="42">
        <f>SUM(L6:L18)</f>
        <v>26093.88</v>
      </c>
      <c r="M19" s="42">
        <f t="shared" ref="M19:P19" si="4">SUM(M6:M18)</f>
        <v>0</v>
      </c>
      <c r="N19" s="42">
        <f t="shared" si="4"/>
        <v>0</v>
      </c>
      <c r="O19" s="42">
        <f t="shared" si="4"/>
        <v>0</v>
      </c>
      <c r="P19" s="42">
        <f t="shared" si="4"/>
        <v>0</v>
      </c>
      <c r="Q19" s="88"/>
    </row>
    <row r="20" spans="1:17" ht="15.75" thickBot="1">
      <c r="A20" s="15"/>
      <c r="B20" s="15"/>
      <c r="C20" s="10"/>
      <c r="D20" s="6"/>
      <c r="E20" s="32"/>
      <c r="F20" s="32"/>
      <c r="G20" s="32"/>
      <c r="H20" s="26"/>
      <c r="I20" s="26"/>
      <c r="J20" s="26"/>
      <c r="K20" s="26"/>
    </row>
    <row r="21" spans="1:17" ht="39" thickBot="1">
      <c r="A21" s="43" t="s">
        <v>256</v>
      </c>
      <c r="B21" s="82" t="s">
        <v>257</v>
      </c>
      <c r="C21" s="44" t="s">
        <v>4</v>
      </c>
      <c r="D21" s="44" t="s">
        <v>173</v>
      </c>
      <c r="E21" s="54" t="s">
        <v>285</v>
      </c>
      <c r="F21" s="54"/>
      <c r="G21" s="54"/>
      <c r="H21" s="45" t="s">
        <v>286</v>
      </c>
      <c r="I21" s="45" t="s">
        <v>176</v>
      </c>
      <c r="J21" s="45" t="s">
        <v>177</v>
      </c>
      <c r="K21" s="46" t="s">
        <v>178</v>
      </c>
      <c r="L21" s="91" t="s">
        <v>12</v>
      </c>
      <c r="M21" s="85" t="s">
        <v>13</v>
      </c>
      <c r="N21" s="119" t="s">
        <v>14</v>
      </c>
      <c r="O21" s="119" t="s">
        <v>15</v>
      </c>
      <c r="P21" s="119" t="s">
        <v>16</v>
      </c>
      <c r="Q21" s="92" t="s">
        <v>17</v>
      </c>
    </row>
    <row r="22" spans="1:17" s="241" customFormat="1" ht="36">
      <c r="A22" s="250">
        <v>240.4</v>
      </c>
      <c r="B22" s="251">
        <v>240.4</v>
      </c>
      <c r="C22" s="252" t="s">
        <v>287</v>
      </c>
      <c r="E22" s="253">
        <v>500</v>
      </c>
      <c r="F22" s="253" t="s">
        <v>288</v>
      </c>
      <c r="G22" s="253">
        <v>500</v>
      </c>
      <c r="H22" s="254">
        <v>364</v>
      </c>
      <c r="I22" s="254">
        <f>SUM(E22*H22)</f>
        <v>182000</v>
      </c>
      <c r="J22" s="254">
        <v>0.25</v>
      </c>
      <c r="K22" s="255">
        <f>(I22*J22)</f>
        <v>45500</v>
      </c>
      <c r="L22" s="256">
        <v>45500</v>
      </c>
      <c r="M22" s="257">
        <v>0</v>
      </c>
      <c r="N22" s="258">
        <v>0</v>
      </c>
      <c r="O22" s="258">
        <f>+K22-L22</f>
        <v>0</v>
      </c>
      <c r="P22" s="258">
        <f>SUM(O22)</f>
        <v>0</v>
      </c>
      <c r="Q22" s="259"/>
    </row>
    <row r="23" spans="1:17" ht="24">
      <c r="A23" s="461" t="s">
        <v>62</v>
      </c>
      <c r="B23" s="461" t="s">
        <v>62</v>
      </c>
      <c r="C23" s="17" t="s">
        <v>289</v>
      </c>
      <c r="D23" s="464" t="s">
        <v>64</v>
      </c>
      <c r="E23" s="33">
        <v>2812</v>
      </c>
      <c r="F23" s="33" t="s">
        <v>260</v>
      </c>
      <c r="G23" s="33">
        <v>2812</v>
      </c>
      <c r="H23" s="27">
        <v>303</v>
      </c>
      <c r="I23" s="27">
        <f t="shared" ref="I23:I25" si="5">SUM(E23*H23)</f>
        <v>852036</v>
      </c>
      <c r="J23" s="27">
        <v>0.02</v>
      </c>
      <c r="K23" s="93">
        <f t="shared" ref="K23:K25" si="6">(I23*J23)</f>
        <v>17040.72</v>
      </c>
      <c r="L23" s="102">
        <v>17040.72</v>
      </c>
      <c r="M23" s="103">
        <f>+K23-L23</f>
        <v>0</v>
      </c>
      <c r="N23" s="111">
        <v>0</v>
      </c>
      <c r="O23" s="111">
        <v>0</v>
      </c>
      <c r="P23" s="111">
        <f>SUM(M23:O23)</f>
        <v>0</v>
      </c>
      <c r="Q23" s="104"/>
    </row>
    <row r="24" spans="1:17" s="241" customFormat="1" ht="24">
      <c r="A24" s="260" t="s">
        <v>200</v>
      </c>
      <c r="B24" s="260" t="s">
        <v>200</v>
      </c>
      <c r="C24" s="261" t="s">
        <v>290</v>
      </c>
      <c r="D24" s="243"/>
      <c r="E24" s="262">
        <v>131</v>
      </c>
      <c r="F24" s="262" t="s">
        <v>266</v>
      </c>
      <c r="G24" s="262">
        <v>131</v>
      </c>
      <c r="H24" s="263">
        <v>2</v>
      </c>
      <c r="I24" s="263">
        <f t="shared" si="5"/>
        <v>262</v>
      </c>
      <c r="J24" s="263">
        <v>0.25</v>
      </c>
      <c r="K24" s="264">
        <f t="shared" si="6"/>
        <v>65.5</v>
      </c>
      <c r="L24" s="265">
        <v>65.5</v>
      </c>
      <c r="M24" s="266">
        <v>0</v>
      </c>
      <c r="N24" s="267">
        <v>0</v>
      </c>
      <c r="O24" s="267">
        <f>+K24-L24</f>
        <v>0</v>
      </c>
      <c r="P24" s="267">
        <f>SUM(M24:O24)</f>
        <v>0</v>
      </c>
      <c r="Q24" s="268"/>
    </row>
    <row r="25" spans="1:17" ht="36.75" thickBot="1">
      <c r="A25" s="214" t="s">
        <v>291</v>
      </c>
      <c r="B25" s="461" t="s">
        <v>200</v>
      </c>
      <c r="C25" s="215" t="s">
        <v>292</v>
      </c>
      <c r="D25" s="216"/>
      <c r="E25" s="217">
        <v>131</v>
      </c>
      <c r="F25" s="33" t="s">
        <v>266</v>
      </c>
      <c r="G25" s="217"/>
      <c r="H25" s="218">
        <v>1</v>
      </c>
      <c r="I25" s="218">
        <f t="shared" si="5"/>
        <v>131</v>
      </c>
      <c r="J25" s="218">
        <v>0.5</v>
      </c>
      <c r="K25" s="219">
        <f t="shared" si="6"/>
        <v>65.5</v>
      </c>
      <c r="L25" s="220">
        <v>65.5</v>
      </c>
      <c r="M25" s="221">
        <v>0</v>
      </c>
      <c r="N25" s="222">
        <v>0</v>
      </c>
      <c r="O25" s="213">
        <f>+K25-L25</f>
        <v>0</v>
      </c>
      <c r="P25" s="213">
        <f>SUM(M25:O25)</f>
        <v>0</v>
      </c>
      <c r="Q25" s="223"/>
    </row>
    <row r="26" spans="1:17" ht="15.75" thickBot="1">
      <c r="A26" s="497" t="s">
        <v>248</v>
      </c>
      <c r="B26" s="498"/>
      <c r="C26" s="499"/>
      <c r="D26" s="39"/>
      <c r="E26" s="40">
        <f>E22+E24+E25</f>
        <v>762</v>
      </c>
      <c r="F26" s="40"/>
      <c r="G26" s="40">
        <f>SUM(G22:G25)</f>
        <v>3443</v>
      </c>
      <c r="H26" s="41">
        <f>I26/E26</f>
        <v>1357.5183727034121</v>
      </c>
      <c r="I26" s="41">
        <f>SUM(I22:I25)</f>
        <v>1034429</v>
      </c>
      <c r="J26" s="41">
        <f>K26/I26</f>
        <v>6.0585811109317315E-2</v>
      </c>
      <c r="K26" s="41">
        <f>SUM(K22:K25)</f>
        <v>62671.72</v>
      </c>
      <c r="L26" s="41">
        <f>SUM(L22:L25)</f>
        <v>62671.72</v>
      </c>
      <c r="M26" s="41">
        <f t="shared" ref="M26:P26" si="7">SUM(M22:M25)</f>
        <v>0</v>
      </c>
      <c r="N26" s="41">
        <f t="shared" si="7"/>
        <v>0</v>
      </c>
      <c r="O26" s="41">
        <f t="shared" si="7"/>
        <v>0</v>
      </c>
      <c r="P26" s="41">
        <f t="shared" si="7"/>
        <v>0</v>
      </c>
      <c r="Q26" s="88"/>
    </row>
    <row r="27" spans="1:17">
      <c r="A27" s="14"/>
      <c r="B27" s="14"/>
      <c r="C27" s="7"/>
      <c r="D27" s="2"/>
      <c r="E27" s="34"/>
      <c r="F27" s="34"/>
      <c r="G27" s="34"/>
      <c r="H27" s="29"/>
      <c r="I27" s="29"/>
      <c r="J27" s="29"/>
      <c r="K27" s="29"/>
    </row>
    <row r="28" spans="1:17" ht="15.75" thickBot="1">
      <c r="A28" s="14"/>
      <c r="B28" s="14"/>
      <c r="C28" s="7"/>
      <c r="D28" s="2"/>
      <c r="E28" s="34"/>
      <c r="F28" s="34"/>
      <c r="G28" s="34"/>
      <c r="H28" s="29"/>
      <c r="I28" s="29"/>
      <c r="J28" s="29"/>
      <c r="K28" s="29"/>
    </row>
    <row r="29" spans="1:17" ht="45.75" thickBot="1">
      <c r="A29" s="14"/>
      <c r="B29" s="14"/>
      <c r="C29" s="7"/>
      <c r="D29" s="2"/>
      <c r="E29" s="49" t="s">
        <v>6</v>
      </c>
      <c r="F29" s="211"/>
      <c r="G29" s="211"/>
      <c r="H29" s="50" t="s">
        <v>249</v>
      </c>
      <c r="I29" s="50" t="s">
        <v>250</v>
      </c>
      <c r="J29" s="50" t="s">
        <v>10</v>
      </c>
      <c r="K29" s="96" t="s">
        <v>251</v>
      </c>
      <c r="L29" s="105" t="s">
        <v>12</v>
      </c>
      <c r="M29" s="85" t="s">
        <v>13</v>
      </c>
      <c r="N29" s="119" t="s">
        <v>14</v>
      </c>
      <c r="O29" s="119" t="s">
        <v>15</v>
      </c>
      <c r="P29" s="119" t="s">
        <v>16</v>
      </c>
      <c r="Q29" s="86" t="s">
        <v>17</v>
      </c>
    </row>
    <row r="30" spans="1:17">
      <c r="A30" s="15"/>
      <c r="B30" s="15"/>
      <c r="C30" s="500" t="s">
        <v>252</v>
      </c>
      <c r="D30" s="500"/>
      <c r="E30" s="47">
        <f>G19</f>
        <v>3443</v>
      </c>
      <c r="F30" s="47"/>
      <c r="G30" s="47"/>
      <c r="H30" s="48">
        <f>H19</f>
        <v>202.44702126009966</v>
      </c>
      <c r="I30" s="48">
        <f>I19</f>
        <v>861681.33</v>
      </c>
      <c r="J30" s="48">
        <f>J19</f>
        <v>3.028251755205141E-2</v>
      </c>
      <c r="K30" s="94">
        <f>K19</f>
        <v>26093.88</v>
      </c>
      <c r="L30" s="134">
        <f>+L19</f>
        <v>26093.88</v>
      </c>
      <c r="M30" s="134">
        <f>+M19</f>
        <v>0</v>
      </c>
      <c r="N30" s="134">
        <f>+N19</f>
        <v>0</v>
      </c>
      <c r="O30" s="134">
        <f>+O19</f>
        <v>0</v>
      </c>
      <c r="P30" s="134">
        <f>+P19</f>
        <v>0</v>
      </c>
      <c r="Q30" s="135"/>
    </row>
    <row r="31" spans="1:17" ht="15.75" thickBot="1">
      <c r="A31" s="15"/>
      <c r="B31" s="15"/>
      <c r="C31" s="501" t="s">
        <v>253</v>
      </c>
      <c r="D31" s="501"/>
      <c r="E31" s="37">
        <f>G26</f>
        <v>3443</v>
      </c>
      <c r="F31" s="37"/>
      <c r="G31" s="37"/>
      <c r="H31" s="30">
        <f t="shared" ref="H31:K31" si="8">H26</f>
        <v>1357.5183727034121</v>
      </c>
      <c r="I31" s="30">
        <f t="shared" si="8"/>
        <v>1034429</v>
      </c>
      <c r="J31" s="30">
        <f t="shared" si="8"/>
        <v>6.0585811109317315E-2</v>
      </c>
      <c r="K31" s="95">
        <f t="shared" si="8"/>
        <v>62671.72</v>
      </c>
      <c r="L31" s="107">
        <f>+L26</f>
        <v>62671.72</v>
      </c>
      <c r="M31" s="107">
        <f t="shared" ref="M31:P31" si="9">+M26</f>
        <v>0</v>
      </c>
      <c r="N31" s="107">
        <f t="shared" si="9"/>
        <v>0</v>
      </c>
      <c r="O31" s="107">
        <f t="shared" si="9"/>
        <v>0</v>
      </c>
      <c r="P31" s="107">
        <f t="shared" si="9"/>
        <v>0</v>
      </c>
      <c r="Q31" s="113"/>
    </row>
    <row r="32" spans="1:17" ht="15.75" thickBot="1">
      <c r="A32" s="15"/>
      <c r="B32" s="15"/>
      <c r="C32" s="478" t="s">
        <v>254</v>
      </c>
      <c r="D32" s="479"/>
      <c r="E32" s="40">
        <f>E31+E30</f>
        <v>6886</v>
      </c>
      <c r="F32" s="40"/>
      <c r="G32" s="40"/>
      <c r="H32" s="41">
        <f>I32/E32</f>
        <v>275.35729451060121</v>
      </c>
      <c r="I32" s="41">
        <f>SUM(I30:I31)</f>
        <v>1896110.33</v>
      </c>
      <c r="J32" s="41">
        <f>K32/I32</f>
        <v>4.6814575394460302E-2</v>
      </c>
      <c r="K32" s="87">
        <f>SUM(K30:K31)</f>
        <v>88765.6</v>
      </c>
      <c r="L32" s="106">
        <f>SUM(L30:L31)</f>
        <v>88765.6</v>
      </c>
      <c r="M32" s="106">
        <f t="shared" ref="M32:P32" si="10">SUM(M30:M31)</f>
        <v>0</v>
      </c>
      <c r="N32" s="106">
        <f t="shared" si="10"/>
        <v>0</v>
      </c>
      <c r="O32" s="106">
        <f t="shared" si="10"/>
        <v>0</v>
      </c>
      <c r="P32" s="106">
        <f t="shared" si="10"/>
        <v>0</v>
      </c>
      <c r="Q32" s="88"/>
    </row>
    <row r="34" spans="1:12">
      <c r="A34" s="285"/>
      <c r="B34" s="285"/>
      <c r="C34" s="286"/>
      <c r="D34" s="287"/>
      <c r="E34" s="287"/>
      <c r="F34" s="287"/>
      <c r="G34" s="287"/>
      <c r="H34" s="287"/>
      <c r="L34" s="188"/>
    </row>
    <row r="35" spans="1:12">
      <c r="K35" s="132"/>
      <c r="L35" s="188"/>
    </row>
    <row r="36" spans="1:12">
      <c r="L36" s="132"/>
    </row>
  </sheetData>
  <autoFilter ref="A21:Q21" xr:uid="{00000000-0009-0000-0000-000001000000}"/>
  <mergeCells count="8">
    <mergeCell ref="A1:Q1"/>
    <mergeCell ref="A3:Q3"/>
    <mergeCell ref="C32:D32"/>
    <mergeCell ref="A19:C19"/>
    <mergeCell ref="A26:C26"/>
    <mergeCell ref="C30:D30"/>
    <mergeCell ref="C31:D31"/>
    <mergeCell ref="B14:B17"/>
  </mergeCells>
  <pageMargins left="0.45" right="0.45" top="0.5" bottom="0.5" header="0.3" footer="0.3"/>
  <pageSetup scale="49" orientation="landscape" r:id="rId1"/>
  <headerFooter>
    <oddHeader>&amp;L#0584-0293&amp;C&amp;A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6"/>
  <sheetViews>
    <sheetView zoomScale="90" zoomScaleNormal="90" zoomScaleSheetLayoutView="110" zoomScalePageLayoutView="65" workbookViewId="0">
      <pane xSplit="1" ySplit="5" topLeftCell="D21" activePane="bottomRight" state="frozen"/>
      <selection pane="bottomRight" sqref="A1:Q1"/>
      <selection pane="bottomLeft" activeCell="A6" sqref="A6"/>
      <selection pane="topRight" activeCell="B1" sqref="B1"/>
    </sheetView>
  </sheetViews>
  <sheetFormatPr defaultColWidth="9.140625" defaultRowHeight="15"/>
  <cols>
    <col min="1" max="2" width="13.5703125" style="16" customWidth="1"/>
    <col min="3" max="3" width="30.140625" style="11" customWidth="1"/>
    <col min="4" max="4" width="11.85546875" customWidth="1"/>
    <col min="5" max="5" width="16.42578125" customWidth="1"/>
    <col min="6" max="6" width="16.42578125" hidden="1" customWidth="1"/>
    <col min="7" max="7" width="16.42578125" customWidth="1"/>
    <col min="8" max="9" width="20.7109375" customWidth="1"/>
    <col min="10" max="10" width="17.85546875" customWidth="1"/>
    <col min="11" max="11" width="16.7109375" customWidth="1"/>
    <col min="12" max="12" width="17.85546875" customWidth="1"/>
    <col min="13" max="13" width="17.7109375" bestFit="1" customWidth="1"/>
    <col min="14" max="14" width="12" customWidth="1"/>
    <col min="15" max="15" width="16.85546875" bestFit="1" customWidth="1"/>
    <col min="16" max="16" width="16" customWidth="1"/>
    <col min="17" max="17" width="19.7109375" style="83" customWidth="1"/>
  </cols>
  <sheetData>
    <row r="1" spans="1:17" s="5" customFormat="1" ht="17.25">
      <c r="A1" s="472" t="s">
        <v>0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</row>
    <row r="2" spans="1:17" s="5" customFormat="1">
      <c r="A2" s="12"/>
      <c r="B2" s="12"/>
      <c r="C2" s="8"/>
      <c r="D2" s="4"/>
      <c r="E2" s="4"/>
      <c r="F2" s="4"/>
      <c r="G2" s="4"/>
      <c r="H2" s="4"/>
      <c r="I2" s="4"/>
      <c r="J2" s="4"/>
      <c r="K2" s="4"/>
      <c r="Q2" s="84"/>
    </row>
    <row r="3" spans="1:17" s="5" customFormat="1">
      <c r="A3" s="473" t="s">
        <v>293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</row>
    <row r="4" spans="1:17" ht="15.75" thickBot="1">
      <c r="A4" s="13"/>
      <c r="B4" s="13"/>
      <c r="C4" s="9"/>
      <c r="D4" s="1"/>
      <c r="E4" s="1"/>
      <c r="F4" s="1"/>
      <c r="G4" s="1"/>
      <c r="H4" s="1"/>
      <c r="I4" s="1"/>
      <c r="J4" s="1"/>
      <c r="K4" s="1"/>
    </row>
    <row r="5" spans="1:17" ht="25.5">
      <c r="A5" s="178" t="s">
        <v>2</v>
      </c>
      <c r="B5" s="179" t="s">
        <v>257</v>
      </c>
      <c r="C5" s="180" t="s">
        <v>4</v>
      </c>
      <c r="D5" s="180" t="s">
        <v>5</v>
      </c>
      <c r="E5" s="180" t="s">
        <v>6</v>
      </c>
      <c r="F5" s="180" t="s">
        <v>7</v>
      </c>
      <c r="G5" s="180" t="s">
        <v>258</v>
      </c>
      <c r="H5" s="180" t="s">
        <v>8</v>
      </c>
      <c r="I5" s="180" t="s">
        <v>9</v>
      </c>
      <c r="J5" s="180" t="s">
        <v>10</v>
      </c>
      <c r="K5" s="181" t="s">
        <v>11</v>
      </c>
      <c r="L5" s="97" t="s">
        <v>12</v>
      </c>
      <c r="M5" s="91" t="s">
        <v>13</v>
      </c>
      <c r="N5" s="120" t="s">
        <v>14</v>
      </c>
      <c r="O5" s="120" t="s">
        <v>15</v>
      </c>
      <c r="P5" s="120" t="s">
        <v>16</v>
      </c>
      <c r="Q5" s="92" t="s">
        <v>17</v>
      </c>
    </row>
    <row r="6" spans="1:17" ht="46.5" customHeight="1">
      <c r="A6" s="465" t="s">
        <v>294</v>
      </c>
      <c r="B6" s="466" t="s">
        <v>294</v>
      </c>
      <c r="C6" s="17" t="s">
        <v>295</v>
      </c>
      <c r="D6" s="464"/>
      <c r="E6" s="31">
        <v>4</v>
      </c>
      <c r="F6" s="31" t="s">
        <v>296</v>
      </c>
      <c r="G6" s="31"/>
      <c r="H6" s="24">
        <v>1</v>
      </c>
      <c r="I6" s="24">
        <f t="shared" ref="I6:I14" si="0">(E6*H6)</f>
        <v>4</v>
      </c>
      <c r="J6" s="24">
        <v>2</v>
      </c>
      <c r="K6" s="24">
        <f t="shared" ref="K6:K14" si="1">(I6*J6)</f>
        <v>8</v>
      </c>
      <c r="L6" s="148">
        <v>8</v>
      </c>
      <c r="M6" s="148">
        <v>0</v>
      </c>
      <c r="N6" s="148">
        <f>+K6-L6</f>
        <v>0</v>
      </c>
      <c r="O6" s="148">
        <v>0</v>
      </c>
      <c r="P6" s="148">
        <f t="shared" ref="P6:P14" si="2">SUM(M6:O6)</f>
        <v>0</v>
      </c>
      <c r="Q6" s="142"/>
    </row>
    <row r="7" spans="1:17" ht="91.5" customHeight="1">
      <c r="A7" s="465" t="s">
        <v>52</v>
      </c>
      <c r="B7" s="466" t="s">
        <v>52</v>
      </c>
      <c r="C7" s="17" t="s">
        <v>297</v>
      </c>
      <c r="D7" s="464"/>
      <c r="E7" s="31">
        <v>20</v>
      </c>
      <c r="F7" s="31" t="s">
        <v>296</v>
      </c>
      <c r="G7" s="31"/>
      <c r="H7" s="24">
        <v>1</v>
      </c>
      <c r="I7" s="24">
        <f t="shared" si="0"/>
        <v>20</v>
      </c>
      <c r="J7" s="24">
        <v>2</v>
      </c>
      <c r="K7" s="24">
        <f t="shared" si="1"/>
        <v>40</v>
      </c>
      <c r="L7" s="148">
        <v>40</v>
      </c>
      <c r="M7" s="148">
        <v>0</v>
      </c>
      <c r="N7" s="148">
        <v>0</v>
      </c>
      <c r="O7" s="148">
        <f>+K7-L7</f>
        <v>0</v>
      </c>
      <c r="P7" s="148">
        <f t="shared" si="2"/>
        <v>0</v>
      </c>
      <c r="Q7" s="142"/>
    </row>
    <row r="8" spans="1:17" s="241" customFormat="1" ht="24">
      <c r="A8" s="242" t="s">
        <v>55</v>
      </c>
      <c r="B8" s="261" t="s">
        <v>55</v>
      </c>
      <c r="C8" s="237" t="s">
        <v>298</v>
      </c>
      <c r="D8" s="236"/>
      <c r="E8" s="238">
        <v>285</v>
      </c>
      <c r="F8" s="238" t="s">
        <v>299</v>
      </c>
      <c r="G8" s="238">
        <v>285</v>
      </c>
      <c r="H8" s="239">
        <v>1</v>
      </c>
      <c r="I8" s="239">
        <f t="shared" si="0"/>
        <v>285</v>
      </c>
      <c r="J8" s="239">
        <v>0.25</v>
      </c>
      <c r="K8" s="239">
        <f t="shared" si="1"/>
        <v>71.25</v>
      </c>
      <c r="L8" s="246">
        <v>71.25</v>
      </c>
      <c r="M8" s="246">
        <f>+K8-L8</f>
        <v>0</v>
      </c>
      <c r="N8" s="246">
        <v>0</v>
      </c>
      <c r="O8" s="246">
        <v>0</v>
      </c>
      <c r="P8" s="246">
        <f t="shared" si="2"/>
        <v>0</v>
      </c>
      <c r="Q8" s="247"/>
    </row>
    <row r="9" spans="1:17" s="5" customFormat="1" ht="36">
      <c r="A9" s="465" t="s">
        <v>300</v>
      </c>
      <c r="B9" s="466" t="s">
        <v>300</v>
      </c>
      <c r="C9" s="17" t="s">
        <v>301</v>
      </c>
      <c r="D9" s="464"/>
      <c r="E9" s="31">
        <v>70</v>
      </c>
      <c r="F9" s="31" t="s">
        <v>296</v>
      </c>
      <c r="G9" s="31"/>
      <c r="H9" s="24">
        <v>1</v>
      </c>
      <c r="I9" s="24">
        <f t="shared" si="0"/>
        <v>70</v>
      </c>
      <c r="J9" s="24">
        <v>0.25</v>
      </c>
      <c r="K9" s="24">
        <f t="shared" si="1"/>
        <v>17.5</v>
      </c>
      <c r="L9" s="148">
        <v>17.5</v>
      </c>
      <c r="M9" s="148">
        <f>+K9-L9</f>
        <v>0</v>
      </c>
      <c r="N9" s="148">
        <v>0</v>
      </c>
      <c r="O9" s="148">
        <v>0</v>
      </c>
      <c r="P9" s="148">
        <f t="shared" si="2"/>
        <v>0</v>
      </c>
      <c r="Q9" s="149"/>
    </row>
    <row r="10" spans="1:17" s="5" customFormat="1" ht="24">
      <c r="A10" s="465" t="s">
        <v>81</v>
      </c>
      <c r="B10" s="466" t="s">
        <v>81</v>
      </c>
      <c r="C10" s="17" t="s">
        <v>302</v>
      </c>
      <c r="D10" s="464"/>
      <c r="E10" s="31">
        <v>211</v>
      </c>
      <c r="F10" s="31" t="s">
        <v>296</v>
      </c>
      <c r="G10" s="31"/>
      <c r="H10" s="24">
        <v>1</v>
      </c>
      <c r="I10" s="24">
        <f t="shared" si="0"/>
        <v>211</v>
      </c>
      <c r="J10" s="24">
        <v>0.25</v>
      </c>
      <c r="K10" s="24">
        <f t="shared" si="1"/>
        <v>52.75</v>
      </c>
      <c r="L10" s="148">
        <v>52.75</v>
      </c>
      <c r="M10" s="148">
        <f>+K10-L10</f>
        <v>0</v>
      </c>
      <c r="N10" s="148">
        <v>0</v>
      </c>
      <c r="O10" s="148">
        <v>0</v>
      </c>
      <c r="P10" s="148">
        <f t="shared" si="2"/>
        <v>0</v>
      </c>
      <c r="Q10" s="149"/>
    </row>
    <row r="11" spans="1:17" s="5" customFormat="1" ht="24">
      <c r="A11" s="465" t="s">
        <v>83</v>
      </c>
      <c r="B11" s="466" t="s">
        <v>83</v>
      </c>
      <c r="C11" s="17" t="s">
        <v>303</v>
      </c>
      <c r="D11" s="464"/>
      <c r="E11" s="31">
        <v>75</v>
      </c>
      <c r="F11" s="31" t="s">
        <v>296</v>
      </c>
      <c r="G11" s="31"/>
      <c r="H11" s="24">
        <v>1</v>
      </c>
      <c r="I11" s="24">
        <f t="shared" si="0"/>
        <v>75</v>
      </c>
      <c r="J11" s="24">
        <v>4</v>
      </c>
      <c r="K11" s="112">
        <f t="shared" si="1"/>
        <v>300</v>
      </c>
      <c r="L11" s="148">
        <v>300</v>
      </c>
      <c r="M11" s="148">
        <f>+K11-L11</f>
        <v>0</v>
      </c>
      <c r="N11" s="161">
        <v>0</v>
      </c>
      <c r="O11" s="161">
        <v>0</v>
      </c>
      <c r="P11" s="161">
        <f t="shared" si="2"/>
        <v>0</v>
      </c>
      <c r="Q11" s="149"/>
    </row>
    <row r="12" spans="1:17" ht="36">
      <c r="A12" s="337" t="s">
        <v>118</v>
      </c>
      <c r="B12" s="206" t="s">
        <v>119</v>
      </c>
      <c r="C12" s="17" t="s">
        <v>304</v>
      </c>
      <c r="D12" s="464" t="s">
        <v>305</v>
      </c>
      <c r="E12" s="31">
        <v>25</v>
      </c>
      <c r="F12" s="31" t="s">
        <v>296</v>
      </c>
      <c r="G12" s="31"/>
      <c r="H12" s="24">
        <v>1</v>
      </c>
      <c r="I12" s="24">
        <f t="shared" si="0"/>
        <v>25</v>
      </c>
      <c r="J12" s="24">
        <v>1</v>
      </c>
      <c r="K12" s="112">
        <f t="shared" si="1"/>
        <v>25</v>
      </c>
      <c r="L12" s="148">
        <v>25</v>
      </c>
      <c r="M12" s="148">
        <v>0</v>
      </c>
      <c r="N12" s="161">
        <v>0</v>
      </c>
      <c r="O12" s="161">
        <f t="shared" ref="O12" si="3">+K12-L12</f>
        <v>0</v>
      </c>
      <c r="P12" s="161">
        <f t="shared" si="2"/>
        <v>0</v>
      </c>
      <c r="Q12" s="337" t="s">
        <v>121</v>
      </c>
    </row>
    <row r="13" spans="1:17" ht="24">
      <c r="A13" s="346" t="s">
        <v>306</v>
      </c>
      <c r="B13" s="347" t="s">
        <v>215</v>
      </c>
      <c r="C13" s="340" t="s">
        <v>307</v>
      </c>
      <c r="D13" s="337" t="s">
        <v>305</v>
      </c>
      <c r="E13" s="333">
        <v>0</v>
      </c>
      <c r="F13" s="333" t="s">
        <v>296</v>
      </c>
      <c r="G13" s="333"/>
      <c r="H13" s="334">
        <v>0</v>
      </c>
      <c r="I13" s="334">
        <f t="shared" si="0"/>
        <v>0</v>
      </c>
      <c r="J13" s="334">
        <v>0</v>
      </c>
      <c r="K13" s="348">
        <f t="shared" si="1"/>
        <v>0</v>
      </c>
      <c r="L13" s="349">
        <v>50</v>
      </c>
      <c r="M13" s="349">
        <v>-50</v>
      </c>
      <c r="N13" s="350"/>
      <c r="O13" s="350">
        <v>0</v>
      </c>
      <c r="P13" s="350">
        <f t="shared" si="2"/>
        <v>-50</v>
      </c>
      <c r="Q13" s="345" t="s">
        <v>308</v>
      </c>
    </row>
    <row r="14" spans="1:17" s="5" customFormat="1" ht="24">
      <c r="A14" s="465" t="s">
        <v>220</v>
      </c>
      <c r="B14" s="466" t="s">
        <v>220</v>
      </c>
      <c r="C14" s="17" t="s">
        <v>309</v>
      </c>
      <c r="D14" s="464"/>
      <c r="E14" s="31">
        <v>50</v>
      </c>
      <c r="F14" s="31" t="s">
        <v>299</v>
      </c>
      <c r="G14" s="31">
        <v>50</v>
      </c>
      <c r="H14" s="24">
        <v>1</v>
      </c>
      <c r="I14" s="24">
        <f t="shared" si="0"/>
        <v>50</v>
      </c>
      <c r="J14" s="24">
        <v>1</v>
      </c>
      <c r="K14" s="112">
        <f t="shared" si="1"/>
        <v>50</v>
      </c>
      <c r="L14" s="148">
        <v>50</v>
      </c>
      <c r="M14" s="148">
        <v>0</v>
      </c>
      <c r="N14" s="161">
        <v>0</v>
      </c>
      <c r="O14" s="161">
        <f t="shared" ref="O14" si="4">+K14-L14</f>
        <v>0</v>
      </c>
      <c r="P14" s="161">
        <f t="shared" si="2"/>
        <v>0</v>
      </c>
      <c r="Q14" s="149"/>
    </row>
    <row r="15" spans="1:17" ht="15.75" thickBot="1">
      <c r="A15" s="503" t="s">
        <v>172</v>
      </c>
      <c r="B15" s="504"/>
      <c r="C15" s="505"/>
      <c r="D15" s="124"/>
      <c r="E15" s="125">
        <f>SUM(E6:E14)</f>
        <v>740</v>
      </c>
      <c r="F15" s="125"/>
      <c r="G15" s="125">
        <f>SUM(G6:G14)</f>
        <v>335</v>
      </c>
      <c r="H15" s="126">
        <f>I15/E15</f>
        <v>1</v>
      </c>
      <c r="I15" s="126">
        <f>SUM(I6:I14)</f>
        <v>740</v>
      </c>
      <c r="J15" s="126">
        <f>K15/I15</f>
        <v>0.76283783783783787</v>
      </c>
      <c r="K15" s="126">
        <f>SUM(K6:K14)</f>
        <v>564.5</v>
      </c>
      <c r="L15" s="126">
        <f>SUM(L6:L14)</f>
        <v>614.5</v>
      </c>
      <c r="M15" s="126">
        <f t="shared" ref="M15:P15" si="5">SUM(M6:M14)</f>
        <v>-50</v>
      </c>
      <c r="N15" s="126">
        <f t="shared" si="5"/>
        <v>0</v>
      </c>
      <c r="O15" s="126">
        <f t="shared" si="5"/>
        <v>0</v>
      </c>
      <c r="P15" s="126">
        <f t="shared" si="5"/>
        <v>-50</v>
      </c>
      <c r="Q15" s="127"/>
    </row>
    <row r="16" spans="1:17" ht="15.75" thickBot="1">
      <c r="A16" s="15"/>
      <c r="B16" s="15"/>
      <c r="C16" s="10"/>
      <c r="D16" s="6"/>
      <c r="E16" s="128"/>
      <c r="F16" s="128"/>
      <c r="G16" s="128"/>
      <c r="H16" s="26"/>
      <c r="I16" s="26"/>
      <c r="J16" s="26"/>
      <c r="K16" s="26"/>
    </row>
    <row r="17" spans="1:17" ht="27" customHeight="1" thickBot="1">
      <c r="A17" s="43" t="s">
        <v>2</v>
      </c>
      <c r="B17" s="82"/>
      <c r="C17" s="44" t="s">
        <v>4</v>
      </c>
      <c r="D17" s="44" t="s">
        <v>173</v>
      </c>
      <c r="E17" s="129" t="s">
        <v>174</v>
      </c>
      <c r="F17" s="129"/>
      <c r="G17" s="129"/>
      <c r="H17" s="45" t="s">
        <v>175</v>
      </c>
      <c r="I17" s="45" t="s">
        <v>176</v>
      </c>
      <c r="J17" s="45" t="s">
        <v>177</v>
      </c>
      <c r="K17" s="46" t="s">
        <v>178</v>
      </c>
      <c r="L17" s="143" t="s">
        <v>12</v>
      </c>
      <c r="M17" s="91" t="s">
        <v>13</v>
      </c>
      <c r="N17" s="120" t="s">
        <v>14</v>
      </c>
      <c r="O17" s="120" t="s">
        <v>15</v>
      </c>
      <c r="P17" s="91" t="s">
        <v>16</v>
      </c>
      <c r="Q17" s="92" t="s">
        <v>17</v>
      </c>
    </row>
    <row r="18" spans="1:17" s="241" customFormat="1" ht="24">
      <c r="A18" s="272" t="s">
        <v>185</v>
      </c>
      <c r="B18" s="273" t="s">
        <v>185</v>
      </c>
      <c r="C18" s="274" t="s">
        <v>310</v>
      </c>
      <c r="D18" s="275"/>
      <c r="E18" s="276">
        <v>177</v>
      </c>
      <c r="F18" s="276" t="s">
        <v>311</v>
      </c>
      <c r="G18" s="276">
        <v>177</v>
      </c>
      <c r="H18" s="277">
        <v>12</v>
      </c>
      <c r="I18" s="277">
        <f>SUM(E18*H18)</f>
        <v>2124</v>
      </c>
      <c r="J18" s="277">
        <v>0.05</v>
      </c>
      <c r="K18" s="278">
        <f t="shared" ref="K18:K20" si="6">(I18*J18)</f>
        <v>106.2</v>
      </c>
      <c r="L18" s="279">
        <v>106.2</v>
      </c>
      <c r="M18" s="280">
        <v>0</v>
      </c>
      <c r="N18" s="281">
        <v>0</v>
      </c>
      <c r="O18" s="280">
        <v>0</v>
      </c>
      <c r="P18" s="280">
        <f>SUM(M18:O18)</f>
        <v>0</v>
      </c>
      <c r="Q18" s="282"/>
    </row>
    <row r="19" spans="1:17">
      <c r="A19" s="465" t="s">
        <v>312</v>
      </c>
      <c r="B19" s="466" t="s">
        <v>312</v>
      </c>
      <c r="C19" s="21" t="s">
        <v>313</v>
      </c>
      <c r="D19" s="19"/>
      <c r="E19" s="35">
        <v>56</v>
      </c>
      <c r="F19" s="51" t="s">
        <v>311</v>
      </c>
      <c r="G19" s="35"/>
      <c r="H19" s="283">
        <v>8</v>
      </c>
      <c r="I19" s="283">
        <f>SUM(E19*H19)</f>
        <v>448</v>
      </c>
      <c r="J19" s="283">
        <v>0.08</v>
      </c>
      <c r="K19" s="147">
        <f t="shared" si="6"/>
        <v>35.840000000000003</v>
      </c>
      <c r="L19" s="160">
        <v>35.840000000000003</v>
      </c>
      <c r="M19" s="148">
        <v>0</v>
      </c>
      <c r="N19" s="148">
        <v>0</v>
      </c>
      <c r="O19" s="148">
        <f t="shared" ref="O19:O20" si="7">+K19-L19</f>
        <v>0</v>
      </c>
      <c r="P19" s="148">
        <f t="shared" ref="P19:P27" si="8">SUM(M19:O19)</f>
        <v>0</v>
      </c>
      <c r="Q19" s="149"/>
    </row>
    <row r="20" spans="1:17" s="241" customFormat="1" ht="36">
      <c r="A20" s="242" t="s">
        <v>314</v>
      </c>
      <c r="B20" s="261" t="s">
        <v>314</v>
      </c>
      <c r="C20" s="269" t="s">
        <v>315</v>
      </c>
      <c r="D20" s="237"/>
      <c r="E20" s="244">
        <v>310</v>
      </c>
      <c r="F20" s="244" t="s">
        <v>296</v>
      </c>
      <c r="G20" s="244">
        <v>310</v>
      </c>
      <c r="H20" s="245">
        <v>1</v>
      </c>
      <c r="I20" s="245">
        <f>SUM(E20*H20)</f>
        <v>310</v>
      </c>
      <c r="J20" s="245">
        <v>0.08</v>
      </c>
      <c r="K20" s="270">
        <f t="shared" si="6"/>
        <v>24.8</v>
      </c>
      <c r="L20" s="249">
        <v>24.8</v>
      </c>
      <c r="M20" s="246">
        <v>0</v>
      </c>
      <c r="N20" s="246">
        <v>0</v>
      </c>
      <c r="O20" s="246">
        <f t="shared" si="7"/>
        <v>0</v>
      </c>
      <c r="P20" s="246">
        <f t="shared" si="8"/>
        <v>0</v>
      </c>
      <c r="Q20" s="271"/>
    </row>
    <row r="21" spans="1:17" s="5" customFormat="1" ht="24">
      <c r="A21" s="471" t="s">
        <v>200</v>
      </c>
      <c r="B21" s="507" t="s">
        <v>200</v>
      </c>
      <c r="C21" s="21" t="s">
        <v>201</v>
      </c>
      <c r="D21" s="17"/>
      <c r="E21" s="35"/>
      <c r="F21" s="35"/>
      <c r="G21" s="35"/>
      <c r="H21" s="283"/>
      <c r="I21" s="283"/>
      <c r="J21" s="283"/>
      <c r="K21" s="147"/>
      <c r="L21" s="160">
        <v>0</v>
      </c>
      <c r="M21" s="148">
        <f>+K21-L21</f>
        <v>0</v>
      </c>
      <c r="N21" s="148"/>
      <c r="O21" s="148"/>
      <c r="P21" s="148">
        <f t="shared" si="8"/>
        <v>0</v>
      </c>
      <c r="Q21" s="176"/>
    </row>
    <row r="22" spans="1:17" s="5" customFormat="1" ht="24" customHeight="1">
      <c r="A22" s="471"/>
      <c r="B22" s="507"/>
      <c r="C22" s="162" t="s">
        <v>316</v>
      </c>
      <c r="D22" s="17"/>
      <c r="E22" s="35">
        <v>125</v>
      </c>
      <c r="F22" s="35" t="s">
        <v>296</v>
      </c>
      <c r="G22" s="35"/>
      <c r="H22" s="283">
        <v>1</v>
      </c>
      <c r="I22" s="283">
        <f t="shared" ref="I22:I27" si="9">SUM(E22*H22)</f>
        <v>125</v>
      </c>
      <c r="J22" s="283">
        <v>0.08</v>
      </c>
      <c r="K22" s="147">
        <f t="shared" ref="K22:K27" si="10">(I22*J22)</f>
        <v>10</v>
      </c>
      <c r="L22" s="160">
        <v>10</v>
      </c>
      <c r="M22" s="148">
        <v>0</v>
      </c>
      <c r="N22" s="148">
        <v>0</v>
      </c>
      <c r="O22" s="148">
        <f>+K22-L22</f>
        <v>0</v>
      </c>
      <c r="P22" s="148">
        <f t="shared" si="8"/>
        <v>0</v>
      </c>
      <c r="Q22" s="508"/>
    </row>
    <row r="23" spans="1:17" s="5" customFormat="1" ht="36">
      <c r="A23" s="471"/>
      <c r="B23" s="507"/>
      <c r="C23" s="162" t="s">
        <v>317</v>
      </c>
      <c r="D23" s="17"/>
      <c r="E23" s="35">
        <v>285</v>
      </c>
      <c r="F23" s="35" t="s">
        <v>296</v>
      </c>
      <c r="G23" s="35"/>
      <c r="H23" s="283">
        <v>1</v>
      </c>
      <c r="I23" s="283">
        <f t="shared" si="9"/>
        <v>285</v>
      </c>
      <c r="J23" s="283">
        <v>0.05</v>
      </c>
      <c r="K23" s="147">
        <f t="shared" si="10"/>
        <v>14.25</v>
      </c>
      <c r="L23" s="160">
        <v>14.25</v>
      </c>
      <c r="M23" s="148">
        <v>0</v>
      </c>
      <c r="N23" s="148">
        <v>0</v>
      </c>
      <c r="O23" s="148">
        <f>+K23-L23</f>
        <v>0</v>
      </c>
      <c r="P23" s="148">
        <f t="shared" si="8"/>
        <v>0</v>
      </c>
      <c r="Q23" s="509"/>
    </row>
    <row r="24" spans="1:17" s="5" customFormat="1" ht="48">
      <c r="A24" s="471"/>
      <c r="B24" s="507"/>
      <c r="C24" s="162" t="s">
        <v>318</v>
      </c>
      <c r="D24" s="17"/>
      <c r="E24" s="35">
        <v>285</v>
      </c>
      <c r="F24" s="35" t="s">
        <v>296</v>
      </c>
      <c r="G24" s="35"/>
      <c r="H24" s="283">
        <v>15</v>
      </c>
      <c r="I24" s="283">
        <f t="shared" si="9"/>
        <v>4275</v>
      </c>
      <c r="J24" s="283">
        <v>0.08</v>
      </c>
      <c r="K24" s="147">
        <f t="shared" si="10"/>
        <v>342</v>
      </c>
      <c r="L24" s="160">
        <v>342</v>
      </c>
      <c r="M24" s="148">
        <v>0</v>
      </c>
      <c r="N24" s="148">
        <v>0</v>
      </c>
      <c r="O24" s="161">
        <v>0</v>
      </c>
      <c r="P24" s="148">
        <f t="shared" si="8"/>
        <v>0</v>
      </c>
      <c r="Q24" s="454"/>
    </row>
    <row r="25" spans="1:17" ht="36">
      <c r="A25" s="460" t="s">
        <v>225</v>
      </c>
      <c r="B25" s="458" t="s">
        <v>225</v>
      </c>
      <c r="C25" s="118" t="s">
        <v>319</v>
      </c>
      <c r="D25" s="18"/>
      <c r="E25" s="36">
        <v>133</v>
      </c>
      <c r="F25" s="35" t="s">
        <v>299</v>
      </c>
      <c r="G25" s="36"/>
      <c r="H25" s="28">
        <v>15</v>
      </c>
      <c r="I25" s="28">
        <f t="shared" si="9"/>
        <v>1995</v>
      </c>
      <c r="J25" s="28">
        <v>0.08</v>
      </c>
      <c r="K25" s="89">
        <f t="shared" si="10"/>
        <v>159.6</v>
      </c>
      <c r="L25" s="160">
        <f t="shared" ref="L25:L26" si="11">+K25</f>
        <v>159.6</v>
      </c>
      <c r="M25" s="175">
        <v>0</v>
      </c>
      <c r="N25" s="175">
        <v>0</v>
      </c>
      <c r="O25" s="175">
        <f t="shared" ref="O25:O26" si="12">+K25-L25</f>
        <v>0</v>
      </c>
      <c r="P25" s="175">
        <f t="shared" si="8"/>
        <v>0</v>
      </c>
      <c r="Q25" s="177"/>
    </row>
    <row r="26" spans="1:17" ht="24">
      <c r="A26" s="465" t="s">
        <v>228</v>
      </c>
      <c r="B26" s="466" t="s">
        <v>228</v>
      </c>
      <c r="C26" s="21" t="s">
        <v>320</v>
      </c>
      <c r="D26" s="17"/>
      <c r="E26" s="35">
        <v>108</v>
      </c>
      <c r="F26" s="35" t="s">
        <v>299</v>
      </c>
      <c r="G26" s="35"/>
      <c r="H26" s="283">
        <v>15</v>
      </c>
      <c r="I26" s="283">
        <f t="shared" si="9"/>
        <v>1620</v>
      </c>
      <c r="J26" s="283">
        <v>0.08</v>
      </c>
      <c r="K26" s="147">
        <f t="shared" si="10"/>
        <v>129.6</v>
      </c>
      <c r="L26" s="160">
        <f t="shared" si="11"/>
        <v>129.6</v>
      </c>
      <c r="M26" s="148">
        <v>0</v>
      </c>
      <c r="N26" s="148">
        <v>0</v>
      </c>
      <c r="O26" s="148">
        <f t="shared" si="12"/>
        <v>0</v>
      </c>
      <c r="P26" s="148">
        <f t="shared" si="8"/>
        <v>0</v>
      </c>
      <c r="Q26" s="176"/>
    </row>
    <row r="27" spans="1:17" s="241" customFormat="1" ht="36">
      <c r="A27" s="356" t="s">
        <v>321</v>
      </c>
      <c r="B27" s="362" t="s">
        <v>230</v>
      </c>
      <c r="C27" s="363" t="s">
        <v>322</v>
      </c>
      <c r="D27" s="364"/>
      <c r="E27" s="365">
        <v>1600</v>
      </c>
      <c r="F27" s="365" t="s">
        <v>299</v>
      </c>
      <c r="G27" s="365">
        <v>1600</v>
      </c>
      <c r="H27" s="366">
        <v>1</v>
      </c>
      <c r="I27" s="366">
        <f t="shared" si="9"/>
        <v>1600</v>
      </c>
      <c r="J27" s="366">
        <v>210.5</v>
      </c>
      <c r="K27" s="367">
        <f t="shared" si="10"/>
        <v>336800</v>
      </c>
      <c r="L27" s="368">
        <v>671840</v>
      </c>
      <c r="M27" s="369">
        <f>K27-L27</f>
        <v>-335040</v>
      </c>
      <c r="N27" s="369">
        <v>0</v>
      </c>
      <c r="O27" s="369"/>
      <c r="P27" s="369">
        <f t="shared" si="8"/>
        <v>-335040</v>
      </c>
      <c r="Q27" s="345" t="s">
        <v>308</v>
      </c>
    </row>
    <row r="28" spans="1:17" ht="15.75" thickBot="1">
      <c r="A28" s="480" t="s">
        <v>248</v>
      </c>
      <c r="B28" s="481"/>
      <c r="C28" s="481"/>
      <c r="D28" s="124"/>
      <c r="E28" s="130">
        <f>SUM(E18:E27)</f>
        <v>3079</v>
      </c>
      <c r="F28" s="130"/>
      <c r="G28" s="130">
        <f>SUM(G18:G27)</f>
        <v>2087</v>
      </c>
      <c r="H28" s="131">
        <f>I28/E28</f>
        <v>4.1513478402078601</v>
      </c>
      <c r="I28" s="131">
        <f>SUM(I18:I27)</f>
        <v>12782</v>
      </c>
      <c r="J28" s="131">
        <v>52.63</v>
      </c>
      <c r="K28" s="131">
        <f>SUM(K18:K27)</f>
        <v>337622.29</v>
      </c>
      <c r="L28" s="131">
        <f>SUM(L18:L27)</f>
        <v>672662.29</v>
      </c>
      <c r="M28" s="131">
        <f t="shared" ref="M28:P28" si="13">SUM(M18:M27)</f>
        <v>-335040</v>
      </c>
      <c r="N28" s="131">
        <f t="shared" si="13"/>
        <v>0</v>
      </c>
      <c r="O28" s="131">
        <f t="shared" si="13"/>
        <v>0</v>
      </c>
      <c r="P28" s="131">
        <f t="shared" si="13"/>
        <v>-335040</v>
      </c>
      <c r="Q28" s="127"/>
    </row>
    <row r="29" spans="1:17">
      <c r="A29" s="14"/>
      <c r="B29" s="14"/>
      <c r="C29" s="7"/>
      <c r="D29" s="2"/>
      <c r="E29" s="163"/>
      <c r="F29" s="163"/>
      <c r="G29" s="163"/>
      <c r="H29" s="29"/>
      <c r="I29" s="29"/>
      <c r="J29" s="29"/>
      <c r="K29" s="29"/>
    </row>
    <row r="30" spans="1:17" ht="15.75" thickBot="1">
      <c r="A30" s="14"/>
      <c r="B30" s="14"/>
      <c r="C30" s="7"/>
      <c r="D30" s="2"/>
      <c r="E30" s="163"/>
      <c r="F30" s="163"/>
      <c r="G30" s="163"/>
      <c r="H30" s="29"/>
      <c r="I30" s="29"/>
      <c r="J30" s="29"/>
      <c r="K30" s="29"/>
    </row>
    <row r="31" spans="1:17" ht="30.75" thickBot="1">
      <c r="A31" s="14"/>
      <c r="B31" s="14"/>
      <c r="C31" s="7"/>
      <c r="D31" s="2"/>
      <c r="E31" s="164" t="s">
        <v>6</v>
      </c>
      <c r="F31" s="212"/>
      <c r="G31" s="212"/>
      <c r="H31" s="165" t="s">
        <v>249</v>
      </c>
      <c r="I31" s="165" t="s">
        <v>250</v>
      </c>
      <c r="J31" s="165" t="s">
        <v>10</v>
      </c>
      <c r="K31" s="166" t="s">
        <v>251</v>
      </c>
      <c r="L31" s="97" t="s">
        <v>12</v>
      </c>
      <c r="M31" s="85" t="s">
        <v>13</v>
      </c>
      <c r="N31" s="119" t="s">
        <v>14</v>
      </c>
      <c r="O31" s="119" t="s">
        <v>15</v>
      </c>
      <c r="P31" s="119" t="s">
        <v>16</v>
      </c>
      <c r="Q31" s="117" t="s">
        <v>17</v>
      </c>
    </row>
    <row r="32" spans="1:17">
      <c r="A32" s="15"/>
      <c r="B32" s="15"/>
      <c r="C32" s="482" t="s">
        <v>252</v>
      </c>
      <c r="D32" s="506"/>
      <c r="E32" s="167">
        <f>E15</f>
        <v>740</v>
      </c>
      <c r="F32" s="167"/>
      <c r="G32" s="167"/>
      <c r="H32" s="168">
        <f>H15</f>
        <v>1</v>
      </c>
      <c r="I32" s="168">
        <f>I15</f>
        <v>740</v>
      </c>
      <c r="J32" s="168">
        <f>J15</f>
        <v>0.76283783783783787</v>
      </c>
      <c r="K32" s="168">
        <f>K15</f>
        <v>564.5</v>
      </c>
      <c r="L32" s="169">
        <f>+L15</f>
        <v>614.5</v>
      </c>
      <c r="M32" s="170">
        <f>+M15</f>
        <v>-50</v>
      </c>
      <c r="N32" s="170">
        <f>+N15</f>
        <v>0</v>
      </c>
      <c r="O32" s="170">
        <f>+O15</f>
        <v>0</v>
      </c>
      <c r="P32" s="170">
        <f>+P15</f>
        <v>-50</v>
      </c>
      <c r="Q32" s="171"/>
    </row>
    <row r="33" spans="1:17" ht="15.75" thickBot="1">
      <c r="A33" s="15"/>
      <c r="B33" s="15"/>
      <c r="C33" s="484" t="s">
        <v>253</v>
      </c>
      <c r="D33" s="501"/>
      <c r="E33" s="37">
        <f>E28</f>
        <v>3079</v>
      </c>
      <c r="F33" s="37"/>
      <c r="G33" s="37"/>
      <c r="H33" s="30">
        <f t="shared" ref="H33:K33" si="14">H28</f>
        <v>4.1513478402078601</v>
      </c>
      <c r="I33" s="30">
        <f t="shared" si="14"/>
        <v>12782</v>
      </c>
      <c r="J33" s="30">
        <f t="shared" si="14"/>
        <v>52.63</v>
      </c>
      <c r="K33" s="30">
        <f t="shared" si="14"/>
        <v>337622.29</v>
      </c>
      <c r="L33" s="107">
        <f>+L28</f>
        <v>672662.29</v>
      </c>
      <c r="M33" s="150">
        <f>+M28</f>
        <v>-335040</v>
      </c>
      <c r="N33" s="150">
        <f t="shared" ref="N33:P33" si="15">+N28</f>
        <v>0</v>
      </c>
      <c r="O33" s="150">
        <f t="shared" si="15"/>
        <v>0</v>
      </c>
      <c r="P33" s="150">
        <f t="shared" si="15"/>
        <v>-335040</v>
      </c>
      <c r="Q33" s="172"/>
    </row>
    <row r="34" spans="1:17" ht="15.75" thickBot="1">
      <c r="A34" s="15"/>
      <c r="B34" s="15"/>
      <c r="C34" s="478" t="s">
        <v>254</v>
      </c>
      <c r="D34" s="479"/>
      <c r="E34" s="40">
        <f>E33</f>
        <v>3079</v>
      </c>
      <c r="F34" s="40"/>
      <c r="G34" s="40"/>
      <c r="H34" s="41">
        <f>I34/E34</f>
        <v>4.3916856122117567</v>
      </c>
      <c r="I34" s="41">
        <f>SUM(I32:I33)</f>
        <v>13522</v>
      </c>
      <c r="J34" s="41">
        <f>K34/I34</f>
        <v>25.010116107084748</v>
      </c>
      <c r="K34" s="173">
        <f t="shared" ref="K34" si="16">SUM(K32:K33)</f>
        <v>338186.79</v>
      </c>
      <c r="L34" s="106">
        <f>SUM(L32:L33)</f>
        <v>673276.79</v>
      </c>
      <c r="M34" s="151">
        <f>SUM(M32:M33)</f>
        <v>-335090</v>
      </c>
      <c r="N34" s="151">
        <f t="shared" ref="N34:P34" si="17">SUM(N32:N33)</f>
        <v>0</v>
      </c>
      <c r="O34" s="151">
        <f t="shared" si="17"/>
        <v>0</v>
      </c>
      <c r="P34" s="151">
        <f t="shared" si="17"/>
        <v>-335090</v>
      </c>
      <c r="Q34" s="174"/>
    </row>
    <row r="36" spans="1:17">
      <c r="M36" s="188"/>
    </row>
  </sheetData>
  <autoFilter ref="A5:Q15" xr:uid="{00000000-0009-0000-0000-000002000000}"/>
  <mergeCells count="10">
    <mergeCell ref="A1:Q1"/>
    <mergeCell ref="A3:Q3"/>
    <mergeCell ref="C34:D34"/>
    <mergeCell ref="A21:A24"/>
    <mergeCell ref="A15:C15"/>
    <mergeCell ref="A28:C28"/>
    <mergeCell ref="C32:D32"/>
    <mergeCell ref="C33:D33"/>
    <mergeCell ref="B21:B24"/>
    <mergeCell ref="Q22:Q23"/>
  </mergeCells>
  <pageMargins left="0.2" right="0.2" top="0.25" bottom="0.25" header="0.3" footer="0.3"/>
  <pageSetup scale="51" fitToHeight="10" orientation="landscape" r:id="rId1"/>
  <headerFooter>
    <oddHeader>&amp;L#0584-0293&amp;C&amp;A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2"/>
  <sheetViews>
    <sheetView zoomScaleNormal="100" workbookViewId="0">
      <pane xSplit="1" ySplit="5" topLeftCell="B6" activePane="bottomRight" state="frozen"/>
      <selection pane="bottomRight" sqref="A1:P1"/>
      <selection pane="bottomLeft" activeCell="A6" sqref="A6"/>
      <selection pane="topRight" activeCell="B1" sqref="B1"/>
    </sheetView>
  </sheetViews>
  <sheetFormatPr defaultRowHeight="15"/>
  <cols>
    <col min="1" max="1" width="13.42578125" style="16" customWidth="1"/>
    <col min="2" max="2" width="10.85546875" style="16" customWidth="1"/>
    <col min="3" max="3" width="14.5703125" style="16" customWidth="1"/>
    <col min="4" max="4" width="24.85546875" style="11" customWidth="1"/>
    <col min="5" max="5" width="8.140625" customWidth="1"/>
    <col min="6" max="6" width="10.85546875" customWidth="1"/>
    <col min="7" max="7" width="13.7109375" customWidth="1"/>
    <col min="8" max="8" width="18.5703125" customWidth="1"/>
    <col min="9" max="9" width="12.5703125" customWidth="1"/>
    <col min="10" max="10" width="14.42578125" customWidth="1"/>
    <col min="11" max="11" width="13.7109375" customWidth="1"/>
    <col min="12" max="12" width="10.5703125" bestFit="1" customWidth="1"/>
    <col min="13" max="13" width="10.5703125" customWidth="1"/>
    <col min="14" max="14" width="14.85546875" bestFit="1" customWidth="1"/>
    <col min="15" max="15" width="15.42578125" bestFit="1" customWidth="1"/>
    <col min="16" max="17" width="21.85546875" customWidth="1"/>
    <col min="18" max="18" width="14.140625" bestFit="1" customWidth="1"/>
  </cols>
  <sheetData>
    <row r="1" spans="1:18" s="5" customFormat="1" ht="17.25">
      <c r="A1" s="472" t="s">
        <v>0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</row>
    <row r="2" spans="1:18" s="5" customFormat="1">
      <c r="A2" s="12"/>
      <c r="B2" s="12"/>
      <c r="C2" s="12"/>
      <c r="D2" s="8"/>
      <c r="E2" s="4"/>
      <c r="F2" s="4"/>
      <c r="G2" s="4"/>
      <c r="H2" s="4"/>
      <c r="I2" s="4"/>
      <c r="J2" s="4"/>
    </row>
    <row r="3" spans="1:18" s="5" customFormat="1">
      <c r="A3" s="473" t="s">
        <v>323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</row>
    <row r="4" spans="1:18" ht="15.75" thickBot="1">
      <c r="A4" s="13"/>
      <c r="B4" s="13"/>
      <c r="C4" s="13"/>
      <c r="D4" s="9"/>
      <c r="E4" s="1"/>
      <c r="F4" s="1"/>
      <c r="G4" s="1"/>
      <c r="H4" s="1"/>
      <c r="I4" s="1"/>
      <c r="J4" s="1"/>
    </row>
    <row r="5" spans="1:18" ht="51.75" thickBot="1">
      <c r="A5" s="43" t="s">
        <v>256</v>
      </c>
      <c r="B5" s="44" t="s">
        <v>257</v>
      </c>
      <c r="C5" s="44" t="s">
        <v>324</v>
      </c>
      <c r="D5" s="44" t="s">
        <v>4</v>
      </c>
      <c r="E5" s="44" t="s">
        <v>5</v>
      </c>
      <c r="F5" s="44" t="s">
        <v>6</v>
      </c>
      <c r="G5" s="44" t="s">
        <v>8</v>
      </c>
      <c r="H5" s="44" t="s">
        <v>9</v>
      </c>
      <c r="I5" s="44" t="s">
        <v>10</v>
      </c>
      <c r="J5" s="44" t="s">
        <v>11</v>
      </c>
      <c r="K5" s="85" t="s">
        <v>12</v>
      </c>
      <c r="L5" s="85" t="s">
        <v>13</v>
      </c>
      <c r="M5" s="85" t="s">
        <v>14</v>
      </c>
      <c r="N5" s="85" t="s">
        <v>15</v>
      </c>
      <c r="O5" s="85" t="s">
        <v>16</v>
      </c>
      <c r="P5" s="86" t="s">
        <v>17</v>
      </c>
      <c r="Q5" s="114"/>
      <c r="R5" s="116"/>
    </row>
    <row r="6" spans="1:18" s="5" customFormat="1" ht="24">
      <c r="A6" s="460" t="s">
        <v>325</v>
      </c>
      <c r="B6" s="464" t="s">
        <v>325</v>
      </c>
      <c r="C6" s="464" t="s">
        <v>326</v>
      </c>
      <c r="D6" s="17" t="s">
        <v>327</v>
      </c>
      <c r="E6" s="331"/>
      <c r="F6" s="31">
        <v>702500</v>
      </c>
      <c r="G6" s="24">
        <v>2</v>
      </c>
      <c r="H6" s="31">
        <f>SUM(F6*G6)</f>
        <v>1405000</v>
      </c>
      <c r="I6" s="332">
        <v>0.25</v>
      </c>
      <c r="J6" s="31">
        <f>(H6*I6)</f>
        <v>351250</v>
      </c>
      <c r="K6" s="31">
        <v>351250</v>
      </c>
      <c r="L6" s="100">
        <f t="shared" ref="L6" si="0">+J6-K6</f>
        <v>0</v>
      </c>
      <c r="M6" s="100">
        <v>0</v>
      </c>
      <c r="N6" s="100">
        <v>0</v>
      </c>
      <c r="O6" s="100">
        <f t="shared" ref="O6:O7" si="1">SUM(L6:N6)</f>
        <v>0</v>
      </c>
      <c r="P6" s="297"/>
      <c r="Q6" s="115"/>
    </row>
    <row r="7" spans="1:18" s="5" customFormat="1" ht="24">
      <c r="A7" s="460" t="s">
        <v>325</v>
      </c>
      <c r="B7" s="464" t="s">
        <v>325</v>
      </c>
      <c r="C7" s="464" t="s">
        <v>328</v>
      </c>
      <c r="D7" s="17" t="s">
        <v>327</v>
      </c>
      <c r="E7" s="331"/>
      <c r="F7" s="31">
        <v>0</v>
      </c>
      <c r="G7" s="24">
        <v>0</v>
      </c>
      <c r="H7" s="31">
        <f>SUM(F7*G7)</f>
        <v>0</v>
      </c>
      <c r="I7" s="332">
        <v>0</v>
      </c>
      <c r="J7" s="31">
        <f>(H7*I7)</f>
        <v>0</v>
      </c>
      <c r="K7" s="31">
        <v>0</v>
      </c>
      <c r="L7" s="100">
        <v>0</v>
      </c>
      <c r="M7" s="100">
        <v>0</v>
      </c>
      <c r="N7" s="100">
        <f>+J7-K7</f>
        <v>0</v>
      </c>
      <c r="O7" s="100">
        <f t="shared" si="1"/>
        <v>0</v>
      </c>
      <c r="P7" s="297"/>
      <c r="Q7" s="115"/>
    </row>
    <row r="8" spans="1:18" s="3" customFormat="1" ht="36">
      <c r="A8" s="351" t="s">
        <v>306</v>
      </c>
      <c r="B8" s="351" t="s">
        <v>329</v>
      </c>
      <c r="C8" s="337" t="s">
        <v>330</v>
      </c>
      <c r="D8" s="337" t="s">
        <v>331</v>
      </c>
      <c r="E8" s="337"/>
      <c r="F8" s="352">
        <v>0</v>
      </c>
      <c r="G8" s="334">
        <v>0</v>
      </c>
      <c r="H8" s="334">
        <f t="shared" ref="H8:H9" si="2">(F8*G8)</f>
        <v>0</v>
      </c>
      <c r="I8" s="334">
        <v>0</v>
      </c>
      <c r="J8" s="334">
        <f t="shared" ref="J8:J9" si="3">(H8*I8)</f>
        <v>0</v>
      </c>
      <c r="K8" s="333">
        <v>50</v>
      </c>
      <c r="L8" s="353">
        <f t="shared" ref="L8" si="4">+J8-K8</f>
        <v>-50</v>
      </c>
      <c r="M8" s="353">
        <v>0</v>
      </c>
      <c r="N8" s="353">
        <v>0</v>
      </c>
      <c r="O8" s="353">
        <f t="shared" ref="O8:O9" si="5">SUM(L8:N8)</f>
        <v>-50</v>
      </c>
      <c r="P8" s="345" t="s">
        <v>332</v>
      </c>
      <c r="Q8" s="354"/>
    </row>
    <row r="9" spans="1:18" ht="24">
      <c r="A9" s="460" t="s">
        <v>167</v>
      </c>
      <c r="B9" s="460" t="s">
        <v>167</v>
      </c>
      <c r="C9" s="464" t="s">
        <v>330</v>
      </c>
      <c r="D9" s="464" t="s">
        <v>333</v>
      </c>
      <c r="E9" s="464"/>
      <c r="F9" s="108">
        <v>20700</v>
      </c>
      <c r="G9" s="24">
        <v>1</v>
      </c>
      <c r="H9" s="24">
        <f t="shared" si="2"/>
        <v>20700</v>
      </c>
      <c r="I9" s="24">
        <v>0.5</v>
      </c>
      <c r="J9" s="24">
        <f t="shared" si="3"/>
        <v>10350</v>
      </c>
      <c r="K9" s="31">
        <v>10350</v>
      </c>
      <c r="L9" s="100">
        <v>0</v>
      </c>
      <c r="M9" s="100">
        <v>0</v>
      </c>
      <c r="N9" s="100">
        <f>+J9-K9</f>
        <v>0</v>
      </c>
      <c r="O9" s="100">
        <f t="shared" si="5"/>
        <v>0</v>
      </c>
      <c r="P9" s="101"/>
    </row>
    <row r="10" spans="1:18" ht="15.75" thickBot="1">
      <c r="A10" s="510" t="s">
        <v>172</v>
      </c>
      <c r="B10" s="511"/>
      <c r="C10" s="511"/>
      <c r="D10" s="511"/>
      <c r="E10" s="137"/>
      <c r="F10" s="138">
        <f>SUM(F6:F9)</f>
        <v>723200</v>
      </c>
      <c r="G10" s="139">
        <f>H10/F10</f>
        <v>1.9713772123893805</v>
      </c>
      <c r="H10" s="139">
        <f>SUM(H6:H9)</f>
        <v>1425700</v>
      </c>
      <c r="I10" s="139">
        <f>J10/H10</f>
        <v>0.25362979588973839</v>
      </c>
      <c r="J10" s="139">
        <f>SUM(J6:J9)</f>
        <v>361600</v>
      </c>
      <c r="K10" s="140">
        <f>SUM(K6:K9)</f>
        <v>361650</v>
      </c>
      <c r="L10" s="140">
        <f>SUM(L6:L9)</f>
        <v>-50</v>
      </c>
      <c r="M10" s="140">
        <f t="shared" ref="M10" si="6">SUM(M8:M9)</f>
        <v>0</v>
      </c>
      <c r="N10" s="140">
        <f>SUM(N6:N9)</f>
        <v>0</v>
      </c>
      <c r="O10" s="140">
        <f>SUM(O6:O9)</f>
        <v>-50</v>
      </c>
      <c r="P10" s="141"/>
    </row>
    <row r="11" spans="1:18">
      <c r="A11" s="15"/>
      <c r="B11" s="15"/>
      <c r="C11" s="15"/>
      <c r="D11" s="10"/>
      <c r="E11" s="6"/>
      <c r="F11" s="6"/>
      <c r="G11" s="6"/>
      <c r="H11" s="6"/>
      <c r="I11" s="6"/>
      <c r="J11" s="6"/>
    </row>
    <row r="12" spans="1:18" ht="12.95" customHeight="1">
      <c r="A12" s="285"/>
      <c r="C12" s="11"/>
      <c r="D12"/>
    </row>
  </sheetData>
  <mergeCells count="3">
    <mergeCell ref="A10:D10"/>
    <mergeCell ref="A1:P1"/>
    <mergeCell ref="A3:P3"/>
  </mergeCells>
  <pageMargins left="0.2" right="0.2" top="0.5" bottom="0.5" header="0.3" footer="0.3"/>
  <pageSetup scale="51" orientation="landscape" r:id="rId1"/>
  <headerFooter>
    <oddHeader>&amp;L#0584-0293
&amp;C&amp;A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4"/>
  <sheetViews>
    <sheetView tabSelected="1" zoomScale="80" zoomScaleNormal="80" workbookViewId="0">
      <selection activeCell="C23" sqref="C23"/>
    </sheetView>
  </sheetViews>
  <sheetFormatPr defaultRowHeight="15"/>
  <cols>
    <col min="1" max="1" width="30.42578125" customWidth="1"/>
    <col min="2" max="2" width="21" customWidth="1"/>
    <col min="3" max="4" width="25.7109375" customWidth="1"/>
    <col min="5" max="5" width="19.5703125" customWidth="1"/>
    <col min="6" max="6" width="23.28515625" bestFit="1" customWidth="1"/>
    <col min="7" max="7" width="34.140625" customWidth="1"/>
  </cols>
  <sheetData>
    <row r="1" spans="1:7" ht="17.25">
      <c r="A1" s="210" t="s">
        <v>334</v>
      </c>
    </row>
    <row r="2" spans="1:7" ht="17.25">
      <c r="A2" s="512" t="s">
        <v>335</v>
      </c>
      <c r="B2" s="512"/>
      <c r="C2" s="512"/>
      <c r="D2" s="512"/>
      <c r="E2" s="512"/>
    </row>
    <row r="5" spans="1:7" ht="35.1" customHeight="1">
      <c r="A5" s="77" t="s">
        <v>336</v>
      </c>
      <c r="B5" s="77" t="s">
        <v>6</v>
      </c>
      <c r="C5" s="77" t="s">
        <v>250</v>
      </c>
      <c r="D5" s="77" t="s">
        <v>337</v>
      </c>
      <c r="E5" s="77" t="s">
        <v>338</v>
      </c>
      <c r="F5" s="78" t="s">
        <v>339</v>
      </c>
    </row>
    <row r="6" spans="1:7" ht="30">
      <c r="A6" s="23" t="s">
        <v>340</v>
      </c>
      <c r="B6" s="70">
        <f>'Burden Summary'!B5</f>
        <v>26403</v>
      </c>
      <c r="C6" s="71">
        <f>SUM('Burden Summary'!D5,'Burden Summary'!D14)</f>
        <v>704965.7</v>
      </c>
      <c r="D6" s="71">
        <f>SUM('Burden Summary'!F5,'Burden Summary'!F14)</f>
        <v>102190.273</v>
      </c>
      <c r="E6" s="80">
        <v>33.54</v>
      </c>
      <c r="F6" s="144">
        <f>D6*E6</f>
        <v>3427461.75642</v>
      </c>
    </row>
    <row r="7" spans="1:7">
      <c r="A7" s="20" t="s">
        <v>341</v>
      </c>
      <c r="B7" s="70">
        <f>'Burden Summary'!B6</f>
        <v>3443</v>
      </c>
      <c r="C7" s="71">
        <f>SUM('Burden Summary'!D6,'Burden Summary'!D15)</f>
        <v>1896110.33</v>
      </c>
      <c r="D7" s="71">
        <f>SUM('Burden Summary'!F6,'Burden Summary'!F15)</f>
        <v>88765.6</v>
      </c>
      <c r="E7" s="80">
        <v>33.54</v>
      </c>
      <c r="F7" s="144">
        <f t="shared" ref="F7:F9" si="0">D7*E7</f>
        <v>2977198.2239999999</v>
      </c>
    </row>
    <row r="8" spans="1:7">
      <c r="A8" s="20" t="s">
        <v>342</v>
      </c>
      <c r="B8" s="70">
        <f>'Burden Summary'!B7</f>
        <v>740</v>
      </c>
      <c r="C8" s="71">
        <f>SUM('Burden Summary'!D7,'Burden Summary'!D16)</f>
        <v>13522</v>
      </c>
      <c r="D8" s="71">
        <f>SUM('Burden Summary'!F7,'Burden Summary'!F16)</f>
        <v>338186.79</v>
      </c>
      <c r="E8" s="80">
        <v>33.54</v>
      </c>
      <c r="F8" s="144">
        <f t="shared" si="0"/>
        <v>11342784.9366</v>
      </c>
    </row>
    <row r="9" spans="1:7" ht="15.75" thickBot="1">
      <c r="A9" s="62" t="s">
        <v>343</v>
      </c>
      <c r="B9" s="69">
        <f>'Burden Summary'!B8</f>
        <v>723200</v>
      </c>
      <c r="C9" s="69">
        <f>SUM('Burden Summary'!D8,'Burden Summary'!D17)</f>
        <v>1425700</v>
      </c>
      <c r="D9" s="69">
        <f>SUM('Burden Summary'!F8,'Burden Summary'!F17)</f>
        <v>361600</v>
      </c>
      <c r="E9" s="80">
        <v>7.25</v>
      </c>
      <c r="F9" s="145">
        <f>D9*E9</f>
        <v>2621600</v>
      </c>
    </row>
    <row r="10" spans="1:7" ht="15.75" thickBot="1">
      <c r="A10" s="63" t="s">
        <v>254</v>
      </c>
      <c r="B10" s="79">
        <f>SUM(B6:B9)</f>
        <v>753786</v>
      </c>
      <c r="C10" s="72">
        <f>SUM(C6:C9)</f>
        <v>4040298.0300000003</v>
      </c>
      <c r="D10" s="72">
        <f>SUM(D6:D9)</f>
        <v>890742.66299999994</v>
      </c>
      <c r="E10" s="55"/>
      <c r="F10" s="146">
        <f>SUM(F6:F9)</f>
        <v>20369044.917020001</v>
      </c>
      <c r="G10" s="284"/>
    </row>
    <row r="11" spans="1:7">
      <c r="E11" t="s">
        <v>344</v>
      </c>
      <c r="F11" s="284">
        <f>F10*0.33</f>
        <v>6721784.8226166004</v>
      </c>
    </row>
    <row r="12" spans="1:7">
      <c r="E12" t="s">
        <v>345</v>
      </c>
      <c r="F12" s="284">
        <f>SUM(F10:F11)</f>
        <v>27090829.7396366</v>
      </c>
    </row>
    <row r="14" spans="1:7" hidden="1">
      <c r="C14">
        <f>14560*55.25</f>
        <v>804440</v>
      </c>
      <c r="D14">
        <f>14560*55.25*0.33</f>
        <v>265465.2</v>
      </c>
      <c r="E14" s="202">
        <v>38032635</v>
      </c>
      <c r="F14" s="202">
        <f>C14+D14+E14</f>
        <v>39102540.200000003</v>
      </c>
    </row>
  </sheetData>
  <mergeCells count="1">
    <mergeCell ref="A2:E2"/>
  </mergeCells>
  <pageMargins left="0.45" right="0.45" top="0.75" bottom="0.75" header="0.3" footer="0.3"/>
  <pageSetup scale="88" orientation="landscape" r:id="rId1"/>
  <headerFooter>
    <oddHeader>&amp;A</oddHead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9"/>
  <sheetViews>
    <sheetView topLeftCell="A3" zoomScale="80" zoomScaleNormal="80" zoomScalePageLayoutView="75" workbookViewId="0">
      <selection activeCell="D29" sqref="D29"/>
    </sheetView>
  </sheetViews>
  <sheetFormatPr defaultRowHeight="15"/>
  <cols>
    <col min="1" max="1" width="21.42578125" customWidth="1"/>
    <col min="2" max="3" width="15.7109375" customWidth="1"/>
    <col min="4" max="4" width="22" bestFit="1" customWidth="1"/>
    <col min="5" max="6" width="15.7109375" customWidth="1"/>
    <col min="7" max="7" width="13.42578125" customWidth="1"/>
    <col min="9" max="9" width="15.42578125" customWidth="1"/>
    <col min="10" max="10" width="11.85546875" customWidth="1"/>
    <col min="11" max="11" width="15" customWidth="1"/>
    <col min="12" max="12" width="8.140625" bestFit="1" customWidth="1"/>
    <col min="13" max="13" width="18.7109375" customWidth="1"/>
    <col min="14" max="14" width="12.5703125" customWidth="1"/>
  </cols>
  <sheetData>
    <row r="1" spans="1:12" ht="17.25">
      <c r="A1" s="512" t="s">
        <v>346</v>
      </c>
      <c r="B1" s="512"/>
      <c r="C1" s="512"/>
      <c r="D1" s="512"/>
      <c r="E1" s="512"/>
      <c r="F1" s="512"/>
      <c r="G1" s="3"/>
    </row>
    <row r="2" spans="1:12">
      <c r="A2" s="3"/>
      <c r="B2" s="3"/>
      <c r="C2" s="3"/>
      <c r="D2" s="3"/>
      <c r="E2" s="3"/>
      <c r="F2" s="3"/>
      <c r="G2" s="3"/>
    </row>
    <row r="3" spans="1:12" ht="15.75" thickBot="1">
      <c r="A3" s="4" t="s">
        <v>252</v>
      </c>
      <c r="B3" s="1"/>
      <c r="C3" s="1"/>
      <c r="D3" s="1"/>
      <c r="E3" s="1"/>
      <c r="F3" s="1"/>
      <c r="G3" s="1"/>
    </row>
    <row r="4" spans="1:12" s="57" customFormat="1" ht="35.1" customHeight="1" thickBot="1">
      <c r="A4" s="43" t="s">
        <v>336</v>
      </c>
      <c r="B4" s="44" t="s">
        <v>6</v>
      </c>
      <c r="C4" s="44" t="s">
        <v>249</v>
      </c>
      <c r="D4" s="44" t="s">
        <v>250</v>
      </c>
      <c r="E4" s="44" t="s">
        <v>347</v>
      </c>
      <c r="F4" s="58" t="s">
        <v>348</v>
      </c>
      <c r="G4" s="56"/>
    </row>
    <row r="5" spans="1:12" ht="30.2" customHeight="1">
      <c r="A5" s="61" t="s">
        <v>340</v>
      </c>
      <c r="B5" s="67">
        <f>'State, Local, Tribal (SLT)'!E131</f>
        <v>26403</v>
      </c>
      <c r="C5" s="68">
        <f>'State, Local, Tribal (SLT)'!G131</f>
        <v>1709.01</v>
      </c>
      <c r="D5" s="68">
        <f>'State, Local, Tribal (SLT)'!H131</f>
        <v>233283.24</v>
      </c>
      <c r="E5" s="68">
        <f>'State, Local, Tribal (SLT)'!I131</f>
        <v>231.51</v>
      </c>
      <c r="F5" s="68">
        <f>'State, Local, Tribal (SLT)'!J131</f>
        <v>60415.75</v>
      </c>
      <c r="G5" s="3"/>
    </row>
    <row r="6" spans="1:12">
      <c r="A6" s="20" t="s">
        <v>341</v>
      </c>
      <c r="B6" s="70">
        <f>'Private for Profit (PFP)'!E30</f>
        <v>3443</v>
      </c>
      <c r="C6" s="71">
        <f>'Private for Profit (PFP)'!H30</f>
        <v>202.44702126009966</v>
      </c>
      <c r="D6" s="71">
        <f>'Private for Profit (PFP)'!I30</f>
        <v>861681.33</v>
      </c>
      <c r="E6" s="71">
        <f>'Private for Profit (PFP)'!J30</f>
        <v>3.028251755205141E-2</v>
      </c>
      <c r="F6" s="71">
        <f>'Private for Profit (PFP)'!K30</f>
        <v>26093.88</v>
      </c>
      <c r="G6" s="3"/>
      <c r="H6" s="202"/>
      <c r="I6" s="203"/>
      <c r="J6" s="202"/>
      <c r="K6" s="203"/>
      <c r="L6" s="202"/>
    </row>
    <row r="7" spans="1:12">
      <c r="A7" s="20" t="s">
        <v>342</v>
      </c>
      <c r="B7" s="70">
        <f>'Private NOT for Profit (PNP)'!E32</f>
        <v>740</v>
      </c>
      <c r="C7" s="71">
        <f>'Private NOT for Profit (PNP)'!H32</f>
        <v>1</v>
      </c>
      <c r="D7" s="71">
        <f>'Private NOT for Profit (PNP)'!I32</f>
        <v>740</v>
      </c>
      <c r="E7" s="71">
        <f>'Private NOT for Profit (PNP)'!J32</f>
        <v>0.76283783783783787</v>
      </c>
      <c r="F7" s="71">
        <f>'Private NOT for Profit (PNP)'!K32</f>
        <v>564.5</v>
      </c>
      <c r="G7" s="3"/>
      <c r="H7" s="202"/>
      <c r="I7" s="203"/>
      <c r="J7" s="202"/>
      <c r="K7" s="203"/>
      <c r="L7" s="202"/>
    </row>
    <row r="8" spans="1:12" ht="15.75" thickBot="1">
      <c r="A8" s="62" t="s">
        <v>343</v>
      </c>
      <c r="B8" s="69">
        <f>Individuals!F10</f>
        <v>723200</v>
      </c>
      <c r="C8" s="69">
        <f>Individuals!G10</f>
        <v>1.9713772123893805</v>
      </c>
      <c r="D8" s="69">
        <f>Individuals!H10</f>
        <v>1425700</v>
      </c>
      <c r="E8" s="69">
        <f>Individuals!I10</f>
        <v>0.25362979588973839</v>
      </c>
      <c r="F8" s="69">
        <f>Individuals!J10</f>
        <v>361600</v>
      </c>
      <c r="G8" s="3"/>
      <c r="H8" s="202"/>
      <c r="J8" s="202"/>
      <c r="L8" s="202"/>
    </row>
    <row r="9" spans="1:12" ht="15.75" customHeight="1" thickBot="1">
      <c r="A9" s="63" t="s">
        <v>349</v>
      </c>
      <c r="B9" s="72">
        <f>SUM(B5:B8)</f>
        <v>753786</v>
      </c>
      <c r="C9" s="73">
        <f>D9/B9</f>
        <v>3.3449872642898644</v>
      </c>
      <c r="D9" s="72">
        <f t="shared" ref="D9:F9" si="0">SUM(D5:D8)</f>
        <v>2521404.5699999998</v>
      </c>
      <c r="E9" s="73">
        <f>F9/D9</f>
        <v>0.17794610802977961</v>
      </c>
      <c r="F9" s="74">
        <f t="shared" si="0"/>
        <v>448674.13</v>
      </c>
      <c r="G9" s="1"/>
    </row>
    <row r="10" spans="1:12" ht="15.75" customHeight="1">
      <c r="A10" s="1"/>
      <c r="B10" s="204"/>
      <c r="C10" s="1"/>
      <c r="D10" s="204"/>
      <c r="E10" s="1"/>
      <c r="F10" s="209"/>
      <c r="G10" s="1"/>
    </row>
    <row r="11" spans="1:12">
      <c r="A11" s="1"/>
      <c r="B11" s="1"/>
      <c r="C11" s="1"/>
      <c r="D11" s="1"/>
      <c r="E11" s="1"/>
      <c r="F11" s="1"/>
      <c r="G11" s="1"/>
    </row>
    <row r="12" spans="1:12" s="5" customFormat="1" ht="15.75" thickBot="1">
      <c r="A12" s="4" t="s">
        <v>350</v>
      </c>
      <c r="B12" s="4"/>
      <c r="C12" s="4"/>
      <c r="D12" s="4"/>
      <c r="E12" s="4"/>
      <c r="F12" s="4"/>
      <c r="G12" s="4"/>
    </row>
    <row r="13" spans="1:12" s="60" customFormat="1" ht="35.1" customHeight="1" thickBot="1">
      <c r="A13" s="43" t="s">
        <v>336</v>
      </c>
      <c r="B13" s="44" t="s">
        <v>6</v>
      </c>
      <c r="C13" s="44" t="s">
        <v>249</v>
      </c>
      <c r="D13" s="44" t="s">
        <v>250</v>
      </c>
      <c r="E13" s="44" t="s">
        <v>347</v>
      </c>
      <c r="F13" s="53" t="s">
        <v>348</v>
      </c>
      <c r="G13" s="59"/>
    </row>
    <row r="14" spans="1:12" ht="30.2" customHeight="1">
      <c r="A14" s="64" t="s">
        <v>340</v>
      </c>
      <c r="B14" s="68">
        <f>SUM('State, Local, Tribal (SLT)'!E132)</f>
        <v>51611</v>
      </c>
      <c r="C14" s="68">
        <f>+D14/B14</f>
        <v>9.1391846699347035</v>
      </c>
      <c r="D14" s="68">
        <f>+'State, Local, Tribal (SLT)'!H132</f>
        <v>471682.45999999996</v>
      </c>
      <c r="E14" s="68">
        <f>SUM('State, Local, Tribal (SLT)'!I132)</f>
        <v>8.8564927769415047E-2</v>
      </c>
      <c r="F14" s="68">
        <f>SUM('State, Local, Tribal (SLT)'!J132)</f>
        <v>41774.523000000001</v>
      </c>
      <c r="G14" s="3"/>
    </row>
    <row r="15" spans="1:12">
      <c r="A15" s="20" t="s">
        <v>341</v>
      </c>
      <c r="B15" s="70">
        <f>'Private for Profit (PFP)'!E32</f>
        <v>6886</v>
      </c>
      <c r="C15" s="68">
        <f t="shared" ref="C15:C16" si="1">+D15/B15</f>
        <v>150.2220447284345</v>
      </c>
      <c r="D15" s="71">
        <f>+'Private for Profit (PFP)'!I31</f>
        <v>1034429</v>
      </c>
      <c r="E15" s="71">
        <f>'Private for Profit (PFP)'!J31</f>
        <v>6.0585811109317315E-2</v>
      </c>
      <c r="F15" s="71">
        <f>'Private for Profit (PFP)'!K31</f>
        <v>62671.72</v>
      </c>
      <c r="G15" s="3"/>
    </row>
    <row r="16" spans="1:12">
      <c r="A16" s="20" t="s">
        <v>342</v>
      </c>
      <c r="B16" s="70">
        <f>'Private NOT for Profit (PNP)'!E33</f>
        <v>3079</v>
      </c>
      <c r="C16" s="68">
        <f t="shared" si="1"/>
        <v>4.1513478402078601</v>
      </c>
      <c r="D16" s="71">
        <f>+'Private NOT for Profit (PNP)'!I33</f>
        <v>12782</v>
      </c>
      <c r="E16" s="71">
        <f>'Private NOT for Profit (PNP)'!J33</f>
        <v>52.63</v>
      </c>
      <c r="F16" s="71">
        <f>'Private NOT for Profit (PNP)'!K33</f>
        <v>337622.29</v>
      </c>
      <c r="G16" s="3"/>
    </row>
    <row r="17" spans="1:11" ht="15.75" thickBot="1">
      <c r="A17" s="62" t="s">
        <v>343</v>
      </c>
      <c r="B17" s="75">
        <v>0</v>
      </c>
      <c r="C17" s="68">
        <v>0</v>
      </c>
      <c r="D17" s="76">
        <v>0</v>
      </c>
      <c r="E17" s="76">
        <v>0</v>
      </c>
      <c r="F17" s="76">
        <v>0</v>
      </c>
      <c r="G17" s="3"/>
    </row>
    <row r="18" spans="1:11" ht="15.75" thickBot="1">
      <c r="A18" s="63" t="s">
        <v>349</v>
      </c>
      <c r="B18" s="72">
        <f>SUM(B14:B17)</f>
        <v>61576</v>
      </c>
      <c r="C18" s="73">
        <f>D18/B18</f>
        <v>24.666971872157983</v>
      </c>
      <c r="D18" s="72">
        <f t="shared" ref="D18:F18" si="2">SUM(D14:D17)</f>
        <v>1518893.46</v>
      </c>
      <c r="E18" s="73">
        <f>F18/D18</f>
        <v>0.29104643916236234</v>
      </c>
      <c r="F18" s="74">
        <f t="shared" si="2"/>
        <v>442068.533</v>
      </c>
      <c r="G18" s="1"/>
      <c r="K18" s="132"/>
    </row>
    <row r="19" spans="1:11">
      <c r="A19" s="1"/>
      <c r="B19" s="204"/>
      <c r="C19" s="1"/>
      <c r="D19" s="204"/>
      <c r="E19" s="1"/>
      <c r="F19" s="209"/>
      <c r="G19" s="1"/>
      <c r="K19" s="132"/>
    </row>
    <row r="20" spans="1:11">
      <c r="A20" s="1" t="s">
        <v>305</v>
      </c>
      <c r="B20" s="204"/>
      <c r="C20" s="1"/>
      <c r="D20" s="204"/>
      <c r="E20" s="1"/>
      <c r="F20" s="204"/>
      <c r="G20" s="1"/>
      <c r="K20" s="132"/>
    </row>
    <row r="21" spans="1:11" s="5" customFormat="1" ht="15.75" thickBot="1">
      <c r="A21" s="4" t="s">
        <v>351</v>
      </c>
      <c r="B21" s="4"/>
      <c r="C21" s="4"/>
      <c r="D21" s="4"/>
      <c r="E21" s="4"/>
      <c r="F21" s="4"/>
      <c r="G21" s="4"/>
    </row>
    <row r="22" spans="1:11" s="60" customFormat="1" ht="35.1" customHeight="1" thickBot="1">
      <c r="A22" s="43" t="s">
        <v>352</v>
      </c>
      <c r="B22" s="44" t="s">
        <v>6</v>
      </c>
      <c r="C22" s="44" t="s">
        <v>249</v>
      </c>
      <c r="D22" s="44" t="s">
        <v>250</v>
      </c>
      <c r="E22" s="44" t="s">
        <v>347</v>
      </c>
      <c r="F22" s="53" t="s">
        <v>348</v>
      </c>
      <c r="G22" s="59"/>
    </row>
    <row r="23" spans="1:11">
      <c r="A23" s="65" t="s">
        <v>252</v>
      </c>
      <c r="B23" s="68">
        <f>+B9</f>
        <v>753786</v>
      </c>
      <c r="C23" s="68">
        <f>C9</f>
        <v>3.3449872642898644</v>
      </c>
      <c r="D23" s="68">
        <f>D9</f>
        <v>2521404.5699999998</v>
      </c>
      <c r="E23" s="68">
        <f>E9</f>
        <v>0.17794610802977961</v>
      </c>
      <c r="F23" s="68">
        <f>F9</f>
        <v>448674.13</v>
      </c>
      <c r="G23" s="3"/>
    </row>
    <row r="24" spans="1:11" ht="15.75" thickBot="1">
      <c r="A24" s="66" t="s">
        <v>253</v>
      </c>
      <c r="B24" s="182">
        <f>+B18</f>
        <v>61576</v>
      </c>
      <c r="C24" s="69">
        <f>C18</f>
        <v>24.666971872157983</v>
      </c>
      <c r="D24" s="69">
        <f>D18</f>
        <v>1518893.46</v>
      </c>
      <c r="E24" s="69">
        <f>E18</f>
        <v>0.29104643916236234</v>
      </c>
      <c r="F24" s="69">
        <f>F18</f>
        <v>442068.533</v>
      </c>
      <c r="G24" s="3"/>
    </row>
    <row r="25" spans="1:11" ht="15.75" thickBot="1">
      <c r="A25" s="63" t="s">
        <v>353</v>
      </c>
      <c r="B25" s="72">
        <f>SUM(B23:B24)</f>
        <v>815362</v>
      </c>
      <c r="C25" s="72">
        <f>D25/B25</f>
        <v>4.9552199268545749</v>
      </c>
      <c r="D25" s="72">
        <f t="shared" ref="D25:F25" si="3">SUM(D23:D24)</f>
        <v>4040298.03</v>
      </c>
      <c r="E25" s="72">
        <f>F25/D25</f>
        <v>0.22046459354880807</v>
      </c>
      <c r="F25" s="74">
        <f t="shared" si="3"/>
        <v>890742.66299999994</v>
      </c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 ht="15" customHeight="1" thickBot="1">
      <c r="A27" s="1"/>
      <c r="B27" s="1"/>
      <c r="C27" s="1"/>
      <c r="D27" s="1"/>
      <c r="E27" s="1"/>
      <c r="F27" s="1"/>
      <c r="G27" s="1"/>
    </row>
    <row r="28" spans="1:11">
      <c r="A28" s="189"/>
      <c r="B28" s="190" t="s">
        <v>354</v>
      </c>
      <c r="C28" s="191" t="s">
        <v>355</v>
      </c>
      <c r="D28" s="192"/>
      <c r="E28" s="192"/>
      <c r="F28" s="192"/>
      <c r="G28" s="192"/>
    </row>
    <row r="29" spans="1:11" ht="30">
      <c r="A29" s="183" t="s">
        <v>356</v>
      </c>
      <c r="B29" s="453">
        <v>4044745.03</v>
      </c>
      <c r="C29" s="184">
        <v>1218437.8629999999</v>
      </c>
      <c r="D29" s="192"/>
      <c r="E29" s="193"/>
      <c r="F29" s="193"/>
      <c r="G29" s="192"/>
    </row>
    <row r="30" spans="1:11" ht="30.2" customHeight="1" thickBot="1">
      <c r="A30" s="185" t="s">
        <v>357</v>
      </c>
      <c r="B30" s="186">
        <f>D25</f>
        <v>4040298.03</v>
      </c>
      <c r="C30" s="187">
        <f>F25</f>
        <v>890742.66299999994</v>
      </c>
      <c r="D30" s="192"/>
      <c r="E30" s="192"/>
      <c r="F30" s="192"/>
      <c r="G30" s="192"/>
    </row>
    <row r="31" spans="1:11" ht="15.75" thickBot="1">
      <c r="A31" s="194" t="s">
        <v>358</v>
      </c>
      <c r="B31" s="195">
        <f>+B30-B29</f>
        <v>-4447</v>
      </c>
      <c r="C31" s="196">
        <f>+C30-C29</f>
        <v>-327695.19999999995</v>
      </c>
      <c r="D31" s="193"/>
      <c r="E31" s="192"/>
      <c r="F31" s="192"/>
      <c r="G31" s="192"/>
    </row>
    <row r="32" spans="1:11">
      <c r="A32" s="192"/>
      <c r="B32" s="192"/>
      <c r="C32" s="193"/>
      <c r="D32" s="192"/>
      <c r="E32" s="192"/>
      <c r="F32" s="192"/>
      <c r="G32" s="192"/>
    </row>
    <row r="33" spans="1:7" ht="15.75" thickBot="1">
      <c r="A33" s="192"/>
      <c r="B33" s="192"/>
      <c r="C33" s="192"/>
      <c r="D33" s="192"/>
      <c r="E33" s="192"/>
      <c r="F33" s="192"/>
      <c r="G33" s="192"/>
    </row>
    <row r="34" spans="1:7" ht="45.75" thickBot="1">
      <c r="A34" s="7"/>
      <c r="B34" s="2"/>
      <c r="C34" s="197" t="s">
        <v>13</v>
      </c>
      <c r="D34" s="198" t="s">
        <v>14</v>
      </c>
      <c r="E34" s="198" t="s">
        <v>15</v>
      </c>
      <c r="F34" s="199" t="s">
        <v>16</v>
      </c>
      <c r="G34" s="192"/>
    </row>
    <row r="35" spans="1:7">
      <c r="A35" s="500" t="s">
        <v>252</v>
      </c>
      <c r="B35" s="513"/>
      <c r="C35" s="200">
        <f>+'State, Local, Tribal (SLT)'!L131+'Private for Profit (PFP)'!M30+'Private NOT for Profit (PNP)'!M32+Individuals!L10</f>
        <v>1031</v>
      </c>
      <c r="D35" s="200">
        <f>+'State, Local, Tribal (SLT)'!M131+'Private for Profit (PFP)'!N30+'Private NOT for Profit (PNP)'!N32+Individuals!M10</f>
        <v>0</v>
      </c>
      <c r="E35" s="200">
        <f>+'State, Local, Tribal (SLT)'!N131+'Private for Profit (PFP)'!O30+'Private NOT for Profit (PNP)'!O32+Individuals!N10</f>
        <v>0</v>
      </c>
      <c r="F35" s="201">
        <f>SUM(C35:E35)</f>
        <v>1031</v>
      </c>
      <c r="G35" s="192"/>
    </row>
    <row r="36" spans="1:7" ht="15.75" thickBot="1">
      <c r="A36" s="501" t="s">
        <v>253</v>
      </c>
      <c r="B36" s="514"/>
      <c r="C36" s="200">
        <f>+'State, Local, Tribal (SLT)'!L132+'Private for Profit (PFP)'!M31+'Private NOT for Profit (PNP)'!M33</f>
        <v>-334986</v>
      </c>
      <c r="D36" s="200">
        <f>+'State, Local, Tribal (SLT)'!M132+'Private for Profit (PFP)'!N31+'Private NOT for Profit (PNP)'!N33+Individuals!M10</f>
        <v>0</v>
      </c>
      <c r="E36" s="200">
        <f>+'State, Local, Tribal (SLT)'!N132+'Private for Profit (PFP)'!O31+'Private NOT for Profit (PNP)'!O33</f>
        <v>6259.7999999999993</v>
      </c>
      <c r="F36" s="201">
        <f>SUM(C36:E36)</f>
        <v>-328726.2</v>
      </c>
      <c r="G36" s="192"/>
    </row>
    <row r="37" spans="1:7" ht="15.75" thickBot="1">
      <c r="A37" s="478" t="s">
        <v>254</v>
      </c>
      <c r="B37" s="515"/>
      <c r="C37" s="106">
        <f t="shared" ref="C37:F37" si="4">SUM(C35:C36)</f>
        <v>-333955</v>
      </c>
      <c r="D37" s="106">
        <f t="shared" si="4"/>
        <v>0</v>
      </c>
      <c r="E37" s="106">
        <f t="shared" si="4"/>
        <v>6259.7999999999993</v>
      </c>
      <c r="F37" s="136">
        <f t="shared" si="4"/>
        <v>-327695.2</v>
      </c>
      <c r="G37" s="192"/>
    </row>
    <row r="38" spans="1:7">
      <c r="A38" s="192"/>
      <c r="B38" s="192"/>
      <c r="C38" s="192"/>
      <c r="D38" s="192"/>
      <c r="E38" s="192"/>
      <c r="F38" s="192"/>
      <c r="G38" s="192"/>
    </row>
    <row r="39" spans="1:7">
      <c r="D39" s="188"/>
      <c r="E39" s="188"/>
    </row>
  </sheetData>
  <mergeCells count="4">
    <mergeCell ref="A1:F1"/>
    <mergeCell ref="A35:B35"/>
    <mergeCell ref="A36:B36"/>
    <mergeCell ref="A37:B37"/>
  </mergeCells>
  <pageMargins left="0.7" right="0.7" top="0.75" bottom="0.75" header="0.3" footer="0.3"/>
  <pageSetup scale="72" orientation="landscape" horizontalDpi="300" verticalDpi="300" r:id="rId1"/>
  <headerFooter>
    <oddHeader xml:space="preserve">&amp;L#0584-0293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3D5E0-0CB8-4555-890B-D283A2956808}">
  <dimension ref="A1:J29"/>
  <sheetViews>
    <sheetView workbookViewId="0">
      <selection activeCell="A2" sqref="A2"/>
    </sheetView>
  </sheetViews>
  <sheetFormatPr defaultRowHeight="15"/>
  <cols>
    <col min="1" max="1" width="12" customWidth="1"/>
    <col min="2" max="2" width="13.85546875" customWidth="1"/>
    <col min="3" max="3" width="11.85546875" customWidth="1"/>
    <col min="4" max="4" width="11.140625" customWidth="1"/>
    <col min="8" max="8" width="10.7109375" customWidth="1"/>
  </cols>
  <sheetData>
    <row r="1" spans="1:10" ht="15.75" thickBot="1">
      <c r="A1" s="518" t="s">
        <v>359</v>
      </c>
      <c r="B1" s="519"/>
      <c r="C1" s="519"/>
      <c r="D1" s="519"/>
      <c r="E1" s="519"/>
      <c r="F1" s="519"/>
      <c r="G1" s="519"/>
      <c r="H1" s="519"/>
      <c r="I1" s="520"/>
    </row>
    <row r="2" spans="1:10" ht="51.75" thickBot="1">
      <c r="A2" s="376" t="s">
        <v>360</v>
      </c>
      <c r="B2" s="377" t="s">
        <v>361</v>
      </c>
      <c r="C2" s="378" t="s">
        <v>362</v>
      </c>
      <c r="D2" s="376" t="s">
        <v>363</v>
      </c>
      <c r="E2" s="379" t="s">
        <v>250</v>
      </c>
      <c r="F2" s="380" t="s">
        <v>364</v>
      </c>
      <c r="G2" s="381" t="s">
        <v>365</v>
      </c>
      <c r="H2" s="382" t="s">
        <v>366</v>
      </c>
      <c r="I2" s="383" t="s">
        <v>367</v>
      </c>
    </row>
    <row r="3" spans="1:10" ht="15.75" thickBot="1">
      <c r="A3" s="521" t="s">
        <v>368</v>
      </c>
      <c r="B3" s="522"/>
      <c r="C3" s="522"/>
      <c r="D3" s="522"/>
      <c r="E3" s="522"/>
      <c r="F3" s="522"/>
      <c r="G3" s="522"/>
      <c r="H3" s="522"/>
      <c r="I3" s="523"/>
    </row>
    <row r="4" spans="1:10" ht="15.75" thickBot="1">
      <c r="A4" s="524" t="s">
        <v>369</v>
      </c>
      <c r="B4" s="525"/>
      <c r="C4" s="525"/>
      <c r="D4" s="525"/>
      <c r="E4" s="525"/>
      <c r="F4" s="525"/>
      <c r="G4" s="525"/>
      <c r="H4" s="525"/>
      <c r="I4" s="526"/>
    </row>
    <row r="5" spans="1:10" ht="68.25" customHeight="1">
      <c r="A5" s="384" t="s">
        <v>122</v>
      </c>
      <c r="B5" s="385" t="s">
        <v>370</v>
      </c>
      <c r="C5" s="447">
        <v>7</v>
      </c>
      <c r="D5" s="389">
        <v>15</v>
      </c>
      <c r="E5" s="390">
        <v>105</v>
      </c>
      <c r="F5" s="391">
        <v>1</v>
      </c>
      <c r="G5" s="392">
        <v>105</v>
      </c>
      <c r="H5" s="448">
        <v>0</v>
      </c>
      <c r="I5" s="387">
        <v>105</v>
      </c>
    </row>
    <row r="6" spans="1:10" ht="53.25" customHeight="1">
      <c r="A6" s="388" t="s">
        <v>28</v>
      </c>
      <c r="B6" s="385" t="s">
        <v>371</v>
      </c>
      <c r="C6" s="389">
        <v>59</v>
      </c>
      <c r="D6" s="389">
        <v>1</v>
      </c>
      <c r="E6" s="390">
        <v>59</v>
      </c>
      <c r="F6" s="391">
        <v>4</v>
      </c>
      <c r="G6" s="392">
        <v>236</v>
      </c>
      <c r="H6" s="386">
        <v>0</v>
      </c>
      <c r="I6" s="393">
        <v>236</v>
      </c>
    </row>
    <row r="7" spans="1:10" ht="51.75" customHeight="1">
      <c r="A7" s="388" t="s">
        <v>139</v>
      </c>
      <c r="B7" s="385" t="s">
        <v>372</v>
      </c>
      <c r="C7" s="389">
        <v>54</v>
      </c>
      <c r="D7" s="389">
        <v>1</v>
      </c>
      <c r="E7" s="390">
        <v>54</v>
      </c>
      <c r="F7" s="394">
        <v>4</v>
      </c>
      <c r="G7" s="392">
        <v>216</v>
      </c>
      <c r="H7" s="386">
        <v>0</v>
      </c>
      <c r="I7" s="393">
        <v>216</v>
      </c>
    </row>
    <row r="8" spans="1:10" ht="63.75">
      <c r="A8" s="395" t="s">
        <v>149</v>
      </c>
      <c r="B8" s="396" t="s">
        <v>373</v>
      </c>
      <c r="C8" s="397">
        <v>54</v>
      </c>
      <c r="D8" s="397">
        <v>1</v>
      </c>
      <c r="E8" s="398">
        <v>54</v>
      </c>
      <c r="F8" s="399">
        <v>1</v>
      </c>
      <c r="G8" s="400">
        <v>54</v>
      </c>
      <c r="H8" s="386">
        <v>0</v>
      </c>
      <c r="I8" s="401">
        <v>54</v>
      </c>
    </row>
    <row r="9" spans="1:10" ht="63.75">
      <c r="A9" s="395" t="s">
        <v>152</v>
      </c>
      <c r="B9" s="396" t="s">
        <v>374</v>
      </c>
      <c r="C9" s="402">
        <v>54</v>
      </c>
      <c r="D9" s="403">
        <v>4</v>
      </c>
      <c r="E9" s="398">
        <v>216</v>
      </c>
      <c r="F9" s="404">
        <v>2</v>
      </c>
      <c r="G9" s="400">
        <v>432</v>
      </c>
      <c r="H9" s="405">
        <v>0</v>
      </c>
      <c r="I9" s="401">
        <v>432</v>
      </c>
    </row>
    <row r="10" spans="1:10" ht="39" thickBot="1">
      <c r="A10" s="406">
        <v>253.12</v>
      </c>
      <c r="B10" s="407" t="s">
        <v>375</v>
      </c>
      <c r="C10" s="408">
        <v>11</v>
      </c>
      <c r="D10" s="408">
        <v>1</v>
      </c>
      <c r="E10" s="409">
        <v>11</v>
      </c>
      <c r="F10" s="410">
        <v>8</v>
      </c>
      <c r="G10" s="411">
        <v>88</v>
      </c>
      <c r="H10" s="412">
        <v>0</v>
      </c>
      <c r="I10" s="413">
        <v>88</v>
      </c>
    </row>
    <row r="11" spans="1:10" ht="30.75" customHeight="1" thickBot="1">
      <c r="A11" s="516" t="s">
        <v>376</v>
      </c>
      <c r="B11" s="517"/>
      <c r="C11" s="414">
        <f t="shared" ref="C11:I11" si="0">SUM(C5:C10)</f>
        <v>239</v>
      </c>
      <c r="D11" s="414">
        <f t="shared" si="0"/>
        <v>23</v>
      </c>
      <c r="E11" s="414">
        <f t="shared" si="0"/>
        <v>499</v>
      </c>
      <c r="F11" s="414">
        <f t="shared" si="0"/>
        <v>20</v>
      </c>
      <c r="G11" s="414">
        <f t="shared" si="0"/>
        <v>1131</v>
      </c>
      <c r="H11" s="415">
        <f t="shared" si="0"/>
        <v>0</v>
      </c>
      <c r="I11" s="414">
        <f t="shared" si="0"/>
        <v>1131</v>
      </c>
    </row>
    <row r="12" spans="1:10" ht="48.75" customHeight="1" thickBot="1">
      <c r="A12" s="527" t="s">
        <v>377</v>
      </c>
      <c r="B12" s="528"/>
      <c r="C12" s="528"/>
      <c r="D12" s="528"/>
      <c r="E12" s="528"/>
      <c r="F12" s="528"/>
      <c r="G12" s="528"/>
      <c r="H12" s="528"/>
      <c r="I12" s="529"/>
      <c r="J12" s="202"/>
    </row>
    <row r="13" spans="1:10" ht="64.5" thickBot="1">
      <c r="A13" s="384" t="s">
        <v>378</v>
      </c>
      <c r="B13" s="416" t="s">
        <v>307</v>
      </c>
      <c r="C13" s="417">
        <v>0</v>
      </c>
      <c r="D13" s="418">
        <v>0</v>
      </c>
      <c r="E13" s="419">
        <v>0</v>
      </c>
      <c r="F13" s="420">
        <v>0</v>
      </c>
      <c r="G13" s="419">
        <v>0</v>
      </c>
      <c r="H13" s="421">
        <v>50</v>
      </c>
      <c r="I13" s="418">
        <v>-50</v>
      </c>
    </row>
    <row r="14" spans="1:10" ht="29.25" customHeight="1" thickBot="1">
      <c r="A14" s="516" t="s">
        <v>379</v>
      </c>
      <c r="B14" s="517"/>
      <c r="C14" s="422">
        <f>C13</f>
        <v>0</v>
      </c>
      <c r="D14" s="422">
        <f t="shared" ref="D14:I14" si="1">D13</f>
        <v>0</v>
      </c>
      <c r="E14" s="422">
        <f t="shared" si="1"/>
        <v>0</v>
      </c>
      <c r="F14" s="422">
        <f t="shared" si="1"/>
        <v>0</v>
      </c>
      <c r="G14" s="422">
        <f t="shared" si="1"/>
        <v>0</v>
      </c>
      <c r="H14" s="422">
        <f t="shared" si="1"/>
        <v>50</v>
      </c>
      <c r="I14" s="422">
        <f t="shared" si="1"/>
        <v>-50</v>
      </c>
    </row>
    <row r="15" spans="1:10" ht="30" customHeight="1" thickBot="1">
      <c r="A15" s="527" t="s">
        <v>380</v>
      </c>
      <c r="B15" s="528"/>
      <c r="C15" s="528"/>
      <c r="D15" s="528"/>
      <c r="E15" s="528"/>
      <c r="F15" s="528"/>
      <c r="G15" s="528"/>
      <c r="H15" s="528"/>
      <c r="I15" s="529"/>
    </row>
    <row r="16" spans="1:10" ht="77.25" thickBot="1">
      <c r="A16" s="423" t="s">
        <v>378</v>
      </c>
      <c r="B16" s="424" t="s">
        <v>331</v>
      </c>
      <c r="C16" s="425">
        <v>0</v>
      </c>
      <c r="D16" s="425">
        <v>0</v>
      </c>
      <c r="E16" s="426">
        <v>0</v>
      </c>
      <c r="F16" s="425">
        <v>0</v>
      </c>
      <c r="G16" s="426">
        <v>0</v>
      </c>
      <c r="H16" s="425">
        <v>50</v>
      </c>
      <c r="I16" s="425">
        <v>-50</v>
      </c>
    </row>
    <row r="17" spans="1:9" ht="32.25" customHeight="1" thickBot="1">
      <c r="A17" s="516" t="s">
        <v>381</v>
      </c>
      <c r="B17" s="530"/>
      <c r="C17" s="422">
        <f>C16</f>
        <v>0</v>
      </c>
      <c r="D17" s="422">
        <f t="shared" ref="D17:G17" si="2">D16</f>
        <v>0</v>
      </c>
      <c r="E17" s="422">
        <f t="shared" si="2"/>
        <v>0</v>
      </c>
      <c r="F17" s="422">
        <f t="shared" si="2"/>
        <v>0</v>
      </c>
      <c r="G17" s="422">
        <f t="shared" si="2"/>
        <v>0</v>
      </c>
      <c r="H17" s="427">
        <f>H16</f>
        <v>50</v>
      </c>
      <c r="I17" s="422">
        <f t="shared" ref="I17" si="3">I16</f>
        <v>-50</v>
      </c>
    </row>
    <row r="18" spans="1:9" ht="30.75" customHeight="1" thickBot="1">
      <c r="A18" s="516" t="s">
        <v>382</v>
      </c>
      <c r="B18" s="530"/>
      <c r="C18" s="414">
        <f t="shared" ref="C18:I18" si="4">C17+C14+C11</f>
        <v>239</v>
      </c>
      <c r="D18" s="414">
        <f t="shared" si="4"/>
        <v>23</v>
      </c>
      <c r="E18" s="414">
        <f t="shared" si="4"/>
        <v>499</v>
      </c>
      <c r="F18" s="414">
        <f t="shared" si="4"/>
        <v>20</v>
      </c>
      <c r="G18" s="414">
        <f t="shared" si="4"/>
        <v>1131</v>
      </c>
      <c r="H18" s="415">
        <f t="shared" si="4"/>
        <v>100</v>
      </c>
      <c r="I18" s="414">
        <f t="shared" si="4"/>
        <v>1031</v>
      </c>
    </row>
    <row r="19" spans="1:9" ht="24.75" customHeight="1" thickBot="1">
      <c r="A19" s="428"/>
      <c r="B19" s="429"/>
      <c r="C19" s="430"/>
      <c r="D19" s="430"/>
      <c r="E19" s="430"/>
      <c r="F19" s="430"/>
      <c r="G19" s="430"/>
      <c r="H19" s="431"/>
      <c r="I19" s="432"/>
    </row>
    <row r="20" spans="1:9" ht="15.75" thickBot="1">
      <c r="A20" s="521" t="s">
        <v>383</v>
      </c>
      <c r="B20" s="522"/>
      <c r="C20" s="522"/>
      <c r="D20" s="522"/>
      <c r="E20" s="522"/>
      <c r="F20" s="522"/>
      <c r="G20" s="522"/>
      <c r="H20" s="522"/>
      <c r="I20" s="523"/>
    </row>
    <row r="21" spans="1:9" ht="15.75" thickBot="1">
      <c r="A21" s="524" t="s">
        <v>369</v>
      </c>
      <c r="B21" s="525"/>
      <c r="C21" s="525"/>
      <c r="D21" s="525"/>
      <c r="E21" s="525"/>
      <c r="F21" s="525"/>
      <c r="G21" s="525"/>
      <c r="H21" s="525"/>
      <c r="I21" s="526"/>
    </row>
    <row r="22" spans="1:9" ht="173.25" customHeight="1" thickBot="1">
      <c r="A22" s="388" t="s">
        <v>200</v>
      </c>
      <c r="B22" s="434" t="s">
        <v>384</v>
      </c>
      <c r="C22" s="449">
        <v>20866</v>
      </c>
      <c r="D22" s="435">
        <v>15</v>
      </c>
      <c r="E22" s="442">
        <f>C22*D22</f>
        <v>312990</v>
      </c>
      <c r="F22" s="450">
        <v>0.1</v>
      </c>
      <c r="G22" s="451">
        <f>E22*F22</f>
        <v>31299</v>
      </c>
      <c r="H22" s="452">
        <v>25039.200000000001</v>
      </c>
      <c r="I22" s="393">
        <f>G22-H22</f>
        <v>6259.7999999999993</v>
      </c>
    </row>
    <row r="23" spans="1:9" ht="51.75" thickBot="1">
      <c r="A23" s="433" t="s">
        <v>230</v>
      </c>
      <c r="B23" s="434" t="s">
        <v>385</v>
      </c>
      <c r="C23" s="435">
        <v>54</v>
      </c>
      <c r="D23" s="435">
        <v>1</v>
      </c>
      <c r="E23" s="436">
        <v>54</v>
      </c>
      <c r="F23" s="437">
        <v>1</v>
      </c>
      <c r="G23" s="438">
        <v>54</v>
      </c>
      <c r="H23" s="439">
        <v>0</v>
      </c>
      <c r="I23" s="440">
        <v>54</v>
      </c>
    </row>
    <row r="24" spans="1:9" ht="49.5" customHeight="1" thickBot="1">
      <c r="A24" s="516" t="s">
        <v>376</v>
      </c>
      <c r="B24" s="517"/>
      <c r="C24" s="414">
        <f>C23+C22</f>
        <v>20920</v>
      </c>
      <c r="D24" s="414">
        <f t="shared" ref="D24:I24" si="5">D23+D22</f>
        <v>16</v>
      </c>
      <c r="E24" s="414">
        <f t="shared" si="5"/>
        <v>313044</v>
      </c>
      <c r="F24" s="414">
        <f t="shared" si="5"/>
        <v>1.1000000000000001</v>
      </c>
      <c r="G24" s="414">
        <f t="shared" si="5"/>
        <v>31353</v>
      </c>
      <c r="H24" s="415">
        <f t="shared" si="5"/>
        <v>25039.200000000001</v>
      </c>
      <c r="I24" s="414">
        <f t="shared" si="5"/>
        <v>6313.7999999999993</v>
      </c>
    </row>
    <row r="25" spans="1:9" ht="15.75" thickBot="1">
      <c r="A25" s="527" t="s">
        <v>377</v>
      </c>
      <c r="B25" s="528"/>
      <c r="C25" s="528"/>
      <c r="D25" s="528"/>
      <c r="E25" s="528"/>
      <c r="F25" s="528"/>
      <c r="G25" s="528"/>
      <c r="H25" s="528"/>
      <c r="I25" s="529"/>
    </row>
    <row r="26" spans="1:9" ht="90" thickBot="1">
      <c r="A26" s="433" t="s">
        <v>321</v>
      </c>
      <c r="B26" s="441" t="s">
        <v>386</v>
      </c>
      <c r="C26" s="417">
        <v>1600</v>
      </c>
      <c r="D26" s="418">
        <v>1</v>
      </c>
      <c r="E26" s="442">
        <v>1600</v>
      </c>
      <c r="F26" s="417">
        <v>210.5</v>
      </c>
      <c r="G26" s="442">
        <v>336800</v>
      </c>
      <c r="H26" s="421">
        <v>671840</v>
      </c>
      <c r="I26" s="418">
        <v>-335040</v>
      </c>
    </row>
    <row r="27" spans="1:9" ht="45" customHeight="1" thickBot="1">
      <c r="A27" s="516" t="s">
        <v>387</v>
      </c>
      <c r="B27" s="517"/>
      <c r="C27" s="414">
        <f>C26</f>
        <v>1600</v>
      </c>
      <c r="D27" s="414">
        <f t="shared" ref="D27:I27" si="6">D26</f>
        <v>1</v>
      </c>
      <c r="E27" s="414">
        <f t="shared" si="6"/>
        <v>1600</v>
      </c>
      <c r="F27" s="414">
        <f t="shared" si="6"/>
        <v>210.5</v>
      </c>
      <c r="G27" s="414">
        <f t="shared" si="6"/>
        <v>336800</v>
      </c>
      <c r="H27" s="415">
        <f t="shared" si="6"/>
        <v>671840</v>
      </c>
      <c r="I27" s="414">
        <f t="shared" si="6"/>
        <v>-335040</v>
      </c>
    </row>
    <row r="28" spans="1:9" ht="51.75" customHeight="1" thickBot="1">
      <c r="A28" s="516" t="s">
        <v>388</v>
      </c>
      <c r="B28" s="530"/>
      <c r="C28" s="414">
        <f>C27+C24</f>
        <v>22520</v>
      </c>
      <c r="D28" s="414">
        <f t="shared" ref="D28:I28" si="7">D27+D24</f>
        <v>17</v>
      </c>
      <c r="E28" s="414">
        <f t="shared" si="7"/>
        <v>314644</v>
      </c>
      <c r="F28" s="414">
        <f t="shared" si="7"/>
        <v>211.6</v>
      </c>
      <c r="G28" s="414">
        <f t="shared" si="7"/>
        <v>368153</v>
      </c>
      <c r="H28" s="415">
        <f>H27+H24</f>
        <v>696879.2</v>
      </c>
      <c r="I28" s="414">
        <f t="shared" si="7"/>
        <v>-328726.2</v>
      </c>
    </row>
    <row r="29" spans="1:9" ht="48" customHeight="1" thickBot="1">
      <c r="A29" s="531" t="s">
        <v>389</v>
      </c>
      <c r="B29" s="532"/>
      <c r="C29" s="443">
        <f t="shared" ref="C29:I29" si="8">C28+C18</f>
        <v>22759</v>
      </c>
      <c r="D29" s="443">
        <f t="shared" si="8"/>
        <v>40</v>
      </c>
      <c r="E29" s="443">
        <f t="shared" si="8"/>
        <v>315143</v>
      </c>
      <c r="F29" s="443">
        <f t="shared" si="8"/>
        <v>231.6</v>
      </c>
      <c r="G29" s="443">
        <f t="shared" si="8"/>
        <v>369284</v>
      </c>
      <c r="H29" s="444">
        <f t="shared" si="8"/>
        <v>696979.2</v>
      </c>
      <c r="I29" s="443">
        <f t="shared" si="8"/>
        <v>-327695.2</v>
      </c>
    </row>
  </sheetData>
  <mergeCells count="16">
    <mergeCell ref="A25:I25"/>
    <mergeCell ref="A27:B27"/>
    <mergeCell ref="A28:B28"/>
    <mergeCell ref="A29:B29"/>
    <mergeCell ref="A15:I15"/>
    <mergeCell ref="A17:B17"/>
    <mergeCell ref="A18:B18"/>
    <mergeCell ref="A20:I20"/>
    <mergeCell ref="A21:I21"/>
    <mergeCell ref="A24:B24"/>
    <mergeCell ref="A14:B14"/>
    <mergeCell ref="A1:I1"/>
    <mergeCell ref="A3:I3"/>
    <mergeCell ref="A4:I4"/>
    <mergeCell ref="A11:B11"/>
    <mergeCell ref="A12:I12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9C563-8033-4A55-8A0A-F5D0BD1FA0A1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a57a94-3426-4524-8b8a-967e28c44898">
      <Terms xmlns="http://schemas.microsoft.com/office/infopath/2007/PartnerControls"/>
    </lcf76f155ced4ddcb4097134ff3c332f>
    <Programs xmlns="12a57a94-3426-4524-8b8a-967e28c44898" xsi:nil="true"/>
    <SharedWithUsers xmlns="f5b8bc70-4415-405d-805d-706af9d600ac">
      <UserInfo>
        <DisplayName>Gordon, Anna - FNS</DisplayName>
        <AccountId>195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E7F401722ED14286B30E4150AB2995" ma:contentTypeVersion="16" ma:contentTypeDescription="Create a new document." ma:contentTypeScope="" ma:versionID="b679c53321ee7332a9be8fedb09939f7">
  <xsd:schema xmlns:xsd="http://www.w3.org/2001/XMLSchema" xmlns:xs="http://www.w3.org/2001/XMLSchema" xmlns:p="http://schemas.microsoft.com/office/2006/metadata/properties" xmlns:ns2="12a57a94-3426-4524-8b8a-967e28c44898" xmlns:ns3="f5b8bc70-4415-405d-805d-706af9d600ac" targetNamespace="http://schemas.microsoft.com/office/2006/metadata/properties" ma:root="true" ma:fieldsID="41b69bd0d41bd39f226a664f59272d93" ns2:_="" ns3:_="">
    <xsd:import namespace="12a57a94-3426-4524-8b8a-967e28c44898"/>
    <xsd:import namespace="f5b8bc70-4415-405d-805d-706af9d600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Program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57a94-3426-4524-8b8a-967e28c448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rograms" ma:index="13" nillable="true" ma:displayName="Programs" ma:format="Dropdown" ma:internalName="Program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SFP"/>
                    <xsd:enumeration value="TEFAP"/>
                    <xsd:enumeration value="FDPIR"/>
                    <xsd:enumeration value="Disasters"/>
                  </xsd:restriction>
                </xsd:simpleType>
              </xsd:element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b8bc70-4415-405d-805d-706af9d600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CED9E4-9A63-406C-A156-ABC2450750F5}"/>
</file>

<file path=customXml/itemProps2.xml><?xml version="1.0" encoding="utf-8"?>
<ds:datastoreItem xmlns:ds="http://schemas.openxmlformats.org/officeDocument/2006/customXml" ds:itemID="{E8DE1CCD-F77B-42E6-A4C7-D2B5EA9549F7}"/>
</file>

<file path=customXml/itemProps3.xml><?xml version="1.0" encoding="utf-8"?>
<ds:datastoreItem xmlns:ds="http://schemas.openxmlformats.org/officeDocument/2006/customXml" ds:itemID="{4795D18E-7837-4BCA-BB5A-E65AE10CA5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Fairfield, Polly - FNA</cp:lastModifiedBy>
  <cp:revision/>
  <dcterms:created xsi:type="dcterms:W3CDTF">2014-01-09T20:10:25Z</dcterms:created>
  <dcterms:modified xsi:type="dcterms:W3CDTF">2026-08-03T13:38:22Z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0x01010057E7F401722ED14286B30E4150AB2995</vt:lpwstr>
  </property>
  <property fmtid="{D5CDD505-2E9C-101B-9397-08002B2CF9AE}" pid="3" name="MediaServiceImageTags">
    <vt:lpwstr/>
  </property>
</Properties>
</file>