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usepa.sharepoint.com/sites/SPD/Shared Documents/AIM, Refrigerant Mgmt/Final Rule/Analyses/ICR/"/>
    </mc:Choice>
  </mc:AlternateContent>
  <xr:revisionPtr revIDLastSave="156" documentId="8_{529D1597-92E9-450B-8F27-CC612EFF461C}" xr6:coauthVersionLast="47" xr6:coauthVersionMax="47" xr10:uidLastSave="{E1F72109-EBC5-41B3-A864-B5DC2E169043}"/>
  <bookViews>
    <workbookView xWindow="28680" yWindow="-1785" windowWidth="29040" windowHeight="15720" tabRatio="699" activeTab="1" xr2:uid="{02A0D13C-4B9B-447F-B4B0-B2EC18F917FB}"/>
  </bookViews>
  <sheets>
    <sheet name="For Submission Worksheet" sheetId="59" r:id="rId1"/>
    <sheet name="Respondent Burden" sheetId="51" r:id="rId2"/>
    <sheet name="Respondent Burden Summary" sheetId="58" r:id="rId3"/>
    <sheet name="Tables for Supporting Statement" sheetId="56" r:id="rId4"/>
    <sheet name="ICR 1626.18 9-6-2022" sheetId="48" r:id="rId5"/>
    <sheet name="Agency Burden" sheetId="55" r:id="rId6"/>
    <sheet name="Labeling Burden Estimates" sheetId="57" r:id="rId7"/>
  </sheets>
  <definedNames>
    <definedName name="df" localSheetId="5">#REF!</definedName>
    <definedName name="df" localSheetId="1">#REF!</definedName>
    <definedName name="df">#REF!</definedName>
    <definedName name="ed" localSheetId="5">#REF!</definedName>
    <definedName name="ed" localSheetId="1">#REF!</definedName>
    <definedName name="ed">#REF!</definedName>
    <definedName name="er" localSheetId="5">#REF!</definedName>
    <definedName name="er" localSheetId="1">#REF!</definedName>
    <definedName name="er">#REF!</definedName>
    <definedName name="f" localSheetId="5">#REF!</definedName>
    <definedName name="f" localSheetId="1">#REF!</definedName>
    <definedName name="f">#REF!</definedName>
    <definedName name="INTERNET" localSheetId="5">#REF!</definedName>
    <definedName name="INTERNET" localSheetId="1">#REF!</definedName>
    <definedName name="INTERNET">#REF!</definedName>
    <definedName name="ku" localSheetId="5">#REF!</definedName>
    <definedName name="ku" localSheetId="1">#REF!</definedName>
    <definedName name="ku">#REF!</definedName>
    <definedName name="SOURCE" localSheetId="5">#REF!</definedName>
    <definedName name="SOURCE" localSheetId="1">#REF!</definedName>
    <definedName name="SOURCE">#REF!</definedName>
    <definedName name="TITLE" localSheetId="5">#REF!</definedName>
    <definedName name="TITLE" localSheetId="1">#REF!</definedName>
    <definedName name="TIT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1" i="51" l="1"/>
  <c r="AR53" i="51"/>
  <c r="AR52" i="51"/>
  <c r="AR51" i="51"/>
  <c r="AR50" i="51"/>
  <c r="AQ52" i="51"/>
  <c r="AN52" i="51" l="1"/>
  <c r="AM52" i="51"/>
  <c r="AJ52" i="51"/>
  <c r="AL52" i="51"/>
  <c r="AK51" i="51"/>
  <c r="AN51" i="51" s="1"/>
  <c r="AK50" i="51"/>
  <c r="AJ50" i="51"/>
  <c r="AM51" i="51"/>
  <c r="AL51" i="51"/>
  <c r="AL48" i="51"/>
  <c r="AJ51" i="51"/>
  <c r="AL50" i="51"/>
  <c r="M125" i="51"/>
  <c r="M126" i="51" s="1"/>
  <c r="N126" i="51" s="1"/>
  <c r="J126" i="51"/>
  <c r="I126" i="51"/>
  <c r="J125" i="51"/>
  <c r="I125" i="51"/>
  <c r="M97" i="51"/>
  <c r="I108" i="51"/>
  <c r="I107" i="51"/>
  <c r="I106" i="51"/>
  <c r="I105" i="51"/>
  <c r="I104" i="51"/>
  <c r="I103" i="51"/>
  <c r="AN50" i="51" l="1"/>
  <c r="N125" i="51"/>
  <c r="O126" i="51"/>
  <c r="O125" i="51"/>
  <c r="G75" i="51" l="1"/>
  <c r="F46" i="56" l="1"/>
  <c r="G46" i="56"/>
  <c r="F47" i="56"/>
  <c r="J55" i="51"/>
  <c r="I88" i="51"/>
  <c r="M103" i="51" l="1"/>
  <c r="M108" i="51"/>
  <c r="M116" i="51"/>
  <c r="M129" i="51"/>
  <c r="M123" i="51"/>
  <c r="M124" i="51" s="1"/>
  <c r="H47" i="56"/>
  <c r="B37" i="59"/>
  <c r="I74" i="51"/>
  <c r="H74" i="51"/>
  <c r="G74" i="51"/>
  <c r="N108" i="51" l="1"/>
  <c r="M104" i="51"/>
  <c r="N103" i="51"/>
  <c r="N104" i="51" l="1"/>
  <c r="M105" i="51"/>
  <c r="Y53" i="51"/>
  <c r="AA53" i="51"/>
  <c r="U87" i="51"/>
  <c r="R87" i="51"/>
  <c r="K88" i="51"/>
  <c r="H88" i="51"/>
  <c r="G47" i="56" s="1"/>
  <c r="M106" i="51" l="1"/>
  <c r="N105" i="51"/>
  <c r="M130" i="51"/>
  <c r="N106" i="51" l="1"/>
  <c r="M107" i="51"/>
  <c r="N107" i="51" s="1"/>
  <c r="M117" i="51"/>
  <c r="M118" i="51" l="1"/>
  <c r="M119" i="51" s="1"/>
  <c r="M120" i="51" s="1"/>
  <c r="M121" i="51" s="1"/>
  <c r="M122" i="51" s="1"/>
  <c r="O31" i="55"/>
  <c r="O32" i="55" s="1"/>
  <c r="O33" i="55" s="1"/>
  <c r="I130" i="51" l="1"/>
  <c r="N130" i="51" s="1"/>
  <c r="I129" i="51"/>
  <c r="N129" i="51" s="1"/>
  <c r="M98" i="51"/>
  <c r="M99" i="51" s="1"/>
  <c r="M100" i="51" s="1"/>
  <c r="M101" i="51" s="1"/>
  <c r="K117" i="51"/>
  <c r="L117" i="51"/>
  <c r="K118" i="51"/>
  <c r="L118" i="51"/>
  <c r="K119" i="51"/>
  <c r="L119" i="51"/>
  <c r="K120" i="51"/>
  <c r="L120" i="51"/>
  <c r="K121" i="51"/>
  <c r="L121" i="51"/>
  <c r="K122" i="51"/>
  <c r="L122" i="51"/>
  <c r="L116" i="51"/>
  <c r="K116" i="51"/>
  <c r="E117" i="51"/>
  <c r="F117" i="51"/>
  <c r="G117" i="51"/>
  <c r="H117" i="51"/>
  <c r="E118" i="51"/>
  <c r="F118" i="51"/>
  <c r="G118" i="51"/>
  <c r="H118" i="51"/>
  <c r="E119" i="51"/>
  <c r="F119" i="51"/>
  <c r="G119" i="51"/>
  <c r="H119" i="51"/>
  <c r="E120" i="51"/>
  <c r="F120" i="51"/>
  <c r="G120" i="51"/>
  <c r="H120" i="51"/>
  <c r="E121" i="51"/>
  <c r="F121" i="51"/>
  <c r="G121" i="51"/>
  <c r="H121" i="51"/>
  <c r="E122" i="51"/>
  <c r="F122" i="51"/>
  <c r="G122" i="51"/>
  <c r="H122" i="51"/>
  <c r="F116" i="51"/>
  <c r="G116" i="51"/>
  <c r="H116" i="51"/>
  <c r="E116" i="51"/>
  <c r="I115" i="51"/>
  <c r="N115" i="51" s="1"/>
  <c r="I114" i="51"/>
  <c r="N114" i="51" s="1"/>
  <c r="I113" i="51"/>
  <c r="N113" i="51" s="1"/>
  <c r="I112" i="51"/>
  <c r="N112" i="51" s="1"/>
  <c r="L131" i="51" l="1"/>
  <c r="M131" i="51"/>
  <c r="I120" i="51"/>
  <c r="N120" i="51" s="1"/>
  <c r="I121" i="51"/>
  <c r="N121" i="51" s="1"/>
  <c r="I119" i="51"/>
  <c r="N119" i="51" s="1"/>
  <c r="I122" i="51"/>
  <c r="N122" i="51" s="1"/>
  <c r="H85" i="51" l="1"/>
  <c r="D16" i="51"/>
  <c r="D15" i="51"/>
  <c r="C37" i="59" l="1"/>
  <c r="B4" i="59" s="1"/>
  <c r="F25" i="58" l="1"/>
  <c r="F24" i="58"/>
  <c r="F23" i="58"/>
  <c r="F26" i="58" s="1"/>
  <c r="F28" i="58" s="1"/>
  <c r="F44" i="56" l="1"/>
  <c r="G44" i="56"/>
  <c r="I44" i="56"/>
  <c r="F45" i="56"/>
  <c r="G45" i="56"/>
  <c r="H45" i="56"/>
  <c r="I45" i="56"/>
  <c r="C24" i="55"/>
  <c r="M24" i="55" s="1"/>
  <c r="W20" i="55" s="1"/>
  <c r="D24" i="55"/>
  <c r="N24" i="55" s="1"/>
  <c r="U86" i="51"/>
  <c r="S86" i="51"/>
  <c r="P85" i="51"/>
  <c r="P86" i="51"/>
  <c r="R85" i="51"/>
  <c r="AB53" i="51" s="1"/>
  <c r="O84" i="51"/>
  <c r="R86" i="51"/>
  <c r="D11" i="51"/>
  <c r="N86" i="51" s="1"/>
  <c r="D12" i="51"/>
  <c r="D10" i="51"/>
  <c r="L85" i="51" s="1"/>
  <c r="V85" i="51" s="1"/>
  <c r="C17" i="48"/>
  <c r="C16" i="48"/>
  <c r="C15" i="48"/>
  <c r="C14" i="48"/>
  <c r="C13" i="48"/>
  <c r="C12" i="48"/>
  <c r="C11" i="48"/>
  <c r="C10" i="48"/>
  <c r="D11" i="55"/>
  <c r="J44" i="56" l="1"/>
  <c r="AD53" i="51"/>
  <c r="L88" i="51"/>
  <c r="Q86" i="51"/>
  <c r="T86" i="51"/>
  <c r="N45" i="56" s="1"/>
  <c r="L45" i="56"/>
  <c r="J45" i="56"/>
  <c r="L86" i="51"/>
  <c r="V86" i="51" s="1"/>
  <c r="K24" i="55"/>
  <c r="AB20" i="55"/>
  <c r="N85" i="51"/>
  <c r="K45" i="56"/>
  <c r="Q85" i="51"/>
  <c r="AC53" i="51" s="1"/>
  <c r="P24" i="55"/>
  <c r="Z20" i="55" s="1"/>
  <c r="L44" i="56" l="1"/>
  <c r="Z53" i="51"/>
  <c r="M44" i="56"/>
  <c r="M45" i="56"/>
  <c r="Y20" i="55"/>
  <c r="W34" i="55" s="1"/>
  <c r="Y34" i="55"/>
  <c r="J56" i="51" l="1"/>
  <c r="G65" i="51"/>
  <c r="G53" i="51" l="1"/>
  <c r="F17" i="58"/>
  <c r="F8" i="58"/>
  <c r="G42" i="56" l="1"/>
  <c r="H42" i="56"/>
  <c r="F43" i="56"/>
  <c r="P83" i="51"/>
  <c r="R83" i="51"/>
  <c r="AB54" i="51" s="1"/>
  <c r="S83" i="51"/>
  <c r="U83" i="51"/>
  <c r="M84" i="51"/>
  <c r="N84" i="51" s="1"/>
  <c r="Y55" i="51"/>
  <c r="AD54" i="51" l="1"/>
  <c r="AA71" i="51" s="1"/>
  <c r="AA55" i="51"/>
  <c r="Y72" i="51" s="1"/>
  <c r="L83" i="51"/>
  <c r="J42" i="56"/>
  <c r="I43" i="56"/>
  <c r="K42" i="56"/>
  <c r="V83" i="51" l="1"/>
  <c r="N83" i="51"/>
  <c r="J30" i="55"/>
  <c r="J17" i="55"/>
  <c r="J34" i="55"/>
  <c r="K33" i="55"/>
  <c r="K32" i="55"/>
  <c r="K31" i="55"/>
  <c r="F25" i="55"/>
  <c r="G25" i="55"/>
  <c r="I25" i="55"/>
  <c r="F40" i="56" l="1"/>
  <c r="G66" i="51"/>
  <c r="F25" i="56" s="1"/>
  <c r="K48" i="51" l="1"/>
  <c r="K47" i="51"/>
  <c r="K46" i="51"/>
  <c r="K45" i="51"/>
  <c r="K54" i="51"/>
  <c r="K53" i="51"/>
  <c r="K58" i="51" l="1"/>
  <c r="K60" i="51" s="1"/>
  <c r="K57" i="51"/>
  <c r="K59" i="51" s="1"/>
  <c r="C23" i="55" l="1"/>
  <c r="O81" i="51"/>
  <c r="Y49" i="51" s="1"/>
  <c r="I81" i="51"/>
  <c r="S81" i="51" s="1"/>
  <c r="H81" i="51"/>
  <c r="P81" i="51" s="1"/>
  <c r="G82" i="51"/>
  <c r="F41" i="56" s="1"/>
  <c r="M81" i="51"/>
  <c r="AD49" i="51" l="1"/>
  <c r="AG49" i="51"/>
  <c r="AA49" i="51"/>
  <c r="Y69" i="51" s="1"/>
  <c r="I40" i="56"/>
  <c r="G40" i="56"/>
  <c r="U81" i="51"/>
  <c r="AE49" i="51" s="1"/>
  <c r="H40" i="56"/>
  <c r="K23" i="55"/>
  <c r="M23" i="55"/>
  <c r="H82" i="51"/>
  <c r="E23" i="55"/>
  <c r="S23" i="55" s="1"/>
  <c r="D23" i="55"/>
  <c r="I82" i="51"/>
  <c r="H41" i="56" s="1"/>
  <c r="O82" i="51"/>
  <c r="Y50" i="51" s="1"/>
  <c r="R81" i="51"/>
  <c r="AB49" i="51" s="1"/>
  <c r="K40" i="56"/>
  <c r="M82" i="51"/>
  <c r="I41" i="56" l="1"/>
  <c r="AA50" i="51"/>
  <c r="Y70" i="51" s="1"/>
  <c r="N23" i="55"/>
  <c r="P23" i="55"/>
  <c r="P82" i="51"/>
  <c r="G41" i="56"/>
  <c r="AA69" i="51"/>
  <c r="J40" i="56"/>
  <c r="R82" i="51"/>
  <c r="AB50" i="51" s="1"/>
  <c r="AC69" i="51"/>
  <c r="U82" i="51"/>
  <c r="AE50" i="51" s="1"/>
  <c r="S82" i="51"/>
  <c r="K41" i="56" l="1"/>
  <c r="AG50" i="51"/>
  <c r="AC70" i="51" s="1"/>
  <c r="J41" i="56"/>
  <c r="AD50" i="51"/>
  <c r="AA70" i="51" l="1"/>
  <c r="AK45" i="51"/>
  <c r="Q23" i="55" l="1"/>
  <c r="AE19" i="55" s="1"/>
  <c r="Z19" i="55"/>
  <c r="Y19" i="55"/>
  <c r="AC19" i="55" l="1"/>
  <c r="AA33" i="55" s="1"/>
  <c r="AB19" i="55"/>
  <c r="Y33" i="55" s="1"/>
  <c r="W19" i="55"/>
  <c r="W33" i="55" s="1"/>
  <c r="E47" i="48" l="1"/>
  <c r="K52" i="51" l="1"/>
  <c r="K74" i="51" l="1"/>
  <c r="D14" i="51" l="1"/>
  <c r="L84" i="51" s="1"/>
  <c r="V84" i="51" s="1"/>
  <c r="D7" i="51" l="1"/>
  <c r="L87" i="51" s="1"/>
  <c r="D9" i="55" l="1"/>
  <c r="D10" i="55"/>
  <c r="D8" i="55"/>
  <c r="H17" i="55" l="1"/>
  <c r="O24" i="55"/>
  <c r="AA20" i="55" s="1"/>
  <c r="Z34" i="55" s="1"/>
  <c r="L24" i="55"/>
  <c r="X20" i="55" s="1"/>
  <c r="X34" i="55" s="1"/>
  <c r="G30" i="55"/>
  <c r="G17" i="55"/>
  <c r="I30" i="55"/>
  <c r="I17" i="55"/>
  <c r="H30" i="55"/>
  <c r="R23" i="55"/>
  <c r="AD19" i="55" s="1"/>
  <c r="AB33" i="55" s="1"/>
  <c r="L23" i="55"/>
  <c r="X19" i="55" s="1"/>
  <c r="X33" i="55" s="1"/>
  <c r="O23" i="55"/>
  <c r="AA19" i="55" s="1"/>
  <c r="Z33" i="55" s="1"/>
  <c r="D8" i="51"/>
  <c r="L81" i="51" s="1"/>
  <c r="D9" i="51"/>
  <c r="F96" i="51" s="1"/>
  <c r="D13" i="51"/>
  <c r="E96" i="51" s="1"/>
  <c r="H96" i="51"/>
  <c r="L33" i="55" l="1"/>
  <c r="T83" i="51"/>
  <c r="Q83" i="51"/>
  <c r="Q81" i="51"/>
  <c r="T81" i="51"/>
  <c r="Q82" i="51"/>
  <c r="T82" i="51"/>
  <c r="L59" i="51"/>
  <c r="V59" i="51" s="1"/>
  <c r="L60" i="51"/>
  <c r="V60" i="51" s="1"/>
  <c r="N81" i="51"/>
  <c r="N82" i="51"/>
  <c r="V81" i="51"/>
  <c r="L46" i="51"/>
  <c r="V46" i="51" s="1"/>
  <c r="L47" i="51"/>
  <c r="V47" i="51" s="1"/>
  <c r="L45" i="51"/>
  <c r="V45" i="51" s="1"/>
  <c r="L48" i="51"/>
  <c r="V48" i="51" s="1"/>
  <c r="L54" i="51"/>
  <c r="V54" i="51" s="1"/>
  <c r="L53" i="51"/>
  <c r="V53" i="51" s="1"/>
  <c r="L58" i="51"/>
  <c r="V58" i="51" s="1"/>
  <c r="L57" i="51"/>
  <c r="V57" i="51" s="1"/>
  <c r="L52" i="51"/>
  <c r="V52" i="51" s="1"/>
  <c r="L74" i="51"/>
  <c r="V74" i="51" s="1"/>
  <c r="G96" i="51"/>
  <c r="J100" i="51" s="1"/>
  <c r="O100" i="51" s="1"/>
  <c r="L31" i="55"/>
  <c r="Q31" i="55" s="1"/>
  <c r="L32" i="55"/>
  <c r="Q32" i="55" s="1"/>
  <c r="L82" i="51"/>
  <c r="V82" i="51" s="1"/>
  <c r="G34" i="55"/>
  <c r="H34" i="55"/>
  <c r="I34" i="55"/>
  <c r="M34" i="55"/>
  <c r="N34" i="55"/>
  <c r="O34" i="55"/>
  <c r="W22" i="55" s="1"/>
  <c r="Q33" i="55"/>
  <c r="P33" i="55"/>
  <c r="P32" i="55"/>
  <c r="P31" i="55"/>
  <c r="Y57" i="51"/>
  <c r="C27" i="58" s="1"/>
  <c r="I98" i="51"/>
  <c r="N98" i="51" s="1"/>
  <c r="I99" i="51"/>
  <c r="N99" i="51" s="1"/>
  <c r="I100" i="51"/>
  <c r="N100" i="51" s="1"/>
  <c r="I101" i="51"/>
  <c r="N101" i="51" s="1"/>
  <c r="I102" i="51"/>
  <c r="N102" i="51" s="1"/>
  <c r="I109" i="51"/>
  <c r="I110" i="51"/>
  <c r="I111" i="51"/>
  <c r="I123" i="51"/>
  <c r="N123" i="51" s="1"/>
  <c r="I124" i="51"/>
  <c r="N124" i="51" s="1"/>
  <c r="I97" i="51"/>
  <c r="N97" i="51" s="1"/>
  <c r="J106" i="51" l="1"/>
  <c r="O106" i="51" s="1"/>
  <c r="J103" i="51"/>
  <c r="O103" i="51" s="1"/>
  <c r="J107" i="51"/>
  <c r="O107" i="51" s="1"/>
  <c r="J105" i="51"/>
  <c r="O105" i="51" s="1"/>
  <c r="J104" i="51"/>
  <c r="O104" i="51" s="1"/>
  <c r="J108" i="51"/>
  <c r="O108" i="51" s="1"/>
  <c r="J118" i="51"/>
  <c r="O118" i="51" s="1"/>
  <c r="J120" i="51"/>
  <c r="O120" i="51" s="1"/>
  <c r="J122" i="51"/>
  <c r="O122" i="51" s="1"/>
  <c r="J123" i="51"/>
  <c r="J129" i="51"/>
  <c r="O129" i="51" s="1"/>
  <c r="J117" i="51"/>
  <c r="O117" i="51" s="1"/>
  <c r="J121" i="51"/>
  <c r="O121" i="51" s="1"/>
  <c r="J119" i="51"/>
  <c r="O119" i="51" s="1"/>
  <c r="J130" i="51"/>
  <c r="O130" i="51" s="1"/>
  <c r="J116" i="51"/>
  <c r="O116" i="51" s="1"/>
  <c r="J124" i="51"/>
  <c r="N110" i="51"/>
  <c r="I117" i="51"/>
  <c r="N117" i="51" s="1"/>
  <c r="N109" i="51"/>
  <c r="I116" i="51"/>
  <c r="N116" i="51" s="1"/>
  <c r="N111" i="51"/>
  <c r="I118" i="51"/>
  <c r="N118" i="51" s="1"/>
  <c r="J112" i="51"/>
  <c r="O112" i="51" s="1"/>
  <c r="J113" i="51"/>
  <c r="O113" i="51" s="1"/>
  <c r="J114" i="51"/>
  <c r="O114" i="51" s="1"/>
  <c r="J115" i="51"/>
  <c r="O115" i="51" s="1"/>
  <c r="AF50" i="51"/>
  <c r="AD70" i="51" s="1"/>
  <c r="N41" i="56"/>
  <c r="AC50" i="51"/>
  <c r="AB70" i="51" s="1"/>
  <c r="M41" i="56"/>
  <c r="AF49" i="51"/>
  <c r="N40" i="56"/>
  <c r="AC49" i="51"/>
  <c r="M40" i="56"/>
  <c r="AC54" i="51"/>
  <c r="M42" i="56"/>
  <c r="N42" i="56"/>
  <c r="Z50" i="51"/>
  <c r="L41" i="56"/>
  <c r="Z49" i="51"/>
  <c r="L40" i="56"/>
  <c r="Z55" i="51"/>
  <c r="L43" i="56"/>
  <c r="O124" i="51"/>
  <c r="O123" i="51"/>
  <c r="J99" i="51"/>
  <c r="O99" i="51" s="1"/>
  <c r="J111" i="51"/>
  <c r="O111" i="51" s="1"/>
  <c r="J98" i="51"/>
  <c r="O98" i="51" s="1"/>
  <c r="J97" i="51"/>
  <c r="O97" i="51" s="1"/>
  <c r="J110" i="51"/>
  <c r="O110" i="51" s="1"/>
  <c r="J109" i="51"/>
  <c r="O109" i="51" s="1"/>
  <c r="J102" i="51"/>
  <c r="O102" i="51" s="1"/>
  <c r="J101" i="51"/>
  <c r="O101" i="51" s="1"/>
  <c r="AC22" i="55"/>
  <c r="Z22" i="55"/>
  <c r="P34" i="55"/>
  <c r="Y22" i="55" s="1"/>
  <c r="W35" i="55" s="1"/>
  <c r="Q34" i="55"/>
  <c r="X22" i="55" s="1"/>
  <c r="K34" i="55"/>
  <c r="L34" i="55"/>
  <c r="AB57" i="51"/>
  <c r="AE57" i="51"/>
  <c r="G22" i="51"/>
  <c r="G21" i="51"/>
  <c r="AK46" i="51" l="1"/>
  <c r="Z41" i="51"/>
  <c r="AD69" i="51"/>
  <c r="AF41" i="51"/>
  <c r="AB69" i="51"/>
  <c r="AC41" i="51"/>
  <c r="AB71" i="51"/>
  <c r="Z72" i="51"/>
  <c r="N131" i="51"/>
  <c r="AG57" i="51" s="1"/>
  <c r="AC74" i="51" s="1"/>
  <c r="O131" i="51"/>
  <c r="Z57" i="51" s="1"/>
  <c r="Z69" i="51"/>
  <c r="AK47" i="51"/>
  <c r="Z70" i="51"/>
  <c r="AK48" i="51"/>
  <c r="G46" i="51"/>
  <c r="G45" i="51"/>
  <c r="G47" i="51"/>
  <c r="S8" i="56"/>
  <c r="G48" i="51"/>
  <c r="AE22" i="55"/>
  <c r="AA35" i="55" s="1"/>
  <c r="AB22" i="55"/>
  <c r="Y35" i="55" s="1"/>
  <c r="AD22" i="55"/>
  <c r="AB35" i="55" s="1"/>
  <c r="X35" i="55"/>
  <c r="AA22" i="55"/>
  <c r="Z35" i="55" s="1"/>
  <c r="AA57" i="51" l="1"/>
  <c r="D27" i="58" s="1"/>
  <c r="AD57" i="51"/>
  <c r="AA74" i="51" s="1"/>
  <c r="Z74" i="51"/>
  <c r="G27" i="58"/>
  <c r="E27" i="58"/>
  <c r="Y7" i="56"/>
  <c r="AC57" i="51"/>
  <c r="AB74" i="51" s="1"/>
  <c r="AF57" i="51"/>
  <c r="AD74" i="51" s="1"/>
  <c r="M45" i="51"/>
  <c r="N45" i="51" s="1"/>
  <c r="T8" i="56"/>
  <c r="Y74" i="51"/>
  <c r="F7" i="56"/>
  <c r="F5" i="56"/>
  <c r="Z7" i="56"/>
  <c r="U8" i="56" l="1"/>
  <c r="K51" i="51"/>
  <c r="L51" i="51" s="1"/>
  <c r="V51" i="51" s="1"/>
  <c r="K49" i="51"/>
  <c r="L49" i="51" s="1"/>
  <c r="V49" i="51" s="1"/>
  <c r="K50" i="51"/>
  <c r="L50" i="51" s="1"/>
  <c r="V50" i="51" s="1"/>
  <c r="G76" i="51"/>
  <c r="F35" i="56" s="1"/>
  <c r="K71" i="51"/>
  <c r="L71" i="51" s="1"/>
  <c r="V71" i="51" s="1"/>
  <c r="K69" i="51"/>
  <c r="L69" i="51" s="1"/>
  <c r="V69" i="51" s="1"/>
  <c r="K62" i="51"/>
  <c r="L62" i="51" s="1"/>
  <c r="V62" i="51" s="1"/>
  <c r="O46" i="51"/>
  <c r="H21" i="55"/>
  <c r="H20" i="55"/>
  <c r="H18" i="55"/>
  <c r="H25" i="55" s="1"/>
  <c r="I87" i="51" l="1"/>
  <c r="F34" i="56"/>
  <c r="G79" i="51"/>
  <c r="G77" i="51"/>
  <c r="G80" i="51"/>
  <c r="F39" i="56" s="1"/>
  <c r="G78" i="51"/>
  <c r="F37" i="56" s="1"/>
  <c r="O66" i="51"/>
  <c r="G54" i="51"/>
  <c r="K73" i="51"/>
  <c r="L73" i="51" s="1"/>
  <c r="V73" i="51" s="1"/>
  <c r="H46" i="56" l="1"/>
  <c r="J87" i="51"/>
  <c r="S87" i="51" s="1"/>
  <c r="F13" i="56"/>
  <c r="F36" i="56"/>
  <c r="F38" i="56"/>
  <c r="O48" i="51"/>
  <c r="M54" i="51"/>
  <c r="O54" i="51"/>
  <c r="M46" i="51"/>
  <c r="M48" i="51"/>
  <c r="K46" i="56" l="1"/>
  <c r="AG51" i="51"/>
  <c r="T87" i="51"/>
  <c r="N46" i="56" s="1"/>
  <c r="J88" i="51"/>
  <c r="O88" i="51" s="1"/>
  <c r="Y52" i="51" s="1"/>
  <c r="P87" i="51"/>
  <c r="AD51" i="51"/>
  <c r="V87" i="51"/>
  <c r="O87" i="51"/>
  <c r="M87" i="51"/>
  <c r="AB51" i="51"/>
  <c r="N54" i="51"/>
  <c r="I13" i="56"/>
  <c r="N48" i="51"/>
  <c r="I7" i="56"/>
  <c r="N46" i="51"/>
  <c r="I5" i="56"/>
  <c r="K61" i="51"/>
  <c r="L61" i="51" s="1"/>
  <c r="V61" i="51" s="1"/>
  <c r="N87" i="51" l="1"/>
  <c r="L46" i="56" s="1"/>
  <c r="I46" i="56"/>
  <c r="J46" i="56"/>
  <c r="Q87" i="51"/>
  <c r="M46" i="56" s="1"/>
  <c r="S88" i="51"/>
  <c r="M88" i="51"/>
  <c r="I47" i="56" s="1"/>
  <c r="P88" i="51"/>
  <c r="AA52" i="51"/>
  <c r="V88" i="51"/>
  <c r="R88" i="51"/>
  <c r="AB52" i="51" s="1"/>
  <c r="U88" i="51"/>
  <c r="AF51" i="51"/>
  <c r="AA51" i="51"/>
  <c r="AC51" i="51"/>
  <c r="Y51" i="51"/>
  <c r="L13" i="56"/>
  <c r="L5" i="56"/>
  <c r="L7" i="56"/>
  <c r="K47" i="56" l="1"/>
  <c r="AG52" i="51"/>
  <c r="T88" i="51"/>
  <c r="J47" i="56"/>
  <c r="Q88" i="51"/>
  <c r="AD52" i="51"/>
  <c r="N88" i="51"/>
  <c r="L47" i="56" s="1"/>
  <c r="AE51" i="51"/>
  <c r="AE52" i="51"/>
  <c r="Z51" i="51"/>
  <c r="K70" i="51"/>
  <c r="L70" i="51" s="1"/>
  <c r="V70" i="51" s="1"/>
  <c r="AM45" i="51" l="1"/>
  <c r="N47" i="56"/>
  <c r="AF52" i="51"/>
  <c r="AF42" i="51" s="1"/>
  <c r="M47" i="56"/>
  <c r="AC52" i="51"/>
  <c r="AC42" i="51" s="1"/>
  <c r="Z52" i="51"/>
  <c r="K72" i="51"/>
  <c r="L72" i="51" s="1"/>
  <c r="V72" i="51" s="1"/>
  <c r="AM48" i="51" l="1"/>
  <c r="Z42" i="51"/>
  <c r="AM46" i="51"/>
  <c r="C53" i="48"/>
  <c r="J53" i="48" s="1"/>
  <c r="C56" i="48"/>
  <c r="B60" i="48" s="1"/>
  <c r="J55" i="48"/>
  <c r="E55" i="48"/>
  <c r="H55" i="48" s="1"/>
  <c r="J54" i="48"/>
  <c r="E54" i="48"/>
  <c r="E53" i="48"/>
  <c r="J52" i="48"/>
  <c r="H52" i="48"/>
  <c r="F52" i="48"/>
  <c r="J51" i="48"/>
  <c r="E51" i="48"/>
  <c r="E50" i="48"/>
  <c r="J49" i="48"/>
  <c r="E49" i="48"/>
  <c r="H49" i="48" s="1"/>
  <c r="J48" i="48"/>
  <c r="E48" i="48"/>
  <c r="F48" i="48" s="1"/>
  <c r="J47" i="48"/>
  <c r="J46" i="48"/>
  <c r="H46" i="48"/>
  <c r="F46" i="48"/>
  <c r="J45" i="48"/>
  <c r="H45" i="48"/>
  <c r="F45" i="48"/>
  <c r="J44" i="48"/>
  <c r="H44" i="48"/>
  <c r="F44" i="48"/>
  <c r="J43" i="48"/>
  <c r="H43" i="48"/>
  <c r="I43" i="48" s="1"/>
  <c r="F43" i="48"/>
  <c r="J42" i="48"/>
  <c r="E42" i="48"/>
  <c r="H42" i="48" s="1"/>
  <c r="I42" i="48" s="1"/>
  <c r="E41" i="48"/>
  <c r="D41" i="48"/>
  <c r="J41" i="48" s="1"/>
  <c r="J50" i="48" s="1"/>
  <c r="J40" i="48"/>
  <c r="E40" i="48"/>
  <c r="H40" i="48" s="1"/>
  <c r="J39" i="48"/>
  <c r="E39" i="48"/>
  <c r="H39" i="48" s="1"/>
  <c r="I39" i="48" s="1"/>
  <c r="J38" i="48"/>
  <c r="E38" i="48"/>
  <c r="H38" i="48" s="1"/>
  <c r="E37" i="48"/>
  <c r="F37" i="48" s="1"/>
  <c r="G37" i="48" s="1"/>
  <c r="C37" i="48"/>
  <c r="J37" i="48" s="1"/>
  <c r="E36" i="48"/>
  <c r="D36" i="48"/>
  <c r="F36" i="48" s="1"/>
  <c r="J35" i="48"/>
  <c r="H35" i="48"/>
  <c r="F35" i="48"/>
  <c r="J34" i="48"/>
  <c r="H34" i="48"/>
  <c r="F34" i="48"/>
  <c r="J33" i="48"/>
  <c r="H33" i="48"/>
  <c r="F33" i="48"/>
  <c r="J32" i="48"/>
  <c r="E32" i="48"/>
  <c r="F32" i="48" s="1"/>
  <c r="J31" i="48"/>
  <c r="H31" i="48"/>
  <c r="F31" i="48"/>
  <c r="E30" i="48"/>
  <c r="D30" i="48"/>
  <c r="J30" i="48" s="1"/>
  <c r="E29" i="48"/>
  <c r="D29" i="48"/>
  <c r="C29" i="48"/>
  <c r="E28" i="48"/>
  <c r="C28" i="48"/>
  <c r="J28" i="48" s="1"/>
  <c r="J27" i="48"/>
  <c r="H27" i="48"/>
  <c r="F27" i="48"/>
  <c r="J26" i="48"/>
  <c r="H26" i="48"/>
  <c r="F26" i="48"/>
  <c r="J25" i="48"/>
  <c r="H25" i="48"/>
  <c r="F25" i="48"/>
  <c r="Q24" i="48"/>
  <c r="J24" i="48"/>
  <c r="H24" i="48"/>
  <c r="F24" i="48"/>
  <c r="J23" i="48"/>
  <c r="H23" i="48"/>
  <c r="F23" i="48"/>
  <c r="J22" i="48"/>
  <c r="H22" i="48"/>
  <c r="F22" i="48"/>
  <c r="I25" i="48"/>
  <c r="F38" i="48" l="1"/>
  <c r="G38" i="48" s="1"/>
  <c r="H29" i="48"/>
  <c r="I29" i="48"/>
  <c r="H53" i="48"/>
  <c r="G25" i="48"/>
  <c r="G23" i="48"/>
  <c r="H36" i="48"/>
  <c r="I36" i="48" s="1"/>
  <c r="E64" i="48"/>
  <c r="I31" i="48"/>
  <c r="I23" i="48"/>
  <c r="G26" i="48"/>
  <c r="I33" i="48"/>
  <c r="F29" i="48"/>
  <c r="G29" i="48" s="1"/>
  <c r="G32" i="48"/>
  <c r="H47" i="48"/>
  <c r="I47" i="48" s="1"/>
  <c r="K64" i="51"/>
  <c r="L64" i="51" s="1"/>
  <c r="V64" i="51" s="1"/>
  <c r="K63" i="51"/>
  <c r="L63" i="51" s="1"/>
  <c r="V63" i="51" s="1"/>
  <c r="H32" i="48"/>
  <c r="I32" i="48" s="1"/>
  <c r="F39" i="48"/>
  <c r="G39" i="48" s="1"/>
  <c r="F42" i="48"/>
  <c r="G42" i="48" s="1"/>
  <c r="H50" i="48"/>
  <c r="I50" i="48" s="1"/>
  <c r="K76" i="51"/>
  <c r="L76" i="51" s="1"/>
  <c r="K75" i="51"/>
  <c r="L75" i="51" s="1"/>
  <c r="F53" i="48"/>
  <c r="G53" i="48" s="1"/>
  <c r="E63" i="48"/>
  <c r="F63" i="48" s="1"/>
  <c r="F30" i="48"/>
  <c r="G30" i="48" s="1"/>
  <c r="G35" i="48"/>
  <c r="H51" i="48"/>
  <c r="I51" i="48" s="1"/>
  <c r="K68" i="51"/>
  <c r="L68" i="51" s="1"/>
  <c r="V68" i="51" s="1"/>
  <c r="K67" i="51"/>
  <c r="L67" i="51" s="1"/>
  <c r="V67" i="51" s="1"/>
  <c r="G34" i="48"/>
  <c r="O26" i="48"/>
  <c r="H54" i="48"/>
  <c r="I54" i="48" s="1"/>
  <c r="K66" i="51"/>
  <c r="L66" i="51" s="1"/>
  <c r="V66" i="51" s="1"/>
  <c r="K65" i="51"/>
  <c r="L65" i="51" s="1"/>
  <c r="V65" i="51" s="1"/>
  <c r="H30" i="48"/>
  <c r="I30" i="48" s="1"/>
  <c r="H37" i="48"/>
  <c r="I37" i="48" s="1"/>
  <c r="G24" i="48"/>
  <c r="J29" i="48"/>
  <c r="G33" i="48"/>
  <c r="H48" i="48"/>
  <c r="I48" i="48" s="1"/>
  <c r="K80" i="51"/>
  <c r="L80" i="51" s="1"/>
  <c r="K79" i="51"/>
  <c r="L79" i="51" s="1"/>
  <c r="I27" i="48"/>
  <c r="G22" i="48"/>
  <c r="G36" i="48"/>
  <c r="I38" i="48"/>
  <c r="I55" i="48"/>
  <c r="O24" i="48"/>
  <c r="O31" i="48" s="1"/>
  <c r="I35" i="48"/>
  <c r="G27" i="48"/>
  <c r="F49" i="48"/>
  <c r="G49" i="48" s="1"/>
  <c r="K56" i="51"/>
  <c r="L56" i="51" s="1"/>
  <c r="V56" i="51" s="1"/>
  <c r="K55" i="51"/>
  <c r="L55" i="51" s="1"/>
  <c r="V55" i="51" s="1"/>
  <c r="I45" i="48"/>
  <c r="G48" i="48"/>
  <c r="G52" i="48"/>
  <c r="I52" i="48"/>
  <c r="G44" i="48"/>
  <c r="I46" i="48"/>
  <c r="I53" i="48"/>
  <c r="G46" i="48"/>
  <c r="G43" i="48"/>
  <c r="G45" i="48"/>
  <c r="I40" i="48"/>
  <c r="F51" i="48"/>
  <c r="G51" i="48" s="1"/>
  <c r="F55" i="48"/>
  <c r="G55" i="48" s="1"/>
  <c r="I22" i="48"/>
  <c r="F41" i="48"/>
  <c r="G41" i="48" s="1"/>
  <c r="F47" i="48"/>
  <c r="G47" i="48" s="1"/>
  <c r="F28" i="48"/>
  <c r="G28" i="48" s="1"/>
  <c r="J36" i="48"/>
  <c r="O37" i="48"/>
  <c r="F40" i="48"/>
  <c r="G40" i="48" s="1"/>
  <c r="F50" i="48"/>
  <c r="G50" i="48" s="1"/>
  <c r="F54" i="48"/>
  <c r="G54" i="48" s="1"/>
  <c r="I24" i="48"/>
  <c r="I26" i="48"/>
  <c r="G31" i="48"/>
  <c r="I34" i="48"/>
  <c r="H41" i="48"/>
  <c r="I41" i="48" s="1"/>
  <c r="H28" i="48"/>
  <c r="I44" i="48"/>
  <c r="K77" i="51" l="1"/>
  <c r="L77" i="51" s="1"/>
  <c r="K78" i="51"/>
  <c r="L78" i="51" s="1"/>
  <c r="J56" i="48"/>
  <c r="M66" i="51"/>
  <c r="O25" i="48"/>
  <c r="O27" i="48" s="1"/>
  <c r="O28" i="48" s="1"/>
  <c r="P26" i="48"/>
  <c r="P33" i="48" s="1"/>
  <c r="H56" i="48"/>
  <c r="D60" i="48" s="1"/>
  <c r="P24" i="48"/>
  <c r="Q26" i="48"/>
  <c r="I28" i="48"/>
  <c r="P25" i="48" s="1"/>
  <c r="Q25" i="48"/>
  <c r="K89" i="51" l="1"/>
  <c r="N66" i="51"/>
  <c r="I25" i="56"/>
  <c r="C60" i="48"/>
  <c r="O29" i="48" s="1"/>
  <c r="P27" i="48"/>
  <c r="P32" i="48"/>
  <c r="O38" i="48"/>
  <c r="O32" i="48"/>
  <c r="Q27" i="48"/>
  <c r="O33" i="48"/>
  <c r="O39" i="48"/>
  <c r="I56" i="48"/>
  <c r="E60" i="48" s="1"/>
  <c r="P31" i="48"/>
  <c r="L25" i="56" l="1"/>
  <c r="P34" i="48"/>
  <c r="P28" i="48"/>
  <c r="O34" i="48"/>
  <c r="Q28" i="48"/>
  <c r="F4" i="56" l="1"/>
  <c r="F24" i="56"/>
  <c r="F6" i="56"/>
  <c r="O65" i="51"/>
  <c r="M65" i="51"/>
  <c r="C19" i="55"/>
  <c r="O47" i="51"/>
  <c r="M47" i="51"/>
  <c r="C18" i="55"/>
  <c r="O45" i="51"/>
  <c r="M18" i="55" l="1"/>
  <c r="K18" i="55"/>
  <c r="M19" i="55"/>
  <c r="K19" i="55"/>
  <c r="L19" i="55" s="1"/>
  <c r="F12" i="56"/>
  <c r="N47" i="51"/>
  <c r="I6" i="56"/>
  <c r="I4" i="56"/>
  <c r="N65" i="51"/>
  <c r="I24" i="56"/>
  <c r="M53" i="51"/>
  <c r="O53" i="51"/>
  <c r="C22" i="55"/>
  <c r="L18" i="55" l="1"/>
  <c r="K22" i="55"/>
  <c r="L22" i="55" s="1"/>
  <c r="M22" i="55"/>
  <c r="L24" i="56"/>
  <c r="N53" i="51"/>
  <c r="I12" i="56"/>
  <c r="L4" i="56"/>
  <c r="L6" i="56"/>
  <c r="L12" i="56" l="1"/>
  <c r="O83" i="51" l="1"/>
  <c r="R84" i="51"/>
  <c r="F42" i="56"/>
  <c r="M83" i="51"/>
  <c r="I84" i="51"/>
  <c r="I85" i="51" s="1"/>
  <c r="P84" i="51"/>
  <c r="Q84" i="51" s="1"/>
  <c r="AC55" i="51" s="1"/>
  <c r="AC43" i="51" s="1"/>
  <c r="G43" i="56"/>
  <c r="E24" i="55" l="1"/>
  <c r="H44" i="56"/>
  <c r="S85" i="51"/>
  <c r="AG53" i="51" s="1"/>
  <c r="U85" i="51"/>
  <c r="I42" i="56"/>
  <c r="L42" i="56"/>
  <c r="Y54" i="51"/>
  <c r="AD55" i="51"/>
  <c r="AA54" i="51"/>
  <c r="AB55" i="51"/>
  <c r="U84" i="51"/>
  <c r="M43" i="56"/>
  <c r="H43" i="56"/>
  <c r="S84" i="51"/>
  <c r="T84" i="51" s="1"/>
  <c r="J43" i="56"/>
  <c r="Z54" i="51"/>
  <c r="AE54" i="51" l="1"/>
  <c r="AE53" i="51"/>
  <c r="Z43" i="51"/>
  <c r="T85" i="51"/>
  <c r="AF53" i="51" s="1"/>
  <c r="AL47" i="51" s="1"/>
  <c r="K44" i="56"/>
  <c r="AG54" i="51"/>
  <c r="AC71" i="51" s="1"/>
  <c r="Q24" i="55"/>
  <c r="S24" i="55"/>
  <c r="AC20" i="55" s="1"/>
  <c r="Y71" i="51"/>
  <c r="AA72" i="51"/>
  <c r="Z71" i="51"/>
  <c r="AG55" i="51"/>
  <c r="K43" i="56"/>
  <c r="AE55" i="51"/>
  <c r="AB72" i="51"/>
  <c r="AL45" i="51" l="1"/>
  <c r="AE20" i="55"/>
  <c r="AA34" i="55" s="1"/>
  <c r="R24" i="55"/>
  <c r="AD20" i="55" s="1"/>
  <c r="AB34" i="55" s="1"/>
  <c r="N44" i="56"/>
  <c r="AF54" i="51"/>
  <c r="AF55" i="51"/>
  <c r="N43" i="56"/>
  <c r="AC72" i="51"/>
  <c r="AL46" i="51" l="1"/>
  <c r="AF43" i="51"/>
  <c r="AD71" i="51"/>
  <c r="AD72" i="51"/>
  <c r="G57" i="51" l="1"/>
  <c r="M57" i="51" l="1"/>
  <c r="O57" i="51"/>
  <c r="F16" i="56"/>
  <c r="G55" i="51"/>
  <c r="G59" i="51" l="1"/>
  <c r="M59" i="51" s="1"/>
  <c r="N57" i="51"/>
  <c r="L16" i="56" s="1"/>
  <c r="I16" i="56"/>
  <c r="J79" i="51"/>
  <c r="V79" i="51" s="1"/>
  <c r="O59" i="51" l="1"/>
  <c r="F18" i="56"/>
  <c r="N59" i="51"/>
  <c r="L18" i="56" s="1"/>
  <c r="I18" i="56"/>
  <c r="O79" i="51"/>
  <c r="M79" i="51"/>
  <c r="F14" i="56"/>
  <c r="M55" i="51"/>
  <c r="O55" i="51"/>
  <c r="N79" i="51" l="1"/>
  <c r="L38" i="56" s="1"/>
  <c r="I38" i="56"/>
  <c r="N55" i="51"/>
  <c r="L14" i="56" s="1"/>
  <c r="I14" i="56"/>
  <c r="G56" i="51" l="1"/>
  <c r="G92" i="51" s="1"/>
  <c r="J80" i="51"/>
  <c r="V80" i="51" s="1"/>
  <c r="G60" i="51" l="1"/>
  <c r="F19" i="56" s="1"/>
  <c r="M80" i="51"/>
  <c r="O80" i="51"/>
  <c r="F15" i="56"/>
  <c r="M56" i="51"/>
  <c r="O56" i="51"/>
  <c r="O60" i="51" l="1"/>
  <c r="M60" i="51"/>
  <c r="N60" i="51" s="1"/>
  <c r="L19" i="56" s="1"/>
  <c r="N56" i="51"/>
  <c r="L15" i="56" s="1"/>
  <c r="I15" i="56"/>
  <c r="N80" i="51"/>
  <c r="L39" i="56" s="1"/>
  <c r="I39" i="56"/>
  <c r="I19" i="56" l="1"/>
  <c r="G58" i="51"/>
  <c r="M58" i="51" s="1"/>
  <c r="F17" i="56" l="1"/>
  <c r="O58" i="51"/>
  <c r="I17" i="56" l="1"/>
  <c r="N58" i="51"/>
  <c r="L17" i="56" s="1"/>
  <c r="F33" i="56"/>
  <c r="O74" i="51"/>
  <c r="M74" i="51"/>
  <c r="N74" i="51" l="1"/>
  <c r="L33" i="56" s="1"/>
  <c r="I33" i="56"/>
  <c r="G69" i="51" l="1"/>
  <c r="F28" i="56" l="1"/>
  <c r="M69" i="51"/>
  <c r="O69" i="51"/>
  <c r="I28" i="56" l="1"/>
  <c r="N69" i="51"/>
  <c r="L28" i="56" l="1"/>
  <c r="G70" i="51" l="1"/>
  <c r="H45" i="51"/>
  <c r="H57" i="51" l="1"/>
  <c r="H55" i="51"/>
  <c r="H59" i="51"/>
  <c r="H75" i="51"/>
  <c r="H47" i="51"/>
  <c r="H77" i="51"/>
  <c r="H65" i="51"/>
  <c r="H53" i="51"/>
  <c r="H79" i="51"/>
  <c r="G61" i="51"/>
  <c r="G67" i="51"/>
  <c r="J75" i="51"/>
  <c r="G23" i="51"/>
  <c r="G51" i="51" s="1"/>
  <c r="R65" i="51" l="1"/>
  <c r="P65" i="51"/>
  <c r="G24" i="56"/>
  <c r="I65" i="51"/>
  <c r="H51" i="51"/>
  <c r="M51" i="51"/>
  <c r="F10" i="56"/>
  <c r="O51" i="51"/>
  <c r="I45" i="51"/>
  <c r="G4" i="56"/>
  <c r="P45" i="51"/>
  <c r="R45" i="51"/>
  <c r="H70" i="51"/>
  <c r="M70" i="51"/>
  <c r="F29" i="56"/>
  <c r="O70" i="51"/>
  <c r="V75" i="51"/>
  <c r="O75" i="51"/>
  <c r="M75" i="51"/>
  <c r="R47" i="51"/>
  <c r="P47" i="51"/>
  <c r="G6" i="56"/>
  <c r="I47" i="51"/>
  <c r="H67" i="51"/>
  <c r="F26" i="56"/>
  <c r="J77" i="51"/>
  <c r="R77" i="51" s="1"/>
  <c r="M67" i="51"/>
  <c r="O67" i="51"/>
  <c r="R75" i="51"/>
  <c r="G34" i="56"/>
  <c r="I75" i="51"/>
  <c r="P75" i="51"/>
  <c r="I77" i="51"/>
  <c r="G36" i="56"/>
  <c r="H61" i="51"/>
  <c r="F20" i="56"/>
  <c r="G63" i="51"/>
  <c r="O61" i="51"/>
  <c r="G49" i="51"/>
  <c r="M61" i="51"/>
  <c r="I59" i="51"/>
  <c r="G18" i="56"/>
  <c r="P59" i="51"/>
  <c r="R59" i="51"/>
  <c r="G38" i="56"/>
  <c r="P79" i="51"/>
  <c r="I79" i="51"/>
  <c r="R79" i="51"/>
  <c r="P55" i="51"/>
  <c r="I55" i="51"/>
  <c r="R55" i="51"/>
  <c r="G14" i="56"/>
  <c r="G12" i="56"/>
  <c r="I53" i="51"/>
  <c r="P53" i="51"/>
  <c r="R53" i="51"/>
  <c r="I57" i="51"/>
  <c r="G16" i="56"/>
  <c r="R57" i="51"/>
  <c r="P57" i="51"/>
  <c r="P77" i="51" l="1"/>
  <c r="H18" i="56"/>
  <c r="S59" i="51"/>
  <c r="U59" i="51"/>
  <c r="Q53" i="51"/>
  <c r="M12" i="56" s="1"/>
  <c r="J12" i="56"/>
  <c r="N61" i="51"/>
  <c r="I20" i="56"/>
  <c r="V77" i="51"/>
  <c r="O77" i="51"/>
  <c r="M77" i="51"/>
  <c r="N75" i="51"/>
  <c r="I34" i="56"/>
  <c r="I10" i="56"/>
  <c r="N51" i="51"/>
  <c r="L10" i="56" s="1"/>
  <c r="Q55" i="51"/>
  <c r="J14" i="56"/>
  <c r="H49" i="51"/>
  <c r="F8" i="56"/>
  <c r="O49" i="51"/>
  <c r="M49" i="51"/>
  <c r="G72" i="51"/>
  <c r="G10" i="56"/>
  <c r="R51" i="51"/>
  <c r="I51" i="51"/>
  <c r="P51" i="51"/>
  <c r="I26" i="56"/>
  <c r="N67" i="51"/>
  <c r="L26" i="56" s="1"/>
  <c r="H12" i="56"/>
  <c r="S53" i="51"/>
  <c r="U53" i="51"/>
  <c r="H38" i="56"/>
  <c r="U79" i="51"/>
  <c r="S79" i="51"/>
  <c r="H36" i="56"/>
  <c r="U77" i="51"/>
  <c r="S77" i="51"/>
  <c r="Q57" i="51"/>
  <c r="M16" i="56" s="1"/>
  <c r="J16" i="56"/>
  <c r="Q79" i="51"/>
  <c r="M38" i="56" s="1"/>
  <c r="J38" i="56"/>
  <c r="J34" i="56"/>
  <c r="Q75" i="51"/>
  <c r="I67" i="51"/>
  <c r="G26" i="56"/>
  <c r="R67" i="51"/>
  <c r="P67" i="51"/>
  <c r="Q45" i="51"/>
  <c r="J4" i="56"/>
  <c r="H24" i="56"/>
  <c r="S65" i="51"/>
  <c r="U65" i="51"/>
  <c r="Q47" i="51"/>
  <c r="M6" i="56" s="1"/>
  <c r="J6" i="56"/>
  <c r="P70" i="51"/>
  <c r="G29" i="56"/>
  <c r="R70" i="51"/>
  <c r="I70" i="51"/>
  <c r="H63" i="51"/>
  <c r="F22" i="56"/>
  <c r="M63" i="51"/>
  <c r="O63" i="51"/>
  <c r="U75" i="51"/>
  <c r="S75" i="51"/>
  <c r="H34" i="56"/>
  <c r="U55" i="51"/>
  <c r="S55" i="51"/>
  <c r="H14" i="56"/>
  <c r="Q77" i="51"/>
  <c r="M36" i="56" s="1"/>
  <c r="J36" i="56"/>
  <c r="H6" i="56"/>
  <c r="S47" i="51"/>
  <c r="U47" i="51"/>
  <c r="H4" i="56"/>
  <c r="S45" i="51"/>
  <c r="U45" i="51"/>
  <c r="J24" i="56"/>
  <c r="Q65" i="51"/>
  <c r="M24" i="56" s="1"/>
  <c r="H16" i="56"/>
  <c r="S57" i="51"/>
  <c r="U57" i="51"/>
  <c r="Q59" i="51"/>
  <c r="M18" i="56" s="1"/>
  <c r="J18" i="56"/>
  <c r="P61" i="51"/>
  <c r="R61" i="51"/>
  <c r="G20" i="56"/>
  <c r="I61" i="51"/>
  <c r="N70" i="51"/>
  <c r="L29" i="56" s="1"/>
  <c r="I29" i="56"/>
  <c r="J10" i="56" l="1"/>
  <c r="Q51" i="51"/>
  <c r="M10" i="56" s="1"/>
  <c r="F31" i="56"/>
  <c r="O72" i="51"/>
  <c r="M72" i="51"/>
  <c r="H72" i="51"/>
  <c r="T55" i="51"/>
  <c r="K14" i="56"/>
  <c r="G22" i="56"/>
  <c r="P63" i="51"/>
  <c r="I63" i="51"/>
  <c r="R63" i="51"/>
  <c r="K24" i="56"/>
  <c r="T65" i="51"/>
  <c r="N24" i="56" s="1"/>
  <c r="L20" i="56"/>
  <c r="J26" i="56"/>
  <c r="Q67" i="51"/>
  <c r="M26" i="56" s="1"/>
  <c r="H20" i="56"/>
  <c r="U61" i="51"/>
  <c r="S61" i="51"/>
  <c r="S70" i="51"/>
  <c r="H29" i="56"/>
  <c r="U70" i="51"/>
  <c r="U67" i="51"/>
  <c r="S67" i="51"/>
  <c r="H26" i="56"/>
  <c r="T77" i="51"/>
  <c r="N36" i="56" s="1"/>
  <c r="K36" i="56"/>
  <c r="K12" i="56"/>
  <c r="T53" i="51"/>
  <c r="N12" i="56" s="1"/>
  <c r="T47" i="51"/>
  <c r="N6" i="56" s="1"/>
  <c r="K6" i="56"/>
  <c r="G8" i="56"/>
  <c r="P49" i="51"/>
  <c r="I49" i="51"/>
  <c r="R49" i="51"/>
  <c r="L34" i="56"/>
  <c r="T45" i="51"/>
  <c r="K4" i="56"/>
  <c r="T57" i="51"/>
  <c r="N16" i="56" s="1"/>
  <c r="K16" i="56"/>
  <c r="M34" i="56"/>
  <c r="N77" i="51"/>
  <c r="L36" i="56" s="1"/>
  <c r="I36" i="56"/>
  <c r="I22" i="56"/>
  <c r="N63" i="51"/>
  <c r="L22" i="56" s="1"/>
  <c r="U51" i="51"/>
  <c r="H10" i="56"/>
  <c r="S51" i="51"/>
  <c r="N49" i="51"/>
  <c r="I8" i="56"/>
  <c r="K34" i="56"/>
  <c r="T75" i="51"/>
  <c r="J29" i="56"/>
  <c r="Q70" i="51"/>
  <c r="M29" i="56" s="1"/>
  <c r="T79" i="51"/>
  <c r="N38" i="56" s="1"/>
  <c r="K38" i="56"/>
  <c r="T59" i="51"/>
  <c r="N18" i="56" s="1"/>
  <c r="K18" i="56"/>
  <c r="Q61" i="51"/>
  <c r="M20" i="56" s="1"/>
  <c r="J20" i="56"/>
  <c r="M4" i="56"/>
  <c r="M14" i="56"/>
  <c r="U49" i="51" l="1"/>
  <c r="H8" i="56"/>
  <c r="S49" i="51"/>
  <c r="N14" i="56"/>
  <c r="Q49" i="51"/>
  <c r="M8" i="56" s="1"/>
  <c r="J8" i="56"/>
  <c r="I72" i="51"/>
  <c r="P72" i="51"/>
  <c r="R72" i="51"/>
  <c r="G31" i="56"/>
  <c r="K20" i="56"/>
  <c r="T61" i="51"/>
  <c r="N20" i="56" s="1"/>
  <c r="K26" i="56"/>
  <c r="T67" i="51"/>
  <c r="N26" i="56" s="1"/>
  <c r="I31" i="56"/>
  <c r="N72" i="51"/>
  <c r="L31" i="56" s="1"/>
  <c r="L8" i="56"/>
  <c r="N4" i="56"/>
  <c r="S63" i="51"/>
  <c r="U63" i="51"/>
  <c r="H22" i="56"/>
  <c r="J22" i="56"/>
  <c r="Q63" i="51"/>
  <c r="M22" i="56" s="1"/>
  <c r="K10" i="56"/>
  <c r="T51" i="51"/>
  <c r="N10" i="56" s="1"/>
  <c r="N34" i="56"/>
  <c r="T70" i="51"/>
  <c r="N29" i="56" s="1"/>
  <c r="K29" i="56"/>
  <c r="T49" i="51" l="1"/>
  <c r="N8" i="56" s="1"/>
  <c r="K8" i="56"/>
  <c r="Q72" i="51"/>
  <c r="M31" i="56" s="1"/>
  <c r="J31" i="56"/>
  <c r="K22" i="56"/>
  <c r="T63" i="51"/>
  <c r="N22" i="56" s="1"/>
  <c r="S72" i="51"/>
  <c r="U72" i="51"/>
  <c r="H31" i="56"/>
  <c r="K31" i="56" l="1"/>
  <c r="T72" i="51"/>
  <c r="N31" i="56" s="1"/>
  <c r="H69" i="51" l="1"/>
  <c r="H80" i="51" l="1"/>
  <c r="H60" i="51"/>
  <c r="H46" i="51"/>
  <c r="H76" i="51"/>
  <c r="H48" i="51"/>
  <c r="H58" i="51"/>
  <c r="H66" i="51"/>
  <c r="H56" i="51"/>
  <c r="H54" i="51"/>
  <c r="H78" i="51"/>
  <c r="G71" i="51"/>
  <c r="G62" i="51"/>
  <c r="G68" i="51"/>
  <c r="G24" i="51"/>
  <c r="G52" i="51" s="1"/>
  <c r="J76" i="51"/>
  <c r="O68" i="51" l="1"/>
  <c r="H68" i="51"/>
  <c r="F27" i="56"/>
  <c r="J78" i="51"/>
  <c r="R78" i="51" s="1"/>
  <c r="M68" i="51"/>
  <c r="R48" i="51"/>
  <c r="G7" i="56"/>
  <c r="P48" i="51"/>
  <c r="I48" i="51"/>
  <c r="D19" i="55"/>
  <c r="R58" i="51"/>
  <c r="P58" i="51"/>
  <c r="G17" i="56"/>
  <c r="I58" i="51"/>
  <c r="F21" i="56"/>
  <c r="H62" i="51"/>
  <c r="M62" i="51"/>
  <c r="O62" i="51"/>
  <c r="G50" i="51"/>
  <c r="G64" i="51"/>
  <c r="P76" i="51"/>
  <c r="R76" i="51"/>
  <c r="I76" i="51"/>
  <c r="G35" i="56"/>
  <c r="F30" i="56"/>
  <c r="H71" i="51"/>
  <c r="M71" i="51"/>
  <c r="O71" i="51"/>
  <c r="I46" i="51"/>
  <c r="P46" i="51"/>
  <c r="R46" i="51"/>
  <c r="G5" i="56"/>
  <c r="D18" i="55"/>
  <c r="G37" i="56"/>
  <c r="I78" i="51"/>
  <c r="P78" i="51"/>
  <c r="R60" i="51"/>
  <c r="I60" i="51"/>
  <c r="P60" i="51"/>
  <c r="G19" i="56"/>
  <c r="H52" i="51"/>
  <c r="F11" i="56"/>
  <c r="M52" i="51"/>
  <c r="O52" i="51"/>
  <c r="C21" i="55"/>
  <c r="G13" i="56"/>
  <c r="R54" i="51"/>
  <c r="I54" i="51"/>
  <c r="P54" i="51"/>
  <c r="D22" i="55"/>
  <c r="I80" i="51"/>
  <c r="R80" i="51"/>
  <c r="P80" i="51"/>
  <c r="G39" i="56"/>
  <c r="G15" i="56"/>
  <c r="R56" i="51"/>
  <c r="P56" i="51"/>
  <c r="I56" i="51"/>
  <c r="H92" i="51"/>
  <c r="P74" i="51"/>
  <c r="R74" i="51"/>
  <c r="G33" i="56"/>
  <c r="O76" i="51"/>
  <c r="V76" i="51"/>
  <c r="M76" i="51"/>
  <c r="I66" i="51"/>
  <c r="G25" i="56"/>
  <c r="R66" i="51"/>
  <c r="P66" i="51"/>
  <c r="P69" i="51"/>
  <c r="I69" i="51"/>
  <c r="G28" i="56"/>
  <c r="R69" i="51"/>
  <c r="U74" i="51" l="1"/>
  <c r="S74" i="51"/>
  <c r="H33" i="56"/>
  <c r="Q80" i="51"/>
  <c r="M39" i="56" s="1"/>
  <c r="J39" i="56"/>
  <c r="K21" i="55"/>
  <c r="L21" i="55" s="1"/>
  <c r="M21" i="55"/>
  <c r="U76" i="51"/>
  <c r="H35" i="56"/>
  <c r="S76" i="51"/>
  <c r="Q74" i="51"/>
  <c r="M33" i="56" s="1"/>
  <c r="J33" i="56"/>
  <c r="AB48" i="51"/>
  <c r="Q46" i="51"/>
  <c r="J5" i="56"/>
  <c r="U58" i="51"/>
  <c r="S58" i="51"/>
  <c r="H17" i="56"/>
  <c r="Q66" i="51"/>
  <c r="M25" i="56" s="1"/>
  <c r="J25" i="56"/>
  <c r="G21" i="56"/>
  <c r="I62" i="51"/>
  <c r="P62" i="51"/>
  <c r="R62" i="51"/>
  <c r="U66" i="51"/>
  <c r="H25" i="56"/>
  <c r="S66" i="51"/>
  <c r="H39" i="56"/>
  <c r="S80" i="51"/>
  <c r="U80" i="51"/>
  <c r="N52" i="51"/>
  <c r="L11" i="56" s="1"/>
  <c r="I11" i="56"/>
  <c r="Q78" i="51"/>
  <c r="M37" i="56" s="1"/>
  <c r="J37" i="56"/>
  <c r="H5" i="56"/>
  <c r="S46" i="51"/>
  <c r="U46" i="51"/>
  <c r="E18" i="55"/>
  <c r="Q76" i="51"/>
  <c r="J35" i="56"/>
  <c r="AD48" i="51"/>
  <c r="I27" i="56"/>
  <c r="N68" i="51"/>
  <c r="L27" i="56" s="1"/>
  <c r="N76" i="51"/>
  <c r="I35" i="56"/>
  <c r="S56" i="51"/>
  <c r="H15" i="56"/>
  <c r="U56" i="51"/>
  <c r="I92" i="51"/>
  <c r="B3" i="59" s="1"/>
  <c r="N22" i="55"/>
  <c r="O22" i="55" s="1"/>
  <c r="P22" i="55"/>
  <c r="U78" i="51"/>
  <c r="H37" i="56"/>
  <c r="S78" i="51"/>
  <c r="F23" i="56"/>
  <c r="H64" i="51"/>
  <c r="M64" i="51"/>
  <c r="O64" i="51"/>
  <c r="Q58" i="51"/>
  <c r="M17" i="56" s="1"/>
  <c r="J17" i="56"/>
  <c r="J89" i="51"/>
  <c r="M78" i="51"/>
  <c r="AA48" i="51" s="1"/>
  <c r="O78" i="51"/>
  <c r="Y48" i="51" s="1"/>
  <c r="V78" i="51"/>
  <c r="H19" i="56"/>
  <c r="U60" i="51"/>
  <c r="S60" i="51"/>
  <c r="J7" i="56"/>
  <c r="Q48" i="51"/>
  <c r="M7" i="56" s="1"/>
  <c r="J15" i="56"/>
  <c r="Q56" i="51"/>
  <c r="Q54" i="51"/>
  <c r="M13" i="56" s="1"/>
  <c r="J13" i="56"/>
  <c r="I52" i="51"/>
  <c r="G11" i="56"/>
  <c r="R52" i="51"/>
  <c r="P52" i="51"/>
  <c r="D21" i="55"/>
  <c r="N71" i="51"/>
  <c r="L30" i="56" s="1"/>
  <c r="I30" i="56"/>
  <c r="O50" i="51"/>
  <c r="F9" i="56"/>
  <c r="G73" i="51"/>
  <c r="G89" i="51" s="1"/>
  <c r="M50" i="51"/>
  <c r="H50" i="51"/>
  <c r="C20" i="55"/>
  <c r="S69" i="51"/>
  <c r="H28" i="56"/>
  <c r="U69" i="51"/>
  <c r="H13" i="56"/>
  <c r="U54" i="51"/>
  <c r="S54" i="51"/>
  <c r="E22" i="55"/>
  <c r="P71" i="51"/>
  <c r="I71" i="51"/>
  <c r="G30" i="56"/>
  <c r="R71" i="51"/>
  <c r="P19" i="55"/>
  <c r="N19" i="55"/>
  <c r="O19" i="55" s="1"/>
  <c r="R68" i="51"/>
  <c r="P68" i="51"/>
  <c r="G27" i="56"/>
  <c r="I68" i="51"/>
  <c r="Q69" i="51"/>
  <c r="M28" i="56" s="1"/>
  <c r="J28" i="56"/>
  <c r="J19" i="56"/>
  <c r="Q60" i="51"/>
  <c r="M19" i="56" s="1"/>
  <c r="N18" i="55"/>
  <c r="P18" i="55"/>
  <c r="N62" i="51"/>
  <c r="I21" i="56"/>
  <c r="U48" i="51"/>
  <c r="H7" i="56"/>
  <c r="S48" i="51"/>
  <c r="E19" i="55"/>
  <c r="AA68" i="51" l="1"/>
  <c r="Y46" i="51"/>
  <c r="S71" i="51"/>
  <c r="H30" i="56"/>
  <c r="U71" i="51"/>
  <c r="T66" i="51"/>
  <c r="N25" i="56" s="1"/>
  <c r="K25" i="56"/>
  <c r="M5" i="56"/>
  <c r="H27" i="56"/>
  <c r="S68" i="51"/>
  <c r="U68" i="51"/>
  <c r="T69" i="51"/>
  <c r="N28" i="56" s="1"/>
  <c r="K28" i="56"/>
  <c r="I23" i="56"/>
  <c r="N64" i="51"/>
  <c r="L23" i="56" s="1"/>
  <c r="Q71" i="51"/>
  <c r="M30" i="56" s="1"/>
  <c r="J30" i="56"/>
  <c r="I64" i="51"/>
  <c r="G23" i="56"/>
  <c r="R64" i="51"/>
  <c r="P64" i="51"/>
  <c r="S19" i="55"/>
  <c r="Q19" i="55"/>
  <c r="R19" i="55" s="1"/>
  <c r="J27" i="56"/>
  <c r="Q68" i="51"/>
  <c r="M27" i="56" s="1"/>
  <c r="S22" i="55"/>
  <c r="Q22" i="55"/>
  <c r="R22" i="55" s="1"/>
  <c r="K20" i="55"/>
  <c r="M20" i="55"/>
  <c r="C25" i="55"/>
  <c r="N21" i="55"/>
  <c r="O21" i="55" s="1"/>
  <c r="P21" i="55"/>
  <c r="M15" i="56"/>
  <c r="T58" i="51"/>
  <c r="N17" i="56" s="1"/>
  <c r="K17" i="56"/>
  <c r="T48" i="51"/>
  <c r="N7" i="56" s="1"/>
  <c r="K7" i="56"/>
  <c r="O18" i="55"/>
  <c r="T54" i="51"/>
  <c r="N13" i="56" s="1"/>
  <c r="K13" i="56"/>
  <c r="I50" i="51"/>
  <c r="R50" i="51"/>
  <c r="P50" i="51"/>
  <c r="G9" i="56"/>
  <c r="D20" i="55"/>
  <c r="J11" i="56"/>
  <c r="Q52" i="51"/>
  <c r="M11" i="56" s="1"/>
  <c r="I37" i="56"/>
  <c r="N78" i="51"/>
  <c r="L37" i="56" s="1"/>
  <c r="T78" i="51"/>
  <c r="N37" i="56" s="1"/>
  <c r="K37" i="56"/>
  <c r="T56" i="51"/>
  <c r="K15" i="56"/>
  <c r="M35" i="56"/>
  <c r="AC48" i="51"/>
  <c r="AB68" i="51" s="1"/>
  <c r="K35" i="56"/>
  <c r="T76" i="51"/>
  <c r="AG48" i="51"/>
  <c r="K5" i="56"/>
  <c r="T46" i="51"/>
  <c r="L21" i="56"/>
  <c r="N50" i="51"/>
  <c r="I9" i="56"/>
  <c r="AA46" i="51"/>
  <c r="Y68" i="51"/>
  <c r="S18" i="55"/>
  <c r="Q18" i="55"/>
  <c r="J21" i="56"/>
  <c r="Q62" i="51"/>
  <c r="M21" i="56" s="1"/>
  <c r="M73" i="51"/>
  <c r="M89" i="51" s="1"/>
  <c r="F32" i="56"/>
  <c r="O73" i="51"/>
  <c r="Y47" i="51" s="1"/>
  <c r="H73" i="51"/>
  <c r="H89" i="51" s="1"/>
  <c r="H21" i="56"/>
  <c r="S62" i="51"/>
  <c r="U62" i="51"/>
  <c r="AE48" i="51"/>
  <c r="K33" i="56"/>
  <c r="T74" i="51"/>
  <c r="N33" i="56" s="1"/>
  <c r="U52" i="51"/>
  <c r="H11" i="56"/>
  <c r="S52" i="51"/>
  <c r="E21" i="55"/>
  <c r="T60" i="51"/>
  <c r="N19" i="56" s="1"/>
  <c r="K19" i="56"/>
  <c r="L35" i="56"/>
  <c r="Z48" i="51"/>
  <c r="Z68" i="51" s="1"/>
  <c r="K39" i="56"/>
  <c r="T80" i="51"/>
  <c r="N39" i="56" s="1"/>
  <c r="AA47" i="51" l="1"/>
  <c r="AA56" i="51" s="1"/>
  <c r="O89" i="51"/>
  <c r="N5" i="56"/>
  <c r="N73" i="51"/>
  <c r="N89" i="51" s="1"/>
  <c r="I32" i="56"/>
  <c r="Y66" i="51"/>
  <c r="N15" i="56"/>
  <c r="N20" i="55"/>
  <c r="P20" i="55"/>
  <c r="D25" i="55"/>
  <c r="U64" i="51"/>
  <c r="H23" i="56"/>
  <c r="S64" i="51"/>
  <c r="AC68" i="51"/>
  <c r="Q21" i="55"/>
  <c r="R21" i="55" s="1"/>
  <c r="S21" i="55"/>
  <c r="L9" i="56"/>
  <c r="Z46" i="51"/>
  <c r="N35" i="56"/>
  <c r="AF48" i="51"/>
  <c r="AD68" i="51" s="1"/>
  <c r="Q50" i="51"/>
  <c r="J9" i="56"/>
  <c r="AD46" i="51"/>
  <c r="T68" i="51"/>
  <c r="N27" i="56" s="1"/>
  <c r="K27" i="56"/>
  <c r="T52" i="51"/>
  <c r="N11" i="56" s="1"/>
  <c r="K11" i="56"/>
  <c r="T62" i="51"/>
  <c r="N21" i="56" s="1"/>
  <c r="K21" i="56"/>
  <c r="AB46" i="51"/>
  <c r="W18" i="55"/>
  <c r="M25" i="55"/>
  <c r="K30" i="56"/>
  <c r="T71" i="51"/>
  <c r="N30" i="56" s="1"/>
  <c r="R18" i="55"/>
  <c r="U50" i="51"/>
  <c r="H9" i="56"/>
  <c r="S50" i="51"/>
  <c r="E20" i="55"/>
  <c r="Y18" i="55"/>
  <c r="K25" i="55"/>
  <c r="L20" i="55"/>
  <c r="Y56" i="51"/>
  <c r="O93" i="51" s="1"/>
  <c r="I73" i="51"/>
  <c r="I89" i="51" s="1"/>
  <c r="G91" i="51" s="1"/>
  <c r="R73" i="51"/>
  <c r="AB47" i="51" s="1"/>
  <c r="G32" i="56"/>
  <c r="P73" i="51"/>
  <c r="P89" i="51" s="1"/>
  <c r="Q64" i="51"/>
  <c r="J23" i="56"/>
  <c r="AD47" i="51" l="1"/>
  <c r="AD56" i="51" s="1"/>
  <c r="R89" i="51"/>
  <c r="L32" i="56"/>
  <c r="Z47" i="51"/>
  <c r="Z40" i="51" s="1"/>
  <c r="Y67" i="51"/>
  <c r="G90" i="51"/>
  <c r="Z66" i="51"/>
  <c r="Y3" i="56"/>
  <c r="M23" i="56"/>
  <c r="Y21" i="55"/>
  <c r="Y23" i="55"/>
  <c r="W32" i="55"/>
  <c r="AA66" i="51"/>
  <c r="Q73" i="51"/>
  <c r="M32" i="56" s="1"/>
  <c r="J32" i="56"/>
  <c r="Z18" i="55"/>
  <c r="P25" i="55"/>
  <c r="X18" i="55"/>
  <c r="L25" i="55"/>
  <c r="D5" i="58"/>
  <c r="Y73" i="51"/>
  <c r="T4" i="56"/>
  <c r="AA58" i="51"/>
  <c r="Q20" i="55"/>
  <c r="S20" i="55"/>
  <c r="E25" i="55"/>
  <c r="M9" i="56"/>
  <c r="AC46" i="51"/>
  <c r="O20" i="55"/>
  <c r="N25" i="55"/>
  <c r="Y4" i="56" s="1"/>
  <c r="AB18" i="55"/>
  <c r="T50" i="51"/>
  <c r="K9" i="56"/>
  <c r="AG46" i="51"/>
  <c r="U73" i="51"/>
  <c r="AE47" i="51" s="1"/>
  <c r="S73" i="51"/>
  <c r="AG47" i="51" s="1"/>
  <c r="H32" i="56"/>
  <c r="W23" i="55"/>
  <c r="W21" i="55"/>
  <c r="S4" i="56"/>
  <c r="C5" i="58"/>
  <c r="Y58" i="51"/>
  <c r="AE46" i="51"/>
  <c r="AB56" i="51"/>
  <c r="R93" i="51" s="1"/>
  <c r="K23" i="56"/>
  <c r="T64" i="51"/>
  <c r="M93" i="51"/>
  <c r="AA67" i="51" l="1"/>
  <c r="U89" i="51"/>
  <c r="N92" i="51" s="1"/>
  <c r="Q89" i="51"/>
  <c r="AC47" i="51"/>
  <c r="AB67" i="51" s="1"/>
  <c r="AJ45" i="51"/>
  <c r="S89" i="51"/>
  <c r="Z67" i="51"/>
  <c r="Z56" i="51"/>
  <c r="N93" i="51" s="1"/>
  <c r="AE56" i="51"/>
  <c r="AE58" i="51" s="1"/>
  <c r="AA18" i="55"/>
  <c r="O25" i="55"/>
  <c r="Z4" i="56" s="1"/>
  <c r="X19" i="51"/>
  <c r="C14" i="58"/>
  <c r="N23" i="56"/>
  <c r="AB66" i="51"/>
  <c r="D23" i="58"/>
  <c r="P93" i="51"/>
  <c r="AD58" i="51"/>
  <c r="AA73" i="51"/>
  <c r="D6" i="58"/>
  <c r="D24" i="58" s="1"/>
  <c r="T5" i="56"/>
  <c r="AC66" i="51"/>
  <c r="AG56" i="51"/>
  <c r="AC67" i="51"/>
  <c r="Z3" i="56"/>
  <c r="C23" i="58"/>
  <c r="N9" i="56"/>
  <c r="AF46" i="51"/>
  <c r="AC18" i="55"/>
  <c r="S25" i="55"/>
  <c r="X21" i="55"/>
  <c r="X32" i="55"/>
  <c r="X23" i="55"/>
  <c r="AB58" i="51"/>
  <c r="C6" i="58"/>
  <c r="C24" i="58" s="1"/>
  <c r="S5" i="56"/>
  <c r="AB21" i="55"/>
  <c r="Y32" i="55"/>
  <c r="AB23" i="55"/>
  <c r="R20" i="55"/>
  <c r="AE18" i="55"/>
  <c r="Q25" i="55"/>
  <c r="Y5" i="56" s="1"/>
  <c r="Y6" i="56" s="1"/>
  <c r="T73" i="51"/>
  <c r="N32" i="56" s="1"/>
  <c r="K32" i="56"/>
  <c r="D14" i="58"/>
  <c r="Y75" i="51"/>
  <c r="Y19" i="51"/>
  <c r="Z23" i="55"/>
  <c r="Z21" i="55"/>
  <c r="W36" i="55"/>
  <c r="U4" i="56" l="1"/>
  <c r="Z73" i="51"/>
  <c r="AC56" i="51"/>
  <c r="U5" i="56" s="1"/>
  <c r="E5" i="58"/>
  <c r="E23" i="58" s="1"/>
  <c r="S9" i="56"/>
  <c r="U93" i="51"/>
  <c r="S6" i="56"/>
  <c r="S7" i="56" s="1"/>
  <c r="Z58" i="51"/>
  <c r="Z75" i="51" s="1"/>
  <c r="AC40" i="51"/>
  <c r="C7" i="58"/>
  <c r="C25" i="58" s="1"/>
  <c r="C26" i="58" s="1"/>
  <c r="C28" i="58" s="1"/>
  <c r="T89" i="51"/>
  <c r="M92" i="51" s="1"/>
  <c r="AF47" i="51"/>
  <c r="AJ48" i="51" s="1"/>
  <c r="AN48" i="51" s="1"/>
  <c r="AJ47" i="51"/>
  <c r="AN47" i="51" s="1"/>
  <c r="AD66" i="51"/>
  <c r="AG58" i="51"/>
  <c r="T9" i="56" s="1"/>
  <c r="AC73" i="51"/>
  <c r="D7" i="58"/>
  <c r="D25" i="58" s="1"/>
  <c r="D26" i="58" s="1"/>
  <c r="D28" i="58" s="1"/>
  <c r="T6" i="56"/>
  <c r="T7" i="56" s="1"/>
  <c r="C15" i="58"/>
  <c r="X20" i="51"/>
  <c r="S30" i="55"/>
  <c r="S32" i="55" s="1"/>
  <c r="AA32" i="55"/>
  <c r="AE23" i="55"/>
  <c r="AE21" i="55"/>
  <c r="X36" i="55"/>
  <c r="S93" i="51"/>
  <c r="AD18" i="55"/>
  <c r="R25" i="55"/>
  <c r="Y36" i="55"/>
  <c r="Z32" i="55"/>
  <c r="AA23" i="55"/>
  <c r="Z36" i="55" s="1"/>
  <c r="AA21" i="55"/>
  <c r="AC23" i="55"/>
  <c r="W28" i="55" s="1"/>
  <c r="AC21" i="55"/>
  <c r="C16" i="58"/>
  <c r="X21" i="51"/>
  <c r="Y20" i="51"/>
  <c r="AA75" i="51"/>
  <c r="D15" i="58"/>
  <c r="C8" i="58" l="1"/>
  <c r="G5" i="58"/>
  <c r="AC58" i="51"/>
  <c r="E15" i="58" s="1"/>
  <c r="G15" i="58" s="1"/>
  <c r="AB73" i="51"/>
  <c r="E6" i="58"/>
  <c r="E24" i="58" s="1"/>
  <c r="Q93" i="51"/>
  <c r="X22" i="51"/>
  <c r="C17" i="58"/>
  <c r="AF56" i="51"/>
  <c r="T93" i="51" s="1"/>
  <c r="Z19" i="51"/>
  <c r="E14" i="58"/>
  <c r="G14" i="58" s="1"/>
  <c r="AD67" i="51"/>
  <c r="AF40" i="51"/>
  <c r="AJ46" i="51"/>
  <c r="D8" i="58"/>
  <c r="Z5" i="56"/>
  <c r="Z6" i="56" s="1"/>
  <c r="S31" i="55"/>
  <c r="S33" i="55" s="1"/>
  <c r="AD23" i="55"/>
  <c r="AH22" i="55" s="1"/>
  <c r="AD21" i="55"/>
  <c r="AB32" i="55"/>
  <c r="AA36" i="55"/>
  <c r="Y8" i="56"/>
  <c r="Y28" i="55"/>
  <c r="Y24" i="55"/>
  <c r="D16" i="58"/>
  <c r="D17" i="58" s="1"/>
  <c r="AC75" i="51"/>
  <c r="Y21" i="51"/>
  <c r="Y22" i="51" s="1"/>
  <c r="G23" i="58"/>
  <c r="G6" i="58" l="1"/>
  <c r="G24" i="58" s="1"/>
  <c r="Z20" i="51"/>
  <c r="AB75" i="51"/>
  <c r="X28" i="55"/>
  <c r="X24" i="55"/>
  <c r="AF58" i="51"/>
  <c r="U9" i="56" s="1"/>
  <c r="U6" i="56"/>
  <c r="U7" i="56" s="1"/>
  <c r="E7" i="58"/>
  <c r="E8" i="58" s="1"/>
  <c r="AD73" i="51"/>
  <c r="AB36" i="55"/>
  <c r="Z8" i="56"/>
  <c r="AD75" i="51" l="1"/>
  <c r="Z21" i="51"/>
  <c r="Z22" i="51" s="1"/>
  <c r="X27" i="55" s="1"/>
  <c r="E16" i="58"/>
  <c r="G16" i="58" s="1"/>
  <c r="G17" i="58" s="1"/>
  <c r="Z9" i="56"/>
  <c r="E25" i="58"/>
  <c r="E26" i="58" s="1"/>
  <c r="E28" i="58" s="1"/>
  <c r="G7" i="58"/>
  <c r="G25" i="58" s="1"/>
  <c r="G26" i="58" s="1"/>
  <c r="G28" i="58" s="1"/>
  <c r="AH23" i="55" l="1"/>
  <c r="E17" i="58"/>
  <c r="G8"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Garfinkel, Johanna</author>
    <author>tc={FC5DEB2B-DCF3-4165-8961-95BA4FD287B2}</author>
    <author>tc={E29C4E1D-52AB-40ED-AF80-89D0BE7294B1}</author>
    <author>tc={FA717C4C-A291-452D-B4A8-ACDC1A29EBA4}</author>
    <author>tc={04F32012-7F80-4E41-B2B9-2FE289FF4251}</author>
    <author>tc={EAB357CD-BFC3-4E0F-8D00-703FE8972856}</author>
    <author>tc={B6EAE95A-15AD-428A-B014-6AEF43505CCD}</author>
    <author>tc={4573290C-4F20-4ADB-9971-7A17D1B2168F}</author>
    <author>tc={313D928F-4698-4267-9343-70BC8B61E0F5}</author>
    <author>tc={FAD98953-9EED-48AF-B545-6E1763E4FFD3}</author>
    <author>tc={BCFD6203-FAF1-4439-8E19-4EE27C219545}</author>
    <author>tc={22FF3D32-0424-47BD-A9FB-111003331A5B}</author>
    <author>tc={7DB79E5F-22E6-4780-A300-5A5840411AC9}</author>
    <author>tc={20ECA0FD-D807-4C90-95BE-22167C5F7615}</author>
    <author>tc={5F52FA5C-8A30-4196-9B37-E78790FC0A0F}</author>
    <author>tc={8ED22243-DFB6-4722-94C4-1FE0977AB430}</author>
    <author>tc={FB3BF226-CD90-4FBC-90C4-C2B283066DCB}</author>
    <author>tc={F700FE4A-838E-429D-8710-683313C33B8E}</author>
    <author>tc={4F902B1E-E288-4E03-9A23-BD12C0B2F416}</author>
    <author>tc={4F80A959-F782-4D53-9564-BD486C5694D9}</author>
    <author>tc={E7085AD8-BA7D-4C19-B9EE-E8FC47674FFC}</author>
    <author>tc={AC561275-4905-4950-B12C-BDB1B3F22EA7}</author>
    <author>tc={8AC43384-6922-4832-A36D-627BA0F3C34E}</author>
    <author>tc={DA4501AE-5782-4DAB-9D0A-D4FC1C3067AD}</author>
    <author>tc={776F5DF7-007C-4FAD-AAE8-97AD5BAFD6F8}</author>
    <author>tc={87C0549B-9403-4B04-921E-2EF5F9EA5463}</author>
  </authors>
  <commentList>
    <comment ref="D15" authorId="0" shapeId="0" xr:uid="{360054D3-20BF-4CF8-A588-E40B29EE21BF}">
      <text>
        <r>
          <rPr>
            <b/>
            <sz val="9"/>
            <color indexed="81"/>
            <rFont val="Tahoma"/>
            <family val="2"/>
          </rPr>
          <t>Garfinkel, Johanna:</t>
        </r>
        <r>
          <rPr>
            <sz val="9"/>
            <color indexed="81"/>
            <rFont val="Tahoma"/>
            <family val="2"/>
          </rPr>
          <t xml:space="preserve">
Includes fringe rate of 31.1% - https://www.bls.gov/news.release/pdf/ecec.pdf (December 2023)</t>
        </r>
      </text>
    </comment>
    <comment ref="D16" authorId="0" shapeId="0" xr:uid="{E3149673-0A5B-40D3-A069-AB9E3C83C78C}">
      <text>
        <r>
          <rPr>
            <b/>
            <sz val="9"/>
            <color indexed="81"/>
            <rFont val="Tahoma"/>
            <family val="2"/>
          </rPr>
          <t>Garfinkel, Johanna:</t>
        </r>
        <r>
          <rPr>
            <sz val="9"/>
            <color indexed="81"/>
            <rFont val="Tahoma"/>
            <family val="2"/>
          </rPr>
          <t xml:space="preserve">
Includes fringe rate of 31.1% - https://www.bls.gov/news.release/pdf/ecec.pdf (December 2023)</t>
        </r>
      </text>
    </comment>
    <comment ref="G45" authorId="1" shapeId="0" xr:uid="{FC5DEB2B-DCF3-4165-8961-95BA4FD287B2}">
      <text>
        <t>[Threaded comment]
Your version of Excel allows you to read this threaded comment; however, any edits to it will get removed if the file is opened in a newer version of Excel. Learn more: https://go.microsoft.com/fwlink/?linkid=870924
Comment:
    Proportionally increased current ICR assumption by ratio of ODS to HFC equipment assumed subject to leak repair requirements.</t>
      </text>
    </comment>
    <comment ref="G46" authorId="2" shapeId="0" xr:uid="{E29C4E1D-52AB-40ED-AF80-89D0BE7294B1}">
      <text>
        <t>[Threaded comment]
Your version of Excel allows you to read this threaded comment; however, any edits to it will get removed if the file is opened in a newer version of Excel. Learn more: https://go.microsoft.com/fwlink/?linkid=870924
Comment:
    Proportionally increased current ICR assumption by ratio of ODS to HFC equipment assumed subject to leak repair requirements.</t>
      </text>
    </comment>
    <comment ref="G47" authorId="3" shapeId="0" xr:uid="{FA717C4C-A291-452D-B4A8-ACDC1A29EBA4}">
      <text>
        <t>[Threaded comment]
Your version of Excel allows you to read this threaded comment; however, any edits to it will get removed if the file is opened in a newer version of Excel. Learn more: https://go.microsoft.com/fwlink/?linkid=870924
Comment:
    Proportionally increased current ICR assumption by ratio of ODS to HFC equipment assumed subject to leak repair requirements.</t>
      </text>
    </comment>
    <comment ref="G48" authorId="4" shapeId="0" xr:uid="{04F32012-7F80-4E41-B2B9-2FE289FF4251}">
      <text>
        <t>[Threaded comment]
Your version of Excel allows you to read this threaded comment; however, any edits to it will get removed if the file is opened in a newer version of Excel. Learn more: https://go.microsoft.com/fwlink/?linkid=870924
Comment:
    Proportionally increased current ICR assumption by ratio of ODS to HFC equipment assumed subject to leak repair requirements.</t>
      </text>
    </comment>
    <comment ref="G49" authorId="5" shapeId="0" xr:uid="{EAB357CD-BFC3-4E0F-8D00-703FE8972856}">
      <text>
        <t>[Threaded comment]
Your version of Excel allows you to read this threaded comment; however, any edits to it will get removed if the file is opened in a newer version of Excel. Learn more: https://go.microsoft.com/fwlink/?linkid=870924
Comment:
    Assumes 5% of planned requests are able to repair leaks</t>
      </text>
    </comment>
    <comment ref="G50" authorId="6" shapeId="0" xr:uid="{B6EAE95A-15AD-428A-B014-6AEF43505CCD}">
      <text>
        <t>[Threaded comment]
Your version of Excel allows you to read this threaded comment; however, any edits to it will get removed if the file is opened in a newer version of Excel. Learn more: https://go.microsoft.com/fwlink/?linkid=870924
Comment:
    Assumes 5% of planned requests are able to repair leaks</t>
      </text>
    </comment>
    <comment ref="G51" authorId="7" shapeId="0" xr:uid="{4573290C-4F20-4ADB-9971-7A17D1B2168F}">
      <text>
        <t>[Threaded comment]
Your version of Excel allows you to read this threaded comment; however, any edits to it will get removed if the file is opened in a newer version of Excel. Learn more: https://go.microsoft.com/fwlink/?linkid=870924
Comment:
    Estimated number of "worst leakers" of affected HFC equipment</t>
      </text>
    </comment>
    <comment ref="G52" authorId="8" shapeId="0" xr:uid="{313D928F-4698-4267-9343-70BC8B61E0F5}">
      <text>
        <t>[Threaded comment]
Your version of Excel allows you to read this threaded comment; however, any edits to it will get removed if the file is opened in a newer version of Excel. Learn more: https://go.microsoft.com/fwlink/?linkid=870924
Comment:
    Estimated number of "worst leakers" of affected HFC equipment</t>
      </text>
    </comment>
    <comment ref="G61" authorId="9" shapeId="0" xr:uid="{FAD98953-9EED-48AF-B545-6E1763E4FFD3}">
      <text>
        <t>[Threaded comment]
Your version of Excel allows you to read this threaded comment; however, any edits to it will get removed if the file is opened in a newer version of Excel. Learn more: https://go.microsoft.com/fwlink/?linkid=870924
Comment:
    Analysis assumes 1% of equipment experiences retrofit outcome</t>
      </text>
    </comment>
    <comment ref="G62" authorId="10" shapeId="0" xr:uid="{BCFD6203-FAF1-4439-8E19-4EE27C219545}">
      <text>
        <t>[Threaded comment]
Your version of Excel allows you to read this threaded comment; however, any edits to it will get removed if the file is opened in a newer version of Excel. Learn more: https://go.microsoft.com/fwlink/?linkid=870924
Comment:
    Analysis assumes 1% of equipment experiences retrofit outcome</t>
      </text>
    </comment>
    <comment ref="G63" authorId="11" shapeId="0" xr:uid="{22FF3D32-0424-47BD-A9FB-111003331A5B}">
      <text>
        <t>[Threaded comment]
Your version of Excel allows you to read this threaded comment; however, any edits to it will get removed if the file is opened in a newer version of Excel. Learn more: https://go.microsoft.com/fwlink/?linkid=870924
Comment:
    Assumed 2% of systems with retire/replace or retrofit plan</t>
      </text>
    </comment>
    <comment ref="G64" authorId="12" shapeId="0" xr:uid="{7DB79E5F-22E6-4780-A300-5A5840411AC9}">
      <text>
        <t>[Threaded comment]
Your version of Excel allows you to read this threaded comment; however, any edits to it will get removed if the file is opened in a newer version of Excel. Learn more: https://go.microsoft.com/fwlink/?linkid=870924
Comment:
    Assumed 2% of systems with retire/replace or retrofit plan</t>
      </text>
    </comment>
    <comment ref="J74" authorId="13" shapeId="0" xr:uid="{20ECA0FD-D807-4C90-95BE-22167C5F7615}">
      <text>
        <t>[Threaded comment]
Your version of Excel allows you to read this threaded comment; however, any edits to it will get removed if the file is opened in a newer version of Excel. Learn more: https://go.microsoft.com/fwlink/?linkid=870924
Comment:
    Assuming 50% of ALD systems are direct with leak calculation and data storage capabilities, so burden only assumed for equipment with indirect ALD.</t>
      </text>
    </comment>
    <comment ref="K74" authorId="14" shapeId="0" xr:uid="{5F52FA5C-8A30-4196-9B37-E78790FC0A0F}">
      <text>
        <t>[Threaded comment]
Your version of Excel allows you to read this threaded comment; however, any edits to it will get removed if the file is opened in a newer version of Excel. Learn more: https://go.microsoft.com/fwlink/?linkid=870924
Comment:
    Assuming 50% of ALD systems are direct with leak calculation and data storage capabilities, so burden only assumed for equipment with indirect ALD.</t>
      </text>
    </comment>
    <comment ref="G81" authorId="15" shapeId="0" xr:uid="{8ED22243-DFB6-4722-94C4-1FE0977AB430}">
      <text>
        <t>[Threaded comment]
Your version of Excel allows you to read this threaded comment; however, any edits to it will get removed if the file is opened in a newer version of Excel. Learn more: https://go.microsoft.com/fwlink/?linkid=870924
Comment:
    15 HEEP reporters + 5 additional companies that do not have to report to HEEP (e.g., OEMs that do not also refill equipment)</t>
      </text>
    </comment>
    <comment ref="K81" authorId="16" shapeId="0" xr:uid="{FB3BF226-CD90-4FBC-90C4-C2B283066DCB}">
      <text>
        <t>[Threaded comment]
Your version of Excel allows you to read this threaded comment; however, any edits to it will get removed if the file is opened in a newer version of Excel. Learn more: https://go.microsoft.com/fwlink/?linkid=870924
Comment:
    Based off 2024 Allocation Rule assumption for quarterly report - assumed that the amount of time will be the same because they'll already have the data</t>
      </text>
    </comment>
    <comment ref="G83" authorId="17" shapeId="0" xr:uid="{F700FE4A-838E-429D-8710-683313C33B8E}">
      <text>
        <t>[Threaded comment]
Your version of Excel allows you to read this threaded comment; however, any edits to it will get removed if the file is opened in a newer version of Excel. Learn more: https://go.microsoft.com/fwlink/?linkid=870924
Comment:
    Assumptions based on number of HFC reclamation facilities, including those that have not reported to HAWK</t>
      </text>
    </comment>
    <comment ref="L83" authorId="0" shapeId="0" xr:uid="{00DDD2CA-0690-4F3A-8753-AE5CF17EF1AC}">
      <text>
        <r>
          <rPr>
            <b/>
            <sz val="9"/>
            <color indexed="81"/>
            <rFont val="Tahoma"/>
            <family val="2"/>
          </rPr>
          <t>Garfinkel, Johanna:</t>
        </r>
        <r>
          <rPr>
            <sz val="9"/>
            <color indexed="81"/>
            <rFont val="Tahoma"/>
            <family val="2"/>
          </rPr>
          <t xml:space="preserve">
Assumed 3.5 hours for administrative activities (marketing managers) and 5.5 hours for graphic design</t>
        </r>
      </text>
    </comment>
    <comment ref="H86" authorId="18" shapeId="0" xr:uid="{4F902B1E-E288-4E03-9A23-BD12C0B2F416}">
      <text>
        <t xml:space="preserve">[Threaded comment]
Your version of Excel allows you to read this threaded comment; however, any edits to it will get removed if the file is opened in a newer version of Excel. Learn more: https://go.microsoft.com/fwlink/?linkid=870924
Comment:
    Same assumption from 608 ICR; Based on data on the number of wholesaler locations from Heating, Air-conditioning &amp; Refrigeration Distributors International (HARDI) and  consistent with assumptions used in the HFC Allocation Rule ICR (Recordkeeping and Reporting of the Hydrofluorocarbon Allowance Allocation and Trading Program).
</t>
      </text>
    </comment>
    <comment ref="J87" authorId="19" shapeId="0" xr:uid="{4F80A959-F782-4D53-9564-BD486C5694D9}">
      <text>
        <t>[Threaded comment]
Your version of Excel allows you to read this threaded comment; however, any edits to it will get removed if the file is opened in a newer version of Excel. Learn more: https://go.microsoft.com/fwlink/?linkid=870924
Comment:
    Assumed applicable to 10% of cylinders (1/3 of cylinders are assumed to go from the end-user to a disposal facility, it's assumed that the end-user (i.e., technician) would fully recover the refrigerant from a portion of those - 10% - and would just send the evacuated cylinder for disposal)</t>
      </text>
    </comment>
    <comment ref="K87" authorId="20" shapeId="0" xr:uid="{E7085AD8-BA7D-4C19-B9EE-E8FC47674FFC}">
      <text>
        <t>[Threaded comment]
Your version of Excel allows you to read this threaded comment; however, any edits to it will get removed if the file is opened in a newer version of Excel. Learn more: https://go.microsoft.com/fwlink/?linkid=870924
Comment:
    Third-party conferral statements estimated in 2024 Allocation Rule burden is 2 hours - burden for preparing this certification statement assumed to be lower.</t>
      </text>
    </comment>
    <comment ref="I88" authorId="21" shapeId="0" xr:uid="{AC561275-4905-4950-B12C-BDB1B3F22EA7}">
      <text>
        <t>[Threaded comment]
Your version of Excel allows you to read this threaded comment; however, any edits to it will get removed if the file is opened in a newer version of Excel. Learn more: https://go.microsoft.com/fwlink/?linkid=870924
Comment:
    Based on the number of Materials Recovery Facilities (Recyclers) [NAICS Code 562920] and Solid Waste Landfills [NAICS Code 562212] used in the cylinder heel recovery cost analysis</t>
      </text>
    </comment>
    <comment ref="M108" authorId="22" shapeId="0" xr:uid="{8AC43384-6922-4832-A36D-627BA0F3C34E}">
      <text>
        <t>[Threaded comment]
Your version of Excel allows you to read this threaded comment; however, any edits to it will get removed if the file is opened in a newer version of Excel. Learn more: https://go.microsoft.com/fwlink/?linkid=870924
Comment:
    15% of final processors (per RCRA team guidance)</t>
      </text>
    </comment>
    <comment ref="M116" authorId="23" shapeId="0" xr:uid="{DA4501AE-5782-4DAB-9D0A-D4FC1C3067AD}">
      <text>
        <t>[Threaded comment]
Your version of Excel allows you to read this threaded comment; however, any edits to it will get removed if the file is opened in a newer version of Excel. Learn more: https://go.microsoft.com/fwlink/?linkid=870924
Comment:
    Based on 3% of Materials Recovery Facilities (Recyclers) [NAICS Code 562920] and Solid Waste Landfills [NAICS Code 562212] used in the cylinder heel recovery cost analysis (per guidance from RCRA team)</t>
      </text>
    </comment>
    <comment ref="M123" authorId="24" shapeId="0" xr:uid="{776F5DF7-007C-4FAD-AAE8-97AD5BAFD6F8}">
      <text>
        <t>[Threaded comment]
Your version of Excel allows you to read this threaded comment; however, any edits to it will get removed if the file is opened in a newer version of Excel. Learn more: https://go.microsoft.com/fwlink/?linkid=870924
Comment:
    Applies to all reclaimers (per RCRA team guidance)</t>
      </text>
    </comment>
    <comment ref="M125" authorId="25" shapeId="0" xr:uid="{87C0549B-9403-4B04-921E-2EF5F9EA5463}">
      <text>
        <t>[Threaded comment]
Your version of Excel allows you to read this threaded comment; however, any edits to it will get removed if the file is opened in a newer version of Excel. Learn more: https://go.microsoft.com/fwlink/?linkid=870924
Comment:
    Applies to all final processors (per RCRA team guidance)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Garfinkel, Johanna</author>
    <author>Golla, Emily</author>
  </authors>
  <commentList>
    <comment ref="C16" authorId="0" shapeId="0" xr:uid="{DD9B16D8-2819-46B9-8FF5-105670E9F855}">
      <text>
        <r>
          <rPr>
            <b/>
            <sz val="9"/>
            <color indexed="81"/>
            <rFont val="Tahoma"/>
            <family val="2"/>
          </rPr>
          <t>Garfinkel, Johanna:</t>
        </r>
        <r>
          <rPr>
            <sz val="9"/>
            <color indexed="81"/>
            <rFont val="Tahoma"/>
            <family val="2"/>
          </rPr>
          <t xml:space="preserve">
Includes fringe rate of 31.2% - https://www.bls.gov/news.release/archives/ecec_06162022.pdf (June 2022)</t>
        </r>
      </text>
    </comment>
    <comment ref="C17" authorId="0" shapeId="0" xr:uid="{DCBE0335-4C77-49AD-AD0B-5D9C780B3AC0}">
      <text>
        <r>
          <rPr>
            <b/>
            <sz val="9"/>
            <color indexed="81"/>
            <rFont val="Tahoma"/>
            <family val="2"/>
          </rPr>
          <t>Garfinkel, Johanna:</t>
        </r>
        <r>
          <rPr>
            <sz val="9"/>
            <color indexed="81"/>
            <rFont val="Tahoma"/>
            <family val="2"/>
          </rPr>
          <t xml:space="preserve">
Includes fringe rate of 31.2% - https://www.bls.gov/news.release/archives/ecec_06162022.pdf (June 2022)</t>
        </r>
      </text>
    </comment>
    <comment ref="C26" authorId="1" shapeId="0" xr:uid="{78CFB5D1-9512-49F5-9A00-EDD6D4080A24}">
      <text>
        <r>
          <rPr>
            <b/>
            <sz val="9"/>
            <color indexed="81"/>
            <rFont val="Tahoma"/>
            <family val="2"/>
          </rPr>
          <t>Golla, Emily:</t>
        </r>
        <r>
          <rPr>
            <sz val="9"/>
            <color indexed="81"/>
            <rFont val="Tahoma"/>
            <family val="2"/>
          </rPr>
          <t xml:space="preserve">
Updated to reflect 2021 report submissions and new reporters expected for 2022</t>
        </r>
      </text>
    </comment>
    <comment ref="C27" authorId="1" shapeId="0" xr:uid="{482365E2-FC10-4672-A024-8C2DDACB9EE6}">
      <text>
        <r>
          <rPr>
            <b/>
            <sz val="9"/>
            <color indexed="81"/>
            <rFont val="Tahoma"/>
            <family val="2"/>
          </rPr>
          <t>Golla, Emily:</t>
        </r>
        <r>
          <rPr>
            <sz val="9"/>
            <color indexed="81"/>
            <rFont val="Tahoma"/>
            <family val="2"/>
          </rPr>
          <t xml:space="preserve">
Updated based on input from EPA</t>
        </r>
      </text>
    </comment>
    <comment ref="C30" authorId="1" shapeId="0" xr:uid="{8654E13D-5882-4A78-8DA3-1779C61BB0D7}">
      <text>
        <r>
          <rPr>
            <b/>
            <sz val="9"/>
            <color indexed="81"/>
            <rFont val="Tahoma"/>
            <family val="2"/>
          </rPr>
          <t>Golla, Emily:</t>
        </r>
        <r>
          <rPr>
            <sz val="9"/>
            <color indexed="81"/>
            <rFont val="Tahoma"/>
            <family val="2"/>
          </rPr>
          <t xml:space="preserve">
Based on data on the number of wholesaler locations from Heating, Air-conditioning &amp; Refrigeration Distributors International (HARDI) and  consistent with assumptions used in the HFC Allocation Rule ICR (Recordkeeping and Reporting of the Hydrofluorocarbon Allowance Allocation and Trading Program).</t>
        </r>
      </text>
    </comment>
    <comment ref="C32" authorId="1" shapeId="0" xr:uid="{E2E530A2-EF2D-4FED-B834-08FFBCED7DE1}">
      <text>
        <r>
          <rPr>
            <b/>
            <sz val="9"/>
            <color indexed="81"/>
            <rFont val="Tahoma"/>
            <family val="2"/>
          </rPr>
          <t>Golla, Emily:</t>
        </r>
        <r>
          <rPr>
            <sz val="9"/>
            <color indexed="81"/>
            <rFont val="Tahoma"/>
            <family val="2"/>
          </rPr>
          <t xml:space="preserve">
Updated to reflect 2021 report submissions</t>
        </r>
      </text>
    </comment>
    <comment ref="C33" authorId="1" shapeId="0" xr:uid="{EFCF32AF-0726-4221-8E1E-EB6B19A3FF55}">
      <text>
        <r>
          <rPr>
            <b/>
            <sz val="9"/>
            <color indexed="81"/>
            <rFont val="Tahoma"/>
            <family val="2"/>
          </rPr>
          <t>Golla, Emily:</t>
        </r>
        <r>
          <rPr>
            <sz val="9"/>
            <color indexed="81"/>
            <rFont val="Tahoma"/>
            <family val="2"/>
          </rPr>
          <t xml:space="preserve">
Updated to reflect 2021 report submissions</t>
        </r>
      </text>
    </comment>
    <comment ref="D39" authorId="1" shapeId="0" xr:uid="{1D2B9E61-77F6-448A-A43A-777627C33B07}">
      <text>
        <r>
          <rPr>
            <b/>
            <sz val="9"/>
            <color indexed="81"/>
            <rFont val="Tahoma"/>
            <family val="2"/>
          </rPr>
          <t>Golla, Emily:</t>
        </r>
        <r>
          <rPr>
            <sz val="9"/>
            <color indexed="81"/>
            <rFont val="Tahoma"/>
            <family val="2"/>
          </rPr>
          <t xml:space="preserve">
Based on # of ODS equipment needing general servicing (i.e., topups) from 2016. Assumes 1 invoices.</t>
        </r>
      </text>
    </comment>
    <comment ref="D40" authorId="1" shapeId="0" xr:uid="{B13193BE-4E96-442A-AE93-54BDA4A9D382}">
      <text>
        <r>
          <rPr>
            <b/>
            <sz val="9"/>
            <color indexed="81"/>
            <rFont val="Tahoma"/>
            <family val="2"/>
          </rPr>
          <t>Golla, Emily:</t>
        </r>
        <r>
          <rPr>
            <sz val="9"/>
            <color indexed="81"/>
            <rFont val="Tahoma"/>
            <family val="2"/>
          </rPr>
          <t xml:space="preserve">
Based on # of ODS equipment needing general servicing (i.e., topups) from 2016. Assumes 4 invoices.</t>
        </r>
      </text>
    </comment>
    <comment ref="C43" authorId="1" shapeId="0" xr:uid="{8187BBD3-7D66-4990-A61B-9BDA438AACF9}">
      <text>
        <r>
          <rPr>
            <b/>
            <sz val="9"/>
            <color indexed="81"/>
            <rFont val="Tahoma"/>
            <family val="2"/>
          </rPr>
          <t>Golla, Emily:</t>
        </r>
        <r>
          <rPr>
            <sz val="9"/>
            <color indexed="81"/>
            <rFont val="Tahoma"/>
            <family val="2"/>
          </rPr>
          <t xml:space="preserve">
Updated based on input from EPA on the number received annually</t>
        </r>
      </text>
    </comment>
    <comment ref="C44" authorId="1" shapeId="0" xr:uid="{3EA0A9AF-ED14-4B13-B688-C16C64213955}">
      <text>
        <r>
          <rPr>
            <b/>
            <sz val="9"/>
            <color indexed="81"/>
            <rFont val="Tahoma"/>
            <family val="2"/>
          </rPr>
          <t>Golla, Emily:</t>
        </r>
        <r>
          <rPr>
            <sz val="9"/>
            <color indexed="81"/>
            <rFont val="Tahoma"/>
            <family val="2"/>
          </rPr>
          <t xml:space="preserve">
Updated based on input from EPA on the number received annually</t>
        </r>
      </text>
    </comment>
    <comment ref="C45" authorId="1" shapeId="0" xr:uid="{B3A0C085-42E7-46D3-8045-7D46B424D9AF}">
      <text>
        <r>
          <rPr>
            <b/>
            <sz val="9"/>
            <color indexed="81"/>
            <rFont val="Tahoma"/>
            <family val="2"/>
          </rPr>
          <t>Golla, Emily:</t>
        </r>
        <r>
          <rPr>
            <sz val="9"/>
            <color indexed="81"/>
            <rFont val="Tahoma"/>
            <family val="2"/>
          </rPr>
          <t xml:space="preserve">
Updated based on input from EPA on the number received annually</t>
        </r>
      </text>
    </comment>
    <comment ref="C46" authorId="1" shapeId="0" xr:uid="{31BDBFBC-B950-430B-9D43-BB6AFFD6230D}">
      <text>
        <r>
          <rPr>
            <b/>
            <sz val="9"/>
            <color indexed="81"/>
            <rFont val="Tahoma"/>
            <family val="2"/>
          </rPr>
          <t>Golla, Emily:</t>
        </r>
        <r>
          <rPr>
            <sz val="9"/>
            <color indexed="81"/>
            <rFont val="Tahoma"/>
            <family val="2"/>
          </rPr>
          <t xml:space="preserve">
based on 2019 and 2020 reports</t>
        </r>
      </text>
    </comment>
    <comment ref="C55" authorId="1" shapeId="0" xr:uid="{934491E5-0129-4A82-BA52-713466285EB3}">
      <text>
        <r>
          <rPr>
            <b/>
            <sz val="9"/>
            <color indexed="81"/>
            <rFont val="Tahoma"/>
            <family val="2"/>
          </rPr>
          <t>Golla, Emily:</t>
        </r>
        <r>
          <rPr>
            <sz val="9"/>
            <color indexed="81"/>
            <rFont val="Tahoma"/>
            <family val="2"/>
          </rPr>
          <t xml:space="preserve">
This number is assumed to include: IDQ, FLC, Inc., A-Gas Americas, National Refrigerants Inc., Car Quest (Advance Auto Parts Inc.), DuPont, Johnsen’s, USA Refrigerants, TSI Supercool, Honeywell, Chemours, and Icool USA.
This assumption is based on the following source: ReferenceUSA.  ReferenceUSA Online Database. Retrieved May 27, 2015 from
http://www.referenceusa.com.
Updated in 2022 to include Chemours, and Icool USA based on additional research online.</t>
        </r>
      </text>
    </comment>
  </commentList>
</comments>
</file>

<file path=xl/sharedStrings.xml><?xml version="1.0" encoding="utf-8"?>
<sst xmlns="http://schemas.openxmlformats.org/spreadsheetml/2006/main" count="1006" uniqueCount="421">
  <si>
    <t>Annual Respondent Burden and Cost</t>
  </si>
  <si>
    <t>Assumptions</t>
  </si>
  <si>
    <t>Respondent Tally</t>
  </si>
  <si>
    <t>Reporting</t>
  </si>
  <si>
    <t>Activity</t>
  </si>
  <si>
    <t>Number of Respondents</t>
  </si>
  <si>
    <t>Number of Responses per Respondent</t>
  </si>
  <si>
    <t>Burden Hours (Time) per Response</t>
  </si>
  <si>
    <t>All Respondents</t>
  </si>
  <si>
    <t>Per Respondent</t>
  </si>
  <si>
    <t>Respondent</t>
  </si>
  <si>
    <t>Annual Burden Hours</t>
  </si>
  <si>
    <t>Annual Labor Costs</t>
  </si>
  <si>
    <t>Number of Annual Responses</t>
  </si>
  <si>
    <t>Annual Labor Cost</t>
  </si>
  <si>
    <t>Refrigerant Recovery/ Recycling Equipment Testing Organization</t>
  </si>
  <si>
    <t>Disposal Establishments</t>
  </si>
  <si>
    <t>Refrigerant Reclaimers</t>
  </si>
  <si>
    <t>Technician Certification Programs</t>
  </si>
  <si>
    <t>SUBTOTAL</t>
  </si>
  <si>
    <t>varies</t>
  </si>
  <si>
    <t>Recordkeeping</t>
  </si>
  <si>
    <t>Refrigerant Wholesalers</t>
  </si>
  <si>
    <t>Technicians</t>
  </si>
  <si>
    <t>Total Number of Respondents</t>
  </si>
  <si>
    <t>Total Number of Annual Responses</t>
  </si>
  <si>
    <t>Total Annual Hour Burden</t>
  </si>
  <si>
    <t>Total Annual Labor Costs</t>
  </si>
  <si>
    <t>Total</t>
  </si>
  <si>
    <t>Affected Equipment</t>
  </si>
  <si>
    <t xml:space="preserve">Annual Burden Hours </t>
  </si>
  <si>
    <t xml:space="preserve">Annual Labor Costs </t>
  </si>
  <si>
    <t>N/A</t>
  </si>
  <si>
    <t>National Refrigerant Recycling and Emissions Reduction Program, EPA ICR Number: 1626.18, OMB Control Number:  2060-0256</t>
  </si>
  <si>
    <t>Total (+ Overhead)</t>
  </si>
  <si>
    <t>Refrigerant Recovery/Recycling Equipment Testing Organization</t>
  </si>
  <si>
    <t>Owners/Operators</t>
  </si>
  <si>
    <t>Small Can Manufacturers</t>
  </si>
  <si>
    <t>Apply for approval</t>
  </si>
  <si>
    <t>Provide notice when equipment fails recertification</t>
  </si>
  <si>
    <t>Total/Yr All Respondents</t>
  </si>
  <si>
    <t>Responses</t>
  </si>
  <si>
    <t>Costs</t>
  </si>
  <si>
    <t>Hours</t>
  </si>
  <si>
    <t>Publish online list of all certified equipment</t>
  </si>
  <si>
    <t>Maintain records of equipment tested and its performance</t>
  </si>
  <si>
    <t>Submit annual activity report</t>
  </si>
  <si>
    <t>Third Party</t>
  </si>
  <si>
    <t>Provide certification when changing ownership or entering the market</t>
  </si>
  <si>
    <t>Maintain records of refrigerant sales transactions</t>
  </si>
  <si>
    <t>Maintain records that analysis conducted to verify that reclaimed refrigerant meets the necessary specifications</t>
  </si>
  <si>
    <t>Total Annual Responses:</t>
  </si>
  <si>
    <t>Maintain records for refrigerant sales, including technician certification cards from purchasers employing at least one certified technician</t>
  </si>
  <si>
    <t>Burden Per Response</t>
  </si>
  <si>
    <t>Hours Per Response</t>
  </si>
  <si>
    <t>Cost Per Response (including non-labor)</t>
  </si>
  <si>
    <t>Maintain list/database of technicians certified</t>
  </si>
  <si>
    <t>Submit biannual report</t>
  </si>
  <si>
    <t>Transfer records when no longer operational</t>
  </si>
  <si>
    <t>Average</t>
  </si>
  <si>
    <t>Recordkeeping by existing Technician Certification Programs</t>
  </si>
  <si>
    <t> </t>
  </si>
  <si>
    <t>Maintain copies of signed statements of previous refrigerant recovery by disposal establishments</t>
  </si>
  <si>
    <t>Annual Burden</t>
  </si>
  <si>
    <t>Annual Time Burden (Hours)</t>
  </si>
  <si>
    <t>Annual non-labor costs</t>
  </si>
  <si>
    <t>Acquire certification cards</t>
  </si>
  <si>
    <t xml:space="preserve">Maintain certification cards </t>
  </si>
  <si>
    <t>Provide invoices for serviced ODS appliances with charge sizes 50 to 500 lbs.</t>
  </si>
  <si>
    <t>Provide invoices for serviced ODS appliances with charge sizes &gt;500 lbs.</t>
  </si>
  <si>
    <t>Provide leak inspection records to owner/operator</t>
  </si>
  <si>
    <t>Maintain disposal records for appliances with charge sizes of 5 - 50 lbs.</t>
  </si>
  <si>
    <t>Prepare and submit requests for extensions to 30-day repair timeline</t>
  </si>
  <si>
    <t xml:space="preserve">Prepare &amp; submit requests for extensions to 1 yr retrofit/retire timeline </t>
  </si>
  <si>
    <t>Prepare and submit request to cease a retrofit/retirement if all leaks are repaired</t>
  </si>
  <si>
    <t>Prepare and submit report on efforts to repair chronically leaking appliances</t>
  </si>
  <si>
    <t>Maintain records of the full charge of an appliance</t>
  </si>
  <si>
    <t>Maintain records of the leak rate calculation</t>
  </si>
  <si>
    <t>Maintain purchase and service records</t>
  </si>
  <si>
    <t>Maintain leak inspection records</t>
  </si>
  <si>
    <t>Maintain reports on the results of verification tests</t>
  </si>
  <si>
    <t>Develop/maintain plan to retire/replace or retrofit equipment, as applicable</t>
  </si>
  <si>
    <t>Maintain records on mothballed equipment</t>
  </si>
  <si>
    <t>Maintain information on purged/destroyed refrigerant</t>
  </si>
  <si>
    <t>Maintain records of self-sealing valve test data and log forms for 3 years</t>
  </si>
  <si>
    <t>Assumed equipment per facility (from CARB data/2016 TSD)</t>
  </si>
  <si>
    <t>50+ pounds</t>
  </si>
  <si>
    <t>Annual Agency Burden and Cost</t>
  </si>
  <si>
    <t>Agency Tally</t>
  </si>
  <si>
    <t>Reviewing and Responding</t>
  </si>
  <si>
    <t>Total Annual Agency Hours</t>
  </si>
  <si>
    <t xml:space="preserve">Total Agency Labor Costs </t>
  </si>
  <si>
    <t>Tehnicians</t>
  </si>
  <si>
    <t>Respondent type</t>
  </si>
  <si>
    <t>Year 1</t>
  </si>
  <si>
    <t>Year 2</t>
  </si>
  <si>
    <t>Year 3</t>
  </si>
  <si>
    <t>Requirement Type</t>
  </si>
  <si>
    <t>Owners/operators</t>
  </si>
  <si>
    <t>IPR, CC, and CR 15-50 pounds</t>
  </si>
  <si>
    <t>IPR, CC, and CR &gt;50 pounds</t>
  </si>
  <si>
    <t>50+ pound appliances with quarterly reporting</t>
  </si>
  <si>
    <t xml:space="preserve">Prepare and submit requests for extensions to 1 yr retrofit/retire timeline </t>
  </si>
  <si>
    <t>Prepare and submit a report to EPA if appliance leaks 125% or more of the full charge in a 365 day period to describe efforts to identify leaks and repair the appliance</t>
  </si>
  <si>
    <t>Maintain quarterly leak inspection records</t>
  </si>
  <si>
    <t>Maintain annual leak inspection records</t>
  </si>
  <si>
    <t>IPR and CR &gt;500 pounds</t>
  </si>
  <si>
    <t xml:space="preserve">Owners/operators of appliances with 15 or more pounds of HFC refrigerant prepare &amp; submit requests for extensions to the 30-day repair timeline </t>
  </si>
  <si>
    <t xml:space="preserve">Owners/operators of appliances with 15 or more pounds of HFC refrigerant prepare &amp; submit requests for extensions to 1 year retrofit timeline </t>
  </si>
  <si>
    <t>Owners/operators of appliances with 15 or more pounds of HFC refrigerant prepare &amp; submit requests to cease a retrofit if all leaks are repaired</t>
  </si>
  <si>
    <t>Owners/operators of appliances with 15 or more pounds of HFC refrigerant that leak 125 percent or more of the full charge in a calendar year to submit report on leak and intended repair</t>
  </si>
  <si>
    <t>Prepare and submit request to cease a retrofit if all leaks are repaired</t>
  </si>
  <si>
    <t>Affected Equipment (above LR threshold)</t>
  </si>
  <si>
    <t>Collect data required in contingency plan</t>
  </si>
  <si>
    <t>Document whether authorities decline arrangement</t>
  </si>
  <si>
    <t>Write contingency plan</t>
  </si>
  <si>
    <t>Maintain contingency plan</t>
  </si>
  <si>
    <t>Submit contingency plan to relevant emergency centers</t>
  </si>
  <si>
    <t>Amend contingency plan when appropriate</t>
  </si>
  <si>
    <t>Contingency Planning</t>
  </si>
  <si>
    <t>Emergency Procedures</t>
  </si>
  <si>
    <t>Collect information</t>
  </si>
  <si>
    <t>Emergency reporting</t>
  </si>
  <si>
    <t>Notifying/coordination with authorities</t>
  </si>
  <si>
    <t>Collect job-related data</t>
  </si>
  <si>
    <t>Maintain information at facility</t>
  </si>
  <si>
    <t>Personnel Training</t>
  </si>
  <si>
    <t>Observe scene of hazardous waste discharge</t>
  </si>
  <si>
    <t>Report by phone requested data items to NRC</t>
  </si>
  <si>
    <t>Document that local officials decline to enter into arrangements for coordinating response</t>
  </si>
  <si>
    <t>Post emergency information by phone</t>
  </si>
  <si>
    <t>No Speculative Accumulation 40 CFR 266.602(a)(2) and (b)(3)</t>
  </si>
  <si>
    <t>Label containers in accumulation area with start date</t>
  </si>
  <si>
    <t>Inventory logs must demonstrate that at least 75% by weight or volume of material being recycled is transferred to a different site for recycling in a calendar year.</t>
  </si>
  <si>
    <t>Legal</t>
  </si>
  <si>
    <t>Manag.</t>
  </si>
  <si>
    <t>Technical</t>
  </si>
  <si>
    <t>Clerical</t>
  </si>
  <si>
    <t>Burden Hours/Activity</t>
  </si>
  <si>
    <t>Labor Costs/Activity</t>
  </si>
  <si>
    <t>Capital Costs</t>
  </si>
  <si>
    <t>O&amp;M Costs</t>
  </si>
  <si>
    <t>Number of Respondents/Activity</t>
  </si>
  <si>
    <t>Total Hours and Costs</t>
  </si>
  <si>
    <t>Total Cost/Year</t>
  </si>
  <si>
    <t>Review submitted release report information</t>
  </si>
  <si>
    <t>Enter information into database tracking all releases</t>
  </si>
  <si>
    <t>Transmit information to respective response authorities</t>
  </si>
  <si>
    <t>Leak Repair/Inspection Reporting</t>
  </si>
  <si>
    <t>Leak Repair/Inspection Recordkeeping</t>
  </si>
  <si>
    <t>Reclaimer Reporting and Recordkeeping</t>
  </si>
  <si>
    <t>Reclaimer</t>
  </si>
  <si>
    <t>Manager</t>
  </si>
  <si>
    <t>Technician (Reclaimer)</t>
  </si>
  <si>
    <t>Lawyer</t>
  </si>
  <si>
    <t>Office Clerk, General Administration</t>
  </si>
  <si>
    <t>Overhead</t>
  </si>
  <si>
    <t>Technical Rate (GS 13 Step 1)</t>
  </si>
  <si>
    <t>Managerial Rate (GS 15 Step 1)</t>
  </si>
  <si>
    <t>Clerical Rate (GS 11 Step 1)</t>
  </si>
  <si>
    <t>Standard Government Benefits Multiplier</t>
  </si>
  <si>
    <t>Number of Respondents/
Activity</t>
  </si>
  <si>
    <t>Cost Per Response</t>
  </si>
  <si>
    <t>Subsection H Leak Repair, Inspection, ALD, and Reclamation Requirements</t>
  </si>
  <si>
    <t xml:space="preserve">Maintain purchase and service records. For each refrigerant addition, equipment owner has to have records of: 
(i) The identity and location of the appliance; 
(ii) The date of the installation, service, repair, or disposal performed; 
(iii) The part(s) of the appliance being serviced, repaired, or disposed; 
(iv) The type of service, repair, or disposal performed for each part; 
(v) The name of the person performing the installation, service, repair, or disposal; 
(vi) The amount and type of refrigerant added to, or in the case of disposal removed from, the appliance; 
(vii) The full charge of the appliance; and 
(viii) The leak rate and the method used to determine the leak rate (not applicable when disposing of the appliance, following a retrofit, installing a new appliance, or if the refrigerant addition qualifies as a seasonal variance). </t>
  </si>
  <si>
    <t xml:space="preserve">Persons servicing appliances w/charge sizes &gt;15 lbs provide invoices to appliance owners/operators containing the following information: 
(i) The identity and location of the appliance; 
(ii) The date of the installation, service, repair, or disposal performed; 
(iii) The part(s) of the appliance being serviced, repaired, or disposed; 
(iv) The type of service, repair, or disposal performed for each part; 
(v) The name of the person performing the installation, service, repair, or disposal; 
(vi) The amount and type of refrigerant added to, or in the case of disposal removed from, the appliance; 
(vii) The full charge of the appliance; and 
(viii) The leak rate and the method used to determine the leak rate (not applicable when disposing of the appliance, following a retrofit, installing a new appliance, or if the refrigerant addition qualifies as a seasonal variance). </t>
  </si>
  <si>
    <t>Average Hours per Year</t>
  </si>
  <si>
    <t>Average Cost per Year</t>
  </si>
  <si>
    <t xml:space="preserve">Average cost </t>
  </si>
  <si>
    <t>Total cost</t>
  </si>
  <si>
    <t>AVOIDED Hours per Activity per Respondent and Loaded Hourly Wages</t>
  </si>
  <si>
    <t>AVOIDED O&amp;M Costs</t>
  </si>
  <si>
    <t>AVOIDED Labor Costs/Activity</t>
  </si>
  <si>
    <t>AVOIDED Capital Costs</t>
  </si>
  <si>
    <t>Total with Avoided Costs</t>
  </si>
  <si>
    <t>Leak Repair/Inspection</t>
  </si>
  <si>
    <t>CR and IPR Appliances above LR with charge size &gt; 1500 pounds (direct ALD)</t>
  </si>
  <si>
    <t>CR and IPR Appliances above LR with charge size &gt; 1500 pounds (indirect ALD)</t>
  </si>
  <si>
    <t>Ref/AC Technicians</t>
  </si>
  <si>
    <t>Maintain retrofit and/or retirement plans</t>
  </si>
  <si>
    <t>Maintain records documenting when the system was mothballed and when it was brought back on-line (i.e., when refrigerant was added back into the appliance or isolated component of the appliance)</t>
  </si>
  <si>
    <t>Maintain records of purged and destroyed refrigerant if excluding such refrigerant from the leak rate</t>
  </si>
  <si>
    <t>IPR and CR &gt;1500 pounds with indirect ALD</t>
  </si>
  <si>
    <t>Total Reporting and Recordkeeping Recordkeeping</t>
  </si>
  <si>
    <t>Leak</t>
  </si>
  <si>
    <t>Fire</t>
  </si>
  <si>
    <t>Maintain records on:
- Data submitted to EPA annually
- Fire suppression technican training provided to personnel
- HFCs recovered from fire suppression equipment before it's sent for disposal (i.e., recovering themselves or leaving HFC in and sending to disposal facility)</t>
  </si>
  <si>
    <t>Must report annually:
(i) The quantity of material (combined mass of regulated substance and contaminants) by regulated substance sold, recovered, recycled, and virgin for the purpose of installation of new equipment and servicing of fire suppression equipment
(ii) The total mass of each regulated substance sold, recovered, recycled, and virgin and;
(iii)  The total mass of waste products sent for disposal, along with information about the disposal facility if waste is not processed by the reporting entity</t>
  </si>
  <si>
    <t>Fire Suppression Reporting</t>
  </si>
  <si>
    <t>Fire Suppression Recordkeeping</t>
  </si>
  <si>
    <t>Fire Suppression</t>
  </si>
  <si>
    <t>Reporting Average Cost</t>
  </si>
  <si>
    <t>Recordkeeping Average Cost</t>
  </si>
  <si>
    <t>Average for Reporting and Recordkeeping</t>
  </si>
  <si>
    <t>Fire Suppression System OEMs/Servicers/Recyclers</t>
  </si>
  <si>
    <t>Maintain copies of any reports submitted to EPA under the proposed reporting requirements in this action</t>
  </si>
  <si>
    <t>Prepare and submit a report to EPA if excluding purged refrigerants that are destroyed from annual leak rate calculations for the first time</t>
  </si>
  <si>
    <t>Cylinders</t>
  </si>
  <si>
    <t>HFC Reclaimers</t>
  </si>
  <si>
    <t>Owners/operators of appliances with 15 or more pounds of HFC refrigerant notify EPA that purged refrigerants that are destroyed were excluded from annual leak rate calculations for the first time</t>
  </si>
  <si>
    <t>HFC fire suppression equipment OEMs/servicers/recyclers prepare &amp; submit annual reports</t>
  </si>
  <si>
    <t>Unique Respondents</t>
  </si>
  <si>
    <t>Labor Cost per Response</t>
  </si>
  <si>
    <t>HFC Fire Suppression Equipment</t>
  </si>
  <si>
    <t>ANNUAL TOTAL</t>
  </si>
  <si>
    <t>3 YEAR TOTAL</t>
  </si>
  <si>
    <t>ANNUAL AVERAGE</t>
  </si>
  <si>
    <t>Year</t>
  </si>
  <si>
    <t>Annual Average</t>
  </si>
  <si>
    <t>Total Responses</t>
  </si>
  <si>
    <t>Total Hours</t>
  </si>
  <si>
    <t>Total Costs</t>
  </si>
  <si>
    <t>15-50 pounds (including school buses above 15 pounds)</t>
  </si>
  <si>
    <t>Maintain equipment installation records:
(i) The identification of the owner or operator of the appliance; 
(ii) The address where the appliance is located; 
(iii) The full charge of the appliance and the method for how the full charge was determined; 
(iv) If using method 4 (using an established range) for determining full charge, records must include the range for the full charge of the appliance, its midpoint, and how the range was determined; 
(v) Any revisions of the full charge, how they were determined, and the dates such revisions occurred; and
(vi) The date of installation.</t>
  </si>
  <si>
    <t>Reg Text Citation</t>
  </si>
  <si>
    <t>84.106(l)(1)</t>
  </si>
  <si>
    <t>84.106(l)(3)</t>
  </si>
  <si>
    <t>84.106(l)(4)</t>
  </si>
  <si>
    <t>84.106(l)(7)</t>
  </si>
  <si>
    <t>84.106(l)(9)</t>
  </si>
  <si>
    <t>84.106(l)(10)</t>
  </si>
  <si>
    <t>84.106(l)(2); 84.106(l)(11)</t>
  </si>
  <si>
    <t>84.106(l)(8);84.106(l)(12)</t>
  </si>
  <si>
    <t>84.106(l)(6)</t>
  </si>
  <si>
    <t>Maintain reports on the results of verification tests any time leak rate threshold is exceeded</t>
  </si>
  <si>
    <t>84.106(m)(1)</t>
  </si>
  <si>
    <t>84.106(m)(2)</t>
  </si>
  <si>
    <t>84.106(m)(3)</t>
  </si>
  <si>
    <t>84.106(m)(4)</t>
  </si>
  <si>
    <t>84.106(m)(5)</t>
  </si>
  <si>
    <t>84.106(l)(5); 84.108(j)</t>
  </si>
  <si>
    <t>84.110(g)</t>
  </si>
  <si>
    <t>New Equipment Installations</t>
  </si>
  <si>
    <t>CR and IPR Appliances with charge size &gt; 1500 pounds (direct ALD)</t>
  </si>
  <si>
    <t>CR and IPR Appliances with charge size &gt; 1500 pounds (indirect ALD)</t>
  </si>
  <si>
    <t>Persons servicing HFC appliances provide leak inspection records to owners/operators</t>
  </si>
  <si>
    <t>Third-party Reporting</t>
  </si>
  <si>
    <t>Existing Equipment Installations</t>
  </si>
  <si>
    <t>Persons servicing HFC appliances provide reports on the results of verification tests any time leak rate threshold is exceeded to owners/operators</t>
  </si>
  <si>
    <t xml:space="preserve">Maintain records regarding the installation and annual calibration or audit of the ALD system, a record of each date the monitoring system identified a leak, and the location of the leak. Records must be maintained each time an ALD system detects a leak, whether that be based on the applicable ppm threshold for a direct ALD system or the indicated loss of refrigerant measured in an indirect ALD system. </t>
  </si>
  <si>
    <t>Leak Repair/Inspection Third-party Reporting</t>
  </si>
  <si>
    <t>Overall Average (including avoided Reclaimer)</t>
  </si>
  <si>
    <t xml:space="preserve">Respondent Sector </t>
  </si>
  <si>
    <t>Respondent Type</t>
  </si>
  <si>
    <t>Number of Respondents per Year</t>
  </si>
  <si>
    <t>Total Hours per Year</t>
  </si>
  <si>
    <t>Total Cost per Year</t>
  </si>
  <si>
    <t>Y1</t>
  </si>
  <si>
    <t>Y2</t>
  </si>
  <si>
    <t>Y3</t>
  </si>
  <si>
    <t>Refrigeration and Air Conditioning</t>
  </si>
  <si>
    <t>HFC Equipment Owners &amp; Operators</t>
  </si>
  <si>
    <t>15-50 pounds</t>
  </si>
  <si>
    <t>&gt;50 pounds</t>
  </si>
  <si>
    <t>Maintain equipment installation records</t>
  </si>
  <si>
    <t>Maintain reports on the  results of verification tests any time leak rate threshold is exceeded</t>
  </si>
  <si>
    <t>Maintain records regarding the installation and annual calibration or audit of the ALD system, a record of each date the monitoring system identified a leak, and the location of the leak. Records must be maintained each time an ALD system detects a leak, whether that be based on the applicable ppm threshold for a direct ALD system or the indicated loss of refrigerant measured in an indirect ALD system.</t>
  </si>
  <si>
    <t>HFC Equipment Technicians</t>
  </si>
  <si>
    <t>Persons servicing appliances w/charge sizes &gt;15 lbs provide invoices to appliance owners/operators</t>
  </si>
  <si>
    <t>OEMs, Servicers, &amp; Recyclers</t>
  </si>
  <si>
    <t>Annual report</t>
  </si>
  <si>
    <t>HFC Fire Suppression</t>
  </si>
  <si>
    <t>Maintain records</t>
  </si>
  <si>
    <t>Table V</t>
  </si>
  <si>
    <t>Total Labor</t>
  </si>
  <si>
    <t>Avoided Reclaimer Burden</t>
  </si>
  <si>
    <t>Incremental ICR Costs</t>
  </si>
  <si>
    <t>Average Avoided Reclaimer Burden and Costs</t>
  </si>
  <si>
    <t>Annual Average with Avoided Burden and Costs</t>
  </si>
  <si>
    <t>Total with Avoided</t>
  </si>
  <si>
    <t>Respondents + EPA</t>
  </si>
  <si>
    <t>Agency Hours per Activity per Respondent and Loaded Hourly Wages</t>
  </si>
  <si>
    <t>Contractor</t>
  </si>
  <si>
    <t>Extramural Rate</t>
  </si>
  <si>
    <t>One-time label redesign</t>
  </si>
  <si>
    <t>Reclamation</t>
  </si>
  <si>
    <t>Maintain records on:
- the name, address, contact person, email address, and phone number of the certified reclaimer, 
- the date the container was filled with reclaimed HFCs, the amount and name of the HFC(s) in the container, 
- percent of virgin HFCs in the container, 
- certification that the contents do not exceed 15 percent virgin HFCs, 
- the serial number of the container, and 
- identification of the batch of reclaimed HFCs used to fill the container</t>
  </si>
  <si>
    <t>Labeling and Packaging Burden Assumptions</t>
  </si>
  <si>
    <t>Hours per Response</t>
  </si>
  <si>
    <t>Basis for Assumptions</t>
  </si>
  <si>
    <t>Administrative (Redesign)</t>
  </si>
  <si>
    <t>Redesign costs only applies when new label or packaging needs to be desgined.</t>
  </si>
  <si>
    <t>Graphic Design (Redesign)</t>
  </si>
  <si>
    <t>Marketing Manager</t>
  </si>
  <si>
    <t>Graphic Designer</t>
  </si>
  <si>
    <t>Total Labor Costs</t>
  </si>
  <si>
    <t>Total O&amp;M Costs</t>
  </si>
  <si>
    <t>3yr ICR Annual Average</t>
  </si>
  <si>
    <t>Without Avoided Reclaimer Burden</t>
  </si>
  <si>
    <t>With Avoided Reclaimer Burden</t>
  </si>
  <si>
    <t>Table VI - Respondent Burdent</t>
  </si>
  <si>
    <t>Agency Burden</t>
  </si>
  <si>
    <t>Leak Repair Total</t>
  </si>
  <si>
    <t>84.110(g)(1)-(3)</t>
  </si>
  <si>
    <t>84.112(c)</t>
  </si>
  <si>
    <t>84.112(d)(3)</t>
  </si>
  <si>
    <t>Number of Activities</t>
  </si>
  <si>
    <t>Number of Annual Activities</t>
  </si>
  <si>
    <t>Respondents</t>
  </si>
  <si>
    <t>Total Number of Respondents:</t>
  </si>
  <si>
    <t>Number of these which are small entities:</t>
  </si>
  <si>
    <t>Percentage of Respondents Reporting Electronically: (%)</t>
  </si>
  <si>
    <t>picked maximum across Year 1-3</t>
  </si>
  <si>
    <t>Sector</t>
  </si>
  <si>
    <t>Total Businesses Firms</t>
  </si>
  <si>
    <t>Total Small Businesses Firms</t>
  </si>
  <si>
    <t>Grocery &amp; Specialty Food Stores</t>
  </si>
  <si>
    <t>Warehouse Clubs &amp; Supercenters</t>
  </si>
  <si>
    <t>Ag. &amp; Crop Production</t>
  </si>
  <si>
    <t>Utilities</t>
  </si>
  <si>
    <t>Food manufacturing</t>
  </si>
  <si>
    <t>Beverage &amp; Ice Manufacturing</t>
  </si>
  <si>
    <t>Non-food Manufacturing</t>
  </si>
  <si>
    <t>General Merchandise Stores</t>
  </si>
  <si>
    <t>Refrig. Warehousing &amp; Storage</t>
  </si>
  <si>
    <t>Other Warehousing, Stor, Trans.</t>
  </si>
  <si>
    <t>Non-durable Goods</t>
  </si>
  <si>
    <t>Durable Goods</t>
  </si>
  <si>
    <t>Educational Services</t>
  </si>
  <si>
    <t>Hospitals</t>
  </si>
  <si>
    <t>Research and Devel.</t>
  </si>
  <si>
    <t>Office Buildings</t>
  </si>
  <si>
    <t>Arts, Entertainment, Rec.</t>
  </si>
  <si>
    <t>Fitness and Rec Sports</t>
  </si>
  <si>
    <t>Charter Bus Industry</t>
  </si>
  <si>
    <t>School Districts</t>
  </si>
  <si>
    <t>City Governments</t>
  </si>
  <si>
    <t>Materials Recovery Facilities (Reclaimers)</t>
  </si>
  <si>
    <t>Refrigeration Equipment and Supplies Merchant Wholesalers</t>
  </si>
  <si>
    <t>Warm Air Heating and Air-Conditioning Equipment and Supplies Merchant Wholesalers</t>
  </si>
  <si>
    <t>Other Chemical and Allied Products Merchant Wholesalers</t>
  </si>
  <si>
    <t xml:space="preserve">Total </t>
  </si>
  <si>
    <t>Median Wage (2022)</t>
  </si>
  <si>
    <t xml:space="preserve">Mean hourly earnings for heating, air-conditioning, and refrigeration mechanics and installers (49-9021) from the Bureau of Labor Statistics (https://www.bls.gov/oes/2022/may/oes499021.htm).  </t>
  </si>
  <si>
    <t xml:space="preserve">Mean hourly earnings for health and safety engineers (17-2111) from the Bureau of Labor Statistics (https://www.bls.gov/oes/2022/may/oes172111.htm).  </t>
  </si>
  <si>
    <t xml:space="preserve">Median hourly earnings for management occupations (11-0000) from the Bureau of Labor Statistics (https://www.bls.gov/oes/2022/may/oes110000.htm).  </t>
  </si>
  <si>
    <t xml:space="preserve">Median hourly earnings for environmental engineers (17-2081) from the Bureau of Labor Statistics (https://www.bls.gov/oes/2022/may/oes172081.htm).  </t>
  </si>
  <si>
    <t xml:space="preserve">Median hourly earnings for lawyers (23-1011) from the Bureau of Labor Statistics (https://www.bls.gov/oes/2022/may/oes231011.htm).  </t>
  </si>
  <si>
    <t xml:space="preserve">Median hourly earnings for office clerks, general (43-9061) from the Bureau of Labor Statistics (https://www.bls.gov/oes/2022/may/oes439061.htm).  </t>
  </si>
  <si>
    <t xml:space="preserve">Median hourly earnings for marketing managers (11-2021) from the Bureau of Labor Statistics (https://www.bls.gov/oes/2022/may/oes112021.htm).  </t>
  </si>
  <si>
    <t xml:space="preserve">Median hourly earnings for graphic designers (27-1024) from the Bureau of Labor Statistics (https://www.bls.gov/oes/2022/may/oes271024.htm).  </t>
  </si>
  <si>
    <t>Proportion of ODS equipment, VM, 2026</t>
  </si>
  <si>
    <t>Proportion of HFC equipment, VM, 2026</t>
  </si>
  <si>
    <t>15-50 (plus school buses above 15 pounds) Affected Equipment relative to total HFC equipment, VM, 2026</t>
  </si>
  <si>
    <t>50+ Affected Equipment relative to total HFC equipment, VM, 2026</t>
  </si>
  <si>
    <t>This provision doesn't kick in until 2029</t>
  </si>
  <si>
    <t>Total ODS equipment, VM, 2026</t>
  </si>
  <si>
    <t>Total HFC equipment, VM, 2026</t>
  </si>
  <si>
    <t>Source: Based on average hourly rate for Senior Technical Analyst III and Consultant I under EPA contract 68HERH19D0029 (contract period 5)</t>
  </si>
  <si>
    <t>Disposal Establishment</t>
  </si>
  <si>
    <t>Median hourly earnings for sales representatives, wholesale (41-4012) from the Bureau of Labor Statistics (http://www.bls.gov/oes/current/oes414012.htm)</t>
  </si>
  <si>
    <t>Estimated HFC and HFC Cylinders sold per year</t>
  </si>
  <si>
    <t>Assumed cylinders sold per year</t>
  </si>
  <si>
    <t>HFC Cylinders sold per year</t>
  </si>
  <si>
    <t>Refrigerant Wholesalers and Distributors</t>
  </si>
  <si>
    <t>Refrigerant Technician</t>
  </si>
  <si>
    <t>Two-time reporting from reclaimers/distributors/wholesalers who sell reclaimed HFCs to report on the data types and volumes of reclaimed HFC refrigerants sold for use in servicing/repair of equipment in the covered subsector</t>
  </si>
  <si>
    <t>Certification statement accompanying those who choose the alternate method to get a disposable cylinder evacuated to a specified level of vacuum (15 in-Hg) so that the cylinder can be discarded and then no longer need additional processing for heel removal</t>
  </si>
  <si>
    <t>NA</t>
  </si>
  <si>
    <t>Cylinders undergoing heel recovery</t>
  </si>
  <si>
    <t>Assumed Entities (if needed)</t>
  </si>
  <si>
    <t>NAICS Code</t>
  </si>
  <si>
    <t>Refrigerant reclaimers</t>
  </si>
  <si>
    <t>Materials Recovery Facilities</t>
  </si>
  <si>
    <t>Refrigerant wholesalers and distributors</t>
  </si>
  <si>
    <t>Disposal establishments</t>
  </si>
  <si>
    <t>Materials Recovery Facilities (Recyclers)</t>
  </si>
  <si>
    <t>Soldi Waste Landfill</t>
  </si>
  <si>
    <t>Disposal and Recycling Facilities</t>
  </si>
  <si>
    <t>Two-time reporting from reclaimers/distributors/wholesalers who sell reclaimed HFCs to report on the data types and volumes of reclaimed HFC refrigerants sold for use in servicing/repair of equipment in the covered subsector.</t>
  </si>
  <si>
    <t>Reclaim Use Reporting</t>
  </si>
  <si>
    <t>HFC Reclaimers and Wholesalers</t>
  </si>
  <si>
    <t>Two-time report</t>
  </si>
  <si>
    <t>Certification statement of evacuated cylinder</t>
  </si>
  <si>
    <t>HFC Wholesalers</t>
  </si>
  <si>
    <t xml:space="preserve">Owners or operators must maintain records of changes to the leak rate calculation method after a change in ownership. Records must include:  
(i) Basic identification information (i.e., owner name or operator, facility name, facility address where appliance is located, and appliance ID or description); 
(ii) The date an operating facility was purchased; 
(iii)The leak rates for all refrigerant-containing appliances at the operating facility when both leak rate calculation methods are applied;  
(iv) The date a new leak rate calculation method is adopted; and 
(v) The leak rate calculation method the owner or operator is using after the change. </t>
  </si>
  <si>
    <t>Cylinder Heel Recovery Certifications</t>
  </si>
  <si>
    <t>Heel</t>
  </si>
  <si>
    <t>With Avoided Reclaimer Burden removed from average (for supporting statement)</t>
  </si>
  <si>
    <t>Year 1 (2026)</t>
  </si>
  <si>
    <t>Year 2 (2027)</t>
  </si>
  <si>
    <t>Year 3 (2028)</t>
  </si>
  <si>
    <t>Average Annual Avoided Reclaimer Burden and Costs</t>
  </si>
  <si>
    <t>Incremental ICR Burden and Costs</t>
  </si>
  <si>
    <t>84.112().</t>
  </si>
  <si>
    <t>Maintain records during ownership change</t>
  </si>
  <si>
    <t>*** E.O. 12866 Review – Draft – Do Not Cite, Quote, or Release During Review ***</t>
  </si>
  <si>
    <t>Section 608 ICR assumptions used as the basis for burden estimates for R&amp;R associated with leak repair and leak inspection under ER&amp;R</t>
  </si>
  <si>
    <t>% Cylinders with HFCs or HFC/HFO blends</t>
  </si>
  <si>
    <t>Labor Cost per Resp. per Year</t>
  </si>
  <si>
    <t>Cylinder Cert.</t>
  </si>
  <si>
    <t>Reclaim Use</t>
  </si>
  <si>
    <t xml:space="preserve">Median hourly earnings for management occupations (11-0000) from the Bureau of Labor Statistics (https://www.bls.gov/oes/current/oes110000.htm).  </t>
  </si>
  <si>
    <t>Median hourly earnings for chemical plant and system operators (51-8091) from the Bureau of Labor Statistics (https://www.bls.gov/oes/current/oes518091.htm)</t>
  </si>
  <si>
    <t>Median hourly earnings for Administrative Services Managers (11-3012) from the Bureau of Labor Statistics (https://www.bls.gov/oes/current/oes113012.htm)</t>
  </si>
  <si>
    <t xml:space="preserve">Median hourly earnings for lawyers (23-1011) from the Bureau of Labor Statistics (https://www.bls.gov/oes/current/oes231011.htm).  </t>
  </si>
  <si>
    <t xml:space="preserve">Median hourly earnings for office clerks, general (43-9061) from the Bureau of Labor Statistics (https://www.bls.gov/oes/current/oes439061.htm).  </t>
  </si>
  <si>
    <t xml:space="preserve">Median hourly earnings for marketing managers (11-2021) from the Bureau of Labor Statistics (https://www.bls.gov/oes/current/oes112021.htm).  </t>
  </si>
  <si>
    <t xml:space="preserve">Median hourly earnings for graphic designers (27-1024) from the Bureau of Labor Statistics (https://www.bls.gov/oes/current/oes271024.htm).  </t>
  </si>
  <si>
    <t xml:space="preserve">Median hourly earnings for heating, air-conditioning, and refrigeration mechanics and installers (49-9021) from the Bureau of Labor Statistics (https://www.bls.gov/oes/current/oes499021.htm).  </t>
  </si>
  <si>
    <t xml:space="preserve">Median hourly earnings for health and safety engineers (17-2111) from the Bureau of Labor Statistics (https://www.bls.gov/oes/current/oes172111.htm).  </t>
  </si>
  <si>
    <t>Median Wage (2023)</t>
  </si>
  <si>
    <t>From 2024 OPM hourly base pay table for DC region: https://www.opm.gov/policy-data-oversight/pay-leave/salaries-wages/salary-tables/24Tables/html/DCB_h.aspx</t>
  </si>
  <si>
    <t>Final processor</t>
  </si>
  <si>
    <t>Maintain records on:
- Signed cylinder evacuation certification statement from technician</t>
  </si>
  <si>
    <t>Cylinder Heels</t>
  </si>
  <si>
    <t>Leak repair 15+ pound threshold (plus school bus AC); ALD for 1500+ pound CR and IPR equipment (new in 2026, 2017-2025 existing systems in 2027) (50/50 direct and indirect ALD)</t>
  </si>
  <si>
    <t>Refrigerant Technicians</t>
  </si>
  <si>
    <t>Fire Suppression Manufacturers</t>
  </si>
  <si>
    <t>Small businesses impacted by Reporting and Recordkeeping Requirements (from SBREFA)</t>
  </si>
  <si>
    <t>Cylinder Heel Recovery</t>
  </si>
  <si>
    <t>Final Processor</t>
  </si>
  <si>
    <t>Reporting Average Hours</t>
  </si>
  <si>
    <t>Recordkeeping Average Hours</t>
  </si>
  <si>
    <t>Third party reporting</t>
  </si>
  <si>
    <t>Third party reporting hours</t>
  </si>
  <si>
    <t>Reclaimer Reporting Average Hours (RCRA)</t>
  </si>
  <si>
    <t>Reclaimer Recordkeeping Average Hours (RCRA)</t>
  </si>
  <si>
    <t>Reclaimer Third party reporting hours (RCRA)</t>
  </si>
  <si>
    <t>Total hours with avoided reclaimer removed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</si>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</sst>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41" formatCode="_(* #,##0_);_(* \(#,##0\);_(* &quot;-&quot;_);_(@_)"/>
    <numFmt numFmtId="44" formatCode="_(&quot;$&quot;* #,##0.00_);_(&quot;$&quot;* \(#,##0.00\);_(&quot;$&quot;* &quot;-&quot;??_);_(@_)"/>
    <numFmt numFmtId="43" formatCode="_(* #,##0.00_);_(* \(#,##0.00\);_(* &quot;-&quot;??_);_(@_)"/>
    <numFmt numFmtId="164" formatCode="&quot;$&quot;#,##0.00"/>
    <numFmt numFmtId="165" formatCode="_(* #,##0_);_(* \(#,##0\);_(* &quot;-&quot;??_);_(@_)"/>
    <numFmt numFmtId="166" formatCode="_(* #,##0.000_);_(* \(#,##0.000\);_(* &quot;-&quot;??_);_(@_)"/>
    <numFmt numFmtId="167" formatCode="&quot;$&quot;#,##0"/>
    <numFmt numFmtId="168" formatCode="0.0000%"/>
    <numFmt numFmtId="169" formatCode="_(&quot;$&quot;* #,##0_);_(&quot;$&quot;* \(#,##0\);_(&quot;$&quot;* &quot;-&quot;??_);_(@_)"/>
    <numFmt numFmtId="170" formatCode="_(* #,##0.0_);_(* \(#,##0.0\);_(* &quot;-&quot;??_);_(@_)"/>
    <numFmt numFmtId="171" formatCode="0.000"/>
    <numFmt numFmtId="172" formatCode="0.0"/>
    <numFmt numFmtId="173" formatCode="0_);[Red]\(0\)"/>
    <numFmt numFmtId="174" formatCode="0.00_);[Red]\(0.00\)"/>
    <numFmt numFmtId="175" formatCode="&quot;$&quot;#,##0.0"/>
    <numFmt numFmtId="176" formatCode="&quot; &quot;#,##0.00&quot; &quot;;&quot; (&quot;#,##0.00&quot;)&quot;;&quot; -&quot;00&quot; &quot;;&quot; &quot;@&quot; &quot;"/>
  </numFmts>
  <fonts count="52">
    <font>
      <sz val="11"/>
      <color theme="1"/>
      <name val="Calibri"/>
      <family val="2"/>
      <scheme val="minor"/>
    </font>
    <font>
      <b/>
      <sz val="11"/>
      <color theme="0"/>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8"/>
      <color rgb="FF0070C0"/>
      <name val="Calibri"/>
      <family val="2"/>
      <scheme val="minor"/>
    </font>
    <font>
      <b/>
      <sz val="14"/>
      <color rgb="FF0070C0"/>
      <name val="Calibri"/>
      <family val="2"/>
      <scheme val="minor"/>
    </font>
    <font>
      <b/>
      <sz val="11"/>
      <name val="Calibri"/>
      <family val="2"/>
      <scheme val="minor"/>
    </font>
    <font>
      <sz val="11"/>
      <name val="Calibri"/>
      <family val="2"/>
      <scheme val="minor"/>
    </font>
    <font>
      <sz val="9"/>
      <color indexed="81"/>
      <name val="Tahoma"/>
      <family val="2"/>
    </font>
    <font>
      <b/>
      <sz val="9"/>
      <color indexed="81"/>
      <name val="Tahoma"/>
      <family val="2"/>
    </font>
    <font>
      <sz val="10"/>
      <name val="SWISS"/>
    </font>
    <font>
      <sz val="12"/>
      <name val="Courier New"/>
      <family val="3"/>
    </font>
    <font>
      <u/>
      <sz val="10.45"/>
      <color indexed="12"/>
      <name val="Courier New"/>
      <family val="3"/>
    </font>
    <font>
      <sz val="11"/>
      <color rgb="FF000000"/>
      <name val="Calibri"/>
      <family val="2"/>
    </font>
    <font>
      <b/>
      <sz val="11"/>
      <color rgb="FF000000"/>
      <name val="Calibri"/>
      <family val="2"/>
    </font>
    <font>
      <b/>
      <sz val="14"/>
      <color theme="1"/>
      <name val="Calibri"/>
      <family val="2"/>
      <scheme val="minor"/>
    </font>
    <font>
      <sz val="11"/>
      <color rgb="FFFF0000"/>
      <name val="Calibri"/>
      <family val="2"/>
      <scheme val="minor"/>
    </font>
    <font>
      <sz val="11"/>
      <color theme="0"/>
      <name val="Calibri"/>
      <family val="2"/>
      <scheme val="minor"/>
    </font>
    <font>
      <sz val="10"/>
      <color theme="1"/>
      <name val="Calibri"/>
      <family val="2"/>
      <scheme val="minor"/>
    </font>
    <font>
      <b/>
      <sz val="11"/>
      <color rgb="FFFF0000"/>
      <name val="Calibri"/>
      <family val="2"/>
      <scheme val="minor"/>
    </font>
    <font>
      <sz val="11"/>
      <color rgb="FFBFBFBF"/>
      <name val="Calibri"/>
      <family val="2"/>
      <scheme val="minor"/>
    </font>
    <font>
      <b/>
      <sz val="11"/>
      <color theme="1"/>
      <name val="Calibri"/>
      <family val="2"/>
      <charset val="1"/>
    </font>
    <font>
      <sz val="11"/>
      <color theme="1"/>
      <name val="Calibri"/>
      <family val="2"/>
      <charset val="1"/>
    </font>
    <font>
      <b/>
      <sz val="11"/>
      <color theme="1"/>
      <name val="Calibri"/>
      <family val="2"/>
    </font>
    <font>
      <b/>
      <sz val="11"/>
      <color rgb="FFBFBFBF"/>
      <name val="Calibri"/>
      <family val="2"/>
      <scheme val="minor"/>
    </font>
    <font>
      <sz val="10"/>
      <color rgb="FF000000"/>
      <name val="Calibri"/>
      <family val="2"/>
      <scheme val="minor"/>
    </font>
    <font>
      <b/>
      <sz val="12"/>
      <name val="Calibri"/>
      <family val="2"/>
      <scheme val="minor"/>
    </font>
    <font>
      <i/>
      <sz val="11"/>
      <color theme="1"/>
      <name val="Calibri"/>
      <family val="2"/>
      <scheme val="minor"/>
    </font>
    <font>
      <sz val="11"/>
      <color theme="6"/>
      <name val="Calibri"/>
      <family val="2"/>
      <charset val="1"/>
    </font>
    <font>
      <sz val="11"/>
      <color theme="0" tint="-0.14999847407452621"/>
      <name val="Calibri"/>
      <family val="2"/>
      <scheme val="minor"/>
    </font>
    <font>
      <b/>
      <sz val="9"/>
      <color rgb="FF000000"/>
      <name val="Times New Roman"/>
      <family val="1"/>
    </font>
    <font>
      <sz val="9"/>
      <color theme="1"/>
      <name val="Times New Roman"/>
      <family val="1"/>
    </font>
    <font>
      <b/>
      <sz val="10"/>
      <color rgb="FF000000"/>
      <name val="Times New Roman"/>
      <family val="1"/>
    </font>
    <font>
      <sz val="10"/>
      <color theme="1"/>
      <name val="Times New Roman"/>
      <family val="1"/>
    </font>
    <font>
      <sz val="10"/>
      <color rgb="FF000000"/>
      <name val="Times New Roman"/>
      <family val="1"/>
    </font>
    <font>
      <b/>
      <sz val="10"/>
      <color theme="1"/>
      <name val="Times New Roman"/>
      <family val="1"/>
    </font>
    <font>
      <sz val="11"/>
      <color rgb="FF000000"/>
      <name val="Calibri"/>
      <family val="2"/>
    </font>
    <font>
      <sz val="11"/>
      <color theme="1"/>
      <name val="Calibri"/>
      <family val="2"/>
    </font>
    <font>
      <b/>
      <sz val="9"/>
      <color theme="1"/>
      <name val="Times New Roman"/>
      <family val="1"/>
    </font>
    <font>
      <sz val="9"/>
      <name val="Times New Roman"/>
      <family val="1"/>
    </font>
    <font>
      <b/>
      <sz val="10"/>
      <color theme="1"/>
      <name val="Arial Narrow"/>
      <family val="2"/>
    </font>
    <font>
      <b/>
      <sz val="11"/>
      <color theme="1"/>
      <name val="Arial Narrow"/>
      <family val="2"/>
    </font>
    <font>
      <sz val="11"/>
      <color theme="1"/>
      <name val="Arial Narrow"/>
      <family val="2"/>
    </font>
    <font>
      <b/>
      <sz val="13"/>
      <color theme="3"/>
      <name val="Calibri"/>
      <family val="2"/>
      <scheme val="minor"/>
    </font>
    <font>
      <sz val="10"/>
      <color rgb="FF000000"/>
      <name val="Arial"/>
      <family val="2"/>
    </font>
    <font>
      <sz val="10"/>
      <color theme="1"/>
      <name val="Arial"/>
      <family val="2"/>
    </font>
    <font>
      <sz val="10"/>
      <name val="Arial"/>
      <family val="2"/>
    </font>
    <font>
      <u/>
      <sz val="11"/>
      <color rgb="FF0000FF"/>
      <name val="Calibri"/>
      <family val="2"/>
    </font>
    <font>
      <sz val="12"/>
      <color theme="1"/>
      <name val="Times New Roman"/>
      <family val="1"/>
    </font>
    <font>
      <sz val="10"/>
      <color rgb="FF000000"/>
      <name val="Arial"/>
    </font>
    <font>
      <i/>
      <sz val="11"/>
      <name val="Calibri"/>
      <family val="2"/>
      <scheme val="minor"/>
    </font>
  </fonts>
  <fills count="18">
    <fill>
      <patternFill patternType="none"/>
    </fill>
    <fill>
      <patternFill patternType="gray125"/>
    </fill>
    <fill>
      <patternFill patternType="solid">
        <fgColor rgb="FF0070C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rgb="FFD9D9D9"/>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rgb="FFF2F2F2"/>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4" tint="0.39997558519241921"/>
        <bgColor indexed="65"/>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diagonal/>
    </border>
    <border>
      <left/>
      <right/>
      <top style="thin">
        <color theme="0" tint="-0.499984740745262"/>
      </top>
      <bottom/>
      <diagonal/>
    </border>
    <border>
      <left style="thin">
        <color theme="0" tint="-0.34998626667073579"/>
      </left>
      <right style="thin">
        <color theme="0" tint="-0.34998626667073579"/>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diagonal/>
    </border>
    <border>
      <left style="thin">
        <color theme="0" tint="-0.34998626667073579"/>
      </left>
      <right style="thin">
        <color theme="0" tint="-0.34998626667073579"/>
      </right>
      <top/>
      <bottom style="thin">
        <color theme="0" tint="-0.34998626667073579"/>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indexed="64"/>
      </bottom>
      <diagonal/>
    </border>
    <border>
      <left/>
      <right style="thin">
        <color theme="0" tint="-0.34998626667073579"/>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
      <left/>
      <right/>
      <top style="thin">
        <color indexed="64"/>
      </top>
      <bottom/>
      <diagonal/>
    </border>
    <border>
      <left/>
      <right/>
      <top/>
      <bottom style="thick">
        <color theme="4" tint="0.49998474074526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7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1" fillId="0" borderId="0"/>
    <xf numFmtId="0" fontId="12" fillId="0" borderId="0"/>
    <xf numFmtId="0" fontId="13" fillId="0" borderId="0" applyNumberFormat="0" applyFill="0" applyBorder="0" applyAlignment="0" applyProtection="0">
      <alignment vertical="top"/>
      <protection locked="0"/>
    </xf>
    <xf numFmtId="0" fontId="44" fillId="0" borderId="55" applyNumberFormat="0" applyFill="0" applyAlignment="0" applyProtection="0"/>
    <xf numFmtId="0" fontId="3" fillId="0" borderId="56" applyNumberFormat="0" applyFill="0" applyAlignment="0" applyProtection="0"/>
    <xf numFmtId="43" fontId="47" fillId="0" borderId="0" applyFont="0" applyFill="0" applyBorder="0" applyAlignment="0" applyProtection="0"/>
    <xf numFmtId="44" fontId="46" fillId="0" borderId="0" applyFont="0" applyFill="0" applyBorder="0" applyAlignment="0" applyProtection="0"/>
    <xf numFmtId="0" fontId="47" fillId="0" borderId="0"/>
    <xf numFmtId="0" fontId="47" fillId="0" borderId="0"/>
    <xf numFmtId="0" fontId="47" fillId="0" borderId="0"/>
    <xf numFmtId="0" fontId="46" fillId="0" borderId="0"/>
    <xf numFmtId="9" fontId="2" fillId="0" borderId="0" applyFont="0" applyFill="0" applyBorder="0" applyAlignment="0" applyProtection="0"/>
    <xf numFmtId="9" fontId="46" fillId="0" borderId="0" applyFont="0" applyFill="0" applyBorder="0" applyAlignment="0" applyProtection="0"/>
    <xf numFmtId="176" fontId="14"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4"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4" fillId="0" borderId="0" applyNumberFormat="0" applyFont="0" applyFill="0" applyBorder="0" applyAlignment="0" applyProtection="0"/>
    <xf numFmtId="0" fontId="48" fillId="0" borderId="0" applyNumberFormat="0" applyFill="0" applyBorder="0" applyAlignment="0" applyProtection="0"/>
    <xf numFmtId="44" fontId="14" fillId="0" borderId="0" applyFont="0" applyFill="0" applyBorder="0" applyAlignment="0" applyProtection="0"/>
    <xf numFmtId="0" fontId="18" fillId="17" borderId="0" applyNumberFormat="0" applyBorder="0" applyAlignment="0" applyProtection="0"/>
  </cellStyleXfs>
  <cellXfs count="476">
    <xf numFmtId="0" fontId="0" fillId="0" borderId="0" xfId="0"/>
    <xf numFmtId="0" fontId="4" fillId="0" borderId="0" xfId="0" applyFont="1"/>
    <xf numFmtId="0" fontId="0" fillId="0" borderId="0" xfId="0" applyAlignment="1">
      <alignment wrapText="1"/>
    </xf>
    <xf numFmtId="0" fontId="5" fillId="0" borderId="0" xfId="0" applyFont="1"/>
    <xf numFmtId="0" fontId="6" fillId="0" borderId="0" xfId="0" applyFont="1"/>
    <xf numFmtId="0" fontId="8" fillId="0" borderId="0" xfId="0" applyFont="1"/>
    <xf numFmtId="0" fontId="1" fillId="0" borderId="0" xfId="0" applyFont="1" applyAlignment="1">
      <alignment horizontal="center" wrapText="1"/>
    </xf>
    <xf numFmtId="0" fontId="0" fillId="0" borderId="0" xfId="0" applyAlignment="1">
      <alignment horizontal="center"/>
    </xf>
    <xf numFmtId="43" fontId="0" fillId="0" borderId="0" xfId="0" applyNumberFormat="1"/>
    <xf numFmtId="165" fontId="0" fillId="0" borderId="0" xfId="0" applyNumberFormat="1"/>
    <xf numFmtId="167" fontId="0" fillId="0" borderId="0" xfId="0" applyNumberFormat="1"/>
    <xf numFmtId="168" fontId="0" fillId="0" borderId="0" xfId="3" applyNumberFormat="1" applyFont="1"/>
    <xf numFmtId="0" fontId="0" fillId="0" borderId="0" xfId="0" applyAlignment="1">
      <alignment vertical="center"/>
    </xf>
    <xf numFmtId="165" fontId="3" fillId="0" borderId="1" xfId="1" applyNumberFormat="1" applyFont="1" applyBorder="1" applyAlignment="1">
      <alignment horizontal="right"/>
    </xf>
    <xf numFmtId="0" fontId="8" fillId="0" borderId="1" xfId="0" applyFont="1" applyBorder="1" applyAlignment="1">
      <alignment horizontal="left" vertical="center" wrapText="1"/>
    </xf>
    <xf numFmtId="164" fontId="0" fillId="0" borderId="0" xfId="0" applyNumberFormat="1"/>
    <xf numFmtId="9" fontId="0" fillId="0" borderId="0" xfId="3" applyFont="1"/>
    <xf numFmtId="0" fontId="16" fillId="0" borderId="0" xfId="0" applyFont="1"/>
    <xf numFmtId="3" fontId="0" fillId="0" borderId="0" xfId="0" applyNumberFormat="1"/>
    <xf numFmtId="0" fontId="17" fillId="0" borderId="0" xfId="0" applyFont="1"/>
    <xf numFmtId="165" fontId="0" fillId="0" borderId="1" xfId="1" applyNumberFormat="1" applyFont="1" applyFill="1" applyBorder="1" applyAlignment="1">
      <alignment horizontal="right" vertical="center"/>
    </xf>
    <xf numFmtId="0" fontId="3" fillId="0" borderId="5" xfId="0" applyFont="1" applyBorder="1" applyAlignment="1">
      <alignment wrapText="1"/>
    </xf>
    <xf numFmtId="0" fontId="3" fillId="0" borderId="6" xfId="0" applyFont="1" applyBorder="1" applyAlignment="1">
      <alignment wrapText="1"/>
    </xf>
    <xf numFmtId="0" fontId="18" fillId="0" borderId="0" xfId="0" applyFont="1"/>
    <xf numFmtId="3" fontId="17" fillId="0" borderId="0" xfId="0" applyNumberFormat="1" applyFont="1"/>
    <xf numFmtId="165" fontId="8" fillId="0" borderId="0" xfId="0" applyNumberFormat="1" applyFont="1"/>
    <xf numFmtId="0" fontId="3" fillId="0" borderId="0" xfId="0" applyFont="1"/>
    <xf numFmtId="169" fontId="0" fillId="0" borderId="1" xfId="2" applyNumberFormat="1" applyFont="1" applyFill="1" applyBorder="1" applyAlignment="1">
      <alignment horizontal="right" vertical="center"/>
    </xf>
    <xf numFmtId="0" fontId="20" fillId="0" borderId="0" xfId="0" applyFont="1" applyAlignment="1">
      <alignment vertical="center"/>
    </xf>
    <xf numFmtId="165" fontId="20" fillId="0" borderId="0" xfId="1" applyNumberFormat="1" applyFont="1" applyAlignment="1">
      <alignment vertical="center"/>
    </xf>
    <xf numFmtId="0" fontId="21" fillId="0" borderId="0" xfId="0" applyFont="1"/>
    <xf numFmtId="0" fontId="0" fillId="0" borderId="9" xfId="0" applyBorder="1" applyAlignment="1">
      <alignment vertical="center" wrapText="1"/>
    </xf>
    <xf numFmtId="164" fontId="0" fillId="0" borderId="9" xfId="0" applyNumberFormat="1" applyBorder="1"/>
    <xf numFmtId="164" fontId="0" fillId="5" borderId="9" xfId="0" applyNumberFormat="1" applyFill="1" applyBorder="1" applyAlignment="1">
      <alignment vertical="center"/>
    </xf>
    <xf numFmtId="43" fontId="0" fillId="0" borderId="0" xfId="1" applyFont="1"/>
    <xf numFmtId="0" fontId="21" fillId="0" borderId="0" xfId="0" applyFont="1" applyAlignment="1">
      <alignment horizontal="left"/>
    </xf>
    <xf numFmtId="0" fontId="1" fillId="2" borderId="9" xfId="0" applyFont="1" applyFill="1" applyBorder="1" applyAlignment="1">
      <alignment horizontal="center" vertical="center" wrapText="1"/>
    </xf>
    <xf numFmtId="165" fontId="1" fillId="2" borderId="9" xfId="0" applyNumberFormat="1" applyFont="1" applyFill="1" applyBorder="1" applyAlignment="1">
      <alignment horizontal="center" vertical="center" wrapText="1"/>
    </xf>
    <xf numFmtId="0" fontId="8" fillId="0" borderId="9" xfId="0" applyFont="1" applyBorder="1" applyAlignment="1">
      <alignment vertical="center" wrapText="1"/>
    </xf>
    <xf numFmtId="165" fontId="8" fillId="0" borderId="9" xfId="1" applyNumberFormat="1" applyFont="1" applyFill="1" applyBorder="1" applyAlignment="1">
      <alignment vertical="center"/>
    </xf>
    <xf numFmtId="43" fontId="8" fillId="0" borderId="9" xfId="1" applyFont="1" applyFill="1" applyBorder="1" applyAlignment="1">
      <alignment vertical="center"/>
    </xf>
    <xf numFmtId="172" fontId="8" fillId="0" borderId="9" xfId="0" applyNumberFormat="1" applyFont="1" applyBorder="1" applyAlignment="1">
      <alignment vertical="center"/>
    </xf>
    <xf numFmtId="164" fontId="8" fillId="0" borderId="9" xfId="1" applyNumberFormat="1" applyFont="1" applyFill="1" applyBorder="1" applyAlignment="1">
      <alignment vertical="center"/>
    </xf>
    <xf numFmtId="167" fontId="8" fillId="0" borderId="9" xfId="1" applyNumberFormat="1" applyFont="1" applyFill="1" applyBorder="1" applyAlignment="1">
      <alignment vertical="center"/>
    </xf>
    <xf numFmtId="0" fontId="22" fillId="6" borderId="1" xfId="0" applyFont="1" applyFill="1" applyBorder="1"/>
    <xf numFmtId="0" fontId="23" fillId="0" borderId="1" xfId="0" applyFont="1" applyBorder="1"/>
    <xf numFmtId="43" fontId="14" fillId="0" borderId="1" xfId="0" quotePrefix="1" applyNumberFormat="1" applyFont="1" applyBorder="1"/>
    <xf numFmtId="164" fontId="14" fillId="0" borderId="1" xfId="0" quotePrefix="1" applyNumberFormat="1" applyFont="1" applyBorder="1"/>
    <xf numFmtId="43" fontId="23" fillId="0" borderId="1" xfId="0" applyNumberFormat="1" applyFont="1" applyBorder="1"/>
    <xf numFmtId="0" fontId="8" fillId="0" borderId="9" xfId="0" applyFont="1" applyBorder="1" applyAlignment="1">
      <alignment vertical="top" wrapText="1"/>
    </xf>
    <xf numFmtId="165" fontId="8" fillId="0" borderId="9" xfId="1" applyNumberFormat="1" applyFont="1" applyFill="1" applyBorder="1" applyAlignment="1">
      <alignment horizontal="right" vertical="center"/>
    </xf>
    <xf numFmtId="43" fontId="8" fillId="0" borderId="9" xfId="1" applyFont="1" applyFill="1" applyBorder="1" applyAlignment="1">
      <alignment horizontal="right" vertical="center"/>
    </xf>
    <xf numFmtId="166" fontId="8" fillId="0" borderId="9" xfId="1" applyNumberFormat="1" applyFont="1" applyFill="1" applyBorder="1" applyAlignment="1">
      <alignment horizontal="right" vertical="center"/>
    </xf>
    <xf numFmtId="165" fontId="8" fillId="0" borderId="9" xfId="0" applyNumberFormat="1" applyFont="1" applyBorder="1" applyAlignment="1">
      <alignment vertical="center"/>
    </xf>
    <xf numFmtId="0" fontId="24" fillId="0" borderId="1" xfId="0" applyFont="1" applyBorder="1"/>
    <xf numFmtId="165" fontId="15" fillId="0" borderId="1" xfId="0" quotePrefix="1" applyNumberFormat="1" applyFont="1" applyBorder="1"/>
    <xf numFmtId="43" fontId="15" fillId="0" borderId="1" xfId="0" quotePrefix="1" applyNumberFormat="1" applyFont="1" applyBorder="1" applyAlignment="1">
      <alignment horizontal="left" indent="1"/>
    </xf>
    <xf numFmtId="0" fontId="0" fillId="0" borderId="2" xfId="0" applyBorder="1" applyAlignment="1">
      <alignment horizontal="left" vertical="center" wrapText="1"/>
    </xf>
    <xf numFmtId="165" fontId="8" fillId="0" borderId="9" xfId="1" applyNumberFormat="1" applyFont="1" applyBorder="1" applyAlignment="1">
      <alignment vertical="center"/>
    </xf>
    <xf numFmtId="167" fontId="8" fillId="0" borderId="9" xfId="1" applyNumberFormat="1" applyFont="1" applyFill="1" applyBorder="1" applyAlignment="1">
      <alignment horizontal="right" vertical="center"/>
    </xf>
    <xf numFmtId="2" fontId="23" fillId="0" borderId="1" xfId="0" applyNumberFormat="1" applyFont="1" applyBorder="1"/>
    <xf numFmtId="164" fontId="23" fillId="0" borderId="1" xfId="0" applyNumberFormat="1" applyFont="1" applyBorder="1"/>
    <xf numFmtId="0" fontId="23" fillId="0" borderId="0" xfId="0" applyFont="1"/>
    <xf numFmtId="2" fontId="8" fillId="0" borderId="9" xfId="0" applyNumberFormat="1" applyFont="1" applyBorder="1" applyAlignment="1">
      <alignment vertical="center"/>
    </xf>
    <xf numFmtId="165" fontId="23" fillId="0" borderId="1" xfId="0" applyNumberFormat="1" applyFont="1" applyBorder="1"/>
    <xf numFmtId="6" fontId="23" fillId="0" borderId="1" xfId="0" applyNumberFormat="1" applyFont="1" applyBorder="1" applyAlignment="1">
      <alignment horizontal="right"/>
    </xf>
    <xf numFmtId="170" fontId="8" fillId="4" borderId="9" xfId="1" applyNumberFormat="1" applyFont="1" applyFill="1" applyBorder="1" applyAlignment="1">
      <alignment horizontal="right" vertical="center"/>
    </xf>
    <xf numFmtId="171" fontId="8" fillId="0" borderId="0" xfId="0" applyNumberFormat="1" applyFont="1"/>
    <xf numFmtId="43" fontId="8" fillId="0" borderId="0" xfId="0" applyNumberFormat="1" applyFont="1"/>
    <xf numFmtId="43" fontId="8" fillId="4" borderId="9" xfId="1" applyFont="1" applyFill="1" applyBorder="1" applyAlignment="1">
      <alignment horizontal="right" vertical="center"/>
    </xf>
    <xf numFmtId="43" fontId="8" fillId="0" borderId="9" xfId="1" applyFont="1" applyBorder="1" applyAlignment="1">
      <alignment horizontal="right" vertical="center"/>
    </xf>
    <xf numFmtId="0" fontId="21" fillId="7" borderId="0" xfId="0" applyFont="1" applyFill="1"/>
    <xf numFmtId="0" fontId="8" fillId="7" borderId="0" xfId="0" applyFont="1" applyFill="1"/>
    <xf numFmtId="0" fontId="25" fillId="0" borderId="0" xfId="0" applyFont="1"/>
    <xf numFmtId="0" fontId="7" fillId="0" borderId="0" xfId="0" applyFont="1"/>
    <xf numFmtId="170" fontId="8" fillId="0" borderId="9" xfId="1" applyNumberFormat="1" applyFont="1" applyFill="1" applyBorder="1" applyAlignment="1">
      <alignment horizontal="right" vertical="center"/>
    </xf>
    <xf numFmtId="0" fontId="0" fillId="0" borderId="9" xfId="0" applyBorder="1" applyAlignment="1">
      <alignment horizontal="left" vertical="center" wrapText="1"/>
    </xf>
    <xf numFmtId="0" fontId="3" fillId="3" borderId="9" xfId="0" applyFont="1" applyFill="1" applyBorder="1" applyAlignment="1">
      <alignment vertical="center" wrapText="1"/>
    </xf>
    <xf numFmtId="0" fontId="0" fillId="3" borderId="9" xfId="0" applyFill="1" applyBorder="1" applyAlignment="1">
      <alignment vertical="center" wrapText="1"/>
    </xf>
    <xf numFmtId="165" fontId="3" fillId="3" borderId="9" xfId="1" applyNumberFormat="1" applyFont="1" applyFill="1" applyBorder="1" applyAlignment="1">
      <alignment vertical="center"/>
    </xf>
    <xf numFmtId="43" fontId="3" fillId="3" borderId="9" xfId="1" applyFont="1" applyFill="1" applyBorder="1" applyAlignment="1">
      <alignment horizontal="center" vertical="center"/>
    </xf>
    <xf numFmtId="165" fontId="3" fillId="3" borderId="9" xfId="1" applyNumberFormat="1" applyFont="1" applyFill="1" applyBorder="1" applyAlignment="1">
      <alignment horizontal="center" vertical="center"/>
    </xf>
    <xf numFmtId="167" fontId="3" fillId="3" borderId="9" xfId="1" applyNumberFormat="1" applyFont="1" applyFill="1" applyBorder="1" applyAlignment="1">
      <alignment vertical="center"/>
    </xf>
    <xf numFmtId="0" fontId="0" fillId="0" borderId="0" xfId="0" applyAlignment="1">
      <alignment vertical="center" wrapText="1"/>
    </xf>
    <xf numFmtId="165" fontId="0" fillId="0" borderId="0" xfId="0" applyNumberFormat="1" applyAlignment="1">
      <alignment vertical="center"/>
    </xf>
    <xf numFmtId="167" fontId="0" fillId="0" borderId="0" xfId="0" applyNumberFormat="1" applyAlignment="1">
      <alignment vertical="center"/>
    </xf>
    <xf numFmtId="43" fontId="0" fillId="0" borderId="0" xfId="0" applyNumberFormat="1" applyAlignment="1">
      <alignment wrapText="1"/>
    </xf>
    <xf numFmtId="0" fontId="1" fillId="2" borderId="9" xfId="0" applyFont="1" applyFill="1" applyBorder="1" applyAlignment="1">
      <alignment horizontal="center" wrapText="1"/>
    </xf>
    <xf numFmtId="165" fontId="1" fillId="2" borderId="9" xfId="0" applyNumberFormat="1" applyFont="1" applyFill="1" applyBorder="1" applyAlignment="1">
      <alignment horizontal="center" wrapText="1"/>
    </xf>
    <xf numFmtId="165" fontId="0" fillId="0" borderId="9" xfId="0" applyNumberFormat="1" applyBorder="1"/>
    <xf numFmtId="167" fontId="0" fillId="0" borderId="9" xfId="2" applyNumberFormat="1" applyFont="1" applyBorder="1"/>
    <xf numFmtId="170" fontId="0" fillId="0" borderId="0" xfId="0" applyNumberFormat="1"/>
    <xf numFmtId="0" fontId="19" fillId="0" borderId="0" xfId="0" applyFont="1" applyAlignment="1">
      <alignment horizontal="center" vertical="center"/>
    </xf>
    <xf numFmtId="3" fontId="19" fillId="0" borderId="0" xfId="0" applyNumberFormat="1" applyFont="1" applyAlignment="1">
      <alignment horizontal="center" vertical="center"/>
    </xf>
    <xf numFmtId="0" fontId="19" fillId="0" borderId="0" xfId="0" applyFont="1" applyAlignment="1">
      <alignment vertical="center" wrapText="1"/>
    </xf>
    <xf numFmtId="0" fontId="26" fillId="0" borderId="0" xfId="0" applyFont="1" applyAlignment="1">
      <alignment horizontal="center" vertical="center"/>
    </xf>
    <xf numFmtId="3" fontId="26" fillId="0" borderId="0" xfId="0" applyNumberFormat="1" applyFont="1" applyAlignment="1">
      <alignment horizontal="center" vertical="center"/>
    </xf>
    <xf numFmtId="0" fontId="19" fillId="0" borderId="0" xfId="0" applyFont="1" applyAlignment="1">
      <alignment horizontal="center" vertical="center" wrapText="1"/>
    </xf>
    <xf numFmtId="165" fontId="8" fillId="0" borderId="1" xfId="1" applyNumberFormat="1" applyFont="1" applyFill="1" applyBorder="1" applyAlignment="1">
      <alignment horizontal="right" vertical="center"/>
    </xf>
    <xf numFmtId="43" fontId="8" fillId="0" borderId="1" xfId="1" applyFont="1" applyFill="1" applyBorder="1" applyAlignment="1">
      <alignment horizontal="right" vertical="center"/>
    </xf>
    <xf numFmtId="166" fontId="8" fillId="0" borderId="1" xfId="1" applyNumberFormat="1" applyFont="1" applyFill="1" applyBorder="1" applyAlignment="1">
      <alignment horizontal="right" vertical="center"/>
    </xf>
    <xf numFmtId="165" fontId="8" fillId="0" borderId="1" xfId="1" applyNumberFormat="1" applyFont="1" applyFill="1" applyBorder="1" applyAlignment="1">
      <alignment horizontal="right" vertical="center" wrapText="1"/>
    </xf>
    <xf numFmtId="0" fontId="8" fillId="0" borderId="1" xfId="0" applyFont="1" applyBorder="1" applyAlignment="1">
      <alignment horizontal="right" vertical="center" wrapText="1"/>
    </xf>
    <xf numFmtId="3" fontId="8" fillId="0" borderId="1" xfId="0" applyNumberFormat="1" applyFont="1" applyBorder="1" applyAlignment="1">
      <alignment horizontal="right" vertical="center" wrapText="1"/>
    </xf>
    <xf numFmtId="169" fontId="0" fillId="0" borderId="0" xfId="0" applyNumberFormat="1"/>
    <xf numFmtId="165" fontId="8" fillId="0" borderId="0" xfId="1" applyNumberFormat="1" applyFont="1"/>
    <xf numFmtId="170" fontId="8" fillId="0" borderId="1" xfId="1" applyNumberFormat="1" applyFont="1" applyFill="1" applyBorder="1" applyAlignment="1">
      <alignment horizontal="right" vertical="center" wrapText="1"/>
    </xf>
    <xf numFmtId="43" fontId="8" fillId="0" borderId="1" xfId="0" applyNumberFormat="1" applyFont="1" applyBorder="1" applyAlignment="1">
      <alignment horizontal="right" vertical="center" wrapText="1"/>
    </xf>
    <xf numFmtId="0" fontId="1" fillId="2" borderId="3" xfId="0" applyFont="1" applyFill="1" applyBorder="1" applyAlignment="1">
      <alignment horizontal="center" vertical="center" wrapText="1"/>
    </xf>
    <xf numFmtId="0" fontId="27" fillId="0" borderId="0" xfId="0" applyFont="1" applyAlignment="1">
      <alignment horizontal="left"/>
    </xf>
    <xf numFmtId="167" fontId="0" fillId="0" borderId="9" xfId="1" applyNumberFormat="1" applyFont="1" applyBorder="1" applyAlignment="1">
      <alignment horizontal="right"/>
    </xf>
    <xf numFmtId="165" fontId="0" fillId="0" borderId="9" xfId="1" applyNumberFormat="1" applyFont="1" applyBorder="1"/>
    <xf numFmtId="1" fontId="0" fillId="0" borderId="0" xfId="0" applyNumberFormat="1"/>
    <xf numFmtId="0" fontId="3" fillId="3" borderId="15" xfId="0" applyFont="1" applyFill="1" applyBorder="1" applyAlignment="1">
      <alignment wrapText="1"/>
    </xf>
    <xf numFmtId="165" fontId="3" fillId="3" borderId="15" xfId="1" applyNumberFormat="1" applyFont="1" applyFill="1" applyBorder="1" applyAlignment="1">
      <alignment horizontal="right"/>
    </xf>
    <xf numFmtId="167" fontId="3" fillId="3" borderId="15" xfId="1" applyNumberFormat="1" applyFont="1" applyFill="1" applyBorder="1" applyAlignment="1">
      <alignment horizontal="right"/>
    </xf>
    <xf numFmtId="0" fontId="3" fillId="0" borderId="17" xfId="0" applyFont="1" applyBorder="1"/>
    <xf numFmtId="0" fontId="3" fillId="0" borderId="1" xfId="0" applyFont="1" applyBorder="1" applyAlignment="1">
      <alignment wrapText="1"/>
    </xf>
    <xf numFmtId="164" fontId="7" fillId="0" borderId="0" xfId="2" applyNumberFormat="1" applyFont="1" applyFill="1" applyBorder="1" applyAlignment="1">
      <alignment vertical="center"/>
    </xf>
    <xf numFmtId="0" fontId="8" fillId="0" borderId="0" xfId="0" applyFont="1" applyAlignment="1">
      <alignment horizontal="left" vertical="center"/>
    </xf>
    <xf numFmtId="9" fontId="0" fillId="8" borderId="8" xfId="3" applyFont="1" applyFill="1" applyBorder="1"/>
    <xf numFmtId="9" fontId="2" fillId="8" borderId="8" xfId="3" applyFont="1" applyFill="1" applyBorder="1"/>
    <xf numFmtId="9" fontId="0" fillId="0" borderId="0" xfId="3" applyFont="1" applyFill="1" applyBorder="1"/>
    <xf numFmtId="17" fontId="0" fillId="0" borderId="0" xfId="0" applyNumberFormat="1"/>
    <xf numFmtId="0" fontId="1" fillId="2" borderId="3" xfId="0" applyFont="1" applyFill="1" applyBorder="1" applyAlignment="1">
      <alignment vertical="center" wrapText="1"/>
    </xf>
    <xf numFmtId="0" fontId="1" fillId="2" borderId="1" xfId="0" applyFont="1" applyFill="1" applyBorder="1" applyAlignment="1">
      <alignment vertical="center" wrapText="1"/>
    </xf>
    <xf numFmtId="0" fontId="28" fillId="0" borderId="0" xfId="0" applyFont="1"/>
    <xf numFmtId="0" fontId="1" fillId="2" borderId="1" xfId="0" applyFont="1" applyFill="1" applyBorder="1" applyAlignment="1">
      <alignment horizontal="center" vertical="center" wrapText="1"/>
    </xf>
    <xf numFmtId="165" fontId="0" fillId="9" borderId="1" xfId="1" applyNumberFormat="1" applyFont="1" applyFill="1" applyBorder="1" applyAlignment="1">
      <alignment horizontal="right" vertical="center"/>
    </xf>
    <xf numFmtId="165" fontId="3" fillId="9" borderId="1" xfId="1" applyNumberFormat="1" applyFont="1" applyFill="1" applyBorder="1" applyAlignment="1">
      <alignment horizontal="right"/>
    </xf>
    <xf numFmtId="165" fontId="0" fillId="9" borderId="9" xfId="1" applyNumberFormat="1" applyFont="1" applyFill="1" applyBorder="1" applyAlignment="1">
      <alignment horizontal="right"/>
    </xf>
    <xf numFmtId="167" fontId="0" fillId="9" borderId="9" xfId="1" applyNumberFormat="1" applyFont="1" applyFill="1" applyBorder="1" applyAlignment="1">
      <alignment horizontal="right"/>
    </xf>
    <xf numFmtId="165" fontId="0" fillId="9" borderId="9" xfId="1" applyNumberFormat="1" applyFont="1" applyFill="1" applyBorder="1"/>
    <xf numFmtId="0" fontId="8" fillId="0" borderId="27" xfId="0" applyFont="1" applyBorder="1" applyAlignment="1">
      <alignment horizontal="left" vertical="center"/>
    </xf>
    <xf numFmtId="0" fontId="6" fillId="0" borderId="17" xfId="0" applyFont="1" applyBorder="1"/>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0" fillId="0" borderId="30" xfId="0" applyBorder="1" applyAlignment="1">
      <alignment vertical="center" wrapText="1"/>
    </xf>
    <xf numFmtId="9" fontId="0" fillId="5" borderId="31" xfId="3" applyFont="1" applyFill="1" applyBorder="1"/>
    <xf numFmtId="164" fontId="8" fillId="5" borderId="31" xfId="2" applyNumberFormat="1" applyFont="1" applyFill="1" applyBorder="1" applyAlignment="1">
      <alignment vertical="center"/>
    </xf>
    <xf numFmtId="165" fontId="14" fillId="0" borderId="1" xfId="0" quotePrefix="1" applyNumberFormat="1" applyFont="1" applyBorder="1"/>
    <xf numFmtId="0" fontId="22" fillId="6" borderId="1" xfId="0" applyFont="1" applyFill="1" applyBorder="1" applyAlignment="1">
      <alignment wrapText="1"/>
    </xf>
    <xf numFmtId="0" fontId="0" fillId="0" borderId="7" xfId="0" applyBorder="1"/>
    <xf numFmtId="0" fontId="8" fillId="0" borderId="7" xfId="0" applyFont="1" applyBorder="1"/>
    <xf numFmtId="0" fontId="8" fillId="0" borderId="21" xfId="0" applyFont="1" applyBorder="1"/>
    <xf numFmtId="0" fontId="1" fillId="0" borderId="0" xfId="0" applyFont="1" applyAlignment="1">
      <alignment vertical="center" wrapText="1"/>
    </xf>
    <xf numFmtId="174" fontId="0" fillId="0" borderId="1" xfId="0" applyNumberFormat="1" applyBorder="1" applyAlignment="1">
      <alignment horizontal="right" vertical="center"/>
    </xf>
    <xf numFmtId="44" fontId="0" fillId="0" borderId="1" xfId="2" applyFont="1" applyFill="1" applyBorder="1" applyAlignment="1">
      <alignment horizontal="right" vertical="center"/>
    </xf>
    <xf numFmtId="173"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10" borderId="1" xfId="0" applyFill="1" applyBorder="1" applyAlignment="1">
      <alignment horizontal="left" vertical="center"/>
    </xf>
    <xf numFmtId="165" fontId="3" fillId="11" borderId="1" xfId="1" applyNumberFormat="1" applyFont="1" applyFill="1" applyBorder="1" applyAlignment="1">
      <alignment horizontal="right"/>
    </xf>
    <xf numFmtId="0" fontId="29" fillId="0" borderId="0" xfId="0" applyFont="1"/>
    <xf numFmtId="165" fontId="14" fillId="0" borderId="32" xfId="0" quotePrefix="1" applyNumberFormat="1" applyFont="1" applyBorder="1"/>
    <xf numFmtId="0" fontId="0" fillId="0" borderId="1" xfId="0" applyBorder="1" applyAlignment="1">
      <alignment wrapText="1"/>
    </xf>
    <xf numFmtId="0" fontId="3" fillId="0" borderId="18" xfId="0" applyFont="1" applyBorder="1" applyAlignment="1">
      <alignment horizontal="right"/>
    </xf>
    <xf numFmtId="0" fontId="3" fillId="0" borderId="19" xfId="0" applyFont="1" applyBorder="1" applyAlignment="1">
      <alignment horizontal="right"/>
    </xf>
    <xf numFmtId="165" fontId="0" fillId="0" borderId="0" xfId="1" applyNumberFormat="1" applyFont="1" applyBorder="1" applyAlignment="1">
      <alignment horizontal="right"/>
    </xf>
    <xf numFmtId="165" fontId="8" fillId="0" borderId="0" xfId="1" applyNumberFormat="1" applyFont="1" applyFill="1" applyBorder="1" applyAlignment="1">
      <alignment horizontal="right"/>
    </xf>
    <xf numFmtId="165" fontId="8" fillId="0" borderId="20" xfId="1" applyNumberFormat="1" applyFont="1" applyFill="1" applyBorder="1" applyAlignment="1">
      <alignment horizontal="right"/>
    </xf>
    <xf numFmtId="170" fontId="8" fillId="0" borderId="22" xfId="1" applyNumberFormat="1" applyFont="1" applyFill="1" applyBorder="1" applyAlignment="1">
      <alignment horizontal="right"/>
    </xf>
    <xf numFmtId="0" fontId="0" fillId="0" borderId="22" xfId="0" applyBorder="1" applyAlignment="1">
      <alignment horizontal="right"/>
    </xf>
    <xf numFmtId="0" fontId="0" fillId="0" borderId="23" xfId="0" applyBorder="1" applyAlignment="1">
      <alignment horizontal="right"/>
    </xf>
    <xf numFmtId="164" fontId="1" fillId="2" borderId="1" xfId="0" applyNumberFormat="1" applyFont="1" applyFill="1" applyBorder="1" applyAlignment="1">
      <alignment horizontal="center" vertical="center" wrapText="1"/>
    </xf>
    <xf numFmtId="0" fontId="8" fillId="0" borderId="0" xfId="0" applyFont="1" applyAlignment="1">
      <alignment horizontal="left" wrapText="1"/>
    </xf>
    <xf numFmtId="43" fontId="0" fillId="5" borderId="31" xfId="1" applyFont="1" applyFill="1" applyBorder="1"/>
    <xf numFmtId="0" fontId="22" fillId="6" borderId="1" xfId="0" applyFont="1" applyFill="1" applyBorder="1" applyAlignment="1">
      <alignment horizontal="left" vertical="center"/>
    </xf>
    <xf numFmtId="0" fontId="22" fillId="6" borderId="1" xfId="0" applyFont="1" applyFill="1" applyBorder="1" applyAlignment="1">
      <alignment horizontal="left" vertical="center" wrapText="1"/>
    </xf>
    <xf numFmtId="0" fontId="16" fillId="4" borderId="0" xfId="0" applyFont="1" applyFill="1"/>
    <xf numFmtId="0" fontId="0" fillId="4" borderId="0" xfId="0" applyFill="1"/>
    <xf numFmtId="165" fontId="0" fillId="4" borderId="0" xfId="0" applyNumberFormat="1" applyFill="1"/>
    <xf numFmtId="0" fontId="0" fillId="4" borderId="0" xfId="0" applyFill="1" applyAlignment="1">
      <alignment wrapText="1"/>
    </xf>
    <xf numFmtId="165" fontId="14" fillId="0" borderId="1" xfId="0" quotePrefix="1" applyNumberFormat="1" applyFont="1" applyBorder="1" applyAlignment="1">
      <alignment wrapText="1"/>
    </xf>
    <xf numFmtId="0" fontId="3" fillId="12" borderId="1" xfId="0" applyFont="1" applyFill="1" applyBorder="1" applyAlignment="1">
      <alignment wrapText="1"/>
    </xf>
    <xf numFmtId="165" fontId="3" fillId="12" borderId="1" xfId="0" applyNumberFormat="1" applyFont="1" applyFill="1" applyBorder="1"/>
    <xf numFmtId="0" fontId="8" fillId="0" borderId="0" xfId="0" applyFont="1" applyAlignment="1">
      <alignment horizontal="left" vertical="center" wrapText="1"/>
    </xf>
    <xf numFmtId="44" fontId="0" fillId="0" borderId="0" xfId="2" applyFont="1" applyBorder="1"/>
    <xf numFmtId="43" fontId="3" fillId="12" borderId="1" xfId="0" applyNumberFormat="1" applyFont="1" applyFill="1" applyBorder="1"/>
    <xf numFmtId="0" fontId="0" fillId="0" borderId="34" xfId="0" applyBorder="1" applyAlignment="1">
      <alignment vertical="center" wrapText="1"/>
    </xf>
    <xf numFmtId="164" fontId="0" fillId="5" borderId="35" xfId="0" applyNumberFormat="1" applyFill="1" applyBorder="1" applyAlignment="1">
      <alignment vertical="center"/>
    </xf>
    <xf numFmtId="164" fontId="8" fillId="5" borderId="36" xfId="2" applyNumberFormat="1" applyFont="1" applyFill="1" applyBorder="1" applyAlignment="1">
      <alignment vertical="center"/>
    </xf>
    <xf numFmtId="0" fontId="22" fillId="0" borderId="1" xfId="0" applyFont="1" applyBorder="1"/>
    <xf numFmtId="0" fontId="22" fillId="0" borderId="1" xfId="0" applyFont="1" applyBorder="1" applyAlignment="1">
      <alignment wrapText="1"/>
    </xf>
    <xf numFmtId="0" fontId="8" fillId="0" borderId="1" xfId="0" applyFont="1" applyBorder="1" applyAlignment="1">
      <alignment vertical="center" wrapText="1"/>
    </xf>
    <xf numFmtId="165" fontId="23" fillId="0" borderId="0" xfId="0" applyNumberFormat="1" applyFont="1"/>
    <xf numFmtId="6" fontId="23" fillId="0" borderId="0" xfId="0" applyNumberFormat="1" applyFont="1" applyAlignment="1">
      <alignment horizontal="right"/>
    </xf>
    <xf numFmtId="0" fontId="30" fillId="0" borderId="0" xfId="0" applyFont="1"/>
    <xf numFmtId="0" fontId="8" fillId="0" borderId="3" xfId="0" applyFont="1" applyBorder="1" applyAlignment="1">
      <alignment vertical="center" wrapText="1"/>
    </xf>
    <xf numFmtId="0" fontId="24" fillId="0" borderId="0" xfId="0" applyFont="1"/>
    <xf numFmtId="165" fontId="15" fillId="0" borderId="0" xfId="0" quotePrefix="1" applyNumberFormat="1" applyFont="1"/>
    <xf numFmtId="164" fontId="24" fillId="0" borderId="0" xfId="0" applyNumberFormat="1" applyFont="1"/>
    <xf numFmtId="169" fontId="15" fillId="0" borderId="1" xfId="2" quotePrefix="1" applyNumberFormat="1" applyFont="1" applyBorder="1"/>
    <xf numFmtId="0" fontId="0" fillId="9" borderId="1" xfId="0" applyFill="1" applyBorder="1" applyAlignment="1">
      <alignment wrapText="1"/>
    </xf>
    <xf numFmtId="165" fontId="14" fillId="9" borderId="32" xfId="0" quotePrefix="1" applyNumberFormat="1" applyFont="1" applyFill="1" applyBorder="1"/>
    <xf numFmtId="164" fontId="23" fillId="9" borderId="1" xfId="0" applyNumberFormat="1" applyFont="1" applyFill="1" applyBorder="1"/>
    <xf numFmtId="165" fontId="14" fillId="9" borderId="1" xfId="0" quotePrefix="1" applyNumberFormat="1" applyFont="1" applyFill="1" applyBorder="1"/>
    <xf numFmtId="2" fontId="23" fillId="9" borderId="1" xfId="0" applyNumberFormat="1" applyFont="1" applyFill="1" applyBorder="1"/>
    <xf numFmtId="170" fontId="0" fillId="9" borderId="1" xfId="1" applyNumberFormat="1" applyFont="1" applyFill="1" applyBorder="1" applyAlignment="1">
      <alignment horizontal="right" vertical="center"/>
    </xf>
    <xf numFmtId="170" fontId="0" fillId="0" borderId="1" xfId="1" applyNumberFormat="1" applyFont="1" applyFill="1" applyBorder="1" applyAlignment="1">
      <alignment horizontal="right" vertical="center"/>
    </xf>
    <xf numFmtId="0" fontId="3" fillId="0" borderId="0" xfId="0" applyFont="1" applyAlignment="1">
      <alignment wrapText="1"/>
    </xf>
    <xf numFmtId="0" fontId="7" fillId="0" borderId="1" xfId="0" applyFont="1" applyBorder="1" applyAlignment="1">
      <alignment vertical="center" wrapText="1"/>
    </xf>
    <xf numFmtId="0" fontId="0" fillId="0" borderId="1" xfId="0" applyBorder="1"/>
    <xf numFmtId="0" fontId="20" fillId="0" borderId="1" xfId="0" applyFont="1" applyBorder="1" applyAlignment="1">
      <alignment vertical="center"/>
    </xf>
    <xf numFmtId="165" fontId="3" fillId="0" borderId="1" xfId="0" applyNumberFormat="1" applyFont="1" applyBorder="1"/>
    <xf numFmtId="169" fontId="3" fillId="0" borderId="1" xfId="0" applyNumberFormat="1" applyFont="1" applyBorder="1"/>
    <xf numFmtId="165" fontId="8" fillId="0" borderId="0" xfId="1" applyNumberFormat="1" applyFont="1" applyAlignment="1">
      <alignment horizontal="right"/>
    </xf>
    <xf numFmtId="165" fontId="8" fillId="0" borderId="0" xfId="1" applyNumberFormat="1" applyFont="1" applyBorder="1" applyAlignment="1">
      <alignment horizontal="right"/>
    </xf>
    <xf numFmtId="0" fontId="0" fillId="0" borderId="0" xfId="0" applyAlignment="1">
      <alignment horizontal="right"/>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3" xfId="0" applyFont="1" applyBorder="1" applyAlignment="1">
      <alignment horizontal="center" vertical="center" wrapText="1"/>
    </xf>
    <xf numFmtId="170" fontId="8" fillId="0" borderId="0" xfId="1" applyNumberFormat="1" applyFont="1" applyFill="1" applyBorder="1" applyAlignment="1">
      <alignment horizontal="right"/>
    </xf>
    <xf numFmtId="0" fontId="28" fillId="0" borderId="22" xfId="0" applyFont="1" applyBorder="1" applyAlignment="1">
      <alignment horizontal="right"/>
    </xf>
    <xf numFmtId="0" fontId="7" fillId="0" borderId="17" xfId="0" applyFont="1" applyBorder="1"/>
    <xf numFmtId="165" fontId="8" fillId="0" borderId="22" xfId="1" applyNumberFormat="1" applyFont="1" applyBorder="1" applyAlignment="1">
      <alignment horizontal="right"/>
    </xf>
    <xf numFmtId="165" fontId="8" fillId="0" borderId="23" xfId="1" applyNumberFormat="1" applyFont="1" applyBorder="1" applyAlignment="1">
      <alignment horizontal="right"/>
    </xf>
    <xf numFmtId="0" fontId="0" fillId="0" borderId="21" xfId="0" applyBorder="1"/>
    <xf numFmtId="0" fontId="8" fillId="0" borderId="33" xfId="0" applyFont="1" applyBorder="1" applyAlignment="1">
      <alignment vertical="center" wrapText="1"/>
    </xf>
    <xf numFmtId="0" fontId="8" fillId="0" borderId="3" xfId="0" applyFont="1" applyBorder="1" applyAlignment="1">
      <alignment vertical="center"/>
    </xf>
    <xf numFmtId="3" fontId="8" fillId="0" borderId="1" xfId="0" applyNumberFormat="1" applyFont="1" applyBorder="1" applyAlignment="1">
      <alignment vertical="center" wrapText="1"/>
    </xf>
    <xf numFmtId="170" fontId="8" fillId="0" borderId="1" xfId="0" applyNumberFormat="1" applyFont="1" applyBorder="1" applyAlignment="1">
      <alignment horizontal="right" vertical="center"/>
    </xf>
    <xf numFmtId="43" fontId="8" fillId="0" borderId="1" xfId="0" applyNumberFormat="1" applyFont="1" applyBorder="1" applyAlignment="1">
      <alignment horizontal="right" vertical="center"/>
    </xf>
    <xf numFmtId="171" fontId="8" fillId="0" borderId="1" xfId="0" applyNumberFormat="1" applyFont="1" applyBorder="1" applyAlignment="1">
      <alignment vertical="center"/>
    </xf>
    <xf numFmtId="43" fontId="8" fillId="0" borderId="1" xfId="0" applyNumberFormat="1" applyFont="1" applyBorder="1" applyAlignment="1">
      <alignment vertical="center"/>
    </xf>
    <xf numFmtId="165" fontId="8" fillId="0" borderId="1" xfId="1" applyNumberFormat="1" applyFont="1" applyFill="1" applyBorder="1" applyAlignment="1">
      <alignment vertical="center" wrapText="1"/>
    </xf>
    <xf numFmtId="166" fontId="8" fillId="0" borderId="1" xfId="1" applyNumberFormat="1" applyFont="1" applyFill="1" applyBorder="1" applyAlignment="1">
      <alignment vertical="center" wrapText="1"/>
    </xf>
    <xf numFmtId="0" fontId="8" fillId="0" borderId="1" xfId="0" applyFont="1" applyBorder="1" applyAlignment="1">
      <alignment vertical="center"/>
    </xf>
    <xf numFmtId="164" fontId="8" fillId="0" borderId="1" xfId="2" applyNumberFormat="1" applyFont="1" applyBorder="1" applyAlignment="1">
      <alignment horizontal="right" vertical="center"/>
    </xf>
    <xf numFmtId="165" fontId="0" fillId="0" borderId="20" xfId="1" applyNumberFormat="1" applyFont="1" applyBorder="1" applyAlignment="1">
      <alignment horizontal="right"/>
    </xf>
    <xf numFmtId="164" fontId="24" fillId="0" borderId="1" xfId="0" applyNumberFormat="1" applyFont="1" applyBorder="1"/>
    <xf numFmtId="43" fontId="0" fillId="0" borderId="1" xfId="1" applyFont="1" applyFill="1" applyBorder="1" applyAlignment="1">
      <alignment horizontal="right" vertical="center"/>
    </xf>
    <xf numFmtId="43" fontId="0" fillId="9" borderId="1" xfId="1" applyFont="1" applyFill="1" applyBorder="1" applyAlignment="1">
      <alignment horizontal="right" vertical="center"/>
    </xf>
    <xf numFmtId="166" fontId="0" fillId="9" borderId="1" xfId="1" applyNumberFormat="1" applyFont="1" applyFill="1" applyBorder="1" applyAlignment="1">
      <alignment horizontal="right" vertical="center"/>
    </xf>
    <xf numFmtId="166" fontId="0" fillId="0" borderId="1" xfId="1" applyNumberFormat="1" applyFont="1" applyFill="1" applyBorder="1" applyAlignment="1">
      <alignment horizontal="right" vertical="center"/>
    </xf>
    <xf numFmtId="0" fontId="31" fillId="14" borderId="23" xfId="0" applyFont="1" applyFill="1" applyBorder="1" applyAlignment="1">
      <alignment horizontal="center" vertical="center" wrapText="1"/>
    </xf>
    <xf numFmtId="0" fontId="32" fillId="0" borderId="23" xfId="0" applyFont="1" applyBorder="1" applyAlignment="1">
      <alignment vertical="center" wrapText="1"/>
    </xf>
    <xf numFmtId="6" fontId="32" fillId="0" borderId="23" xfId="0" applyNumberFormat="1" applyFont="1" applyBorder="1" applyAlignment="1">
      <alignment horizontal="right" vertical="center" wrapText="1"/>
    </xf>
    <xf numFmtId="170" fontId="32" fillId="0" borderId="23" xfId="1" applyNumberFormat="1" applyFont="1" applyBorder="1" applyAlignment="1">
      <alignment horizontal="right" vertical="center" wrapText="1"/>
    </xf>
    <xf numFmtId="165" fontId="32" fillId="0" borderId="23" xfId="1" applyNumberFormat="1" applyFont="1" applyBorder="1" applyAlignment="1">
      <alignment horizontal="right" vertical="center" wrapText="1"/>
    </xf>
    <xf numFmtId="0" fontId="8" fillId="0" borderId="9" xfId="0" applyFont="1" applyBorder="1" applyAlignment="1">
      <alignment wrapText="1"/>
    </xf>
    <xf numFmtId="165" fontId="8" fillId="0" borderId="9" xfId="1" applyNumberFormat="1" applyFont="1" applyBorder="1" applyAlignment="1">
      <alignment horizontal="right"/>
    </xf>
    <xf numFmtId="43" fontId="8" fillId="0" borderId="9" xfId="1" applyFont="1" applyBorder="1" applyAlignment="1">
      <alignment horizontal="right"/>
    </xf>
    <xf numFmtId="165" fontId="8" fillId="0" borderId="9" xfId="1" applyNumberFormat="1" applyFont="1" applyFill="1" applyBorder="1" applyAlignment="1">
      <alignment horizontal="right"/>
    </xf>
    <xf numFmtId="43" fontId="8" fillId="0" borderId="9" xfId="1" applyFont="1" applyFill="1" applyBorder="1" applyAlignment="1">
      <alignment horizontal="right"/>
    </xf>
    <xf numFmtId="0" fontId="8" fillId="0" borderId="15" xfId="0" applyFont="1" applyBorder="1" applyAlignment="1">
      <alignment wrapText="1"/>
    </xf>
    <xf numFmtId="43" fontId="8" fillId="0" borderId="15" xfId="1" applyFont="1" applyFill="1" applyBorder="1" applyAlignment="1">
      <alignment horizontal="right"/>
    </xf>
    <xf numFmtId="0" fontId="8" fillId="0" borderId="15" xfId="0" applyFont="1" applyBorder="1" applyAlignment="1">
      <alignment vertical="top" wrapText="1"/>
    </xf>
    <xf numFmtId="43" fontId="32" fillId="0" borderId="23" xfId="1" applyFont="1" applyBorder="1" applyAlignment="1">
      <alignment horizontal="right" vertical="center" wrapText="1"/>
    </xf>
    <xf numFmtId="0" fontId="33" fillId="6" borderId="45" xfId="0" applyFont="1" applyFill="1" applyBorder="1" applyAlignment="1">
      <alignment horizontal="center" vertical="center" wrapText="1"/>
    </xf>
    <xf numFmtId="0" fontId="33" fillId="6" borderId="46" xfId="0" applyFont="1" applyFill="1" applyBorder="1" applyAlignment="1">
      <alignment horizontal="center" vertical="center" wrapText="1"/>
    </xf>
    <xf numFmtId="0" fontId="34" fillId="0" borderId="44" xfId="0" applyFont="1" applyBorder="1" applyAlignment="1">
      <alignment vertical="center" wrapText="1"/>
    </xf>
    <xf numFmtId="3" fontId="35" fillId="0" borderId="46" xfId="0" applyNumberFormat="1" applyFont="1" applyBorder="1" applyAlignment="1">
      <alignment horizontal="center" vertical="center" wrapText="1"/>
    </xf>
    <xf numFmtId="0" fontId="33" fillId="6" borderId="44" xfId="0" applyFont="1" applyFill="1" applyBorder="1" applyAlignment="1">
      <alignment vertical="center" wrapText="1"/>
    </xf>
    <xf numFmtId="0" fontId="33" fillId="6" borderId="47" xfId="0" applyFont="1" applyFill="1" applyBorder="1" applyAlignment="1">
      <alignment horizontal="center" vertical="center" wrapText="1"/>
    </xf>
    <xf numFmtId="0" fontId="33" fillId="6" borderId="48" xfId="0" applyFont="1" applyFill="1" applyBorder="1" applyAlignment="1">
      <alignment horizontal="center" vertical="center" wrapText="1"/>
    </xf>
    <xf numFmtId="165" fontId="35" fillId="0" borderId="46" xfId="1" applyNumberFormat="1" applyFont="1" applyBorder="1" applyAlignment="1">
      <alignment vertical="center" wrapText="1"/>
    </xf>
    <xf numFmtId="165" fontId="14" fillId="0" borderId="32" xfId="0" applyNumberFormat="1" applyFont="1" applyBorder="1"/>
    <xf numFmtId="165" fontId="37" fillId="0" borderId="1" xfId="0" applyNumberFormat="1" applyFont="1" applyBorder="1"/>
    <xf numFmtId="2" fontId="8" fillId="0" borderId="0" xfId="0" applyNumberFormat="1" applyFont="1"/>
    <xf numFmtId="3" fontId="33" fillId="6" borderId="46" xfId="0" applyNumberFormat="1" applyFont="1" applyFill="1" applyBorder="1" applyAlignment="1">
      <alignment horizontal="center" vertical="center" wrapText="1"/>
    </xf>
    <xf numFmtId="165" fontId="8" fillId="0" borderId="15" xfId="1" applyNumberFormat="1" applyFont="1" applyBorder="1" applyAlignment="1">
      <alignment horizontal="right"/>
    </xf>
    <xf numFmtId="165" fontId="8" fillId="0" borderId="15" xfId="1" applyNumberFormat="1" applyFont="1" applyFill="1" applyBorder="1" applyAlignment="1">
      <alignment horizontal="right"/>
    </xf>
    <xf numFmtId="0" fontId="0" fillId="10" borderId="0" xfId="0" applyFill="1"/>
    <xf numFmtId="0" fontId="1" fillId="10" borderId="6" xfId="0" applyFont="1" applyFill="1" applyBorder="1" applyAlignment="1">
      <alignment vertical="center" wrapText="1"/>
    </xf>
    <xf numFmtId="164" fontId="1" fillId="2" borderId="0" xfId="0" applyNumberFormat="1" applyFont="1" applyFill="1" applyAlignment="1">
      <alignment horizontal="center" vertical="center" wrapText="1"/>
    </xf>
    <xf numFmtId="164" fontId="1" fillId="2" borderId="4" xfId="0" applyNumberFormat="1" applyFont="1" applyFill="1" applyBorder="1" applyAlignment="1">
      <alignment horizontal="center" vertical="center" wrapText="1"/>
    </xf>
    <xf numFmtId="164" fontId="0" fillId="5" borderId="52" xfId="0" applyNumberFormat="1" applyFill="1" applyBorder="1" applyAlignment="1">
      <alignment vertical="center"/>
    </xf>
    <xf numFmtId="164" fontId="8" fillId="5" borderId="53" xfId="2" applyNumberFormat="1" applyFont="1" applyFill="1" applyBorder="1" applyAlignment="1">
      <alignment vertical="center"/>
    </xf>
    <xf numFmtId="165" fontId="0" fillId="0" borderId="9" xfId="1" applyNumberFormat="1" applyFont="1" applyFill="1" applyBorder="1" applyAlignment="1">
      <alignment horizontal="right"/>
    </xf>
    <xf numFmtId="0" fontId="0" fillId="0" borderId="30" xfId="0" applyBorder="1" applyAlignment="1">
      <alignment vertical="center"/>
    </xf>
    <xf numFmtId="0" fontId="0" fillId="0" borderId="51" xfId="0" applyBorder="1" applyAlignment="1">
      <alignment vertical="center"/>
    </xf>
    <xf numFmtId="0" fontId="0" fillId="0" borderId="34" xfId="0" applyBorder="1" applyAlignment="1">
      <alignment vertical="center"/>
    </xf>
    <xf numFmtId="170" fontId="8" fillId="0" borderId="9" xfId="1" applyNumberFormat="1" applyFont="1" applyBorder="1" applyAlignment="1">
      <alignment horizontal="right"/>
    </xf>
    <xf numFmtId="165" fontId="3" fillId="3" borderId="26" xfId="1" applyNumberFormat="1" applyFont="1" applyFill="1" applyBorder="1" applyAlignment="1">
      <alignment horizontal="right"/>
    </xf>
    <xf numFmtId="0" fontId="0" fillId="0" borderId="3" xfId="0" applyBorder="1" applyAlignment="1">
      <alignment horizontal="left" vertical="center" wrapText="1"/>
    </xf>
    <xf numFmtId="0" fontId="0" fillId="10" borderId="3" xfId="0" applyFill="1" applyBorder="1" applyAlignment="1">
      <alignment horizontal="left" vertical="center"/>
    </xf>
    <xf numFmtId="0" fontId="0" fillId="0" borderId="54" xfId="0" applyBorder="1"/>
    <xf numFmtId="165" fontId="3" fillId="0" borderId="54" xfId="1" applyNumberFormat="1" applyFont="1" applyFill="1" applyBorder="1" applyAlignment="1">
      <alignment horizontal="right"/>
    </xf>
    <xf numFmtId="170" fontId="39" fillId="9" borderId="1" xfId="1" applyNumberFormat="1" applyFont="1" applyFill="1" applyBorder="1" applyAlignment="1">
      <alignment horizontal="center" vertical="center" wrapText="1"/>
    </xf>
    <xf numFmtId="1" fontId="40" fillId="0" borderId="4" xfId="1" applyNumberFormat="1" applyFont="1" applyFill="1" applyBorder="1" applyAlignment="1">
      <alignment horizontal="left" vertical="center" wrapText="1"/>
    </xf>
    <xf numFmtId="170" fontId="40" fillId="0" borderId="1" xfId="1" applyNumberFormat="1" applyFont="1" applyFill="1" applyBorder="1" applyAlignment="1">
      <alignment horizontal="center" vertical="center" wrapText="1"/>
    </xf>
    <xf numFmtId="3" fontId="40" fillId="0" borderId="4" xfId="1" applyNumberFormat="1" applyFont="1" applyFill="1" applyBorder="1" applyAlignment="1">
      <alignment horizontal="left" vertical="center" wrapText="1"/>
    </xf>
    <xf numFmtId="1" fontId="40" fillId="0" borderId="1" xfId="1" applyNumberFormat="1" applyFont="1" applyFill="1" applyBorder="1" applyAlignment="1">
      <alignment horizontal="left" vertical="center" wrapText="1"/>
    </xf>
    <xf numFmtId="3" fontId="40" fillId="0" borderId="1" xfId="1" applyNumberFormat="1" applyFont="1" applyFill="1" applyBorder="1" applyAlignment="1">
      <alignment horizontal="left" vertical="center" wrapText="1"/>
    </xf>
    <xf numFmtId="165" fontId="20" fillId="0" borderId="0" xfId="0" applyNumberFormat="1" applyFont="1" applyAlignment="1">
      <alignment vertical="center"/>
    </xf>
    <xf numFmtId="0" fontId="41" fillId="0" borderId="8" xfId="0" applyFont="1" applyBorder="1" applyAlignment="1">
      <alignment horizontal="center" vertical="center" wrapText="1"/>
    </xf>
    <xf numFmtId="0" fontId="42" fillId="0" borderId="40" xfId="0" applyFont="1" applyBorder="1" applyAlignment="1">
      <alignment horizontal="center" vertical="center" wrapText="1"/>
    </xf>
    <xf numFmtId="0" fontId="42" fillId="0" borderId="38" xfId="0" applyFont="1" applyBorder="1" applyAlignment="1">
      <alignment vertical="center" wrapText="1"/>
    </xf>
    <xf numFmtId="3" fontId="43" fillId="0" borderId="23" xfId="0" applyNumberFormat="1" applyFont="1" applyBorder="1" applyAlignment="1">
      <alignment vertical="center" wrapText="1"/>
    </xf>
    <xf numFmtId="164" fontId="43" fillId="0" borderId="23" xfId="2" applyNumberFormat="1" applyFont="1" applyBorder="1" applyAlignment="1">
      <alignment vertical="center" wrapText="1"/>
    </xf>
    <xf numFmtId="171" fontId="8" fillId="0" borderId="32" xfId="0" applyNumberFormat="1" applyFont="1" applyBorder="1" applyAlignment="1">
      <alignment vertical="center"/>
    </xf>
    <xf numFmtId="170" fontId="8" fillId="0" borderId="3" xfId="0" applyNumberFormat="1" applyFont="1" applyBorder="1" applyAlignment="1">
      <alignment horizontal="right" vertical="center"/>
    </xf>
    <xf numFmtId="170" fontId="8" fillId="0" borderId="4" xfId="0" applyNumberFormat="1" applyFont="1" applyBorder="1" applyAlignment="1">
      <alignment horizontal="right" vertical="center"/>
    </xf>
    <xf numFmtId="3" fontId="8" fillId="0" borderId="1" xfId="1" applyNumberFormat="1" applyFont="1" applyFill="1" applyBorder="1" applyAlignment="1">
      <alignment horizontal="right" vertical="center"/>
    </xf>
    <xf numFmtId="167" fontId="43" fillId="0" borderId="23" xfId="0" applyNumberFormat="1" applyFont="1" applyBorder="1" applyAlignment="1">
      <alignment vertical="center" wrapText="1"/>
    </xf>
    <xf numFmtId="167" fontId="42" fillId="0" borderId="40" xfId="0" applyNumberFormat="1" applyFont="1" applyBorder="1" applyAlignment="1">
      <alignment horizontal="center" vertical="center" wrapText="1"/>
    </xf>
    <xf numFmtId="167" fontId="38" fillId="0" borderId="1" xfId="0" applyNumberFormat="1" applyFont="1" applyBorder="1"/>
    <xf numFmtId="44" fontId="23" fillId="9" borderId="1" xfId="2" applyFont="1" applyFill="1" applyBorder="1"/>
    <xf numFmtId="165" fontId="15" fillId="0" borderId="1" xfId="0" applyNumberFormat="1" applyFont="1" applyBorder="1"/>
    <xf numFmtId="0" fontId="0" fillId="12" borderId="5" xfId="0" applyFill="1" applyBorder="1" applyAlignment="1">
      <alignment wrapText="1"/>
    </xf>
    <xf numFmtId="9" fontId="0" fillId="0" borderId="32" xfId="0" applyNumberFormat="1" applyBorder="1" applyProtection="1">
      <protection locked="0"/>
    </xf>
    <xf numFmtId="165" fontId="0" fillId="0" borderId="32" xfId="1" applyNumberFormat="1" applyFont="1" applyBorder="1" applyProtection="1">
      <protection locked="0"/>
    </xf>
    <xf numFmtId="174" fontId="0" fillId="16" borderId="1" xfId="0" applyNumberFormat="1" applyFill="1" applyBorder="1" applyAlignment="1">
      <alignment horizontal="right" vertical="center"/>
    </xf>
    <xf numFmtId="44" fontId="0" fillId="16" borderId="1" xfId="2" applyFont="1" applyFill="1" applyBorder="1" applyAlignment="1">
      <alignment horizontal="right" vertical="center"/>
    </xf>
    <xf numFmtId="169" fontId="0" fillId="16" borderId="1" xfId="2" applyNumberFormat="1" applyFont="1" applyFill="1" applyBorder="1" applyAlignment="1">
      <alignment horizontal="right" vertical="center"/>
    </xf>
    <xf numFmtId="0" fontId="0" fillId="16" borderId="1" xfId="0" applyFill="1" applyBorder="1" applyAlignment="1">
      <alignment horizontal="left" vertical="center"/>
    </xf>
    <xf numFmtId="0" fontId="0" fillId="16" borderId="1" xfId="0" applyFill="1" applyBorder="1" applyAlignment="1">
      <alignment horizontal="left" vertical="center" wrapText="1"/>
    </xf>
    <xf numFmtId="165" fontId="8" fillId="0" borderId="22" xfId="1" applyNumberFormat="1" applyFont="1" applyFill="1" applyBorder="1" applyAlignment="1">
      <alignment horizontal="right"/>
    </xf>
    <xf numFmtId="165" fontId="8" fillId="0" borderId="23" xfId="1" applyNumberFormat="1" applyFont="1" applyFill="1" applyBorder="1" applyAlignment="1">
      <alignment horizontal="right"/>
    </xf>
    <xf numFmtId="0" fontId="44" fillId="0" borderId="58" xfId="7" applyFill="1" applyBorder="1"/>
    <xf numFmtId="9" fontId="0" fillId="0" borderId="20" xfId="3" applyFont="1" applyFill="1" applyBorder="1"/>
    <xf numFmtId="165" fontId="0" fillId="0" borderId="22" xfId="1" applyNumberFormat="1" applyFont="1" applyFill="1" applyBorder="1"/>
    <xf numFmtId="165" fontId="0" fillId="0" borderId="23" xfId="1" applyNumberFormat="1" applyFont="1" applyFill="1" applyBorder="1"/>
    <xf numFmtId="0" fontId="4" fillId="0" borderId="17" xfId="0" applyFont="1" applyBorder="1"/>
    <xf numFmtId="0" fontId="0" fillId="0" borderId="20" xfId="1" applyNumberFormat="1" applyFont="1" applyBorder="1" applyAlignment="1">
      <alignment horizontal="center" vertical="center"/>
    </xf>
    <xf numFmtId="0" fontId="0" fillId="0" borderId="18" xfId="0" applyBorder="1"/>
    <xf numFmtId="0" fontId="0" fillId="0" borderId="23" xfId="1" applyNumberFormat="1" applyFont="1" applyBorder="1" applyAlignment="1">
      <alignment horizontal="center" vertical="center"/>
    </xf>
    <xf numFmtId="0" fontId="0" fillId="0" borderId="1" xfId="0" applyBorder="1" applyAlignment="1">
      <alignment vertical="center" wrapText="1"/>
    </xf>
    <xf numFmtId="165" fontId="0" fillId="0" borderId="21" xfId="1" applyNumberFormat="1" applyFont="1" applyBorder="1"/>
    <xf numFmtId="0" fontId="0" fillId="0" borderId="19" xfId="0" applyBorder="1"/>
    <xf numFmtId="165" fontId="0" fillId="0" borderId="7" xfId="1" applyNumberFormat="1" applyFont="1" applyBorder="1"/>
    <xf numFmtId="0" fontId="45" fillId="0" borderId="60" xfId="0" applyFont="1" applyBorder="1" applyAlignment="1">
      <alignment horizontal="left" vertical="center" wrapText="1"/>
    </xf>
    <xf numFmtId="175" fontId="0" fillId="0" borderId="0" xfId="0" applyNumberFormat="1" applyAlignment="1">
      <alignment wrapText="1"/>
    </xf>
    <xf numFmtId="0" fontId="8" fillId="0" borderId="22" xfId="0" applyFont="1" applyBorder="1"/>
    <xf numFmtId="167" fontId="0" fillId="0" borderId="0" xfId="0" applyNumberFormat="1" applyAlignment="1">
      <alignment wrapText="1"/>
    </xf>
    <xf numFmtId="175" fontId="0" fillId="0" borderId="22" xfId="0" applyNumberFormat="1" applyBorder="1" applyAlignment="1">
      <alignment wrapText="1"/>
    </xf>
    <xf numFmtId="0" fontId="44" fillId="0" borderId="57" xfId="7" applyFill="1" applyBorder="1"/>
    <xf numFmtId="0" fontId="45" fillId="0" borderId="59" xfId="0" applyFont="1" applyBorder="1" applyAlignment="1">
      <alignment horizontal="left" vertical="center" wrapText="1"/>
    </xf>
    <xf numFmtId="3" fontId="0" fillId="0" borderId="3" xfId="0" applyNumberFormat="1" applyBorder="1"/>
    <xf numFmtId="0" fontId="46" fillId="0" borderId="59" xfId="0" applyFont="1" applyBorder="1" applyAlignment="1">
      <alignment horizontal="left" vertical="center" wrapText="1"/>
    </xf>
    <xf numFmtId="3" fontId="0" fillId="0" borderId="1" xfId="0" applyNumberFormat="1" applyBorder="1"/>
    <xf numFmtId="41" fontId="3" fillId="0" borderId="62" xfId="8" applyNumberFormat="1" applyFill="1" applyBorder="1" applyAlignment="1">
      <alignment horizontal="left" vertical="center" wrapText="1"/>
    </xf>
    <xf numFmtId="0" fontId="32" fillId="0" borderId="8" xfId="0" applyFont="1" applyBorder="1" applyAlignment="1">
      <alignment vertical="center" wrapText="1"/>
    </xf>
    <xf numFmtId="3" fontId="0" fillId="0" borderId="62" xfId="0" applyNumberFormat="1" applyBorder="1"/>
    <xf numFmtId="0" fontId="32" fillId="0" borderId="8" xfId="0" applyFont="1" applyBorder="1" applyAlignment="1">
      <alignment horizontal="left" vertical="center" wrapText="1"/>
    </xf>
    <xf numFmtId="6" fontId="32" fillId="0" borderId="8" xfId="0" applyNumberFormat="1" applyFont="1" applyBorder="1" applyAlignment="1">
      <alignment horizontal="right" vertical="center" wrapText="1"/>
    </xf>
    <xf numFmtId="0" fontId="32" fillId="0" borderId="8" xfId="0" applyFont="1" applyBorder="1" applyAlignment="1">
      <alignment wrapText="1"/>
    </xf>
    <xf numFmtId="165" fontId="32" fillId="0" borderId="8" xfId="1" applyNumberFormat="1" applyFont="1" applyBorder="1" applyAlignment="1">
      <alignment horizontal="right" vertical="center" wrapText="1"/>
    </xf>
    <xf numFmtId="6" fontId="32" fillId="0" borderId="20" xfId="0" applyNumberFormat="1" applyFont="1" applyBorder="1" applyAlignment="1">
      <alignment horizontal="right" vertical="center" wrapText="1"/>
    </xf>
    <xf numFmtId="165" fontId="32" fillId="0" borderId="20" xfId="1" applyNumberFormat="1" applyFont="1" applyBorder="1" applyAlignment="1">
      <alignment horizontal="right" vertical="center" wrapText="1"/>
    </xf>
    <xf numFmtId="0" fontId="32" fillId="0" borderId="20" xfId="0" applyFont="1" applyBorder="1" applyAlignment="1">
      <alignment vertical="center" wrapText="1"/>
    </xf>
    <xf numFmtId="43" fontId="8" fillId="0" borderId="15" xfId="1" applyFont="1" applyBorder="1" applyAlignment="1">
      <alignment horizontal="right"/>
    </xf>
    <xf numFmtId="165" fontId="0" fillId="0" borderId="32" xfId="1" applyNumberFormat="1" applyFont="1" applyFill="1" applyBorder="1" applyProtection="1">
      <protection locked="0"/>
    </xf>
    <xf numFmtId="0" fontId="0" fillId="0" borderId="33" xfId="0" applyBorder="1" applyAlignment="1">
      <alignment wrapText="1"/>
    </xf>
    <xf numFmtId="44" fontId="0" fillId="0" borderId="0" xfId="0" applyNumberFormat="1"/>
    <xf numFmtId="164" fontId="43" fillId="0" borderId="23" xfId="0" applyNumberFormat="1" applyFont="1" applyBorder="1" applyAlignment="1">
      <alignment vertical="center" wrapText="1"/>
    </xf>
    <xf numFmtId="3" fontId="43" fillId="4" borderId="23" xfId="0" applyNumberFormat="1" applyFont="1" applyFill="1" applyBorder="1" applyAlignment="1">
      <alignment vertical="center" wrapText="1"/>
    </xf>
    <xf numFmtId="164" fontId="43" fillId="4" borderId="23" xfId="0" applyNumberFormat="1" applyFont="1" applyFill="1" applyBorder="1" applyAlignment="1">
      <alignment vertical="center" wrapText="1"/>
    </xf>
    <xf numFmtId="164" fontId="43" fillId="0" borderId="23" xfId="2" applyNumberFormat="1" applyFont="1" applyFill="1" applyBorder="1" applyAlignment="1">
      <alignment vertical="center" wrapText="1"/>
    </xf>
    <xf numFmtId="0" fontId="42" fillId="4" borderId="38" xfId="0" applyFont="1" applyFill="1" applyBorder="1" applyAlignment="1">
      <alignment vertical="center" wrapText="1"/>
    </xf>
    <xf numFmtId="164" fontId="43" fillId="4" borderId="23" xfId="2" applyNumberFormat="1" applyFont="1" applyFill="1" applyBorder="1" applyAlignment="1">
      <alignment vertical="center" wrapText="1"/>
    </xf>
    <xf numFmtId="0" fontId="8" fillId="4" borderId="1"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49" fillId="0" borderId="0" xfId="0" applyFont="1" applyAlignment="1">
      <alignment horizontal="center" vertical="center"/>
    </xf>
    <xf numFmtId="165" fontId="8" fillId="0" borderId="21" xfId="1" applyNumberFormat="1" applyFont="1" applyBorder="1"/>
    <xf numFmtId="0" fontId="0" fillId="0" borderId="22" xfId="0" applyBorder="1"/>
    <xf numFmtId="0" fontId="0" fillId="0" borderId="23" xfId="0" applyBorder="1"/>
    <xf numFmtId="0" fontId="1" fillId="2" borderId="33" xfId="0" applyFont="1" applyFill="1" applyBorder="1" applyAlignment="1">
      <alignment vertical="center" wrapText="1"/>
    </xf>
    <xf numFmtId="43" fontId="0" fillId="0" borderId="1" xfId="0" applyNumberFormat="1" applyBorder="1" applyAlignment="1">
      <alignment horizontal="right" vertical="center"/>
    </xf>
    <xf numFmtId="164" fontId="0" fillId="0" borderId="1" xfId="2" applyNumberFormat="1" applyFont="1" applyFill="1" applyBorder="1" applyAlignment="1">
      <alignment vertical="center"/>
    </xf>
    <xf numFmtId="167" fontId="0" fillId="9" borderId="1" xfId="2" applyNumberFormat="1" applyFont="1" applyFill="1" applyBorder="1" applyAlignment="1">
      <alignment vertical="center"/>
    </xf>
    <xf numFmtId="167" fontId="0" fillId="9" borderId="1" xfId="2" applyNumberFormat="1" applyFont="1" applyFill="1" applyBorder="1" applyAlignment="1">
      <alignment horizontal="right" vertical="center"/>
    </xf>
    <xf numFmtId="167" fontId="3" fillId="9" borderId="1" xfId="2" applyNumberFormat="1" applyFont="1" applyFill="1" applyBorder="1" applyAlignment="1">
      <alignment horizontal="right"/>
    </xf>
    <xf numFmtId="167" fontId="0" fillId="0" borderId="1" xfId="2" applyNumberFormat="1" applyFont="1" applyFill="1" applyBorder="1" applyAlignment="1">
      <alignment horizontal="right" vertical="center"/>
    </xf>
    <xf numFmtId="167" fontId="0" fillId="0" borderId="1" xfId="2" applyNumberFormat="1" applyFont="1" applyFill="1" applyBorder="1" applyAlignment="1">
      <alignment horizontal="center" vertical="center"/>
    </xf>
    <xf numFmtId="167" fontId="0" fillId="0" borderId="1" xfId="2" applyNumberFormat="1" applyFont="1" applyFill="1" applyBorder="1" applyAlignment="1">
      <alignment vertical="center"/>
    </xf>
    <xf numFmtId="167" fontId="3" fillId="0" borderId="1" xfId="2" applyNumberFormat="1" applyFont="1" applyBorder="1" applyAlignment="1">
      <alignment horizontal="right"/>
    </xf>
    <xf numFmtId="167" fontId="3" fillId="12" borderId="1" xfId="2" applyNumberFormat="1" applyFont="1" applyFill="1" applyBorder="1"/>
    <xf numFmtId="167" fontId="35" fillId="0" borderId="46" xfId="0" applyNumberFormat="1" applyFont="1" applyBorder="1" applyAlignment="1">
      <alignment horizontal="center" vertical="center" wrapText="1"/>
    </xf>
    <xf numFmtId="167" fontId="36" fillId="6" borderId="46" xfId="2" applyNumberFormat="1" applyFont="1" applyFill="1" applyBorder="1" applyAlignment="1">
      <alignment horizontal="center" vertical="center" wrapText="1"/>
    </xf>
    <xf numFmtId="167" fontId="33" fillId="6" borderId="46" xfId="2" applyNumberFormat="1" applyFont="1" applyFill="1" applyBorder="1" applyAlignment="1">
      <alignment horizontal="center" vertical="center" wrapText="1"/>
    </xf>
    <xf numFmtId="44" fontId="3" fillId="0" borderId="4" xfId="2" applyNumberFormat="1" applyFont="1" applyFill="1" applyBorder="1" applyAlignment="1">
      <alignment horizontal="right" vertical="center"/>
    </xf>
    <xf numFmtId="0" fontId="3" fillId="0" borderId="4" xfId="2" applyNumberFormat="1" applyFont="1" applyFill="1" applyBorder="1" applyAlignment="1">
      <alignment horizontal="right" vertical="center"/>
    </xf>
    <xf numFmtId="169" fontId="3" fillId="0" borderId="4" xfId="2" applyNumberFormat="1" applyFont="1" applyFill="1" applyBorder="1" applyAlignment="1">
      <alignment horizontal="right" vertical="center"/>
    </xf>
    <xf numFmtId="0" fontId="0" fillId="4" borderId="1" xfId="0" applyFill="1" applyBorder="1" applyAlignment="1">
      <alignment horizontal="left" vertical="center"/>
    </xf>
    <xf numFmtId="173" fontId="0" fillId="4" borderId="1" xfId="0" applyNumberFormat="1" applyFill="1" applyBorder="1" applyAlignment="1">
      <alignment horizontal="left" vertical="center" wrapText="1"/>
    </xf>
    <xf numFmtId="174" fontId="0" fillId="4" borderId="1" xfId="0" applyNumberFormat="1" applyFill="1" applyBorder="1" applyAlignment="1">
      <alignment horizontal="right" vertical="center"/>
    </xf>
    <xf numFmtId="44" fontId="0" fillId="4" borderId="1" xfId="2" applyFont="1" applyFill="1" applyBorder="1" applyAlignment="1">
      <alignment horizontal="right" vertical="center"/>
    </xf>
    <xf numFmtId="169" fontId="0" fillId="4" borderId="1" xfId="2" applyNumberFormat="1" applyFont="1" applyFill="1" applyBorder="1" applyAlignment="1">
      <alignment horizontal="right" vertical="center"/>
    </xf>
    <xf numFmtId="0" fontId="0" fillId="4" borderId="1" xfId="0" applyFill="1" applyBorder="1" applyAlignment="1">
      <alignment horizontal="left" vertical="center" wrapText="1"/>
    </xf>
    <xf numFmtId="0" fontId="8" fillId="4" borderId="1" xfId="0" applyFont="1" applyFill="1" applyBorder="1" applyAlignment="1">
      <alignment horizontal="left" vertical="center" wrapText="1"/>
    </xf>
    <xf numFmtId="3" fontId="8" fillId="4" borderId="1" xfId="0" applyNumberFormat="1" applyFont="1" applyFill="1" applyBorder="1" applyAlignment="1">
      <alignment horizontal="right" vertical="center" wrapText="1"/>
    </xf>
    <xf numFmtId="43" fontId="0" fillId="4" borderId="1" xfId="0" applyNumberFormat="1" applyFill="1" applyBorder="1" applyAlignment="1">
      <alignment horizontal="right" vertical="center"/>
    </xf>
    <xf numFmtId="164" fontId="0" fillId="4" borderId="1" xfId="2" applyNumberFormat="1" applyFont="1" applyFill="1" applyBorder="1" applyAlignment="1">
      <alignment vertical="center"/>
    </xf>
    <xf numFmtId="171" fontId="8" fillId="4" borderId="1" xfId="0" applyNumberFormat="1" applyFont="1" applyFill="1" applyBorder="1" applyAlignment="1">
      <alignment horizontal="right" vertical="center" wrapText="1"/>
    </xf>
    <xf numFmtId="165" fontId="0" fillId="0" borderId="0" xfId="1" applyNumberFormat="1" applyFont="1"/>
    <xf numFmtId="0" fontId="50" fillId="0" borderId="59" xfId="0" applyFont="1" applyBorder="1" applyAlignment="1">
      <alignment horizontal="left" vertical="center" wrapText="1"/>
    </xf>
    <xf numFmtId="0" fontId="50" fillId="0" borderId="61" xfId="0" applyFont="1" applyBorder="1" applyAlignment="1">
      <alignment horizontal="left" vertical="center" wrapText="1"/>
    </xf>
    <xf numFmtId="0" fontId="3" fillId="0" borderId="61" xfId="8" applyBorder="1" applyAlignment="1">
      <alignment horizontal="left" vertical="center" wrapText="1"/>
    </xf>
    <xf numFmtId="0" fontId="50" fillId="0" borderId="60" xfId="0" applyFont="1" applyBorder="1" applyAlignment="1">
      <alignment horizontal="left" vertical="center" wrapText="1"/>
    </xf>
    <xf numFmtId="166" fontId="8" fillId="0" borderId="1" xfId="0" applyNumberFormat="1" applyFont="1" applyBorder="1" applyAlignment="1">
      <alignment vertical="center"/>
    </xf>
    <xf numFmtId="3" fontId="35" fillId="0" borderId="46" xfId="1" applyNumberFormat="1" applyFont="1" applyBorder="1" applyAlignment="1">
      <alignment horizontal="center" vertical="center" wrapText="1"/>
    </xf>
    <xf numFmtId="3" fontId="33" fillId="6" borderId="46" xfId="1" applyNumberFormat="1" applyFont="1" applyFill="1" applyBorder="1" applyAlignment="1">
      <alignment horizontal="center" vertical="center" wrapText="1"/>
    </xf>
    <xf numFmtId="167" fontId="35" fillId="0" borderId="46" xfId="2" applyNumberFormat="1" applyFont="1" applyBorder="1" applyAlignment="1">
      <alignment horizontal="center" vertical="center" wrapText="1"/>
    </xf>
    <xf numFmtId="3" fontId="8" fillId="4" borderId="1" xfId="0" applyNumberFormat="1" applyFont="1" applyFill="1" applyBorder="1" applyAlignment="1">
      <alignment vertical="center" wrapText="1"/>
    </xf>
    <xf numFmtId="174" fontId="0" fillId="0" borderId="1" xfId="0" applyNumberFormat="1" applyFill="1" applyBorder="1" applyAlignment="1">
      <alignment horizontal="right" vertical="center"/>
    </xf>
    <xf numFmtId="3" fontId="0" fillId="4" borderId="0" xfId="0" applyNumberFormat="1" applyFill="1"/>
    <xf numFmtId="0" fontId="3" fillId="15" borderId="0" xfId="0" applyFont="1" applyFill="1" applyAlignment="1">
      <alignment horizontal="center"/>
    </xf>
    <xf numFmtId="0" fontId="0" fillId="4"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5" fontId="3" fillId="0" borderId="5" xfId="1" applyNumberFormat="1" applyFont="1" applyBorder="1" applyAlignment="1">
      <alignment horizontal="center"/>
    </xf>
    <xf numFmtId="165" fontId="3" fillId="0" borderId="6" xfId="1" applyNumberFormat="1" applyFont="1" applyBorder="1" applyAlignment="1">
      <alignment horizontal="center"/>
    </xf>
    <xf numFmtId="165" fontId="3" fillId="0" borderId="32" xfId="1" applyNumberFormat="1" applyFont="1" applyBorder="1" applyAlignment="1">
      <alignment horizontal="center"/>
    </xf>
    <xf numFmtId="0" fontId="1" fillId="13" borderId="3" xfId="0" applyFont="1" applyFill="1" applyBorder="1" applyAlignment="1">
      <alignment horizontal="center" vertical="center"/>
    </xf>
    <xf numFmtId="0" fontId="1" fillId="13" borderId="4" xfId="0" applyFont="1" applyFill="1" applyBorder="1" applyAlignment="1">
      <alignment horizontal="center" vertical="center"/>
    </xf>
    <xf numFmtId="0" fontId="1" fillId="2" borderId="1" xfId="0" applyFont="1" applyFill="1" applyBorder="1" applyAlignment="1">
      <alignment horizontal="center" vertical="center" wrapText="1"/>
    </xf>
    <xf numFmtId="165" fontId="3" fillId="9" borderId="5" xfId="1" applyNumberFormat="1" applyFont="1" applyFill="1" applyBorder="1" applyAlignment="1">
      <alignment horizontal="center"/>
    </xf>
    <xf numFmtId="165" fontId="3" fillId="9" borderId="6" xfId="1" applyNumberFormat="1" applyFont="1" applyFill="1" applyBorder="1" applyAlignment="1">
      <alignment horizontal="center"/>
    </xf>
    <xf numFmtId="165" fontId="3" fillId="9" borderId="32" xfId="1" applyNumberFormat="1" applyFont="1" applyFill="1" applyBorder="1" applyAlignment="1">
      <alignment horizontal="center"/>
    </xf>
    <xf numFmtId="0" fontId="8" fillId="0" borderId="1"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37" fontId="3" fillId="0" borderId="1" xfId="1" applyNumberFormat="1" applyFont="1"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28" fillId="16"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0" fillId="0" borderId="3" xfId="0" applyBorder="1" applyAlignment="1">
      <alignment horizontal="left" vertical="center"/>
    </xf>
    <xf numFmtId="0" fontId="0" fillId="0" borderId="33" xfId="0" applyBorder="1" applyAlignment="1">
      <alignment horizontal="left" vertical="center"/>
    </xf>
    <xf numFmtId="0" fontId="0" fillId="0" borderId="4" xfId="0" applyBorder="1" applyAlignment="1">
      <alignment horizontal="left" vertical="center"/>
    </xf>
    <xf numFmtId="0" fontId="8" fillId="0" borderId="14" xfId="0" applyFont="1" applyBorder="1" applyAlignment="1">
      <alignment vertical="center" wrapText="1"/>
    </xf>
    <xf numFmtId="0" fontId="8" fillId="0" borderId="16" xfId="0" applyFont="1" applyBorder="1" applyAlignment="1">
      <alignment vertical="center" wrapText="1"/>
    </xf>
    <xf numFmtId="0" fontId="8" fillId="0" borderId="33" xfId="0" applyFont="1" applyBorder="1" applyAlignment="1">
      <alignment vertical="center" wrapText="1"/>
    </xf>
    <xf numFmtId="0" fontId="16" fillId="4" borderId="0" xfId="0" applyFont="1" applyFill="1" applyAlignment="1">
      <alignment horizontal="left"/>
    </xf>
    <xf numFmtId="0" fontId="32" fillId="0" borderId="8" xfId="0" applyFont="1" applyBorder="1" applyAlignment="1">
      <alignment vertical="center" wrapText="1"/>
    </xf>
    <xf numFmtId="0" fontId="31" fillId="14" borderId="37" xfId="0" applyFont="1" applyFill="1" applyBorder="1" applyAlignment="1">
      <alignment horizontal="center" vertical="center" wrapText="1"/>
    </xf>
    <xf numFmtId="0" fontId="31" fillId="14" borderId="38" xfId="0" applyFont="1" applyFill="1" applyBorder="1" applyAlignment="1">
      <alignment horizontal="center" vertical="center" wrapText="1"/>
    </xf>
    <xf numFmtId="0" fontId="32" fillId="0" borderId="37" xfId="0" applyFont="1" applyBorder="1" applyAlignment="1">
      <alignment horizontal="center" wrapText="1"/>
    </xf>
    <xf numFmtId="0" fontId="32" fillId="0" borderId="38" xfId="0" applyFont="1" applyBorder="1" applyAlignment="1">
      <alignment horizontal="center" wrapText="1"/>
    </xf>
    <xf numFmtId="0" fontId="32" fillId="0" borderId="37"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7" xfId="0" applyFont="1" applyBorder="1" applyAlignment="1">
      <alignment horizontal="left" vertical="center" wrapText="1"/>
    </xf>
    <xf numFmtId="0" fontId="32" fillId="0" borderId="38" xfId="0" applyFont="1" applyBorder="1" applyAlignment="1">
      <alignment horizontal="left" vertical="center" wrapText="1"/>
    </xf>
    <xf numFmtId="0" fontId="32" fillId="0" borderId="8" xfId="0" applyFont="1" applyBorder="1" applyAlignment="1">
      <alignment horizontal="left" vertical="center" wrapText="1"/>
    </xf>
    <xf numFmtId="0" fontId="32" fillId="0" borderId="37" xfId="0" applyFont="1" applyBorder="1" applyAlignment="1">
      <alignment vertical="center" wrapText="1"/>
    </xf>
    <xf numFmtId="0" fontId="32" fillId="0" borderId="38" xfId="0" applyFont="1" applyBorder="1" applyAlignment="1">
      <alignment vertical="center" wrapText="1"/>
    </xf>
    <xf numFmtId="0" fontId="32" fillId="0" borderId="41" xfId="0" applyFont="1" applyBorder="1" applyAlignment="1">
      <alignment vertical="center" wrapText="1"/>
    </xf>
    <xf numFmtId="0" fontId="33" fillId="6" borderId="43" xfId="0" applyFont="1" applyFill="1" applyBorder="1" applyAlignment="1">
      <alignment horizontal="center" vertical="center" wrapText="1"/>
    </xf>
    <xf numFmtId="0" fontId="33" fillId="6" borderId="44" xfId="0" applyFont="1" applyFill="1" applyBorder="1" applyAlignment="1">
      <alignment horizontal="center" vertical="center" wrapText="1"/>
    </xf>
    <xf numFmtId="0" fontId="31" fillId="14" borderId="42" xfId="0" applyFont="1" applyFill="1" applyBorder="1" applyAlignment="1">
      <alignment horizontal="center" vertical="center" wrapText="1"/>
    </xf>
    <xf numFmtId="0" fontId="31" fillId="14" borderId="39" xfId="0" applyFont="1" applyFill="1" applyBorder="1" applyAlignment="1">
      <alignment horizontal="center" vertical="center" wrapText="1"/>
    </xf>
    <xf numFmtId="0" fontId="31" fillId="14" borderId="40" xfId="0" applyFont="1" applyFill="1" applyBorder="1" applyAlignment="1">
      <alignment horizontal="center" vertical="center" wrapText="1"/>
    </xf>
    <xf numFmtId="0" fontId="8" fillId="0" borderId="9" xfId="0" applyFont="1" applyBorder="1" applyAlignment="1">
      <alignment horizontal="left" vertical="center"/>
    </xf>
    <xf numFmtId="3" fontId="19" fillId="0" borderId="0" xfId="0" applyNumberFormat="1" applyFont="1" applyAlignment="1">
      <alignment horizontal="center" vertical="center"/>
    </xf>
    <xf numFmtId="0" fontId="1" fillId="2" borderId="9" xfId="0" applyFont="1" applyFill="1" applyBorder="1" applyAlignment="1">
      <alignment horizontal="center" vertical="center" wrapText="1"/>
    </xf>
    <xf numFmtId="0" fontId="1" fillId="2" borderId="9" xfId="0" applyFont="1" applyFill="1"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left"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10" borderId="1" xfId="0" applyFont="1" applyFill="1" applyBorder="1" applyAlignment="1">
      <alignment horizontal="center" vertical="center"/>
    </xf>
    <xf numFmtId="0" fontId="1" fillId="2" borderId="3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0" fillId="0" borderId="1" xfId="0" applyBorder="1" applyAlignment="1">
      <alignment horizontal="left" vertical="center"/>
    </xf>
    <xf numFmtId="0" fontId="51" fillId="0" borderId="0" xfId="0" applyFont="1" applyAlignment="1">
      <alignment vertical="center"/>
    </xf>
    <xf numFmtId="0" fontId="0" fillId="0" borderId="0" xfId="0" applyFill="1"/>
    <xf numFmtId="174" fontId="0" fillId="4" borderId="0" xfId="0" applyNumberFormat="1" applyFill="1"/>
    <xf numFmtId="164" fontId="0" fillId="4" borderId="0" xfId="0" applyNumberFormat="1" applyFill="1"/>
    <xf numFmtId="3" fontId="0" fillId="0" borderId="0" xfId="0" applyNumberFormat="1" applyFill="1"/>
    <xf numFmtId="0" fontId="7" fillId="4" borderId="0" xfId="0" applyFont="1" applyFill="1"/>
    <xf numFmtId="3" fontId="7" fillId="4" borderId="0" xfId="0" applyNumberFormat="1" applyFont="1" applyFill="1"/>
  </cellXfs>
  <cellStyles count="79">
    <cellStyle name="60% - Accent1 2" xfId="78" xr:uid="{44B59908-415D-4735-B587-7C54942C1891}"/>
    <cellStyle name="Comma" xfId="1" builtinId="3"/>
    <cellStyle name="Comma 2" xfId="17" xr:uid="{A33C06B2-8BDF-452D-AA69-65B44873D7A3}"/>
    <cellStyle name="Comma 3" xfId="9" xr:uid="{4E746B67-194F-48D2-B3B0-9B536581896B}"/>
    <cellStyle name="Currency" xfId="2" builtinId="4"/>
    <cellStyle name="Currency 2" xfId="10" xr:uid="{5592BA0B-67EA-4FC7-BCCF-8701505DC537}"/>
    <cellStyle name="Currency 2 2" xfId="77" xr:uid="{C7003A47-B85B-4C95-B12C-CEB10D67208E}"/>
    <cellStyle name="Graphics" xfId="75" xr:uid="{32A49A46-6550-4F6A-9E64-4E99E045105A}"/>
    <cellStyle name="Heading 2" xfId="7" builtinId="17"/>
    <cellStyle name="Hyperlink 2" xfId="6" xr:uid="{00000000-0005-0000-0000-000003000000}"/>
    <cellStyle name="Hyperlink 2 2" xfId="76" xr:uid="{5706D351-F592-4A7A-91C9-8726FA2BEBFF}"/>
    <cellStyle name="Normal" xfId="0" builtinId="0"/>
    <cellStyle name="Normal 10" xfId="18" xr:uid="{4FD2CF01-1416-42B9-8A55-718B74F8979D}"/>
    <cellStyle name="Normal 11" xfId="19" xr:uid="{21854556-E344-4329-9458-91453C6A6F44}"/>
    <cellStyle name="Normal 12" xfId="20" xr:uid="{6C4E6938-5A10-4566-BFF4-0A141199D97F}"/>
    <cellStyle name="Normal 13" xfId="21" xr:uid="{1C2A5CC6-DAF2-4043-ADA0-2AA9C324A7F7}"/>
    <cellStyle name="Normal 14" xfId="22" xr:uid="{19D56F6E-27DD-4308-A3D6-037D417567A2}"/>
    <cellStyle name="Normal 15" xfId="23" xr:uid="{CB8905D3-3F9E-4767-9D9D-23B6890411AE}"/>
    <cellStyle name="Normal 16" xfId="24" xr:uid="{8F369044-4BF0-40EA-948A-557141BD171C}"/>
    <cellStyle name="Normal 17" xfId="25" xr:uid="{184EEEF3-37D3-4A79-93C0-890C3366DF1F}"/>
    <cellStyle name="Normal 18" xfId="27" xr:uid="{A59701FB-6378-4010-8104-6E7B82A6E94C}"/>
    <cellStyle name="Normal 19" xfId="26" xr:uid="{BE7B94EE-09E5-457A-AE4E-E9339E2D6924}"/>
    <cellStyle name="Normal 2" xfId="4" xr:uid="{00000000-0005-0000-0000-000005000000}"/>
    <cellStyle name="Normal 2 2 4 5" xfId="11" xr:uid="{5210010D-2C43-4CA4-8FD2-76FD835806EE}"/>
    <cellStyle name="Normal 20" xfId="28" xr:uid="{01630A91-3B1F-4336-9ECC-F239CB155191}"/>
    <cellStyle name="Normal 21" xfId="29" xr:uid="{F353CB93-039A-48D1-8E9C-57D4E557410B}"/>
    <cellStyle name="Normal 22" xfId="30" xr:uid="{88FA1ECB-86AF-4E7E-A5C0-BC0C01BFCDDA}"/>
    <cellStyle name="Normal 23" xfId="31" xr:uid="{C3BA6007-4D7A-458B-AC10-7AAD6428A5DB}"/>
    <cellStyle name="Normal 24" xfId="32" xr:uid="{FD4BC502-844B-4320-B9CD-5E16341FD03B}"/>
    <cellStyle name="Normal 25" xfId="33" xr:uid="{DFB61017-9B2C-40A8-8E9C-DAD22CBF4849}"/>
    <cellStyle name="Normal 26" xfId="34" xr:uid="{5EC9D926-1583-48DF-8D59-BAE4DD973E84}"/>
    <cellStyle name="Normal 28" xfId="35" xr:uid="{BB2F0FFD-3232-493F-B964-43A281B5E2F4}"/>
    <cellStyle name="Normal 29" xfId="36" xr:uid="{4882E9A8-18B1-4102-ACAD-CB1A9056A817}"/>
    <cellStyle name="Normal 3" xfId="5" xr:uid="{00000000-0005-0000-0000-000006000000}"/>
    <cellStyle name="Normal 3 2 2" xfId="12" xr:uid="{D8A7B82C-E2BD-4470-A670-B176B6C54911}"/>
    <cellStyle name="Normal 30" xfId="37" xr:uid="{8DE81B78-631C-48C8-A4CD-5B51FD3753E9}"/>
    <cellStyle name="Normal 32" xfId="38" xr:uid="{18AD8948-F590-47DA-80C4-1DBDBAEFFF4F}"/>
    <cellStyle name="Normal 33" xfId="39" xr:uid="{7F6C5E36-D69E-4DA3-9C62-0BF532BD3F49}"/>
    <cellStyle name="Normal 34" xfId="40" xr:uid="{1983FF7C-DEEC-4D31-B18D-D03C3A7CC855}"/>
    <cellStyle name="Normal 35" xfId="41" xr:uid="{C3E10363-EFFB-453D-A3C7-39261A1940A3}"/>
    <cellStyle name="Normal 36" xfId="42" xr:uid="{9467350C-D949-49B8-8234-A48519EB36C7}"/>
    <cellStyle name="Normal 38" xfId="43" xr:uid="{4DFE6A29-2A61-438E-90C5-B67169B004B2}"/>
    <cellStyle name="Normal 39" xfId="44" xr:uid="{6AF219A0-549E-4FDF-80A6-08B05B8A0A4F}"/>
    <cellStyle name="Normal 4" xfId="45" xr:uid="{DC96E75F-6AA0-428D-BCA6-2F38881155D4}"/>
    <cellStyle name="Normal 4 2 2" xfId="13" xr:uid="{632DBD0B-652E-470A-86C8-DACDD88363F3}"/>
    <cellStyle name="Normal 40" xfId="46" xr:uid="{01E9260D-AF6B-4F74-BA47-5187FFA423F5}"/>
    <cellStyle name="Normal 41" xfId="47" xr:uid="{B0AFF19F-103B-4071-9A6C-A645A0A50211}"/>
    <cellStyle name="Normal 42" xfId="48" xr:uid="{4DB49B62-9EA2-45F9-8821-DBEE0C9EAE7B}"/>
    <cellStyle name="Normal 43" xfId="49" xr:uid="{3870FC2C-14BC-43A2-8128-E2B116FB0AD7}"/>
    <cellStyle name="Normal 44" xfId="50" xr:uid="{973A7823-2D2D-4E1B-A7D6-ADDA45027632}"/>
    <cellStyle name="Normal 45" xfId="51" xr:uid="{38EBFA30-8C9C-4DEC-B648-369C3CF0E006}"/>
    <cellStyle name="Normal 47" xfId="52" xr:uid="{A819A97B-553A-4B2D-A56A-FB039959709A}"/>
    <cellStyle name="Normal 48" xfId="53" xr:uid="{8A2CF1DA-7BDC-4785-9668-82969F093E72}"/>
    <cellStyle name="Normal 49" xfId="54" xr:uid="{6BD55497-08A6-49B8-8A79-314B7E52620F}"/>
    <cellStyle name="Normal 5" xfId="14" xr:uid="{2D9E9FCA-3BDB-463C-85DB-81F41E90206C}"/>
    <cellStyle name="Normal 5 2" xfId="55" xr:uid="{B4684B56-D003-41EC-951E-5FE8543678BE}"/>
    <cellStyle name="Normal 50" xfId="56" xr:uid="{D66603A7-8522-4F7A-9A81-7EBA9803590E}"/>
    <cellStyle name="Normal 51" xfId="57" xr:uid="{8340A234-7601-486C-B075-343BF6808A59}"/>
    <cellStyle name="Normal 52" xfId="58" xr:uid="{C3D7611C-77FF-4681-8D26-9BAD5E3F5A22}"/>
    <cellStyle name="Normal 54" xfId="59" xr:uid="{E5C711E7-6D07-4329-A0DB-B0F53231287E}"/>
    <cellStyle name="Normal 55" xfId="60" xr:uid="{36C119C6-709E-4A0C-9006-7E36EBEAFFDA}"/>
    <cellStyle name="Normal 56" xfId="61" xr:uid="{801334C3-5747-4FAF-AEFD-52B4DFFD8013}"/>
    <cellStyle name="Normal 57" xfId="62" xr:uid="{92250E21-3723-4FC5-8FC2-1D574A44138A}"/>
    <cellStyle name="Normal 58" xfId="63" xr:uid="{73BD4D8C-DBAD-48EB-A64D-EB7CAB311C6E}"/>
    <cellStyle name="Normal 6" xfId="64" xr:uid="{7093CA33-426E-4585-81C7-2D803C8202A4}"/>
    <cellStyle name="Normal 60" xfId="65" xr:uid="{1D7BF7A3-BF16-4E47-A75B-2354422C68CD}"/>
    <cellStyle name="Normal 61" xfId="66" xr:uid="{08A8D231-DF28-40E5-8CCF-EC7874461AEE}"/>
    <cellStyle name="Normal 62" xfId="67" xr:uid="{84C7C176-4958-4DE1-B8EE-5D4C0861D4F1}"/>
    <cellStyle name="Normal 63" xfId="68" xr:uid="{E29207EB-89BF-4E24-8DD5-6C4D74D99855}"/>
    <cellStyle name="Normal 64" xfId="69" xr:uid="{D4105CC9-9914-497F-9F5F-8F359330DEA4}"/>
    <cellStyle name="Normal 65" xfId="70" xr:uid="{ADB42B6A-4332-4F68-9058-1C91F5C71773}"/>
    <cellStyle name="Normal 66" xfId="71" xr:uid="{70D76BD5-4DB3-4281-A371-2BC45AA201F8}"/>
    <cellStyle name="Normal 7" xfId="72" xr:uid="{63ABF479-C9E6-47EF-95BB-C0F05CA32468}"/>
    <cellStyle name="Normal 8" xfId="73" xr:uid="{12572245-3CF9-4CB5-9FCA-4150DE7E3FAD}"/>
    <cellStyle name="Normal 9" xfId="74" xr:uid="{8B97FF1C-9F3E-46A4-A703-734D434FE45C}"/>
    <cellStyle name="Percent" xfId="3" builtinId="5"/>
    <cellStyle name="Percent 2" xfId="15" xr:uid="{FA41DB31-5CEA-4611-B42A-6106A2E222F7}"/>
    <cellStyle name="Percent 4" xfId="16" xr:uid="{5ACDA1AE-CC62-4B61-9421-D1F9C2FED6C9}"/>
    <cellStyle name="Total" xfId="8" builtinId="25"/>
  </cellStyles>
  <dxfs count="0"/>
  <tableStyles count="0" defaultTableStyle="TableStyleMedium2" defaultPivotStyle="PivotStyleLight16"/>
  <colors>
    <mruColors>
      <color rgb="FFFFFF99"/>
      <color rgb="FF0070C0"/>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Ferenchiak, Rebecca" id="{107AAB5A-B9AC-49D1-861D-0CBBA178AA55}" userId="S::25192@Icf.com::15f8d2f3-0b88-4c1f-ba9a-5bb3bbc6ecbf" providerId="AD"/>
  <person displayName="Ferenchiak, Rebecca" id="{3DC2A4C4-F827-4373-8A06-71C0E64304B2}" userId="S::25192@icf.com::15f8d2f3-0b88-4c1f-ba9a-5bb3bbc6ecbf" providerId="AD"/>
  <person displayName="Johanna Garfinkel" id="{7C913057-62FF-467B-993D-1021C33E2C71}" userId="S::52271@icf.com::9dacad0f-1d25-4bf2-a247-671fb442329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45" dT="2023-02-01T00:22:35.81" personId="{107AAB5A-B9AC-49D1-861D-0CBBA178AA55}" id="{FC5DEB2B-DCF3-4165-8961-95BA4FD287B2}">
    <text>Proportionally increased current ICR assumption by ratio of ODS to HFC equipment assumed subject to leak repair requirements.</text>
  </threadedComment>
  <threadedComment ref="G46" dT="2023-02-01T00:22:35.81" personId="{107AAB5A-B9AC-49D1-861D-0CBBA178AA55}" id="{E29C4E1D-52AB-40ED-AF80-89D0BE7294B1}">
    <text>Proportionally increased current ICR assumption by ratio of ODS to HFC equipment assumed subject to leak repair requirements.</text>
  </threadedComment>
  <threadedComment ref="G47" dT="2023-02-01T00:22:35.81" personId="{107AAB5A-B9AC-49D1-861D-0CBBA178AA55}" id="{FA717C4C-A291-452D-B4A8-ACDC1A29EBA4}">
    <text>Proportionally increased current ICR assumption by ratio of ODS to HFC equipment assumed subject to leak repair requirements.</text>
  </threadedComment>
  <threadedComment ref="G48" dT="2023-02-01T00:22:35.81" personId="{107AAB5A-B9AC-49D1-861D-0CBBA178AA55}" id="{04F32012-7F80-4E41-B2B9-2FE289FF4251}">
    <text>Proportionally increased current ICR assumption by ratio of ODS to HFC equipment assumed subject to leak repair requirements.</text>
  </threadedComment>
  <threadedComment ref="G49" dT="2023-02-01T01:00:12.40" personId="{107AAB5A-B9AC-49D1-861D-0CBBA178AA55}" id="{EAB357CD-BFC3-4E0F-8D00-703FE8972856}">
    <text>Assumes 5% of planned requests are able to repair leaks</text>
  </threadedComment>
  <threadedComment ref="G50" dT="2023-02-01T01:00:12.40" personId="{107AAB5A-B9AC-49D1-861D-0CBBA178AA55}" id="{B6EAE95A-15AD-428A-B014-6AEF43505CCD}">
    <text>Assumes 5% of planned requests are able to repair leaks</text>
  </threadedComment>
  <threadedComment ref="G51" dT="2023-02-01T01:04:53.77" personId="{107AAB5A-B9AC-49D1-861D-0CBBA178AA55}" id="{4573290C-4F20-4ADB-9971-7A17D1B2168F}">
    <text>Estimated number of "worst leakers" of affected HFC equipment</text>
  </threadedComment>
  <threadedComment ref="G52" dT="2023-02-01T01:04:53.77" personId="{107AAB5A-B9AC-49D1-861D-0CBBA178AA55}" id="{313D928F-4698-4267-9343-70BC8B61E0F5}">
    <text>Estimated number of "worst leakers" of affected HFC equipment</text>
  </threadedComment>
  <threadedComment ref="G61" dT="2023-04-12T13:26:05.06" personId="{107AAB5A-B9AC-49D1-861D-0CBBA178AA55}" id="{FAD98953-9EED-48AF-B545-6E1763E4FFD3}">
    <text>Analysis assumes 1% of equipment experiences retrofit outcome</text>
  </threadedComment>
  <threadedComment ref="G62" dT="2023-04-12T13:26:05.06" personId="{107AAB5A-B9AC-49D1-861D-0CBBA178AA55}" id="{BCFD6203-FAF1-4439-8E19-4EE27C219545}">
    <text>Analysis assumes 1% of equipment experiences retrofit outcome</text>
  </threadedComment>
  <threadedComment ref="G63" dT="2023-02-01T00:41:10.57" personId="{107AAB5A-B9AC-49D1-861D-0CBBA178AA55}" id="{22FF3D32-0424-47BD-A9FB-111003331A5B}">
    <text>Assumed 2% of systems with retire/replace or retrofit plan</text>
  </threadedComment>
  <threadedComment ref="G64" dT="2023-02-01T00:41:10.57" personId="{107AAB5A-B9AC-49D1-861D-0CBBA178AA55}" id="{7DB79E5F-22E6-4780-A300-5A5840411AC9}">
    <text>Assumed 2% of systems with retire/replace or retrofit plan</text>
  </threadedComment>
  <threadedComment ref="J74" dT="2023-04-13T20:52:25.63" personId="{107AAB5A-B9AC-49D1-861D-0CBBA178AA55}" id="{20ECA0FD-D807-4C90-95BE-22167C5F7615}">
    <text>Assuming 50% of ALD systems are direct with leak calculation and data storage capabilities, so burden only assumed for equipment with indirect ALD.</text>
  </threadedComment>
  <threadedComment ref="K74" dT="2023-04-13T20:52:25.63" personId="{107AAB5A-B9AC-49D1-861D-0CBBA178AA55}" id="{5F52FA5C-8A30-4196-9B37-E78790FC0A0F}">
    <text>Assuming 50% of ALD systems are direct with leak calculation and data storage capabilities, so burden only assumed for equipment with indirect ALD.</text>
  </threadedComment>
  <threadedComment ref="G81" dT="2023-05-24T00:19:20.06" personId="{7C913057-62FF-467B-993D-1021C33E2C71}" id="{8ED22243-DFB6-4722-94C4-1FE0977AB430}">
    <text>15 HEEP reporters + 5 additional companies that do not have to report to HEEP (e.g., OEMs that do not also refill equipment)</text>
  </threadedComment>
  <threadedComment ref="K81" dT="2023-05-24T00:29:12.39" personId="{7C913057-62FF-467B-993D-1021C33E2C71}" id="{FB3BF226-CD90-4FBC-90C4-C2B283066DCB}">
    <text>Based off 2024 Allocation Rule assumption for quarterly report - assumed that the amount of time will be the same because they'll already have the data</text>
  </threadedComment>
  <threadedComment ref="G83" dT="2024-04-09T01:00:25.80" personId="{7C913057-62FF-467B-993D-1021C33E2C71}" id="{F700FE4A-838E-429D-8710-683313C33B8E}">
    <text>Assumptions based on number of HFC reclamation facilities, including those that have not reported to HAWK</text>
  </threadedComment>
  <threadedComment ref="H86" dT="2024-03-30T22:59:39.33" personId="{3DC2A4C4-F827-4373-8A06-71C0E64304B2}" id="{4F902B1E-E288-4E03-9A23-BD12C0B2F416}">
    <text xml:space="preserve">Same assumption from 608 ICR; Based on data on the number of wholesaler locations from Heating, Air-conditioning &amp; Refrigeration Distributors International (HARDI) and  consistent with assumptions used in the HFC Allocation Rule ICR (Recordkeeping and Reporting of the Hydrofluorocarbon Allowance Allocation and Trading Program).
</text>
  </threadedComment>
  <threadedComment ref="J87" dT="2024-04-03T21:16:15.53" personId="{107AAB5A-B9AC-49D1-861D-0CBBA178AA55}" id="{4F80A959-F782-4D53-9564-BD486C5694D9}">
    <text>Assumed applicable to 10% of cylinders (1/3 of cylinders are assumed to go from the end-user to a disposal facility, it's assumed that the end-user (i.e., technician) would fully recover the refrigerant from a portion of those - 10% - and would just send the evacuated cylinder for disposal)</text>
  </threadedComment>
  <threadedComment ref="K87" dT="2024-03-30T23:07:47.76" personId="{3DC2A4C4-F827-4373-8A06-71C0E64304B2}" id="{E7085AD8-BA7D-4C19-B9EE-E8FC47674FFC}">
    <text>Third-party conferral statements estimated in 2024 Allocation Rule burden is 2 hours - burden for preparing this certification statement assumed to be lower.</text>
  </threadedComment>
  <threadedComment ref="I88" dT="2024-04-15T20:47:14.72" personId="{7C913057-62FF-467B-993D-1021C33E2C71}" id="{AC561275-4905-4950-B12C-BDB1B3F22EA7}">
    <text>Based on the number of Materials Recovery Facilities (Recyclers) [NAICS Code 562920] and Solid Waste Landfills [NAICS Code 562212] used in the cylinder heel recovery cost analysis</text>
  </threadedComment>
  <threadedComment ref="M108" dT="2024-04-19T19:04:36.49" personId="{7C913057-62FF-467B-993D-1021C33E2C71}" id="{8AC43384-6922-4832-A36D-627BA0F3C34E}">
    <text>15% of final processors (per RCRA team guidance)</text>
  </threadedComment>
  <threadedComment ref="M116" dT="2024-04-15T20:47:14.72" personId="{7C913057-62FF-467B-993D-1021C33E2C71}" id="{DA4501AE-5782-4DAB-9D0A-D4FC1C3067AD}">
    <text>Based on 3% of Materials Recovery Facilities (Recyclers) [NAICS Code 562920] and Solid Waste Landfills [NAICS Code 562212] used in the cylinder heel recovery cost analysis (per guidance from RCRA team)</text>
  </threadedComment>
  <threadedComment ref="M123" dT="2024-04-19T19:01:43.97" personId="{7C913057-62FF-467B-993D-1021C33E2C71}" id="{776F5DF7-007C-4FAD-AAE8-97AD5BAFD6F8}">
    <text>Applies to all reclaimers (per RCRA team guidance)</text>
  </threadedComment>
  <threadedComment ref="M125" dT="2024-04-19T19:01:43.97" personId="{7C913057-62FF-467B-993D-1021C33E2C71}" id="{87C0549B-9403-4B04-921E-2EF5F9EA5463}">
    <text>Applies to all final processors (per RCRA team guidance)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FA854-9FFE-4F1D-A72F-F316A44AC943}">
  <sheetPr>
    <tabColor theme="9"/>
  </sheetPr>
  <dimension ref="A1:C37"/>
  <sheetViews>
    <sheetView workbookViewId="0">
      <selection activeCell="B3" sqref="B3"/>
    </sheetView>
  </sheetViews>
  <sheetFormatPr defaultRowHeight="14.5"/>
  <cols>
    <col min="1" max="1" width="25.1796875" customWidth="1"/>
    <col min="2" max="2" width="21" customWidth="1"/>
    <col min="3" max="3" width="14.453125" customWidth="1"/>
  </cols>
  <sheetData>
    <row r="1" spans="1:3" ht="15.5">
      <c r="B1" s="354" t="s">
        <v>386</v>
      </c>
    </row>
    <row r="2" spans="1:3">
      <c r="A2" s="398" t="s">
        <v>298</v>
      </c>
      <c r="B2" s="398"/>
    </row>
    <row r="3" spans="1:3" ht="29">
      <c r="A3" s="300" t="s">
        <v>299</v>
      </c>
      <c r="B3" s="302">
        <f>MAX('Respondent Burden'!G92:I92)</f>
        <v>781563.48168048891</v>
      </c>
      <c r="C3" t="s">
        <v>302</v>
      </c>
    </row>
    <row r="4" spans="1:3" ht="29">
      <c r="A4" s="300" t="s">
        <v>300</v>
      </c>
      <c r="B4" s="343">
        <f>$C$37</f>
        <v>239384.79910265087</v>
      </c>
    </row>
    <row r="5" spans="1:3" ht="29">
      <c r="A5" s="300" t="s">
        <v>301</v>
      </c>
      <c r="B5" s="301">
        <v>1</v>
      </c>
    </row>
    <row r="7" spans="1:3" ht="15" thickBot="1">
      <c r="A7" s="26" t="s">
        <v>409</v>
      </c>
      <c r="B7" s="83"/>
      <c r="C7" s="83"/>
    </row>
    <row r="8" spans="1:3" ht="17">
      <c r="A8" s="327" t="s">
        <v>303</v>
      </c>
      <c r="B8" s="310" t="s">
        <v>304</v>
      </c>
      <c r="C8" s="310" t="s">
        <v>305</v>
      </c>
    </row>
    <row r="9" spans="1:3" ht="25">
      <c r="A9" s="328" t="s">
        <v>306</v>
      </c>
      <c r="B9" s="331">
        <v>53300.72954106424</v>
      </c>
      <c r="C9" s="331">
        <v>48555.555885835762</v>
      </c>
    </row>
    <row r="10" spans="1:3" ht="25">
      <c r="A10" s="328" t="s">
        <v>307</v>
      </c>
      <c r="B10" s="331">
        <v>6.8</v>
      </c>
      <c r="C10" s="331">
        <v>0</v>
      </c>
    </row>
    <row r="11" spans="1:3">
      <c r="A11" s="328" t="s">
        <v>308</v>
      </c>
      <c r="B11" s="331">
        <v>3211.9825336770332</v>
      </c>
      <c r="C11" s="331">
        <v>3015.4881472718198</v>
      </c>
    </row>
    <row r="12" spans="1:3">
      <c r="A12" s="328" t="s">
        <v>309</v>
      </c>
      <c r="B12" s="331">
        <v>11061</v>
      </c>
      <c r="C12" s="331">
        <v>4146</v>
      </c>
    </row>
    <row r="13" spans="1:3">
      <c r="A13" s="328" t="s">
        <v>310</v>
      </c>
      <c r="B13" s="331">
        <v>24107</v>
      </c>
      <c r="C13" s="331">
        <v>3788</v>
      </c>
    </row>
    <row r="14" spans="1:3" ht="25">
      <c r="A14" s="328" t="s">
        <v>311</v>
      </c>
      <c r="B14" s="331">
        <v>9010</v>
      </c>
      <c r="C14" s="331">
        <v>424</v>
      </c>
    </row>
    <row r="15" spans="1:3">
      <c r="A15" s="328" t="s">
        <v>312</v>
      </c>
      <c r="B15" s="331">
        <v>43271</v>
      </c>
      <c r="C15" s="331">
        <v>43271</v>
      </c>
    </row>
    <row r="16" spans="1:3">
      <c r="A16" s="330" t="s">
        <v>313</v>
      </c>
      <c r="B16" s="331">
        <v>18640.821783876498</v>
      </c>
      <c r="C16" s="331">
        <v>0</v>
      </c>
    </row>
    <row r="17" spans="1:3" ht="25">
      <c r="A17" s="328" t="s">
        <v>314</v>
      </c>
      <c r="B17" s="331">
        <v>446</v>
      </c>
      <c r="C17" s="331">
        <v>399</v>
      </c>
    </row>
    <row r="18" spans="1:3" ht="25">
      <c r="A18" s="328" t="s">
        <v>315</v>
      </c>
      <c r="B18" s="331">
        <v>59270.724516580129</v>
      </c>
      <c r="C18" s="331">
        <v>50881.559980069978</v>
      </c>
    </row>
    <row r="19" spans="1:3">
      <c r="A19" s="328" t="s">
        <v>316</v>
      </c>
      <c r="B19" s="331">
        <v>38626</v>
      </c>
      <c r="C19" s="331">
        <v>2364</v>
      </c>
    </row>
    <row r="20" spans="1:3">
      <c r="A20" s="328" t="s">
        <v>317</v>
      </c>
      <c r="B20" s="331">
        <v>88485</v>
      </c>
      <c r="C20" s="331">
        <v>867</v>
      </c>
    </row>
    <row r="21" spans="1:3">
      <c r="A21" s="330" t="s">
        <v>318</v>
      </c>
      <c r="B21" s="331">
        <v>38185.033273242349</v>
      </c>
      <c r="C21" s="331">
        <v>175.40942570177697</v>
      </c>
    </row>
    <row r="22" spans="1:3">
      <c r="A22" s="330" t="s">
        <v>319</v>
      </c>
      <c r="B22" s="331">
        <v>1096.453125</v>
      </c>
      <c r="C22" s="331">
        <v>354.1640625</v>
      </c>
    </row>
    <row r="23" spans="1:3">
      <c r="A23" s="328" t="s">
        <v>320</v>
      </c>
      <c r="B23" s="331">
        <v>13719</v>
      </c>
      <c r="C23" s="331">
        <v>0</v>
      </c>
    </row>
    <row r="24" spans="1:3">
      <c r="A24" s="328" t="s">
        <v>321</v>
      </c>
      <c r="B24" s="331">
        <v>1996845.866607541</v>
      </c>
      <c r="C24" s="331">
        <v>9594.0494182764287</v>
      </c>
    </row>
    <row r="25" spans="1:3">
      <c r="A25" s="328" t="s">
        <v>322</v>
      </c>
      <c r="B25" s="331">
        <v>3219.0384014985957</v>
      </c>
      <c r="C25" s="331">
        <v>182.83995459704877</v>
      </c>
    </row>
    <row r="26" spans="1:3">
      <c r="A26" s="328" t="s">
        <v>323</v>
      </c>
      <c r="B26" s="331">
        <v>31985.362498748629</v>
      </c>
      <c r="C26" s="331">
        <v>387.32156057494865</v>
      </c>
    </row>
    <row r="27" spans="1:3">
      <c r="A27" s="328" t="s">
        <v>324</v>
      </c>
      <c r="B27" s="331">
        <v>1029.4015611448394</v>
      </c>
      <c r="C27" s="331">
        <v>919.91066782307018</v>
      </c>
    </row>
    <row r="28" spans="1:3">
      <c r="A28" s="322" t="s">
        <v>325</v>
      </c>
      <c r="B28" s="329">
        <v>13029</v>
      </c>
      <c r="C28" s="329">
        <v>12187</v>
      </c>
    </row>
    <row r="29" spans="1:3">
      <c r="A29" s="322" t="s">
        <v>326</v>
      </c>
      <c r="B29" s="329">
        <v>2276</v>
      </c>
      <c r="C29" s="329">
        <v>2276</v>
      </c>
    </row>
    <row r="30" spans="1:3" ht="25">
      <c r="A30" s="322" t="s">
        <v>327</v>
      </c>
      <c r="B30" s="329">
        <v>37</v>
      </c>
      <c r="C30" s="329">
        <v>32</v>
      </c>
    </row>
    <row r="31" spans="1:3" ht="37.5">
      <c r="A31" s="322" t="s">
        <v>328</v>
      </c>
      <c r="B31" s="329">
        <v>605</v>
      </c>
      <c r="C31" s="329">
        <v>280</v>
      </c>
    </row>
    <row r="32" spans="1:3" ht="50">
      <c r="A32" s="322" t="s">
        <v>329</v>
      </c>
      <c r="B32" s="329">
        <v>2143</v>
      </c>
      <c r="C32" s="329">
        <v>1017</v>
      </c>
    </row>
    <row r="33" spans="1:3" ht="37.5">
      <c r="A33" s="322" t="s">
        <v>330</v>
      </c>
      <c r="B33" s="329">
        <v>5803</v>
      </c>
      <c r="C33" s="329">
        <v>2755</v>
      </c>
    </row>
    <row r="34" spans="1:3" ht="25">
      <c r="A34" s="390" t="s">
        <v>368</v>
      </c>
      <c r="B34" s="329">
        <v>1611</v>
      </c>
      <c r="C34" s="329">
        <v>1541</v>
      </c>
    </row>
    <row r="35" spans="1:3" ht="22" customHeight="1">
      <c r="A35" s="387" t="s">
        <v>407</v>
      </c>
      <c r="B35" s="331">
        <v>50704.5</v>
      </c>
      <c r="C35" s="331">
        <v>49963.5</v>
      </c>
    </row>
    <row r="36" spans="1:3" ht="23.5" customHeight="1" thickBot="1">
      <c r="A36" s="388" t="s">
        <v>408</v>
      </c>
      <c r="B36" s="334">
        <v>20</v>
      </c>
      <c r="C36" s="334">
        <v>8</v>
      </c>
    </row>
    <row r="37" spans="1:3" ht="15" thickBot="1">
      <c r="A37" s="389" t="s">
        <v>331</v>
      </c>
      <c r="B37" s="332">
        <f>SUM(B9:B36)</f>
        <v>2511745.7138423729</v>
      </c>
      <c r="C37" s="332">
        <f>SUM(C9:C36)</f>
        <v>239384.79910265087</v>
      </c>
    </row>
  </sheetData>
  <mergeCells count="1">
    <mergeCell ref="A2: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60C51-9009-4ED5-8A8C-8F77F6CC6217}">
  <sheetPr>
    <pageSetUpPr autoPageBreaks="0"/>
  </sheetPr>
  <dimension ref="A1:AR141"/>
  <sheetViews>
    <sheetView tabSelected="1" topLeftCell="W56" zoomScale="70" zoomScaleNormal="70" workbookViewId="0">
      <selection activeCell="AI64" sqref="AI64"/>
    </sheetView>
  </sheetViews>
  <sheetFormatPr defaultRowHeight="14.5"/>
  <cols>
    <col min="1" max="1" width="4.1796875" style="187" customWidth="1"/>
    <col min="2" max="2" width="36.81640625" customWidth="1"/>
    <col min="3" max="3" width="25.1796875" customWidth="1"/>
    <col min="4" max="4" width="35.453125" customWidth="1"/>
    <col min="5" max="5" width="28.1796875" customWidth="1"/>
    <col min="6" max="8" width="19.81640625" customWidth="1"/>
    <col min="9" max="9" width="16.81640625" customWidth="1"/>
    <col min="10" max="10" width="15.54296875" customWidth="1"/>
    <col min="11" max="11" width="14.1796875" customWidth="1"/>
    <col min="12" max="12" width="17" customWidth="1"/>
    <col min="13" max="13" width="21.54296875" customWidth="1"/>
    <col min="14" max="14" width="16.54296875" customWidth="1"/>
    <col min="15" max="15" width="17.54296875" customWidth="1"/>
    <col min="16" max="16" width="14.26953125" customWidth="1"/>
    <col min="17" max="17" width="18.26953125" customWidth="1"/>
    <col min="18" max="18" width="16.1796875" customWidth="1"/>
    <col min="19" max="19" width="14.26953125" customWidth="1"/>
    <col min="20" max="20" width="16.81640625" customWidth="1"/>
    <col min="21" max="21" width="15.54296875" customWidth="1"/>
    <col min="22" max="22" width="28.453125" customWidth="1"/>
    <col min="23" max="23" width="15.54296875" customWidth="1"/>
    <col min="24" max="24" width="26" customWidth="1"/>
    <col min="25" max="25" width="15.54296875" customWidth="1"/>
    <col min="26" max="26" width="20.54296875" customWidth="1"/>
    <col min="27" max="27" width="15" customWidth="1"/>
    <col min="28" max="28" width="18.1796875" customWidth="1"/>
    <col min="29" max="29" width="19.81640625" customWidth="1"/>
    <col min="30" max="30" width="16.81640625" customWidth="1"/>
    <col min="31" max="31" width="15.81640625" customWidth="1"/>
    <col min="32" max="32" width="20.54296875" customWidth="1"/>
    <col min="33" max="33" width="21.26953125" customWidth="1"/>
    <col min="34" max="34" width="10.36328125" customWidth="1"/>
    <col min="35" max="36" width="17" bestFit="1" customWidth="1"/>
    <col min="37" max="37" width="12.7265625" customWidth="1"/>
    <col min="38" max="39" width="16.1796875" customWidth="1"/>
    <col min="40" max="40" width="15.7265625" customWidth="1"/>
    <col min="41" max="41" width="12.7265625" customWidth="1"/>
    <col min="42" max="42" width="13.7265625" customWidth="1"/>
    <col min="43" max="43" width="10.26953125" customWidth="1"/>
    <col min="44" max="44" width="10.6328125" customWidth="1"/>
  </cols>
  <sheetData>
    <row r="1" spans="2:24" ht="23.5">
      <c r="B1" s="1" t="s">
        <v>163</v>
      </c>
      <c r="C1" s="1"/>
      <c r="H1" s="354" t="s">
        <v>386</v>
      </c>
      <c r="N1" s="19"/>
      <c r="U1" s="24"/>
    </row>
    <row r="2" spans="2:24" ht="18.5">
      <c r="B2" s="126" t="s">
        <v>406</v>
      </c>
      <c r="C2" s="17"/>
      <c r="N2" s="24"/>
      <c r="S2" s="18"/>
      <c r="T2" s="18"/>
      <c r="U2" s="19"/>
    </row>
    <row r="3" spans="2:24" ht="18.5">
      <c r="C3" s="17"/>
      <c r="N3" s="24"/>
      <c r="S3" s="18"/>
      <c r="T3" s="18"/>
    </row>
    <row r="4" spans="2:24" ht="19" thickBot="1">
      <c r="B4" s="4" t="s">
        <v>1</v>
      </c>
      <c r="F4" s="9"/>
      <c r="G4" s="9"/>
      <c r="H4" s="9"/>
      <c r="J4" s="2"/>
      <c r="L4" s="9"/>
      <c r="N4" s="24"/>
      <c r="S4" s="18"/>
      <c r="T4" s="18"/>
      <c r="U4" s="24"/>
    </row>
    <row r="5" spans="2:24" ht="19" thickBot="1">
      <c r="B5" s="134"/>
      <c r="C5" s="135" t="s">
        <v>401</v>
      </c>
      <c r="D5" s="136" t="s">
        <v>34</v>
      </c>
      <c r="G5" s="9"/>
      <c r="H5" s="9"/>
      <c r="I5" s="9"/>
      <c r="K5" s="2"/>
      <c r="N5" s="24"/>
    </row>
    <row r="6" spans="2:24">
      <c r="B6" s="137" t="s">
        <v>156</v>
      </c>
      <c r="C6" s="32"/>
      <c r="D6" s="138">
        <v>1.1000000000000001</v>
      </c>
      <c r="N6" s="24"/>
      <c r="O6" s="116" t="s">
        <v>360</v>
      </c>
      <c r="P6" s="316"/>
      <c r="Q6" s="316"/>
      <c r="R6" s="320" t="s">
        <v>361</v>
      </c>
    </row>
    <row r="7" spans="2:24" ht="14.5" customHeight="1">
      <c r="B7" s="137" t="s">
        <v>178</v>
      </c>
      <c r="C7" s="33">
        <v>27.55</v>
      </c>
      <c r="D7" s="139">
        <f t="shared" ref="D7:D14" si="0">C7+C7*$D$6</f>
        <v>57.855000000000004</v>
      </c>
      <c r="E7" s="119" t="s">
        <v>399</v>
      </c>
      <c r="G7" s="119"/>
      <c r="H7" s="119"/>
      <c r="I7" s="119"/>
      <c r="J7" s="119"/>
      <c r="K7" s="119"/>
      <c r="L7" s="119"/>
      <c r="M7" s="119"/>
      <c r="N7" s="24"/>
      <c r="O7" s="142">
        <v>65</v>
      </c>
      <c r="P7" t="s">
        <v>362</v>
      </c>
      <c r="Q7" s="325" t="s">
        <v>363</v>
      </c>
      <c r="R7" s="315">
        <v>562920</v>
      </c>
    </row>
    <row r="8" spans="2:24" ht="14.5" customHeight="1">
      <c r="B8" s="137" t="s">
        <v>36</v>
      </c>
      <c r="C8" s="33">
        <v>49.85</v>
      </c>
      <c r="D8" s="139">
        <f t="shared" si="0"/>
        <v>104.685</v>
      </c>
      <c r="E8" s="119" t="s">
        <v>400</v>
      </c>
      <c r="G8" s="119"/>
      <c r="H8" s="119"/>
      <c r="I8" s="119"/>
      <c r="J8" s="119"/>
      <c r="K8" s="119"/>
      <c r="L8" s="119"/>
      <c r="M8" s="119"/>
      <c r="N8" s="24"/>
      <c r="O8" s="321">
        <v>484</v>
      </c>
      <c r="P8" s="5" t="s">
        <v>364</v>
      </c>
      <c r="Q8" s="323" t="s">
        <v>328</v>
      </c>
      <c r="R8" s="315">
        <v>423740</v>
      </c>
      <c r="X8" s="26"/>
    </row>
    <row r="9" spans="2:24" ht="14.5" customHeight="1">
      <c r="B9" s="137" t="s">
        <v>152</v>
      </c>
      <c r="C9" s="33">
        <v>56.19</v>
      </c>
      <c r="D9" s="139">
        <f t="shared" si="0"/>
        <v>117.999</v>
      </c>
      <c r="E9" s="119" t="s">
        <v>392</v>
      </c>
      <c r="G9" s="119"/>
      <c r="H9" s="119"/>
      <c r="I9" s="119"/>
      <c r="J9" s="119"/>
      <c r="K9" s="119"/>
      <c r="L9" s="119"/>
      <c r="M9" s="119"/>
      <c r="N9" s="24"/>
      <c r="O9" s="321">
        <v>1059</v>
      </c>
      <c r="P9" s="5" t="s">
        <v>364</v>
      </c>
      <c r="Q9" s="325" t="s">
        <v>329</v>
      </c>
      <c r="R9" s="315">
        <v>423730</v>
      </c>
      <c r="X9" s="26"/>
    </row>
    <row r="10" spans="2:24" ht="14.5" customHeight="1">
      <c r="B10" s="137" t="s">
        <v>153</v>
      </c>
      <c r="C10" s="33">
        <v>38.479999999999997</v>
      </c>
      <c r="D10" s="139">
        <f t="shared" si="0"/>
        <v>80.807999999999993</v>
      </c>
      <c r="E10" s="119" t="s">
        <v>393</v>
      </c>
      <c r="G10" s="119"/>
      <c r="H10" s="119"/>
      <c r="I10" s="119"/>
      <c r="J10" s="119"/>
      <c r="K10" s="119"/>
      <c r="L10" s="119"/>
      <c r="M10" s="119"/>
      <c r="N10" s="24"/>
      <c r="O10" s="321">
        <v>2905</v>
      </c>
      <c r="P10" s="5" t="s">
        <v>364</v>
      </c>
      <c r="Q10" s="323" t="s">
        <v>330</v>
      </c>
      <c r="R10" s="315">
        <v>424690</v>
      </c>
      <c r="X10" s="26"/>
    </row>
    <row r="11" spans="2:24" ht="14.5" customHeight="1">
      <c r="B11" s="137" t="s">
        <v>22</v>
      </c>
      <c r="C11" s="33">
        <v>31.56</v>
      </c>
      <c r="D11" s="139">
        <f t="shared" si="0"/>
        <v>66.275999999999996</v>
      </c>
      <c r="E11" s="119" t="s">
        <v>350</v>
      </c>
      <c r="G11" s="119"/>
      <c r="H11" s="119"/>
      <c r="I11" s="119"/>
      <c r="J11" s="119"/>
      <c r="K11" s="119"/>
      <c r="L11" s="119"/>
      <c r="M11" s="119"/>
      <c r="N11" s="24"/>
      <c r="O11" s="321">
        <v>942</v>
      </c>
      <c r="P11" s="5" t="s">
        <v>365</v>
      </c>
      <c r="Q11" s="325" t="s">
        <v>366</v>
      </c>
      <c r="R11" s="315">
        <v>562920</v>
      </c>
      <c r="X11" s="26"/>
    </row>
    <row r="12" spans="2:24" ht="14.5" customHeight="1" thickBot="1">
      <c r="B12" s="137" t="s">
        <v>349</v>
      </c>
      <c r="C12" s="33">
        <v>51.19</v>
      </c>
      <c r="D12" s="139">
        <f t="shared" si="0"/>
        <v>107.499</v>
      </c>
      <c r="E12" s="119" t="s">
        <v>394</v>
      </c>
      <c r="I12" s="19"/>
      <c r="L12" s="26"/>
      <c r="M12" s="119"/>
      <c r="N12" s="24"/>
      <c r="O12" s="319">
        <v>641</v>
      </c>
      <c r="P12" s="324" t="s">
        <v>365</v>
      </c>
      <c r="Q12" s="326" t="s">
        <v>367</v>
      </c>
      <c r="R12" s="317">
        <v>562212</v>
      </c>
      <c r="X12" s="26"/>
    </row>
    <row r="13" spans="2:24" ht="14.5" customHeight="1">
      <c r="B13" s="137" t="s">
        <v>154</v>
      </c>
      <c r="C13" s="33">
        <v>70.08</v>
      </c>
      <c r="D13" s="139">
        <f t="shared" si="0"/>
        <v>147.16800000000001</v>
      </c>
      <c r="E13" s="119" t="s">
        <v>395</v>
      </c>
      <c r="G13" s="119"/>
      <c r="H13" s="119"/>
      <c r="I13" s="119"/>
      <c r="J13" s="119"/>
      <c r="K13" s="119"/>
      <c r="L13" s="119"/>
      <c r="M13" s="119"/>
      <c r="N13" s="24"/>
      <c r="U13" s="19"/>
      <c r="X13" s="26"/>
    </row>
    <row r="14" spans="2:24" ht="14.5" customHeight="1">
      <c r="B14" s="137" t="s">
        <v>155</v>
      </c>
      <c r="C14" s="33">
        <v>19.46</v>
      </c>
      <c r="D14" s="139">
        <f t="shared" si="0"/>
        <v>40.866</v>
      </c>
      <c r="E14" s="119" t="s">
        <v>396</v>
      </c>
      <c r="G14" s="119"/>
      <c r="H14" s="119"/>
      <c r="I14" s="119"/>
      <c r="J14" s="119"/>
      <c r="K14" s="119"/>
      <c r="L14" s="119"/>
      <c r="M14" s="119"/>
      <c r="N14" s="24"/>
      <c r="Q14" s="26"/>
      <c r="U14" s="19"/>
      <c r="X14" s="26"/>
    </row>
    <row r="15" spans="2:24" ht="14.5" customHeight="1">
      <c r="B15" s="137" t="s">
        <v>283</v>
      </c>
      <c r="C15" s="33">
        <v>75.78</v>
      </c>
      <c r="D15" s="139">
        <f>C15*(1+$D$6)*(1+0.311)</f>
        <v>208.629918</v>
      </c>
      <c r="E15" s="119" t="s">
        <v>397</v>
      </c>
      <c r="G15" s="119"/>
      <c r="H15" s="119"/>
      <c r="I15" s="119"/>
      <c r="J15" s="119"/>
      <c r="K15" s="119"/>
      <c r="L15" s="119"/>
      <c r="M15" s="119"/>
      <c r="N15" s="24"/>
      <c r="Q15" s="26"/>
      <c r="U15" s="19"/>
      <c r="X15" s="26"/>
    </row>
    <row r="16" spans="2:24" ht="14.5" customHeight="1" thickBot="1">
      <c r="B16" s="179" t="s">
        <v>284</v>
      </c>
      <c r="C16" s="180">
        <v>28.32</v>
      </c>
      <c r="D16" s="181">
        <f>C16*(1+$D$6)*(1+0.311)</f>
        <v>77.967792000000003</v>
      </c>
      <c r="E16" s="119" t="s">
        <v>398</v>
      </c>
      <c r="G16" s="119"/>
      <c r="H16" s="119"/>
      <c r="I16" s="119"/>
      <c r="J16" s="119"/>
      <c r="K16" s="119"/>
      <c r="L16" s="119"/>
      <c r="M16" s="119"/>
      <c r="N16" s="24"/>
      <c r="Q16" s="26"/>
      <c r="U16" s="19"/>
      <c r="X16" s="26"/>
    </row>
    <row r="17" spans="2:32" ht="14.5" customHeight="1">
      <c r="B17" s="83"/>
      <c r="C17" s="118"/>
      <c r="D17" s="119"/>
      <c r="E17" s="119"/>
      <c r="G17" s="119"/>
      <c r="H17" s="119"/>
      <c r="I17" s="119"/>
      <c r="J17" s="119"/>
      <c r="K17" s="119"/>
      <c r="L17" s="119"/>
      <c r="M17" s="119"/>
      <c r="N17" s="24"/>
      <c r="Q17" s="26"/>
      <c r="U17" s="19"/>
      <c r="X17" s="26"/>
    </row>
    <row r="18" spans="2:32" ht="14.5" customHeight="1" thickBot="1">
      <c r="C18" s="213">
        <v>2026</v>
      </c>
      <c r="D18" s="213">
        <v>2027</v>
      </c>
      <c r="E18" s="213">
        <v>2028</v>
      </c>
      <c r="F18" s="119"/>
      <c r="G18" s="119"/>
      <c r="H18" s="119"/>
      <c r="I18" s="119"/>
      <c r="J18" s="119"/>
      <c r="K18" s="119"/>
      <c r="L18" s="119"/>
      <c r="M18" s="119"/>
      <c r="N18" s="24"/>
      <c r="Q18" s="26"/>
      <c r="U18" s="19"/>
      <c r="W18" s="44" t="s">
        <v>207</v>
      </c>
      <c r="X18" s="44" t="s">
        <v>209</v>
      </c>
      <c r="Y18" s="44" t="s">
        <v>210</v>
      </c>
      <c r="Z18" s="44" t="s">
        <v>211</v>
      </c>
    </row>
    <row r="19" spans="2:32" ht="14.5" customHeight="1">
      <c r="B19" s="116" t="s">
        <v>112</v>
      </c>
      <c r="C19" s="156" t="s">
        <v>94</v>
      </c>
      <c r="D19" s="156" t="s">
        <v>95</v>
      </c>
      <c r="E19" s="157" t="s">
        <v>96</v>
      </c>
      <c r="F19" s="119"/>
      <c r="G19" s="18">
        <v>151804.62290667664</v>
      </c>
      <c r="H19" t="s">
        <v>346</v>
      </c>
      <c r="J19" s="119"/>
      <c r="K19" s="119"/>
      <c r="L19" s="119"/>
      <c r="M19" s="119"/>
      <c r="N19" s="24"/>
      <c r="Q19" s="26"/>
      <c r="U19" s="19"/>
      <c r="W19" s="155" t="s">
        <v>94</v>
      </c>
      <c r="X19" s="154">
        <f>Y58</f>
        <v>4460726.2409430668</v>
      </c>
      <c r="Y19" s="154">
        <f>AA58</f>
        <v>110023.72533154325</v>
      </c>
      <c r="Z19" s="61">
        <f>Z58</f>
        <v>10023511.187102601</v>
      </c>
    </row>
    <row r="20" spans="2:32" ht="14.5" customHeight="1" thickBot="1">
      <c r="B20" s="142" t="s">
        <v>212</v>
      </c>
      <c r="C20" s="158">
        <v>200250.61755654967</v>
      </c>
      <c r="D20" s="158">
        <v>199257.19086364086</v>
      </c>
      <c r="E20" s="229">
        <v>197055.74151757921</v>
      </c>
      <c r="F20" s="119"/>
      <c r="G20" s="18">
        <v>1307584.8468709381</v>
      </c>
      <c r="H20" t="s">
        <v>347</v>
      </c>
      <c r="J20" s="119"/>
      <c r="K20" s="119"/>
      <c r="L20" s="119"/>
      <c r="M20" s="119"/>
      <c r="N20" s="24"/>
      <c r="Q20" s="26"/>
      <c r="U20" s="19"/>
      <c r="W20" s="155" t="s">
        <v>95</v>
      </c>
      <c r="X20" s="154">
        <f>AB58</f>
        <v>4825378.456663426</v>
      </c>
      <c r="Y20" s="154">
        <f>AD58</f>
        <v>191680.83163922286</v>
      </c>
      <c r="Z20" s="61">
        <f>AC58</f>
        <v>15448586.298786743</v>
      </c>
    </row>
    <row r="21" spans="2:32" ht="14.5" customHeight="1" thickBot="1">
      <c r="B21" s="142" t="s">
        <v>86</v>
      </c>
      <c r="C21" s="158">
        <v>154496.22303145795</v>
      </c>
      <c r="D21" s="158">
        <v>155492.08087123546</v>
      </c>
      <c r="E21" s="229">
        <v>156203.01522862891</v>
      </c>
      <c r="F21" s="119"/>
      <c r="G21" s="121">
        <f>G19/SUM($G$19:$G$20)</f>
        <v>0.10401926699512844</v>
      </c>
      <c r="H21" t="s">
        <v>341</v>
      </c>
      <c r="J21" s="119"/>
      <c r="K21" s="119"/>
      <c r="L21" s="119"/>
      <c r="M21" s="119"/>
      <c r="N21" s="24"/>
      <c r="Q21" s="26"/>
      <c r="U21" s="19"/>
      <c r="W21" s="155" t="s">
        <v>96</v>
      </c>
      <c r="X21" s="154">
        <f>AE58</f>
        <v>5130564.9417090146</v>
      </c>
      <c r="Y21" s="154">
        <f>AG58</f>
        <v>365099.28785873647</v>
      </c>
      <c r="Z21" s="61">
        <f>AF58</f>
        <v>25737580.190534703</v>
      </c>
    </row>
    <row r="22" spans="2:32" ht="14.5" customHeight="1" thickBot="1">
      <c r="B22" s="143" t="s">
        <v>101</v>
      </c>
      <c r="C22" s="158">
        <v>19233.787881168137</v>
      </c>
      <c r="D22" s="158">
        <v>19078.057636552425</v>
      </c>
      <c r="E22" s="229">
        <v>18384.381683087813</v>
      </c>
      <c r="F22" s="119"/>
      <c r="G22" s="121">
        <f>G20/SUM($G$19:$G$20)</f>
        <v>0.89598073300487147</v>
      </c>
      <c r="H22" t="s">
        <v>342</v>
      </c>
      <c r="K22" s="119"/>
      <c r="L22" s="119"/>
      <c r="M22" s="119"/>
      <c r="N22" s="24"/>
      <c r="Q22" s="26"/>
      <c r="U22" s="19"/>
      <c r="W22" s="155" t="s">
        <v>208</v>
      </c>
      <c r="X22" s="154">
        <f>AVERAGE(X19:X21)</f>
        <v>4805556.5464385031</v>
      </c>
      <c r="Y22" s="154">
        <f t="shared" ref="Y22" si="1">AVERAGE(Y19:Y21)</f>
        <v>222267.94827650083</v>
      </c>
      <c r="Z22" s="61">
        <f>AVERAGE(Z19:Z21)</f>
        <v>17069892.558808018</v>
      </c>
    </row>
    <row r="23" spans="2:32" ht="14.5" customHeight="1" thickBot="1">
      <c r="B23" s="143" t="s">
        <v>176</v>
      </c>
      <c r="C23" s="159">
        <v>5392.3678132855603</v>
      </c>
      <c r="D23" s="159">
        <v>14482.67099515404</v>
      </c>
      <c r="E23" s="160">
        <v>14123.932852752829</v>
      </c>
      <c r="F23" s="119"/>
      <c r="G23" s="121">
        <f>C20/G20</f>
        <v>0.15314541005560836</v>
      </c>
      <c r="H23" t="s">
        <v>343</v>
      </c>
      <c r="J23" s="119"/>
      <c r="K23" s="119"/>
      <c r="L23" s="119"/>
      <c r="M23" s="119"/>
      <c r="N23" s="24"/>
      <c r="Q23" s="26"/>
      <c r="U23" s="19"/>
      <c r="X23" s="26"/>
    </row>
    <row r="24" spans="2:32" ht="14.5" customHeight="1" thickBot="1">
      <c r="B24" s="143" t="s">
        <v>177</v>
      </c>
      <c r="C24" s="159">
        <v>5392.3678132855603</v>
      </c>
      <c r="D24" s="159">
        <v>14482.67099515404</v>
      </c>
      <c r="E24" s="160">
        <v>14123.932852752829</v>
      </c>
      <c r="F24" s="119"/>
      <c r="G24" s="120">
        <f>C21/G20</f>
        <v>0.11815387995751768</v>
      </c>
      <c r="H24" t="s">
        <v>344</v>
      </c>
      <c r="J24" s="119"/>
      <c r="K24" s="119"/>
      <c r="L24" s="119"/>
      <c r="M24" s="119"/>
      <c r="N24" s="24"/>
      <c r="Q24" s="26"/>
      <c r="U24" s="19"/>
      <c r="X24" s="26"/>
    </row>
    <row r="25" spans="2:32" ht="15" thickBot="1">
      <c r="B25" s="144" t="s">
        <v>85</v>
      </c>
      <c r="C25" s="161">
        <v>2.8421052631578947</v>
      </c>
      <c r="D25" s="162"/>
      <c r="E25" s="163"/>
      <c r="N25" s="24"/>
    </row>
    <row r="26" spans="2:32" ht="15" thickBot="1">
      <c r="B26" s="5"/>
      <c r="C26" s="212"/>
      <c r="D26" s="208"/>
      <c r="E26" s="208"/>
      <c r="N26" s="24"/>
    </row>
    <row r="27" spans="2:32">
      <c r="B27" s="214" t="s">
        <v>232</v>
      </c>
      <c r="C27" s="156" t="s">
        <v>94</v>
      </c>
      <c r="D27" s="156" t="s">
        <v>95</v>
      </c>
      <c r="E27" s="157" t="s">
        <v>96</v>
      </c>
      <c r="N27" s="24"/>
    </row>
    <row r="28" spans="2:32">
      <c r="B28" s="142" t="s">
        <v>212</v>
      </c>
      <c r="C28" s="159">
        <v>24850</v>
      </c>
      <c r="D28" s="159">
        <v>25240</v>
      </c>
      <c r="E28" s="160">
        <v>25600</v>
      </c>
      <c r="N28" s="24"/>
    </row>
    <row r="29" spans="2:32">
      <c r="B29" s="142" t="s">
        <v>86</v>
      </c>
      <c r="C29" s="159">
        <v>13734.516552524985</v>
      </c>
      <c r="D29" s="159">
        <v>13613.905347216052</v>
      </c>
      <c r="E29" s="160">
        <v>13631.532092627989</v>
      </c>
      <c r="N29" s="24"/>
    </row>
    <row r="30" spans="2:32">
      <c r="B30" s="143" t="s">
        <v>233</v>
      </c>
      <c r="C30" s="159">
        <v>147.40551984681304</v>
      </c>
      <c r="D30" s="159">
        <v>11048.664527113719</v>
      </c>
      <c r="E30" s="160">
        <v>66.55866529326795</v>
      </c>
      <c r="N30" s="24"/>
    </row>
    <row r="31" spans="2:32" ht="15" thickBot="1">
      <c r="B31" s="144" t="s">
        <v>234</v>
      </c>
      <c r="C31" s="308">
        <v>147.40551984681304</v>
      </c>
      <c r="D31" s="308">
        <v>11048.664527113719</v>
      </c>
      <c r="E31" s="309">
        <v>66.55866529326795</v>
      </c>
      <c r="N31" s="24"/>
    </row>
    <row r="32" spans="2:32" ht="15" thickBot="1">
      <c r="B32" s="5"/>
      <c r="C32" s="206"/>
      <c r="D32" s="206"/>
      <c r="E32" s="206"/>
      <c r="N32" s="24"/>
      <c r="Z32" s="386"/>
      <c r="AA32" s="9"/>
      <c r="AB32" s="9"/>
      <c r="AC32" s="386"/>
      <c r="AD32" s="9"/>
      <c r="AE32" s="9"/>
      <c r="AF32" s="386"/>
    </row>
    <row r="33" spans="1:40">
      <c r="B33" s="214" t="s">
        <v>237</v>
      </c>
      <c r="C33" s="156" t="s">
        <v>94</v>
      </c>
      <c r="D33" s="156" t="s">
        <v>95</v>
      </c>
      <c r="E33" s="157" t="s">
        <v>96</v>
      </c>
      <c r="N33" s="24"/>
      <c r="Z33" s="386"/>
      <c r="AA33" s="9"/>
      <c r="AB33" s="9"/>
      <c r="AC33" s="386"/>
      <c r="AD33" s="9"/>
      <c r="AE33" s="9"/>
      <c r="AF33" s="386"/>
    </row>
    <row r="34" spans="1:40">
      <c r="B34" s="142" t="s">
        <v>212</v>
      </c>
      <c r="C34" s="159">
        <v>757061.69125620928</v>
      </c>
      <c r="D34" s="159">
        <v>749299.61624566838</v>
      </c>
      <c r="E34" s="160">
        <v>735387.07060780935</v>
      </c>
      <c r="N34" s="24"/>
      <c r="AC34" s="18"/>
      <c r="AF34" s="18"/>
    </row>
    <row r="35" spans="1:40" ht="15" thickBot="1">
      <c r="B35" s="217" t="s">
        <v>86</v>
      </c>
      <c r="C35" s="215">
        <v>587209.85622945568</v>
      </c>
      <c r="D35" s="215">
        <v>592866.87691616057</v>
      </c>
      <c r="E35" s="216">
        <v>597781.00517086266</v>
      </c>
      <c r="N35" s="24"/>
      <c r="Z35" s="10"/>
      <c r="AA35" s="10"/>
      <c r="AB35" s="10"/>
      <c r="AC35" s="10"/>
      <c r="AD35" s="10"/>
      <c r="AE35" s="10"/>
      <c r="AF35" s="10"/>
    </row>
    <row r="36" spans="1:40" ht="15" thickBot="1">
      <c r="C36" s="207"/>
      <c r="D36" s="207"/>
      <c r="E36" s="207"/>
      <c r="N36" s="24"/>
      <c r="Z36" s="10"/>
      <c r="AA36" s="10"/>
      <c r="AB36" s="10"/>
      <c r="AC36" s="10"/>
      <c r="AD36" s="10"/>
      <c r="AE36" s="10"/>
      <c r="AF36" s="10"/>
    </row>
    <row r="37" spans="1:40">
      <c r="B37" s="214" t="s">
        <v>351</v>
      </c>
      <c r="C37" s="316"/>
      <c r="D37" s="316"/>
      <c r="E37" s="320"/>
      <c r="N37" s="24"/>
      <c r="Z37" s="10"/>
      <c r="AA37" s="10"/>
      <c r="AB37" s="10"/>
      <c r="AC37" s="10"/>
      <c r="AD37" s="10"/>
      <c r="AE37" s="10"/>
      <c r="AF37" s="10"/>
    </row>
    <row r="38" spans="1:40" ht="15" thickBot="1">
      <c r="B38" s="355">
        <v>4455000</v>
      </c>
      <c r="C38" s="324" t="s">
        <v>352</v>
      </c>
      <c r="D38" s="356"/>
      <c r="E38" s="357"/>
      <c r="N38" s="24"/>
      <c r="Z38" s="10"/>
      <c r="AA38" s="10"/>
      <c r="AB38" s="10"/>
      <c r="AC38" s="10"/>
      <c r="AD38" s="10"/>
      <c r="AE38" s="10"/>
      <c r="AF38" s="10"/>
    </row>
    <row r="39" spans="1:40" ht="23.5">
      <c r="B39" s="314"/>
      <c r="C39" s="156" t="s">
        <v>94</v>
      </c>
      <c r="D39" s="156" t="s">
        <v>95</v>
      </c>
      <c r="E39" s="157" t="s">
        <v>96</v>
      </c>
      <c r="N39" s="24"/>
      <c r="Z39" s="10"/>
      <c r="AA39" s="10"/>
      <c r="AB39" s="10"/>
      <c r="AC39" s="10"/>
      <c r="AD39" s="10"/>
      <c r="AE39" s="10"/>
      <c r="AF39" s="10"/>
    </row>
    <row r="40" spans="1:40">
      <c r="B40" s="142" t="s">
        <v>388</v>
      </c>
      <c r="C40" s="122">
        <v>0.7775241240236872</v>
      </c>
      <c r="D40" s="122">
        <v>0.76727207966926203</v>
      </c>
      <c r="E40" s="311">
        <v>0.75658482610770839</v>
      </c>
      <c r="N40" s="24"/>
      <c r="Y40" s="18" t="s">
        <v>292</v>
      </c>
      <c r="Z40" s="10">
        <f>SUM(Z46:Z48)</f>
        <v>12009042.477549601</v>
      </c>
      <c r="AA40" s="10"/>
      <c r="AB40" s="10"/>
      <c r="AC40" s="10">
        <f>SUM(AC46:AC48)</f>
        <v>12031406.601286743</v>
      </c>
      <c r="AD40" s="10"/>
      <c r="AE40" s="10"/>
      <c r="AF40" s="10">
        <f>SUM(AF46:AF48)</f>
        <v>11966248.643041901</v>
      </c>
    </row>
    <row r="41" spans="1:40" ht="15" thickBot="1">
      <c r="B41" s="217" t="s">
        <v>353</v>
      </c>
      <c r="C41" s="312">
        <v>3463869.9725255263</v>
      </c>
      <c r="D41" s="312">
        <v>3418197.1149265622</v>
      </c>
      <c r="E41" s="313">
        <v>3370585.4003098407</v>
      </c>
      <c r="N41" s="24"/>
      <c r="Y41" t="s">
        <v>190</v>
      </c>
      <c r="Z41" s="10">
        <f>SUM(Z49:Z50)</f>
        <v>103428.78</v>
      </c>
      <c r="AC41" s="10">
        <f>SUM(AC49:AC50)</f>
        <v>103428.78</v>
      </c>
      <c r="AF41" s="10">
        <f>SUM(AF49:AF50)</f>
        <v>103428.78</v>
      </c>
    </row>
    <row r="42" spans="1:40" ht="18.5">
      <c r="C42" s="17"/>
      <c r="N42" s="19"/>
      <c r="O42" s="19"/>
      <c r="P42" s="19"/>
      <c r="Q42" s="19"/>
      <c r="R42" s="19"/>
      <c r="S42" s="19"/>
      <c r="V42" s="122"/>
      <c r="X42" s="18"/>
      <c r="Y42" s="123" t="s">
        <v>390</v>
      </c>
      <c r="Z42" s="10">
        <f>SUM(Z51:Z52)</f>
        <v>0</v>
      </c>
      <c r="AA42" s="10"/>
      <c r="AB42" s="10"/>
      <c r="AC42" s="10">
        <f>SUM(AC51:AC52)</f>
        <v>0</v>
      </c>
      <c r="AD42" s="10"/>
      <c r="AE42" s="10"/>
      <c r="AF42" s="10">
        <f>SUM(AF51:AF52)</f>
        <v>10354151.849992804</v>
      </c>
    </row>
    <row r="43" spans="1:40" ht="18.75" customHeight="1">
      <c r="B43" s="422" t="s">
        <v>97</v>
      </c>
      <c r="C43" s="422" t="s">
        <v>93</v>
      </c>
      <c r="D43" s="422" t="s">
        <v>4</v>
      </c>
      <c r="E43" s="407" t="s">
        <v>214</v>
      </c>
      <c r="F43" s="409" t="s">
        <v>29</v>
      </c>
      <c r="G43" s="124" t="s">
        <v>94</v>
      </c>
      <c r="H43" s="108" t="s">
        <v>95</v>
      </c>
      <c r="I43" s="108" t="s">
        <v>96</v>
      </c>
      <c r="J43" s="402" t="s">
        <v>6</v>
      </c>
      <c r="K43" s="402" t="s">
        <v>7</v>
      </c>
      <c r="L43" s="402" t="s">
        <v>202</v>
      </c>
      <c r="M43" s="124" t="s">
        <v>94</v>
      </c>
      <c r="N43" s="125" t="s">
        <v>94</v>
      </c>
      <c r="O43" s="125" t="s">
        <v>94</v>
      </c>
      <c r="P43" s="124" t="s">
        <v>95</v>
      </c>
      <c r="Q43" s="124" t="s">
        <v>95</v>
      </c>
      <c r="R43" s="124" t="s">
        <v>95</v>
      </c>
      <c r="S43" s="124" t="s">
        <v>96</v>
      </c>
      <c r="T43" s="124" t="s">
        <v>96</v>
      </c>
      <c r="U43" s="124" t="s">
        <v>96</v>
      </c>
      <c r="Y43" t="s">
        <v>391</v>
      </c>
      <c r="Z43" s="10">
        <f>SUM(Z53:Z55)</f>
        <v>42884.020052999993</v>
      </c>
      <c r="AA43" s="10"/>
      <c r="AB43" s="10"/>
      <c r="AC43" s="10">
        <f>SUM(AC53:AC55)</f>
        <v>5445595.0079999994</v>
      </c>
      <c r="AD43" s="10"/>
      <c r="AE43" s="10"/>
      <c r="AF43" s="10">
        <f>SUM(AF53:AF55)</f>
        <v>5445595.0079999994</v>
      </c>
    </row>
    <row r="44" spans="1:40" ht="52.5" customHeight="1">
      <c r="B44" s="422"/>
      <c r="C44" s="422"/>
      <c r="D44" s="422"/>
      <c r="E44" s="408"/>
      <c r="F44" s="409"/>
      <c r="G44" s="124" t="s">
        <v>5</v>
      </c>
      <c r="H44" s="124" t="s">
        <v>5</v>
      </c>
      <c r="I44" s="124" t="s">
        <v>5</v>
      </c>
      <c r="J44" s="403"/>
      <c r="K44" s="403"/>
      <c r="L44" s="403"/>
      <c r="M44" s="124" t="s">
        <v>30</v>
      </c>
      <c r="N44" s="125" t="s">
        <v>31</v>
      </c>
      <c r="O44" s="125" t="s">
        <v>13</v>
      </c>
      <c r="P44" s="124" t="s">
        <v>30</v>
      </c>
      <c r="Q44" s="125" t="s">
        <v>31</v>
      </c>
      <c r="R44" s="125" t="s">
        <v>13</v>
      </c>
      <c r="S44" s="124" t="s">
        <v>30</v>
      </c>
      <c r="T44" s="125" t="s">
        <v>31</v>
      </c>
      <c r="U44" s="125" t="s">
        <v>13</v>
      </c>
      <c r="V44" s="358" t="s">
        <v>389</v>
      </c>
      <c r="X44" s="8"/>
      <c r="Y44" t="s">
        <v>94</v>
      </c>
      <c r="Z44" s="18" t="s">
        <v>94</v>
      </c>
      <c r="AA44" s="18" t="s">
        <v>94</v>
      </c>
      <c r="AB44" s="18" t="s">
        <v>95</v>
      </c>
      <c r="AC44" s="18" t="s">
        <v>95</v>
      </c>
      <c r="AD44" s="18" t="s">
        <v>95</v>
      </c>
      <c r="AE44" s="18" t="s">
        <v>96</v>
      </c>
      <c r="AF44" s="18" t="s">
        <v>96</v>
      </c>
      <c r="AG44" s="18" t="s">
        <v>96</v>
      </c>
      <c r="AJ44" s="18" t="s">
        <v>175</v>
      </c>
      <c r="AK44" s="18" t="s">
        <v>190</v>
      </c>
      <c r="AL44" s="18" t="s">
        <v>275</v>
      </c>
      <c r="AM44" s="18" t="s">
        <v>405</v>
      </c>
    </row>
    <row r="45" spans="1:40" ht="44.5" customHeight="1">
      <c r="A45" s="187" t="s">
        <v>184</v>
      </c>
      <c r="B45" s="188" t="s">
        <v>3</v>
      </c>
      <c r="C45" s="184" t="s">
        <v>98</v>
      </c>
      <c r="D45" s="419" t="s">
        <v>72</v>
      </c>
      <c r="E45" s="400" t="s">
        <v>225</v>
      </c>
      <c r="F45" s="14" t="s">
        <v>99</v>
      </c>
      <c r="G45" s="98">
        <f>'ICR 1626.18 9-6-2022'!$C$43*$G$22/$G$21</f>
        <v>215.34009008322303</v>
      </c>
      <c r="H45" s="98">
        <f>G45*D$20/C$20</f>
        <v>214.27180576953472</v>
      </c>
      <c r="I45" s="98">
        <f>H45*E$20/D$20</f>
        <v>211.90447074565799</v>
      </c>
      <c r="J45" s="221">
        <v>1</v>
      </c>
      <c r="K45" s="222">
        <f>'ICR 1626.18 9-6-2022'!$E$43</f>
        <v>0.5</v>
      </c>
      <c r="L45" s="228">
        <f t="shared" ref="L45:L58" si="2">K45*$D$8</f>
        <v>52.342500000000001</v>
      </c>
      <c r="M45" s="198">
        <f>G45*$J45*$K45</f>
        <v>107.67004504161152</v>
      </c>
      <c r="N45" s="361">
        <f t="shared" ref="N45:N58" si="3">M45*$D$8</f>
        <v>11271.438665181102</v>
      </c>
      <c r="O45" s="128">
        <f t="shared" ref="O45:O79" si="4">G45*$J45</f>
        <v>215.34009008322303</v>
      </c>
      <c r="P45" s="199">
        <f t="shared" ref="P45:P81" si="5">H45*$J45*$K45</f>
        <v>107.13590288476736</v>
      </c>
      <c r="Q45" s="364">
        <f t="shared" ref="Q45:Q58" si="6">P45*$D$8</f>
        <v>11215.521993491871</v>
      </c>
      <c r="R45" s="20">
        <f t="shared" ref="R45:R78" si="7">H45*$J45</f>
        <v>214.27180576953472</v>
      </c>
      <c r="S45" s="198">
        <f t="shared" ref="S45:S81" si="8">I45*$J45*$K45</f>
        <v>105.95223537282899</v>
      </c>
      <c r="T45" s="361">
        <f t="shared" ref="T45:T58" si="9">S45*$D$8</f>
        <v>11091.609760004603</v>
      </c>
      <c r="U45" s="128">
        <f t="shared" ref="U45:U78" si="10">I45*$J45</f>
        <v>211.90447074565799</v>
      </c>
      <c r="V45" s="15">
        <f t="shared" ref="V45:V54" si="11">L45*J45</f>
        <v>52.342500000000001</v>
      </c>
      <c r="X45" s="44" t="s">
        <v>40</v>
      </c>
      <c r="Y45" s="44" t="s">
        <v>41</v>
      </c>
      <c r="Z45" s="44" t="s">
        <v>42</v>
      </c>
      <c r="AA45" s="44" t="s">
        <v>43</v>
      </c>
      <c r="AB45" s="44" t="s">
        <v>41</v>
      </c>
      <c r="AC45" s="44" t="s">
        <v>42</v>
      </c>
      <c r="AD45" s="44" t="s">
        <v>43</v>
      </c>
      <c r="AE45" s="44" t="s">
        <v>41</v>
      </c>
      <c r="AF45" s="44" t="s">
        <v>42</v>
      </c>
      <c r="AG45" s="44" t="s">
        <v>43</v>
      </c>
      <c r="AI45" s="173" t="s">
        <v>166</v>
      </c>
      <c r="AJ45" s="9">
        <f>SUM(AA46:AA47,AD46:AD47,AG46:AG47)/3</f>
        <v>83395.004400587524</v>
      </c>
      <c r="AK45" s="9">
        <f>SUM(AA49:AA50,AD49:AD50,AG49:AG50)/3</f>
        <v>988</v>
      </c>
      <c r="AL45" s="9">
        <f>SUM(AA53:AA55,AD53:AD55,AG53:AG55)/3</f>
        <v>54628.333333333336</v>
      </c>
      <c r="AM45" s="9">
        <f>SUM(AA51:AA52,AD51:AD52,AG51:AG52)/3</f>
        <v>58048.970783113931</v>
      </c>
    </row>
    <row r="46" spans="1:40" ht="29">
      <c r="A46" s="187" t="s">
        <v>184</v>
      </c>
      <c r="B46" s="188" t="s">
        <v>3</v>
      </c>
      <c r="C46" s="184" t="s">
        <v>98</v>
      </c>
      <c r="D46" s="420"/>
      <c r="E46" s="401"/>
      <c r="F46" s="14" t="s">
        <v>100</v>
      </c>
      <c r="G46" s="98">
        <f>'ICR 1626.18 9-6-2022'!$C$43*$G$22/$G$21</f>
        <v>215.34009008322303</v>
      </c>
      <c r="H46" s="98">
        <f>G46*D$21/C$21</f>
        <v>216.7281377177863</v>
      </c>
      <c r="I46" s="98">
        <f>H46*E$21/D$21</f>
        <v>217.71905300076503</v>
      </c>
      <c r="J46" s="221">
        <v>1</v>
      </c>
      <c r="K46" s="222">
        <f>'ICR 1626.18 9-6-2022'!$E$43</f>
        <v>0.5</v>
      </c>
      <c r="L46" s="228">
        <f t="shared" si="2"/>
        <v>52.342500000000001</v>
      </c>
      <c r="M46" s="198">
        <f t="shared" ref="M46:M78" si="12">G46*$J46*$K46</f>
        <v>107.67004504161152</v>
      </c>
      <c r="N46" s="361">
        <f t="shared" si="3"/>
        <v>11271.438665181102</v>
      </c>
      <c r="O46" s="128">
        <f t="shared" si="4"/>
        <v>215.34009008322303</v>
      </c>
      <c r="P46" s="199">
        <f t="shared" si="5"/>
        <v>108.36406885889315</v>
      </c>
      <c r="Q46" s="364">
        <f t="shared" si="6"/>
        <v>11344.092548493229</v>
      </c>
      <c r="R46" s="20">
        <f t="shared" si="7"/>
        <v>216.7281377177863</v>
      </c>
      <c r="S46" s="198">
        <f t="shared" si="8"/>
        <v>108.85952650038251</v>
      </c>
      <c r="T46" s="361">
        <f t="shared" si="9"/>
        <v>11395.959531692544</v>
      </c>
      <c r="U46" s="128">
        <f t="shared" si="10"/>
        <v>217.71905300076503</v>
      </c>
      <c r="V46" s="15">
        <f t="shared" si="11"/>
        <v>52.342500000000001</v>
      </c>
      <c r="W46" s="153" t="s">
        <v>3</v>
      </c>
      <c r="X46" s="155" t="s">
        <v>148</v>
      </c>
      <c r="Y46" s="154">
        <f>SUMIFS($O$45:$O$88,$B$45:$B$88,$W46,$A$45:$A$88,"Leak")</f>
        <v>1089.642947760683</v>
      </c>
      <c r="Z46" s="61">
        <f>SUMIFS($N$45:$N$88,$B$45:$B$88,$W46,$A$45:$A$88,"Leak")</f>
        <v>76968.618884950381</v>
      </c>
      <c r="AA46" s="154">
        <f>SUMIFS($M$45:$M$88,$B$45:$B$88,$W46,$A$45:$A$88,"Leak")</f>
        <v>735.24018612934424</v>
      </c>
      <c r="AB46" s="154">
        <f>SUMIFS($R$45:$R$88,$B$45:$B$88,$W46,$A$45:$A$88,"Leak")</f>
        <v>1090.0361030573572</v>
      </c>
      <c r="AC46" s="61">
        <f>SUMIFS($Q$45:$Q$88,$B$45:$B$88,$W46,$A$45:$A$88,"Leak")</f>
        <v>76989.060060470991</v>
      </c>
      <c r="AD46" s="154">
        <f>SUMIFS($P$45:$P$88,$B$45:$B$88,$W46,$A$45:$A$88,"Leak")</f>
        <v>735.43544978240413</v>
      </c>
      <c r="AE46" s="154">
        <f>SUMIFS($U$45:$U$88,$B$45:$B$88,$W46,$A$45:$A$88,"Leak")</f>
        <v>1085.9851314738812</v>
      </c>
      <c r="AF46" s="61">
        <f>SUMIFS($T$45:$T$88,$B$45:$B$88,$W46,$A$45:$A$88,"Leak")</f>
        <v>76692.892022840038</v>
      </c>
      <c r="AG46" s="154">
        <f>SUMIFS($S$45:$S$88,$B$45:$B$88,$W46,$A$45:$A$88,"Leak")</f>
        <v>732.60631439881593</v>
      </c>
      <c r="AI46" s="2" t="s">
        <v>167</v>
      </c>
      <c r="AJ46" s="15">
        <f>SUM(Z46:Z47,AC46:AC47,AF46:AF47)/3</f>
        <v>8730206.0356755052</v>
      </c>
      <c r="AK46" s="15">
        <f>SUM(Z49:Z50,AC49:AC50,AF49:AF50)/3</f>
        <v>103428.77999999998</v>
      </c>
      <c r="AL46" s="15">
        <f>SUM(Z53:Z55,AC53:AC55,AF53:AF55)/3</f>
        <v>3644691.3453509994</v>
      </c>
      <c r="AM46" s="15">
        <f>SUM(Z51:Z52,AC51:AC52,AF51:AF52)/3</f>
        <v>3451383.9499976016</v>
      </c>
    </row>
    <row r="47" spans="1:40" ht="44.5" customHeight="1">
      <c r="A47" s="187" t="s">
        <v>184</v>
      </c>
      <c r="B47" s="188" t="s">
        <v>3</v>
      </c>
      <c r="C47" s="184" t="s">
        <v>98</v>
      </c>
      <c r="D47" s="426" t="s">
        <v>102</v>
      </c>
      <c r="E47" s="400" t="s">
        <v>227</v>
      </c>
      <c r="F47" s="14" t="s">
        <v>99</v>
      </c>
      <c r="G47" s="98">
        <f>'ICR 1626.18 9-6-2022'!$C$44*$G$22/$G$21</f>
        <v>43.068018016644608</v>
      </c>
      <c r="H47" s="98">
        <f>G47*D$20/C$20</f>
        <v>42.854361153906943</v>
      </c>
      <c r="I47" s="98">
        <f>H47*E$20/D$20</f>
        <v>42.380894149131592</v>
      </c>
      <c r="J47" s="221">
        <v>1</v>
      </c>
      <c r="K47" s="222">
        <f>'ICR 1626.18 9-6-2022'!$E$44</f>
        <v>0.5</v>
      </c>
      <c r="L47" s="228">
        <f t="shared" si="2"/>
        <v>52.342500000000001</v>
      </c>
      <c r="M47" s="232">
        <f t="shared" si="12"/>
        <v>21.534009008322304</v>
      </c>
      <c r="N47" s="361">
        <f t="shared" si="3"/>
        <v>2254.2877330362203</v>
      </c>
      <c r="O47" s="128">
        <f t="shared" si="4"/>
        <v>43.068018016644608</v>
      </c>
      <c r="P47" s="231">
        <f t="shared" si="5"/>
        <v>21.427180576953472</v>
      </c>
      <c r="Q47" s="364">
        <f t="shared" si="6"/>
        <v>2243.1043986983741</v>
      </c>
      <c r="R47" s="20">
        <f t="shared" si="7"/>
        <v>42.854361153906943</v>
      </c>
      <c r="S47" s="232">
        <f t="shared" si="8"/>
        <v>21.190447074565796</v>
      </c>
      <c r="T47" s="361">
        <f t="shared" si="9"/>
        <v>2218.3219520009202</v>
      </c>
      <c r="U47" s="128">
        <f t="shared" si="10"/>
        <v>42.380894149131592</v>
      </c>
      <c r="V47" s="15">
        <f t="shared" si="11"/>
        <v>52.342500000000001</v>
      </c>
      <c r="W47" s="153" t="s">
        <v>21</v>
      </c>
      <c r="X47" s="155" t="s">
        <v>149</v>
      </c>
      <c r="Y47" s="154">
        <f>SUMIFS($O$45:$O$88,$B$45:$B$88,$W47,$A$45:$A$88,"Leak")</f>
        <v>2390449.3693336262</v>
      </c>
      <c r="Z47" s="61">
        <f>SUMIFS($N$45:$N$88,$B$45:$B$88,$W47,$A$45:$A$88,"Leak")</f>
        <v>8655516.8972645719</v>
      </c>
      <c r="AA47" s="154">
        <f>SUMIFS($M$45:$M$88,$B$45:$B$88,$W47,$A$45:$A$88,"Leak")</f>
        <v>82681.538876291466</v>
      </c>
      <c r="AB47" s="154">
        <f>SUMIFS($R$45:$R$88,$B$45:$B$88,$W47,$A$45:$A$88,"Leak")</f>
        <v>2403210.2779059922</v>
      </c>
      <c r="AC47" s="61">
        <f>SUMIFS($Q$45:$Q$88,$B$45:$B$88,$W47,$A$45:$A$88,"Leak")</f>
        <v>8677799.3087716028</v>
      </c>
      <c r="AD47" s="154">
        <f>SUMIFS($P$45:$P$88,$B$45:$B$88,$W47,$A$45:$A$88,"Leak")</f>
        <v>82894.390875212339</v>
      </c>
      <c r="AE47" s="154">
        <f>SUMIFS($U$45:$U$88,$B$45:$B$88,$W47,$A$45:$A$88,"Leak")</f>
        <v>2384705.0889179339</v>
      </c>
      <c r="AF47" s="61">
        <f>SUMIFS($T$45:$T$88,$B$45:$B$88,$W47,$A$45:$A$88,"Leak")</f>
        <v>8626651.330022078</v>
      </c>
      <c r="AG47" s="154">
        <f>SUMIFS($S$45:$S$88,$B$45:$B$88,$W47,$A$45:$A$88,"Leak")</f>
        <v>82405.801499948197</v>
      </c>
      <c r="AI47" s="2" t="s">
        <v>191</v>
      </c>
      <c r="AJ47" s="15">
        <f>AVERAGE(Z46,AC46,AF46)</f>
        <v>76883.523656087127</v>
      </c>
      <c r="AK47" s="15">
        <f>AVERAGE(Z49,AC49,AF49)</f>
        <v>19680.78</v>
      </c>
      <c r="AL47" s="15">
        <f>AVERAGE(Z53,AC53,AF53)</f>
        <v>3550666.1119999997</v>
      </c>
      <c r="AM47" s="15">
        <v>0</v>
      </c>
      <c r="AN47" s="15">
        <f>SUM(AJ47:AM47)</f>
        <v>3647230.415656087</v>
      </c>
    </row>
    <row r="48" spans="1:40" ht="29">
      <c r="A48" s="187" t="s">
        <v>184</v>
      </c>
      <c r="B48" s="188" t="s">
        <v>3</v>
      </c>
      <c r="C48" s="184" t="s">
        <v>98</v>
      </c>
      <c r="D48" s="427"/>
      <c r="E48" s="401"/>
      <c r="F48" s="14" t="s">
        <v>100</v>
      </c>
      <c r="G48" s="98">
        <f>'ICR 1626.18 9-6-2022'!$C$44*$G$22/$G$21</f>
        <v>43.068018016644608</v>
      </c>
      <c r="H48" s="98">
        <f>G48*D$21/C$21</f>
        <v>43.345627543557264</v>
      </c>
      <c r="I48" s="98">
        <f>H48*E$21/D$21</f>
        <v>43.543810600153016</v>
      </c>
      <c r="J48" s="221">
        <v>1</v>
      </c>
      <c r="K48" s="222">
        <f>'ICR 1626.18 9-6-2022'!$E$44</f>
        <v>0.5</v>
      </c>
      <c r="L48" s="228">
        <f t="shared" si="2"/>
        <v>52.342500000000001</v>
      </c>
      <c r="M48" s="198">
        <f t="shared" si="12"/>
        <v>21.534009008322304</v>
      </c>
      <c r="N48" s="361">
        <f t="shared" si="3"/>
        <v>2254.2877330362203</v>
      </c>
      <c r="O48" s="128">
        <f t="shared" si="4"/>
        <v>43.068018016644608</v>
      </c>
      <c r="P48" s="199">
        <f t="shared" si="5"/>
        <v>21.672813771778632</v>
      </c>
      <c r="Q48" s="364">
        <f t="shared" si="6"/>
        <v>2268.8185096986463</v>
      </c>
      <c r="R48" s="20">
        <f t="shared" si="7"/>
        <v>43.345627543557264</v>
      </c>
      <c r="S48" s="198">
        <f t="shared" si="8"/>
        <v>21.771905300076508</v>
      </c>
      <c r="T48" s="361">
        <f t="shared" si="9"/>
        <v>2279.1919063385094</v>
      </c>
      <c r="U48" s="128">
        <f t="shared" si="10"/>
        <v>43.543810600153016</v>
      </c>
      <c r="V48" s="15">
        <f t="shared" si="11"/>
        <v>52.342500000000001</v>
      </c>
      <c r="W48" s="153" t="s">
        <v>236</v>
      </c>
      <c r="X48" s="155" t="s">
        <v>240</v>
      </c>
      <c r="Y48" s="154">
        <f>SUMIFS($O$45:$O$88,$B$45:$B$88,$W48,$A$45:$A$88,"Leak")</f>
        <v>2053765.2286616801</v>
      </c>
      <c r="Z48" s="61">
        <f>SUMIFS($N$45:$N$88,$B$45:$B$88,$W48,$A$45:$A$88,"Leak")</f>
        <v>3276556.9614000777</v>
      </c>
      <c r="AA48" s="154">
        <f>SUMIFS($M$45:$M$88,$B$45:$B$88,$W48,$A$45:$A$88,"Leak")</f>
        <v>56633.946269122418</v>
      </c>
      <c r="AB48" s="154">
        <f>SUMIFS($R$45:$R$88,$B$45:$B$88,$W48,$A$45:$A$88,"Leak")</f>
        <v>2053799.4311617198</v>
      </c>
      <c r="AC48" s="61">
        <f>SUMIFS($Q$45:$Q$88,$B$45:$B$88,$W48,$A$45:$A$88,"Leak")</f>
        <v>3276618.2324546678</v>
      </c>
      <c r="AD48" s="154">
        <f>SUMIFS($P$45:$P$88,$B$45:$B$88,$W48,$A$45:$A$88,"Leak")</f>
        <v>56635.00531422811</v>
      </c>
      <c r="AE48" s="154">
        <f>SUMIFS($U$45:$U$88,$B$45:$B$88,$W48,$A$45:$A$88,"Leak")</f>
        <v>2045197.7875976386</v>
      </c>
      <c r="AF48" s="61">
        <f>SUMIFS($T$45:$T$88,$B$45:$B$88,$W48,$A$45:$A$88,"Leak")</f>
        <v>3262904.4209969835</v>
      </c>
      <c r="AG48" s="154">
        <f>SUMIFS($S$45:$S$88,$B$45:$B$88,$W48,$A$45:$A$88,"Leak")</f>
        <v>56397.967695047671</v>
      </c>
      <c r="AI48" s="2" t="s">
        <v>192</v>
      </c>
      <c r="AJ48" s="15">
        <f>AVERAGE(Z47,AC47,AF47)</f>
        <v>8653322.5120194163</v>
      </c>
      <c r="AK48" s="15">
        <f>AVERAGE(Z50,AC50,AF50)</f>
        <v>83748</v>
      </c>
      <c r="AL48" s="15">
        <f>AVERAGE(Z55,AC55,AF55)</f>
        <v>79730.559999999998</v>
      </c>
      <c r="AM48" s="15">
        <f>AVERAGE(Z52,AC52,AF52)</f>
        <v>201296.97774883755</v>
      </c>
      <c r="AN48" s="15">
        <f>SUM(AJ48:AM48)</f>
        <v>9018098.0497682542</v>
      </c>
    </row>
    <row r="49" spans="1:44" ht="29.15" customHeight="1">
      <c r="A49" s="187" t="s">
        <v>184</v>
      </c>
      <c r="B49" s="188" t="s">
        <v>3</v>
      </c>
      <c r="C49" s="184" t="s">
        <v>98</v>
      </c>
      <c r="D49" s="419" t="s">
        <v>111</v>
      </c>
      <c r="E49" s="400" t="s">
        <v>226</v>
      </c>
      <c r="F49" s="14" t="s">
        <v>99</v>
      </c>
      <c r="G49" s="101">
        <f t="shared" ref="G49:G50" si="13">G61*5%</f>
        <v>100.12530877827484</v>
      </c>
      <c r="H49" s="98">
        <f>G49*D$20/C$20</f>
        <v>99.628595431820443</v>
      </c>
      <c r="I49" s="98">
        <f>H49*E$20/D$20</f>
        <v>98.527870758789618</v>
      </c>
      <c r="J49" s="221">
        <v>1</v>
      </c>
      <c r="K49" s="106">
        <f>'ICR 1626.18 9-6-2022'!$E$45</f>
        <v>0.5</v>
      </c>
      <c r="L49" s="228">
        <f t="shared" si="2"/>
        <v>52.342500000000001</v>
      </c>
      <c r="M49" s="198">
        <f t="shared" si="12"/>
        <v>50.062654389137421</v>
      </c>
      <c r="N49" s="361">
        <f t="shared" si="3"/>
        <v>5240.8089747268514</v>
      </c>
      <c r="O49" s="128">
        <f t="shared" si="4"/>
        <v>100.12530877827484</v>
      </c>
      <c r="P49" s="199">
        <f t="shared" si="5"/>
        <v>49.814297715910222</v>
      </c>
      <c r="Q49" s="364">
        <f t="shared" si="6"/>
        <v>5214.8097563900619</v>
      </c>
      <c r="R49" s="20">
        <f t="shared" si="7"/>
        <v>99.628595431820443</v>
      </c>
      <c r="S49" s="198">
        <f t="shared" si="8"/>
        <v>49.263935379394809</v>
      </c>
      <c r="T49" s="361">
        <f t="shared" si="9"/>
        <v>5157.1950751919458</v>
      </c>
      <c r="U49" s="128">
        <f t="shared" si="10"/>
        <v>98.527870758789618</v>
      </c>
      <c r="V49" s="15">
        <f t="shared" si="11"/>
        <v>52.342500000000001</v>
      </c>
      <c r="W49" s="153" t="s">
        <v>3</v>
      </c>
      <c r="X49" s="155" t="s">
        <v>188</v>
      </c>
      <c r="Y49" s="154">
        <f>SUMIFS($O$45:$O$88,$B$45:$B$88,$W49,$A$45:$A$88,"Fire")</f>
        <v>20</v>
      </c>
      <c r="Z49" s="61">
        <f>SUMIFS($N$45:$N$88,$B$45:$B$88,$W49,$A$45:$A$88,"Fire")</f>
        <v>19680.78</v>
      </c>
      <c r="AA49" s="154">
        <f>SUMIFS($M$45:$M$88,$B$45:$B$88,$W49,$A$45:$A$88,"Fire")</f>
        <v>188</v>
      </c>
      <c r="AB49" s="154">
        <f>SUMIFS($R$45:$R$88,$B$45:$B$88,$W49,$A$45:$A$88,"Fire")</f>
        <v>20</v>
      </c>
      <c r="AC49" s="61">
        <f>SUMIFS($Q$45:$Q$88,$B$45:$B$88,$W49,$A$45:$A$88,"Fire")</f>
        <v>19680.78</v>
      </c>
      <c r="AD49" s="154">
        <f>SUMIFS($P$45:$P$88,$B$45:$B$88,$W49,$A$45:$A$88,"Fire")</f>
        <v>188</v>
      </c>
      <c r="AE49" s="154">
        <f>SUMIFS($U$45:$U$88,$B$45:$B$88,$W49,$A$45:$A$88,"Fire")</f>
        <v>20</v>
      </c>
      <c r="AF49" s="61">
        <f>SUMIFS($T$45:$T$88,$B$45:$B$88,$W49,$A$45:$A$88,"Fire")</f>
        <v>19680.78</v>
      </c>
      <c r="AG49" s="154">
        <f>SUMIFS($S$45:$S$88,$B$45:$B$88,$W49,$A$45:$A$88,"Fire")</f>
        <v>188</v>
      </c>
      <c r="AI49" s="2"/>
      <c r="AJ49" s="15"/>
      <c r="AN49" s="472" t="s">
        <v>210</v>
      </c>
      <c r="AO49" s="172" t="s">
        <v>416</v>
      </c>
      <c r="AP49" s="172" t="s">
        <v>417</v>
      </c>
      <c r="AQ49" s="172" t="s">
        <v>418</v>
      </c>
      <c r="AR49" s="172" t="s">
        <v>419</v>
      </c>
    </row>
    <row r="50" spans="1:44" ht="29">
      <c r="A50" s="187" t="s">
        <v>184</v>
      </c>
      <c r="B50" s="188" t="s">
        <v>3</v>
      </c>
      <c r="C50" s="184" t="s">
        <v>98</v>
      </c>
      <c r="D50" s="420"/>
      <c r="E50" s="401"/>
      <c r="F50" s="14" t="s">
        <v>100</v>
      </c>
      <c r="G50" s="101">
        <f t="shared" si="13"/>
        <v>77.248111515728979</v>
      </c>
      <c r="H50" s="98">
        <f>G50*D$21/C$21</f>
        <v>77.746040435617743</v>
      </c>
      <c r="I50" s="98">
        <f>H50*E$21/D$21</f>
        <v>78.101507614314471</v>
      </c>
      <c r="J50" s="221">
        <v>1</v>
      </c>
      <c r="K50" s="106">
        <f>'ICR 1626.18 9-6-2022'!$E$45</f>
        <v>0.5</v>
      </c>
      <c r="L50" s="228">
        <f t="shared" si="2"/>
        <v>52.342500000000001</v>
      </c>
      <c r="M50" s="198">
        <f t="shared" si="12"/>
        <v>38.62405575786449</v>
      </c>
      <c r="N50" s="361">
        <f t="shared" si="3"/>
        <v>4043.359277012044</v>
      </c>
      <c r="O50" s="128">
        <f t="shared" si="4"/>
        <v>77.248111515728979</v>
      </c>
      <c r="P50" s="199">
        <f t="shared" si="5"/>
        <v>38.873020217808872</v>
      </c>
      <c r="Q50" s="364">
        <f t="shared" si="6"/>
        <v>4069.4221215013217</v>
      </c>
      <c r="R50" s="20">
        <f t="shared" si="7"/>
        <v>77.746040435617743</v>
      </c>
      <c r="S50" s="198">
        <f t="shared" si="8"/>
        <v>39.050753807157236</v>
      </c>
      <c r="T50" s="361">
        <f t="shared" si="9"/>
        <v>4088.0281623022552</v>
      </c>
      <c r="U50" s="128">
        <f t="shared" si="10"/>
        <v>78.101507614314471</v>
      </c>
      <c r="V50" s="15">
        <f t="shared" si="11"/>
        <v>52.342500000000001</v>
      </c>
      <c r="W50" s="153" t="s">
        <v>21</v>
      </c>
      <c r="X50" s="155" t="s">
        <v>189</v>
      </c>
      <c r="Y50" s="154">
        <f>SUMIFS($O$45:$O$88,$B$45:$B$88,$W50,$A$45:$A$88,"Fire")</f>
        <v>20</v>
      </c>
      <c r="Z50" s="61">
        <f>SUMIFS($N$45:$N$88,$B$45:$B$88,$W50,$A$45:$A$88,"Fire")</f>
        <v>83748</v>
      </c>
      <c r="AA50" s="154">
        <f>SUMIFS($M$45:$M$88,$B$45:$B$88,$W50,$A$45:$A$88,"Fire")</f>
        <v>800</v>
      </c>
      <c r="AB50" s="154">
        <f>SUMIFS($R$45:$R$88,$B$45:$B$88,$W50,$A$45:$A$88,"Fire")</f>
        <v>20</v>
      </c>
      <c r="AC50" s="61">
        <f>SUMIFS($Q$45:$Q$88,$B$45:$B$88,$W50,$A$45:$A$88,"Fire")</f>
        <v>83748</v>
      </c>
      <c r="AD50" s="154">
        <f>SUMIFS($P$45:$P$88,$B$45:$B$88,$W50,$A$45:$A$88,"Fire")</f>
        <v>800</v>
      </c>
      <c r="AE50" s="154">
        <f>SUMIFS($U$45:$U$88,$B$45:$B$88,$W50,$A$45:$A$88,"Fire")</f>
        <v>20</v>
      </c>
      <c r="AF50" s="61">
        <f>SUMIFS($T$45:$T$88,$B$45:$B$88,$W50,$A$45:$A$88,"Fire")</f>
        <v>83748</v>
      </c>
      <c r="AG50" s="154">
        <f>SUMIFS($S$45:$S$88,$B$45:$B$88,$W50,$A$45:$A$88,"Fire")</f>
        <v>800</v>
      </c>
      <c r="AI50" s="172" t="s">
        <v>412</v>
      </c>
      <c r="AJ50" s="397">
        <f>AVERAGE(AA46,AD46,AG46)</f>
        <v>734.4273167701881</v>
      </c>
      <c r="AK50" s="397">
        <f>AVERAGE(AA49,AD49,AG49)</f>
        <v>188</v>
      </c>
      <c r="AL50" s="397">
        <f>AVERAGE(AA53,AD53,AG53)</f>
        <v>53530.666666666664</v>
      </c>
      <c r="AM50" s="397">
        <v>0</v>
      </c>
      <c r="AN50" s="397">
        <f t="shared" ref="AN50:AN52" si="14">SUM(AJ50:AM50)</f>
        <v>54453.093983436855</v>
      </c>
      <c r="AO50" s="170">
        <v>0</v>
      </c>
      <c r="AP50" s="170"/>
      <c r="AQ50" s="170"/>
      <c r="AR50" s="397">
        <f>AN50+AO50</f>
        <v>54453.093983436855</v>
      </c>
    </row>
    <row r="51" spans="1:44" ht="28.5" customHeight="1">
      <c r="A51" s="187" t="s">
        <v>184</v>
      </c>
      <c r="B51" s="188" t="s">
        <v>3</v>
      </c>
      <c r="C51" s="184" t="s">
        <v>98</v>
      </c>
      <c r="D51" s="419" t="s">
        <v>103</v>
      </c>
      <c r="E51" s="400" t="s">
        <v>228</v>
      </c>
      <c r="F51" s="14" t="s">
        <v>99</v>
      </c>
      <c r="G51" s="103">
        <f>1430*$G$23</f>
        <v>218.99793637951996</v>
      </c>
      <c r="H51" s="98">
        <f>G51*D$20/C$20</f>
        <v>217.91150579395674</v>
      </c>
      <c r="I51" s="98">
        <f>H51*E$20/D$20</f>
        <v>215.50395834309606</v>
      </c>
      <c r="J51" s="221">
        <v>1</v>
      </c>
      <c r="K51" s="107">
        <f>'ICR 1626.18 9-6-2022'!$E$46</f>
        <v>1</v>
      </c>
      <c r="L51" s="228">
        <f t="shared" si="2"/>
        <v>104.685</v>
      </c>
      <c r="M51" s="128">
        <f t="shared" si="12"/>
        <v>218.99793637951996</v>
      </c>
      <c r="N51" s="361">
        <f t="shared" si="3"/>
        <v>22925.798969890046</v>
      </c>
      <c r="O51" s="128">
        <f t="shared" si="4"/>
        <v>218.99793637951996</v>
      </c>
      <c r="P51" s="20">
        <f t="shared" si="5"/>
        <v>217.91150579395674</v>
      </c>
      <c r="Q51" s="364">
        <f t="shared" si="6"/>
        <v>22812.06598404036</v>
      </c>
      <c r="R51" s="20">
        <f t="shared" si="7"/>
        <v>217.91150579395674</v>
      </c>
      <c r="S51" s="128">
        <f t="shared" si="8"/>
        <v>215.50395834309606</v>
      </c>
      <c r="T51" s="361">
        <f t="shared" si="9"/>
        <v>22560.031879147013</v>
      </c>
      <c r="U51" s="128">
        <f t="shared" si="10"/>
        <v>215.50395834309606</v>
      </c>
      <c r="V51" s="15">
        <f t="shared" si="11"/>
        <v>104.685</v>
      </c>
      <c r="W51" s="153" t="s">
        <v>236</v>
      </c>
      <c r="X51" s="344" t="s">
        <v>376</v>
      </c>
      <c r="Y51" s="154">
        <f>SUMIFS($O$45:$O$88,$B$45:$B$88,$W51,$A$45:$A$88,"Heel")</f>
        <v>0</v>
      </c>
      <c r="Z51" s="61">
        <f>SUMIFS($N$45:$N$88,$B$45:$B$88,$W51,$A$45:$A$88,"Heel")</f>
        <v>0</v>
      </c>
      <c r="AA51" s="154">
        <f>SUMIFS($M$45:$M$88,$B$45:$B$88,$W51,$A$45:$A$88,"Heel")</f>
        <v>0</v>
      </c>
      <c r="AB51" s="154">
        <f>SUMIFS($R$45:$R$88,$B$45:$B$88,$W51,$A$45:$A$88,"Heel")</f>
        <v>341819.71149265626</v>
      </c>
      <c r="AC51" s="61">
        <f>SUMIFS($Q$45:$Q$88,$B$45:$B$88,$W51,$A$45:$A$88,"Heel")</f>
        <v>0</v>
      </c>
      <c r="AD51" s="154">
        <f>SUMIFS($P$45:$P$88,$B$45:$B$88,$W51,$A$45:$A$88,"Heel")</f>
        <v>0</v>
      </c>
      <c r="AE51" s="154">
        <f>SUMIFS($U$45:$U$88,$B$45:$B$88,$W51,$A$45:$A$88,"Heel")</f>
        <v>337058.54003098409</v>
      </c>
      <c r="AF51" s="61">
        <f>SUMIFS($T$45:$T$88,$B$45:$B$88,$W51,$A$45:$A$88,"Heel")</f>
        <v>9750260.9167462923</v>
      </c>
      <c r="AG51" s="154">
        <f>SUMIFS($S$45:$S$88,$B$45:$B$88,$W51,$A$45:$A$88,"Heel")</f>
        <v>168529.27001549205</v>
      </c>
      <c r="AI51" s="172" t="s">
        <v>413</v>
      </c>
      <c r="AJ51" s="397">
        <f>AVERAGE(AA47,AD47,AG47)</f>
        <v>82660.577083817334</v>
      </c>
      <c r="AK51" s="397">
        <f>AVERAGE(AA50,AD50,AG50)</f>
        <v>800</v>
      </c>
      <c r="AL51" s="397">
        <f>AVERAGE(AA55,AD55,AG55)</f>
        <v>986.66666666666663</v>
      </c>
      <c r="AM51" s="397">
        <f>AVERAGE(AA52,AD52,AG52)</f>
        <v>1872.5474446165783</v>
      </c>
      <c r="AN51" s="397">
        <f t="shared" si="14"/>
        <v>86319.791195100581</v>
      </c>
      <c r="AO51" s="170"/>
      <c r="AP51" s="471">
        <f>N131-(N118+N120+N113+N111)</f>
        <v>-31275</v>
      </c>
      <c r="AQ51" s="170"/>
      <c r="AR51" s="397">
        <f>AN51+AP51</f>
        <v>55044.791195100581</v>
      </c>
    </row>
    <row r="52" spans="1:44" ht="50.15" customHeight="1">
      <c r="A52" s="187" t="s">
        <v>184</v>
      </c>
      <c r="B52" s="188" t="s">
        <v>3</v>
      </c>
      <c r="C52" s="184" t="s">
        <v>98</v>
      </c>
      <c r="D52" s="420"/>
      <c r="E52" s="401"/>
      <c r="F52" s="14" t="s">
        <v>100</v>
      </c>
      <c r="G52" s="103">
        <f>1430*$G$24</f>
        <v>168.96004833925028</v>
      </c>
      <c r="H52" s="98">
        <f>G52*D$21/C$21</f>
        <v>170.04913767390391</v>
      </c>
      <c r="I52" s="98">
        <f>H52*E$21/D$21</f>
        <v>170.82662919463041</v>
      </c>
      <c r="J52" s="221">
        <v>1</v>
      </c>
      <c r="K52" s="107">
        <f>'ICR 1626.18 9-6-2022'!$E$46</f>
        <v>1</v>
      </c>
      <c r="L52" s="228">
        <f t="shared" si="2"/>
        <v>104.685</v>
      </c>
      <c r="M52" s="128">
        <f t="shared" si="12"/>
        <v>168.96004833925028</v>
      </c>
      <c r="N52" s="361">
        <f t="shared" si="3"/>
        <v>17687.582660394415</v>
      </c>
      <c r="O52" s="128">
        <f t="shared" si="4"/>
        <v>168.96004833925028</v>
      </c>
      <c r="P52" s="20">
        <f t="shared" si="5"/>
        <v>170.04913767390391</v>
      </c>
      <c r="Q52" s="364">
        <f t="shared" si="6"/>
        <v>17801.593977392633</v>
      </c>
      <c r="R52" s="20">
        <f t="shared" si="7"/>
        <v>170.04913767390391</v>
      </c>
      <c r="S52" s="128">
        <f t="shared" si="8"/>
        <v>170.82662919463041</v>
      </c>
      <c r="T52" s="361">
        <f t="shared" si="9"/>
        <v>17882.985677239885</v>
      </c>
      <c r="U52" s="128">
        <f t="shared" si="10"/>
        <v>170.82662919463041</v>
      </c>
      <c r="V52" s="15">
        <f t="shared" si="11"/>
        <v>104.685</v>
      </c>
      <c r="W52" s="153" t="s">
        <v>21</v>
      </c>
      <c r="X52" s="155" t="s">
        <v>376</v>
      </c>
      <c r="Y52" s="154">
        <f>SUMIFS($O$45:$O$88,$B$45:$B$88,$W52,$A$45:$A$88,"Heel")</f>
        <v>0</v>
      </c>
      <c r="Z52" s="61">
        <f>SUMIFS($N$45:$N$88,$B$45:$B$88,$W52,$A$45:$A$88,"Heel")</f>
        <v>0</v>
      </c>
      <c r="AA52" s="154">
        <f>SUMIFS($M$45:$M$88,$B$45:$B$88,$W52,$A$45:$A$88,"Heel")</f>
        <v>0</v>
      </c>
      <c r="AB52" s="154">
        <f>SUMIFS($R$45:$R$88,$B$45:$B$88,$W52,$A$45:$A$88,"Heel")</f>
        <v>0</v>
      </c>
      <c r="AC52" s="61">
        <f>SUMIFS($Q$45:$Q$88,$B$45:$B$88,$W52,$A$45:$A$88,"Heel")</f>
        <v>0</v>
      </c>
      <c r="AD52" s="154">
        <f>SUMIFS($P$45:$P$88,$B$45:$B$88,$W52,$A$45:$A$88,"Heel")</f>
        <v>0</v>
      </c>
      <c r="AE52" s="154">
        <f>SUMIFS($U$45:$U$88,$B$45:$B$88,$W52,$A$45:$A$88,"Heel")</f>
        <v>337058.54003098409</v>
      </c>
      <c r="AF52" s="61">
        <f>SUMIFS($T$45:$T$88,$B$45:$B$88,$W52,$A$45:$A$88,"Heel")</f>
        <v>603890.93324651266</v>
      </c>
      <c r="AG52" s="154">
        <f>SUMIFS($S$45:$S$88,$B$45:$B$88,$W52,$A$45:$A$88,"Heel")</f>
        <v>5617.6423338497352</v>
      </c>
      <c r="AI52" s="172" t="s">
        <v>415</v>
      </c>
      <c r="AJ52" s="397">
        <f>AVERAGE(AA48,AD48,AG48)</f>
        <v>56555.639759466074</v>
      </c>
      <c r="AK52" s="397">
        <v>0</v>
      </c>
      <c r="AL52" s="397">
        <f>AVERAGE(AA54,AD54,AG54)</f>
        <v>111</v>
      </c>
      <c r="AM52" s="397">
        <f>AVERAGE(AA51,AD51,AG51)</f>
        <v>56176.423338497349</v>
      </c>
      <c r="AN52" s="397">
        <f t="shared" si="14"/>
        <v>112843.06309796343</v>
      </c>
      <c r="AO52" s="170"/>
      <c r="AP52" s="170"/>
      <c r="AQ52" s="471">
        <f>N111+N113+N118+N120</f>
        <v>-73</v>
      </c>
      <c r="AR52" s="397">
        <f>AN52+AQ52</f>
        <v>112770.06309796343</v>
      </c>
    </row>
    <row r="53" spans="1:44" ht="29">
      <c r="A53" s="187" t="s">
        <v>184</v>
      </c>
      <c r="B53" s="188" t="s">
        <v>3</v>
      </c>
      <c r="C53" s="184" t="s">
        <v>98</v>
      </c>
      <c r="D53" s="419" t="s">
        <v>196</v>
      </c>
      <c r="E53" s="400" t="s">
        <v>229</v>
      </c>
      <c r="F53" s="14" t="s">
        <v>99</v>
      </c>
      <c r="G53" s="103">
        <f>G65</f>
        <v>3.7476632740868223</v>
      </c>
      <c r="H53" s="294">
        <f>G53*D$20/C$20</f>
        <v>3.7290714276399042</v>
      </c>
      <c r="I53" s="294">
        <f>H53*E$20/D$20</f>
        <v>3.6878716003201815</v>
      </c>
      <c r="J53" s="221">
        <v>1</v>
      </c>
      <c r="K53" s="107">
        <f>'ICR 1626.18 9-6-2022'!$E$54</f>
        <v>2.5000000000000001E-2</v>
      </c>
      <c r="L53" s="228">
        <f t="shared" si="2"/>
        <v>2.6171250000000001</v>
      </c>
      <c r="M53" s="233">
        <f t="shared" si="12"/>
        <v>9.3691581852170566E-2</v>
      </c>
      <c r="N53" s="361">
        <f t="shared" si="3"/>
        <v>9.8081032461944755</v>
      </c>
      <c r="O53" s="128">
        <f t="shared" si="4"/>
        <v>3.7476632740868223</v>
      </c>
      <c r="P53" s="234">
        <f t="shared" si="5"/>
        <v>9.3226785690997613E-2</v>
      </c>
      <c r="Q53" s="364">
        <f t="shared" si="6"/>
        <v>9.7594460600620856</v>
      </c>
      <c r="R53" s="20">
        <f t="shared" si="7"/>
        <v>3.7290714276399042</v>
      </c>
      <c r="S53" s="233">
        <f t="shared" si="8"/>
        <v>9.2196790008004542E-2</v>
      </c>
      <c r="T53" s="361">
        <f t="shared" si="9"/>
        <v>9.6516209619879554</v>
      </c>
      <c r="U53" s="128">
        <f t="shared" si="10"/>
        <v>3.6878716003201815</v>
      </c>
      <c r="V53" s="15">
        <f t="shared" si="11"/>
        <v>2.6171250000000001</v>
      </c>
      <c r="W53" s="153" t="s">
        <v>3</v>
      </c>
      <c r="X53" s="155" t="s">
        <v>275</v>
      </c>
      <c r="Y53" s="154">
        <f>SUMIFS($O$45:$O$88,$B$45:$B$88,$W53,$A$45:$A$88,"Reclamation")</f>
        <v>0</v>
      </c>
      <c r="Z53" s="61">
        <f>SUMIFS($N$45:$N$88,$B$45:$B$88,$W53,$A$45:$A$88,"Reclamation")</f>
        <v>0</v>
      </c>
      <c r="AA53" s="154">
        <f>SUMIFS($M$45:$M$88,$B$45:$B$88,$W53,$A$45:$A$88,"Reclamation")</f>
        <v>0</v>
      </c>
      <c r="AB53" s="154">
        <f>SUMIFS($R$45:$R$88,$B$45:$B$88,$W53,$A$45:$A$88,"Reclamation")</f>
        <v>10037</v>
      </c>
      <c r="AC53" s="61">
        <f>SUMIFS($Q$45:$Q$88,$B$45:$B$88,$W53,$A$45:$A$88,"Reclamation")</f>
        <v>5325999.1679999996</v>
      </c>
      <c r="AD53" s="154">
        <f>SUMIFS($P$45:$P$88,$B$45:$B$88,$W53,$A$45:$A$88,"Reclamation")</f>
        <v>80296</v>
      </c>
      <c r="AE53" s="154">
        <f>SUMIFS($U$45:$U$88,$B$45:$B$88,$W53,$A$45:$A$88,"Reclamation")</f>
        <v>10037</v>
      </c>
      <c r="AF53" s="61">
        <f>SUMIFS($T$45:$T$88,$B$45:$B$88,$W53,$A$45:$A$88,"Reclamation")</f>
        <v>5325999.1679999996</v>
      </c>
      <c r="AG53" s="154">
        <f>SUMIFS($S$45:$S$88,$B$45:$B$88,$W53,$A$45:$A$88,"Reclamation")</f>
        <v>80296</v>
      </c>
      <c r="AJ53" s="470"/>
      <c r="AK53" s="470"/>
      <c r="AL53" s="470"/>
      <c r="AM53" s="470"/>
      <c r="AQ53" s="474" t="s">
        <v>420</v>
      </c>
      <c r="AR53" s="475">
        <f>SUM(AR50:AR52)</f>
        <v>222267.94827650086</v>
      </c>
    </row>
    <row r="54" spans="1:44" ht="29">
      <c r="A54" s="187" t="s">
        <v>184</v>
      </c>
      <c r="B54" s="188" t="s">
        <v>3</v>
      </c>
      <c r="C54" s="184" t="s">
        <v>98</v>
      </c>
      <c r="D54" s="420"/>
      <c r="E54" s="401"/>
      <c r="F54" s="14" t="s">
        <v>100</v>
      </c>
      <c r="G54" s="103">
        <f>G66</f>
        <v>3.7476632740868223</v>
      </c>
      <c r="H54" s="294">
        <f>G54*D$21/C$21</f>
        <v>3.7718201096334476</v>
      </c>
      <c r="I54" s="294">
        <f>H54*E$21/D$21</f>
        <v>3.7890654670228474</v>
      </c>
      <c r="J54" s="292">
        <v>1</v>
      </c>
      <c r="K54" s="107">
        <f>'ICR 1626.18 9-6-2022'!$E$54</f>
        <v>2.5000000000000001E-2</v>
      </c>
      <c r="L54" s="228">
        <f t="shared" si="2"/>
        <v>2.6171250000000001</v>
      </c>
      <c r="M54" s="233">
        <f t="shared" si="12"/>
        <v>9.3691581852170566E-2</v>
      </c>
      <c r="N54" s="361">
        <f t="shared" si="3"/>
        <v>9.8081032461944755</v>
      </c>
      <c r="O54" s="128">
        <f t="shared" si="4"/>
        <v>3.7476632740868223</v>
      </c>
      <c r="P54" s="234">
        <f t="shared" si="5"/>
        <v>9.4295502740836201E-2</v>
      </c>
      <c r="Q54" s="364">
        <f t="shared" si="6"/>
        <v>9.8713247044244383</v>
      </c>
      <c r="R54" s="20">
        <f t="shared" si="7"/>
        <v>3.7718201096334476</v>
      </c>
      <c r="S54" s="233">
        <f t="shared" si="8"/>
        <v>9.4726636675571185E-2</v>
      </c>
      <c r="T54" s="361">
        <f t="shared" si="9"/>
        <v>9.9164579603821696</v>
      </c>
      <c r="U54" s="128">
        <f t="shared" si="10"/>
        <v>3.7890654670228474</v>
      </c>
      <c r="V54" s="15">
        <f t="shared" si="11"/>
        <v>2.6171250000000001</v>
      </c>
      <c r="W54" s="153" t="s">
        <v>236</v>
      </c>
      <c r="X54" s="155" t="s">
        <v>275</v>
      </c>
      <c r="Y54" s="154">
        <f>SUMIFS($O$45:$O$88,$B$45:$B$88,$W54,$A$45:$A$88,"Reclamation")</f>
        <v>37</v>
      </c>
      <c r="Z54" s="61">
        <f>SUMIFS($N$45:$N$88,$B$45:$B$88,$W54,$A$45:$A$88,"Reclamation")</f>
        <v>42884.020052999993</v>
      </c>
      <c r="AA54" s="154">
        <f>SUMIFS($M$45:$M$88,$B$45:$B$88,$W54,$A$45:$A$88,"Reclamation")</f>
        <v>333</v>
      </c>
      <c r="AB54" s="154">
        <f>SUMIFS($R$45:$R$88,$B$45:$B$88,$W54,$A$45:$A$88,"Reclamation")</f>
        <v>0</v>
      </c>
      <c r="AC54" s="61">
        <f>SUMIFS($Q$45:$Q$88,$B$45:$B$88,$W54,$A$45:$A$88,"Reclamation")</f>
        <v>0</v>
      </c>
      <c r="AD54" s="154">
        <f>SUMIFS($P$45:$P$88,$B$45:$B$88,$W54,$A$45:$A$88,"Reclamation")</f>
        <v>0</v>
      </c>
      <c r="AE54" s="154">
        <f>SUMIFS($U$45:$U$88,$B$45:$B$88,$W54,$A$45:$A$88,"Reclamation")</f>
        <v>0</v>
      </c>
      <c r="AF54" s="61">
        <f>SUMIFS($T$45:$T$88,$B$45:$B$88,$W54,$A$45:$A$88,"Reclamation")</f>
        <v>0</v>
      </c>
      <c r="AG54" s="154">
        <f>SUMIFS($S$45:$S$88,$B$45:$B$88,$W54,$A$45:$A$88,"Reclamation")</f>
        <v>0</v>
      </c>
      <c r="AJ54" s="470"/>
      <c r="AK54" s="470"/>
      <c r="AL54" s="470"/>
      <c r="AM54" s="470"/>
    </row>
    <row r="55" spans="1:44" ht="138" customHeight="1">
      <c r="A55" s="187" t="s">
        <v>184</v>
      </c>
      <c r="B55" s="219" t="s">
        <v>21</v>
      </c>
      <c r="C55" s="184" t="s">
        <v>98</v>
      </c>
      <c r="D55" s="413" t="s">
        <v>164</v>
      </c>
      <c r="E55" s="400" t="s">
        <v>221</v>
      </c>
      <c r="F55" s="14" t="s">
        <v>99</v>
      </c>
      <c r="G55" s="220">
        <f>C$34/$C$25</f>
        <v>266373.55803459213</v>
      </c>
      <c r="H55" s="98">
        <f>G55*D$20/C$20</f>
        <v>265052.10092217184</v>
      </c>
      <c r="I55" s="98">
        <f>H55*E$20/D$20</f>
        <v>262123.73095108912</v>
      </c>
      <c r="J55" s="221">
        <f>$C$25</f>
        <v>2.8421052631578947</v>
      </c>
      <c r="K55" s="291">
        <f>'ICR 1626.18 9-6-2022'!$E$49</f>
        <v>2.5000000000000001E-2</v>
      </c>
      <c r="L55" s="228">
        <f>K55*$D$8</f>
        <v>2.6171250000000001</v>
      </c>
      <c r="M55" s="128">
        <f t="shared" si="12"/>
        <v>18926.542281405229</v>
      </c>
      <c r="N55" s="361">
        <f t="shared" si="3"/>
        <v>1981325.0787289063</v>
      </c>
      <c r="O55" s="128">
        <f t="shared" si="4"/>
        <v>757061.69125620916</v>
      </c>
      <c r="P55" s="20">
        <f t="shared" si="5"/>
        <v>18832.649276049051</v>
      </c>
      <c r="Q55" s="364">
        <f t="shared" si="6"/>
        <v>1971495.8894631949</v>
      </c>
      <c r="R55" s="20">
        <f t="shared" si="7"/>
        <v>753305.97104196204</v>
      </c>
      <c r="S55" s="128">
        <f t="shared" si="8"/>
        <v>18624.58088336686</v>
      </c>
      <c r="T55" s="361">
        <f t="shared" si="9"/>
        <v>1949714.2497752598</v>
      </c>
      <c r="U55" s="128">
        <f t="shared" si="10"/>
        <v>744983.23533467436</v>
      </c>
      <c r="V55" s="15">
        <f t="shared" ref="V55:V62" si="15">L55*J55</f>
        <v>7.4381447368421059</v>
      </c>
      <c r="W55" s="153" t="s">
        <v>21</v>
      </c>
      <c r="X55" s="155" t="s">
        <v>275</v>
      </c>
      <c r="Y55" s="154">
        <f>SUMIFS($O$45:$O$88,$B$45:$B$88,$W55,$A$45:$A$88,"Reclamation")</f>
        <v>0</v>
      </c>
      <c r="Z55" s="61">
        <f>SUMIFS($N$45:$N$88,$B$45:$B$88,$W55,$A$45:$A$88,"Reclamation")</f>
        <v>0</v>
      </c>
      <c r="AA55" s="154">
        <f>SUMIFS($M$45:$M$88,$B$45:$B$88,$W55,$A$45:$A$88,"Reclamation")</f>
        <v>0</v>
      </c>
      <c r="AB55" s="154">
        <f>SUMIFS($R$45:$R$88,$B$45:$B$88,$W55,$A$45:$A$88,"Reclamation")</f>
        <v>37</v>
      </c>
      <c r="AC55" s="61">
        <f>SUMIFS($Q$45:$Q$88,$B$45:$B$88,$W55,$A$45:$A$88,"Reclamation")</f>
        <v>119595.84</v>
      </c>
      <c r="AD55" s="154">
        <f>SUMIFS($P$45:$P$88,$B$45:$B$88,$W55,$A$45:$A$88,"Reclamation")</f>
        <v>1480</v>
      </c>
      <c r="AE55" s="154">
        <f>SUMIFS($U$45:$U$88,$B$45:$B$88,$W55,$A$45:$A$88,"Reclamation")</f>
        <v>37</v>
      </c>
      <c r="AF55" s="61">
        <f>SUMIFS($T$45:$T$88,$B$45:$B$88,$W55,$A$45:$A$88,"Reclamation")</f>
        <v>119595.84</v>
      </c>
      <c r="AG55" s="154">
        <f>SUMIFS($S$45:$S$88,$B$45:$B$88,$W55,$A$45:$A$88,"Reclamation")</f>
        <v>1480</v>
      </c>
      <c r="AJ55" s="470"/>
      <c r="AK55" s="470"/>
      <c r="AL55" s="470"/>
      <c r="AM55" s="470"/>
    </row>
    <row r="56" spans="1:44" ht="138" customHeight="1">
      <c r="A56" s="187" t="s">
        <v>184</v>
      </c>
      <c r="B56" s="219" t="s">
        <v>21</v>
      </c>
      <c r="C56" s="184" t="s">
        <v>98</v>
      </c>
      <c r="D56" s="413"/>
      <c r="E56" s="401"/>
      <c r="F56" s="14" t="s">
        <v>100</v>
      </c>
      <c r="G56" s="220">
        <f>C$35/$C$25</f>
        <v>206610.87533999365</v>
      </c>
      <c r="H56" s="98">
        <f>G56*D$21/C$21</f>
        <v>207942.65585833509</v>
      </c>
      <c r="I56" s="98">
        <f>H56*E$21/D$21</f>
        <v>208893.40253037785</v>
      </c>
      <c r="J56" s="221">
        <f>J55</f>
        <v>2.8421052631578947</v>
      </c>
      <c r="K56" s="291">
        <f>'ICR 1626.18 9-6-2022'!$E$49</f>
        <v>2.5000000000000001E-2</v>
      </c>
      <c r="L56" s="228">
        <f>K56*$D$8</f>
        <v>2.6171250000000001</v>
      </c>
      <c r="M56" s="128">
        <f t="shared" si="12"/>
        <v>14680.246405736392</v>
      </c>
      <c r="N56" s="361">
        <f t="shared" si="3"/>
        <v>1536801.5949845142</v>
      </c>
      <c r="O56" s="128">
        <f t="shared" si="4"/>
        <v>587209.85622945568</v>
      </c>
      <c r="P56" s="20">
        <f t="shared" si="5"/>
        <v>14774.872916250124</v>
      </c>
      <c r="Q56" s="364">
        <f t="shared" si="6"/>
        <v>1546707.5712376442</v>
      </c>
      <c r="R56" s="20">
        <f t="shared" si="7"/>
        <v>590994.91665000492</v>
      </c>
      <c r="S56" s="128">
        <f t="shared" si="8"/>
        <v>14842.425969263692</v>
      </c>
      <c r="T56" s="361">
        <f t="shared" si="9"/>
        <v>1553779.3625923696</v>
      </c>
      <c r="U56" s="128">
        <f t="shared" si="10"/>
        <v>593697.0387705476</v>
      </c>
      <c r="V56" s="15">
        <f t="shared" si="15"/>
        <v>7.4381447368421059</v>
      </c>
      <c r="X56" s="174" t="s">
        <v>183</v>
      </c>
      <c r="Y56" s="175">
        <f t="shared" ref="Y56:AG56" si="16">SUM(Y46:Y55)</f>
        <v>4445381.2409430668</v>
      </c>
      <c r="Z56" s="368">
        <f t="shared" si="16"/>
        <v>12155355.2776026</v>
      </c>
      <c r="AA56" s="175">
        <f t="shared" si="16"/>
        <v>141371.72533154325</v>
      </c>
      <c r="AB56" s="175">
        <f t="shared" si="16"/>
        <v>4810033.456663426</v>
      </c>
      <c r="AC56" s="368">
        <f t="shared" si="16"/>
        <v>17580430.389286742</v>
      </c>
      <c r="AD56" s="175">
        <f t="shared" si="16"/>
        <v>223028.83163922286</v>
      </c>
      <c r="AE56" s="175">
        <f t="shared" si="16"/>
        <v>5115219.9417090146</v>
      </c>
      <c r="AF56" s="368">
        <f t="shared" si="16"/>
        <v>27869424.281034704</v>
      </c>
      <c r="AG56" s="175">
        <f t="shared" si="16"/>
        <v>396447.28785873647</v>
      </c>
      <c r="AN56" s="473"/>
    </row>
    <row r="57" spans="1:44" ht="138" customHeight="1">
      <c r="A57" s="187" t="s">
        <v>184</v>
      </c>
      <c r="B57" s="219" t="s">
        <v>21</v>
      </c>
      <c r="C57" s="184" t="s">
        <v>98</v>
      </c>
      <c r="D57" s="428" t="s">
        <v>213</v>
      </c>
      <c r="E57" s="400" t="s">
        <v>215</v>
      </c>
      <c r="F57" s="14" t="s">
        <v>99</v>
      </c>
      <c r="G57" s="220">
        <f>C$28</f>
        <v>24850</v>
      </c>
      <c r="H57" s="98">
        <f>G57*D$20/C$20</f>
        <v>24726.721212548509</v>
      </c>
      <c r="I57" s="98">
        <f>H57*E$20/D$20</f>
        <v>24453.533459536047</v>
      </c>
      <c r="J57" s="293">
        <v>1</v>
      </c>
      <c r="K57" s="223">
        <f>'ICR 1626.18 9-6-2022'!$E$49</f>
        <v>2.5000000000000001E-2</v>
      </c>
      <c r="L57" s="228">
        <f t="shared" si="2"/>
        <v>2.6171250000000001</v>
      </c>
      <c r="M57" s="128">
        <f t="shared" si="12"/>
        <v>621.25</v>
      </c>
      <c r="N57" s="361">
        <f t="shared" si="3"/>
        <v>65035.556250000001</v>
      </c>
      <c r="O57" s="128">
        <f t="shared" si="4"/>
        <v>24850</v>
      </c>
      <c r="P57" s="20">
        <f t="shared" si="5"/>
        <v>618.16803031371273</v>
      </c>
      <c r="Q57" s="364">
        <f t="shared" si="6"/>
        <v>64712.920253391021</v>
      </c>
      <c r="R57" s="20">
        <f t="shared" si="7"/>
        <v>24726.721212548509</v>
      </c>
      <c r="S57" s="128">
        <f t="shared" si="8"/>
        <v>611.33833648840118</v>
      </c>
      <c r="T57" s="361">
        <f t="shared" si="9"/>
        <v>63997.953755288276</v>
      </c>
      <c r="U57" s="128">
        <f t="shared" si="10"/>
        <v>24453.533459536047</v>
      </c>
      <c r="V57" s="15">
        <f t="shared" si="15"/>
        <v>2.6171250000000001</v>
      </c>
      <c r="X57" s="193" t="s">
        <v>150</v>
      </c>
      <c r="Y57" s="194">
        <f>$M$131</f>
        <v>15345</v>
      </c>
      <c r="Z57" s="298">
        <f>$O$131</f>
        <v>-2131844.090499999</v>
      </c>
      <c r="AA57" s="196">
        <f>$N$131</f>
        <v>-31348</v>
      </c>
      <c r="AB57" s="194">
        <f>$M$131</f>
        <v>15345</v>
      </c>
      <c r="AC57" s="298">
        <f>$O$131</f>
        <v>-2131844.090499999</v>
      </c>
      <c r="AD57" s="196">
        <f>$N$131</f>
        <v>-31348</v>
      </c>
      <c r="AE57" s="194">
        <f>$M$131</f>
        <v>15345</v>
      </c>
      <c r="AF57" s="298">
        <f>$O$131</f>
        <v>-2131844.090499999</v>
      </c>
      <c r="AG57" s="196">
        <f>$N$131</f>
        <v>-31348</v>
      </c>
    </row>
    <row r="58" spans="1:44" ht="138" customHeight="1">
      <c r="A58" s="187" t="s">
        <v>184</v>
      </c>
      <c r="B58" s="219" t="s">
        <v>21</v>
      </c>
      <c r="C58" s="184" t="s">
        <v>98</v>
      </c>
      <c r="D58" s="415"/>
      <c r="E58" s="401"/>
      <c r="F58" s="14" t="s">
        <v>100</v>
      </c>
      <c r="G58" s="220">
        <f>C$29</f>
        <v>13734.516552524985</v>
      </c>
      <c r="H58" s="98">
        <f>G58*D$21/C$21</f>
        <v>13823.047040300087</v>
      </c>
      <c r="I58" s="98">
        <f>H58*E$21/D$21</f>
        <v>13886.248195045409</v>
      </c>
      <c r="J58" s="221">
        <v>1</v>
      </c>
      <c r="K58" s="223">
        <f>'ICR 1626.18 9-6-2022'!$E$49</f>
        <v>2.5000000000000001E-2</v>
      </c>
      <c r="L58" s="228">
        <f t="shared" si="2"/>
        <v>2.6171250000000001</v>
      </c>
      <c r="M58" s="128">
        <f>G58*$J58*$K58</f>
        <v>343.36291381312463</v>
      </c>
      <c r="N58" s="361">
        <f t="shared" si="3"/>
        <v>35944.946632526953</v>
      </c>
      <c r="O58" s="128">
        <f t="shared" si="4"/>
        <v>13734.516552524985</v>
      </c>
      <c r="P58" s="20">
        <f t="shared" si="5"/>
        <v>345.57617600750223</v>
      </c>
      <c r="Q58" s="364">
        <f t="shared" si="6"/>
        <v>36176.64198534537</v>
      </c>
      <c r="R58" s="20">
        <f t="shared" si="7"/>
        <v>13823.047040300087</v>
      </c>
      <c r="S58" s="128">
        <f t="shared" si="8"/>
        <v>347.15620487613523</v>
      </c>
      <c r="T58" s="361">
        <f t="shared" si="9"/>
        <v>36342.047307458219</v>
      </c>
      <c r="U58" s="128">
        <f t="shared" si="10"/>
        <v>13886.248195045409</v>
      </c>
      <c r="V58" s="15">
        <f t="shared" si="15"/>
        <v>2.6171250000000001</v>
      </c>
      <c r="X58" s="54" t="s">
        <v>174</v>
      </c>
      <c r="Y58" s="55">
        <f t="shared" ref="Y58:AG58" si="17">Y56+Y57</f>
        <v>4460726.2409430668</v>
      </c>
      <c r="Z58" s="230">
        <f t="shared" si="17"/>
        <v>10023511.187102601</v>
      </c>
      <c r="AA58" s="55">
        <f t="shared" si="17"/>
        <v>110023.72533154325</v>
      </c>
      <c r="AB58" s="55">
        <f t="shared" si="17"/>
        <v>4825378.456663426</v>
      </c>
      <c r="AC58" s="230">
        <f t="shared" si="17"/>
        <v>15448586.298786743</v>
      </c>
      <c r="AD58" s="55">
        <f t="shared" si="17"/>
        <v>191680.83163922286</v>
      </c>
      <c r="AE58" s="55">
        <f t="shared" si="17"/>
        <v>5130564.9417090146</v>
      </c>
      <c r="AF58" s="230">
        <f t="shared" si="17"/>
        <v>25737580.190534703</v>
      </c>
      <c r="AG58" s="55">
        <f t="shared" si="17"/>
        <v>365099.28785873647</v>
      </c>
    </row>
    <row r="59" spans="1:44" ht="138" customHeight="1">
      <c r="A59" s="187" t="s">
        <v>184</v>
      </c>
      <c r="B59" s="219" t="s">
        <v>21</v>
      </c>
      <c r="C59" s="184" t="s">
        <v>98</v>
      </c>
      <c r="D59" s="419" t="s">
        <v>375</v>
      </c>
      <c r="E59" s="353"/>
      <c r="F59" s="14" t="s">
        <v>99</v>
      </c>
      <c r="G59" s="220">
        <f>1%*G55</f>
        <v>2663.7355803459213</v>
      </c>
      <c r="H59" s="98">
        <f>G59*D$20/C$20</f>
        <v>2650.5210092217185</v>
      </c>
      <c r="I59" s="98">
        <f>H59*E$20/D$20</f>
        <v>2621.2373095108915</v>
      </c>
      <c r="J59" s="221">
        <v>1</v>
      </c>
      <c r="K59" s="223">
        <f>K57</f>
        <v>2.5000000000000001E-2</v>
      </c>
      <c r="L59" s="228">
        <f t="shared" ref="L59:L60" si="18">K59*$D$8</f>
        <v>2.6171250000000001</v>
      </c>
      <c r="M59" s="128">
        <f t="shared" ref="M59:M60" si="19">G59*$J59*$K59</f>
        <v>66.593389508648031</v>
      </c>
      <c r="N59" s="361">
        <f t="shared" ref="N59:N60" si="20">M59*$D$8</f>
        <v>6971.3289807128194</v>
      </c>
      <c r="O59" s="128">
        <f t="shared" ref="O59:O60" si="21">G59*$J59</f>
        <v>2663.7355803459213</v>
      </c>
      <c r="P59" s="20">
        <f t="shared" ref="P59:P60" si="22">H59*$J59*$K59</f>
        <v>66.263025230542965</v>
      </c>
      <c r="Q59" s="364">
        <f t="shared" ref="Q59:Q60" si="23">P59*$D$8</f>
        <v>6936.7447962593906</v>
      </c>
      <c r="R59" s="20">
        <f t="shared" ref="R59:R60" si="24">H59*$J59</f>
        <v>2650.5210092217185</v>
      </c>
      <c r="S59" s="128">
        <f t="shared" ref="S59:S60" si="25">I59*$J59*$K59</f>
        <v>65.530932737772289</v>
      </c>
      <c r="T59" s="361">
        <f t="shared" ref="T59:T60" si="26">S59*$D$8</f>
        <v>6860.1056936536925</v>
      </c>
      <c r="U59" s="128">
        <f t="shared" ref="U59:U60" si="27">I59*$J59</f>
        <v>2621.2373095108915</v>
      </c>
      <c r="V59" s="15">
        <f t="shared" si="15"/>
        <v>2.6171250000000001</v>
      </c>
    </row>
    <row r="60" spans="1:44" ht="138" customHeight="1">
      <c r="A60" s="187" t="s">
        <v>184</v>
      </c>
      <c r="B60" s="219" t="s">
        <v>21</v>
      </c>
      <c r="C60" s="184" t="s">
        <v>98</v>
      </c>
      <c r="D60" s="420"/>
      <c r="E60" s="353"/>
      <c r="F60" s="14" t="s">
        <v>100</v>
      </c>
      <c r="G60" s="220">
        <f>1%*G56</f>
        <v>2066.1087533999366</v>
      </c>
      <c r="H60" s="98">
        <f>G60*D$21/C$21</f>
        <v>2079.4265585833509</v>
      </c>
      <c r="I60" s="98">
        <f>H60*E$21/D$21</f>
        <v>2088.9340253037785</v>
      </c>
      <c r="J60" s="221">
        <v>1</v>
      </c>
      <c r="K60" s="223">
        <f>K58</f>
        <v>2.5000000000000001E-2</v>
      </c>
      <c r="L60" s="228">
        <f t="shared" si="18"/>
        <v>2.6171250000000001</v>
      </c>
      <c r="M60" s="128">
        <f t="shared" si="19"/>
        <v>51.652718834998417</v>
      </c>
      <c r="N60" s="361">
        <f t="shared" si="20"/>
        <v>5407.2648712418095</v>
      </c>
      <c r="O60" s="128">
        <f t="shared" si="21"/>
        <v>2066.1087533999366</v>
      </c>
      <c r="P60" s="20">
        <f t="shared" si="22"/>
        <v>51.985663964583779</v>
      </c>
      <c r="Q60" s="364">
        <f t="shared" si="23"/>
        <v>5442.1192321324534</v>
      </c>
      <c r="R60" s="20">
        <f t="shared" si="24"/>
        <v>2079.4265585833509</v>
      </c>
      <c r="S60" s="128">
        <f t="shared" si="25"/>
        <v>52.223350632594467</v>
      </c>
      <c r="T60" s="361">
        <f t="shared" si="26"/>
        <v>5467.0014609731516</v>
      </c>
      <c r="U60" s="128">
        <f t="shared" si="27"/>
        <v>2088.9340253037785</v>
      </c>
      <c r="V60" s="15">
        <f t="shared" si="15"/>
        <v>2.6171250000000001</v>
      </c>
      <c r="X60" s="189"/>
      <c r="Y60" s="190"/>
      <c r="Z60" s="191"/>
      <c r="AA60" s="190"/>
      <c r="AB60" s="190"/>
      <c r="AC60" s="191"/>
      <c r="AD60" s="190"/>
      <c r="AE60" s="190"/>
      <c r="AF60" s="191"/>
      <c r="AG60" s="190"/>
    </row>
    <row r="61" spans="1:44" ht="28" customHeight="1">
      <c r="A61" s="187" t="s">
        <v>184</v>
      </c>
      <c r="B61" s="219" t="s">
        <v>21</v>
      </c>
      <c r="C61" s="184" t="s">
        <v>98</v>
      </c>
      <c r="D61" s="414" t="s">
        <v>179</v>
      </c>
      <c r="E61" s="400" t="s">
        <v>218</v>
      </c>
      <c r="F61" s="14" t="s">
        <v>99</v>
      </c>
      <c r="G61" s="220">
        <f>1%*C20</f>
        <v>2002.5061755654967</v>
      </c>
      <c r="H61" s="98">
        <f>G61*D$20/C$20</f>
        <v>1992.5719086364088</v>
      </c>
      <c r="I61" s="98">
        <f>H61*E$20/D$20</f>
        <v>1970.5574151757924</v>
      </c>
      <c r="J61" s="221">
        <v>1</v>
      </c>
      <c r="K61" s="224">
        <f>'ICR 1626.18 9-6-2022'!$E$52</f>
        <v>8</v>
      </c>
      <c r="L61" s="228">
        <f t="shared" ref="L61:L74" si="28">K61*$D$8</f>
        <v>837.48</v>
      </c>
      <c r="M61" s="128">
        <f t="shared" si="12"/>
        <v>16020.049404523974</v>
      </c>
      <c r="N61" s="361">
        <f t="shared" ref="N61:N74" si="29">M61*$D$8</f>
        <v>1677058.8719125923</v>
      </c>
      <c r="O61" s="128">
        <f t="shared" si="4"/>
        <v>2002.5061755654967</v>
      </c>
      <c r="P61" s="20">
        <f t="shared" si="5"/>
        <v>15940.57526909127</v>
      </c>
      <c r="Q61" s="364">
        <f t="shared" ref="Q61:Q74" si="30">P61*$D$8</f>
        <v>1668739.1220448196</v>
      </c>
      <c r="R61" s="20">
        <f t="shared" si="7"/>
        <v>1992.5719086364088</v>
      </c>
      <c r="S61" s="128">
        <f t="shared" si="8"/>
        <v>15764.459321406339</v>
      </c>
      <c r="T61" s="361">
        <f t="shared" ref="T61:T74" si="31">S61*$D$8</f>
        <v>1650302.4240614227</v>
      </c>
      <c r="U61" s="128">
        <f t="shared" si="10"/>
        <v>1970.5574151757924</v>
      </c>
      <c r="V61" s="15">
        <f t="shared" si="15"/>
        <v>837.48</v>
      </c>
      <c r="X61" s="189"/>
      <c r="Y61" s="190"/>
      <c r="Z61" s="191"/>
      <c r="AA61" s="190"/>
      <c r="AB61" s="190"/>
      <c r="AC61" s="191"/>
      <c r="AD61" s="190"/>
      <c r="AE61" s="190"/>
      <c r="AF61" s="191"/>
      <c r="AG61" s="190"/>
    </row>
    <row r="62" spans="1:44" ht="28" customHeight="1">
      <c r="A62" s="187" t="s">
        <v>184</v>
      </c>
      <c r="B62" s="219" t="s">
        <v>21</v>
      </c>
      <c r="C62" s="184" t="s">
        <v>98</v>
      </c>
      <c r="D62" s="415"/>
      <c r="E62" s="401"/>
      <c r="F62" s="14" t="s">
        <v>100</v>
      </c>
      <c r="G62" s="220">
        <f>1%*C21</f>
        <v>1544.9622303145795</v>
      </c>
      <c r="H62" s="98">
        <f>G62*D$21/C$21</f>
        <v>1554.9208087123545</v>
      </c>
      <c r="I62" s="98">
        <f>H62*E$21/D$21</f>
        <v>1562.030152286289</v>
      </c>
      <c r="J62" s="221">
        <v>1</v>
      </c>
      <c r="K62" s="224">
        <f>'ICR 1626.18 9-6-2022'!$E$52</f>
        <v>8</v>
      </c>
      <c r="L62" s="228">
        <f t="shared" si="28"/>
        <v>837.48</v>
      </c>
      <c r="M62" s="128">
        <f t="shared" si="12"/>
        <v>12359.697842516636</v>
      </c>
      <c r="N62" s="361">
        <f t="shared" si="29"/>
        <v>1293874.9686438541</v>
      </c>
      <c r="O62" s="128">
        <f t="shared" si="4"/>
        <v>1544.9622303145795</v>
      </c>
      <c r="P62" s="20">
        <f t="shared" si="5"/>
        <v>12439.366469698836</v>
      </c>
      <c r="Q62" s="364">
        <f t="shared" si="30"/>
        <v>1302215.0788804227</v>
      </c>
      <c r="R62" s="20">
        <f t="shared" si="7"/>
        <v>1554.9208087123545</v>
      </c>
      <c r="S62" s="128">
        <f t="shared" si="8"/>
        <v>12496.241218290312</v>
      </c>
      <c r="T62" s="361">
        <f t="shared" si="31"/>
        <v>1308169.0119367214</v>
      </c>
      <c r="U62" s="128">
        <f t="shared" si="10"/>
        <v>1562.030152286289</v>
      </c>
      <c r="V62" s="15">
        <f t="shared" si="15"/>
        <v>837.48</v>
      </c>
      <c r="X62" s="189"/>
      <c r="Y62" s="190"/>
      <c r="Z62" s="191"/>
      <c r="AA62" s="190"/>
      <c r="AB62" s="190"/>
      <c r="AC62" s="191"/>
      <c r="AD62" s="190"/>
      <c r="AE62" s="190"/>
      <c r="AF62" s="191"/>
      <c r="AG62" s="190"/>
    </row>
    <row r="63" spans="1:44" ht="44.5" customHeight="1">
      <c r="A63" s="187" t="s">
        <v>184</v>
      </c>
      <c r="B63" s="219" t="s">
        <v>21</v>
      </c>
      <c r="C63" s="184" t="s">
        <v>98</v>
      </c>
      <c r="D63" s="426" t="s">
        <v>180</v>
      </c>
      <c r="E63" s="400" t="s">
        <v>219</v>
      </c>
      <c r="F63" s="14" t="s">
        <v>99</v>
      </c>
      <c r="G63" s="98">
        <f t="shared" ref="G63:G64" si="32">2%*G61</f>
        <v>40.050123511309934</v>
      </c>
      <c r="H63" s="98">
        <f>G63*D$20/C$20</f>
        <v>39.851438172728173</v>
      </c>
      <c r="I63" s="98">
        <f>H63*E$20/D$20</f>
        <v>39.411148303515844</v>
      </c>
      <c r="J63" s="221">
        <v>1</v>
      </c>
      <c r="K63" s="100">
        <f>'ICR 1626.18 9-6-2022'!$E$53</f>
        <v>2.5000000000000001E-2</v>
      </c>
      <c r="L63" s="228">
        <f t="shared" si="28"/>
        <v>2.6171250000000001</v>
      </c>
      <c r="M63" s="232">
        <f t="shared" si="12"/>
        <v>1.0012530877827484</v>
      </c>
      <c r="N63" s="361">
        <f t="shared" si="29"/>
        <v>104.81617949453701</v>
      </c>
      <c r="O63" s="128">
        <f t="shared" si="4"/>
        <v>40.050123511309934</v>
      </c>
      <c r="P63" s="231">
        <f t="shared" si="5"/>
        <v>0.99628595431820433</v>
      </c>
      <c r="Q63" s="364">
        <f t="shared" si="30"/>
        <v>104.29619512780123</v>
      </c>
      <c r="R63" s="20">
        <f t="shared" si="7"/>
        <v>39.851438172728173</v>
      </c>
      <c r="S63" s="232">
        <f t="shared" si="8"/>
        <v>0.98527870758789615</v>
      </c>
      <c r="T63" s="361">
        <f t="shared" si="31"/>
        <v>103.1439015038389</v>
      </c>
      <c r="U63" s="128">
        <f t="shared" si="10"/>
        <v>39.411148303515844</v>
      </c>
      <c r="V63" s="15">
        <f t="shared" ref="V63:V88" si="33">L63*J63</f>
        <v>2.6171250000000001</v>
      </c>
      <c r="X63" s="5"/>
      <c r="Y63" s="25"/>
      <c r="Z63" s="25"/>
      <c r="AA63" s="25"/>
      <c r="AG63" s="25"/>
    </row>
    <row r="64" spans="1:44" ht="44.5" customHeight="1">
      <c r="A64" s="187" t="s">
        <v>184</v>
      </c>
      <c r="B64" s="219" t="s">
        <v>21</v>
      </c>
      <c r="C64" s="184" t="s">
        <v>98</v>
      </c>
      <c r="D64" s="427"/>
      <c r="E64" s="401"/>
      <c r="F64" s="14" t="s">
        <v>100</v>
      </c>
      <c r="G64" s="98">
        <f t="shared" si="32"/>
        <v>30.899244606291592</v>
      </c>
      <c r="H64" s="98">
        <f>G64*D$21/C$21</f>
        <v>31.098416174247092</v>
      </c>
      <c r="I64" s="98">
        <f>H64*E$21/D$21</f>
        <v>31.240603045725784</v>
      </c>
      <c r="J64" s="221">
        <v>1</v>
      </c>
      <c r="K64" s="100">
        <f>'ICR 1626.18 9-6-2022'!$E$53</f>
        <v>2.5000000000000001E-2</v>
      </c>
      <c r="L64" s="228">
        <f t="shared" si="28"/>
        <v>2.6171250000000001</v>
      </c>
      <c r="M64" s="232">
        <f t="shared" si="12"/>
        <v>0.7724811151572899</v>
      </c>
      <c r="N64" s="361">
        <f t="shared" si="29"/>
        <v>80.867185540240897</v>
      </c>
      <c r="O64" s="128">
        <f t="shared" si="4"/>
        <v>30.899244606291592</v>
      </c>
      <c r="P64" s="231">
        <f t="shared" si="5"/>
        <v>0.77746040435617736</v>
      </c>
      <c r="Q64" s="364">
        <f t="shared" si="30"/>
        <v>81.38844243002643</v>
      </c>
      <c r="R64" s="20">
        <f t="shared" si="7"/>
        <v>31.098416174247092</v>
      </c>
      <c r="S64" s="232">
        <f t="shared" si="8"/>
        <v>0.78101507614314469</v>
      </c>
      <c r="T64" s="361">
        <f t="shared" si="31"/>
        <v>81.760563246045109</v>
      </c>
      <c r="U64" s="128">
        <f t="shared" si="10"/>
        <v>31.240603045725784</v>
      </c>
      <c r="V64" s="15">
        <f t="shared" si="33"/>
        <v>2.6171250000000001</v>
      </c>
      <c r="W64" s="28"/>
      <c r="X64" s="26" t="s">
        <v>51</v>
      </c>
      <c r="Y64" t="s">
        <v>94</v>
      </c>
      <c r="Z64" t="s">
        <v>94</v>
      </c>
      <c r="AA64" s="5" t="s">
        <v>95</v>
      </c>
      <c r="AB64" s="5" t="s">
        <v>95</v>
      </c>
      <c r="AC64" t="s">
        <v>96</v>
      </c>
      <c r="AD64" t="s">
        <v>96</v>
      </c>
    </row>
    <row r="65" spans="1:30" ht="34" customHeight="1">
      <c r="A65" s="187" t="s">
        <v>184</v>
      </c>
      <c r="B65" s="219" t="s">
        <v>21</v>
      </c>
      <c r="C65" s="184" t="s">
        <v>98</v>
      </c>
      <c r="D65" s="414" t="s">
        <v>181</v>
      </c>
      <c r="E65" s="400" t="s">
        <v>220</v>
      </c>
      <c r="F65" s="14" t="s">
        <v>99</v>
      </c>
      <c r="G65" s="225">
        <f>'ICR 1626.18 9-6-2022'!$C$54</f>
        <v>3.7476632740868223</v>
      </c>
      <c r="H65" s="98">
        <f>G65*D$20/C$20</f>
        <v>3.7290714276399042</v>
      </c>
      <c r="I65" s="98">
        <f>H65*E$20/D$20</f>
        <v>3.6878716003201815</v>
      </c>
      <c r="J65" s="221">
        <v>1</v>
      </c>
      <c r="K65" s="226">
        <f>'ICR 1626.18 9-6-2022'!$E$54</f>
        <v>2.5000000000000001E-2</v>
      </c>
      <c r="L65" s="228">
        <f t="shared" si="28"/>
        <v>2.6171250000000001</v>
      </c>
      <c r="M65" s="232">
        <f t="shared" si="12"/>
        <v>9.3691581852170566E-2</v>
      </c>
      <c r="N65" s="361">
        <f t="shared" si="29"/>
        <v>9.8081032461944755</v>
      </c>
      <c r="O65" s="128">
        <f t="shared" si="4"/>
        <v>3.7476632740868223</v>
      </c>
      <c r="P65" s="231">
        <f t="shared" si="5"/>
        <v>9.3226785690997613E-2</v>
      </c>
      <c r="Q65" s="364">
        <f t="shared" si="30"/>
        <v>9.7594460600620856</v>
      </c>
      <c r="R65" s="20">
        <f t="shared" si="7"/>
        <v>3.7290714276399042</v>
      </c>
      <c r="S65" s="232">
        <f t="shared" si="8"/>
        <v>9.2196790008004542E-2</v>
      </c>
      <c r="T65" s="361">
        <f t="shared" si="31"/>
        <v>9.6516209619879554</v>
      </c>
      <c r="U65" s="128">
        <f t="shared" si="10"/>
        <v>3.6878716003201815</v>
      </c>
      <c r="V65" s="15">
        <f t="shared" si="33"/>
        <v>2.6171250000000001</v>
      </c>
      <c r="X65" s="182" t="s">
        <v>53</v>
      </c>
      <c r="Y65" s="183" t="s">
        <v>54</v>
      </c>
      <c r="Z65" s="183" t="s">
        <v>55</v>
      </c>
      <c r="AA65" s="183" t="s">
        <v>54</v>
      </c>
      <c r="AB65" s="183" t="s">
        <v>55</v>
      </c>
      <c r="AC65" s="183" t="s">
        <v>54</v>
      </c>
      <c r="AD65" s="183" t="s">
        <v>55</v>
      </c>
    </row>
    <row r="66" spans="1:30" ht="24" customHeight="1">
      <c r="A66" s="187" t="s">
        <v>184</v>
      </c>
      <c r="B66" s="219" t="s">
        <v>21</v>
      </c>
      <c r="C66" s="184" t="s">
        <v>98</v>
      </c>
      <c r="D66" s="415"/>
      <c r="E66" s="401"/>
      <c r="F66" s="14" t="s">
        <v>100</v>
      </c>
      <c r="G66" s="225">
        <f>'ICR 1626.18 9-6-2022'!$C$54</f>
        <v>3.7476632740868223</v>
      </c>
      <c r="H66" s="98">
        <f>G66*D$21/C$21</f>
        <v>3.7718201096334476</v>
      </c>
      <c r="I66" s="98">
        <f>H66*E$21/D$21</f>
        <v>3.7890654670228474</v>
      </c>
      <c r="J66" s="221">
        <v>1</v>
      </c>
      <c r="K66" s="226">
        <f>'ICR 1626.18 9-6-2022'!$E$54</f>
        <v>2.5000000000000001E-2</v>
      </c>
      <c r="L66" s="228">
        <f t="shared" si="28"/>
        <v>2.6171250000000001</v>
      </c>
      <c r="M66" s="232">
        <f t="shared" si="12"/>
        <v>9.3691581852170566E-2</v>
      </c>
      <c r="N66" s="361">
        <f t="shared" si="29"/>
        <v>9.8081032461944755</v>
      </c>
      <c r="O66" s="128">
        <f t="shared" si="4"/>
        <v>3.7476632740868223</v>
      </c>
      <c r="P66" s="231">
        <f t="shared" si="5"/>
        <v>9.4295502740836201E-2</v>
      </c>
      <c r="Q66" s="364">
        <f t="shared" si="30"/>
        <v>9.8713247044244383</v>
      </c>
      <c r="R66" s="20">
        <f t="shared" si="7"/>
        <v>3.7718201096334476</v>
      </c>
      <c r="S66" s="232">
        <f t="shared" si="8"/>
        <v>9.4726636675571185E-2</v>
      </c>
      <c r="T66" s="361">
        <f t="shared" si="31"/>
        <v>9.9164579603821696</v>
      </c>
      <c r="U66" s="128">
        <f t="shared" si="10"/>
        <v>3.7890654670228474</v>
      </c>
      <c r="V66" s="15">
        <f t="shared" si="33"/>
        <v>2.6171250000000001</v>
      </c>
      <c r="W66" s="153" t="s">
        <v>3</v>
      </c>
      <c r="X66" s="155" t="s">
        <v>148</v>
      </c>
      <c r="Y66" s="60">
        <f>IFERROR(AA46/Y46,0)</f>
        <v>0.67475331037596376</v>
      </c>
      <c r="Z66" s="61">
        <f>IFERROR(Z46/Y46,0)</f>
        <v>70.636550296707753</v>
      </c>
      <c r="AA66" s="60">
        <f>IFERROR(AD46/AB46,0)</f>
        <v>0.67468907471930395</v>
      </c>
      <c r="AB66" s="61">
        <f>IFERROR(AC46/AB46,0)</f>
        <v>70.629825786990338</v>
      </c>
      <c r="AC66" s="60">
        <f>IFERROR(AG46/AE46,0)</f>
        <v>0.67460068574284682</v>
      </c>
      <c r="AD66" s="61">
        <f>IFERROR(AF46/AE46,0)</f>
        <v>70.620572786989911</v>
      </c>
    </row>
    <row r="67" spans="1:30" ht="48" customHeight="1">
      <c r="A67" s="187" t="s">
        <v>184</v>
      </c>
      <c r="B67" s="219" t="s">
        <v>21</v>
      </c>
      <c r="C67" s="184" t="s">
        <v>98</v>
      </c>
      <c r="D67" s="419" t="s">
        <v>224</v>
      </c>
      <c r="E67" s="400" t="s">
        <v>223</v>
      </c>
      <c r="F67" s="14" t="s">
        <v>99</v>
      </c>
      <c r="G67" s="220">
        <f>C$20</f>
        <v>200250.61755654967</v>
      </c>
      <c r="H67" s="98">
        <f>G67*D$20/C$20</f>
        <v>199257.19086364086</v>
      </c>
      <c r="I67" s="98">
        <f>H67*E$20/D$20</f>
        <v>197055.74151757921</v>
      </c>
      <c r="J67" s="221">
        <v>1</v>
      </c>
      <c r="K67" s="391">
        <f>'ICR 1626.18 9-6-2022'!$E$51</f>
        <v>2.5000000000000001E-2</v>
      </c>
      <c r="L67" s="228">
        <f t="shared" si="28"/>
        <v>2.6171250000000001</v>
      </c>
      <c r="M67" s="128">
        <f t="shared" si="12"/>
        <v>5006.2654389137424</v>
      </c>
      <c r="N67" s="361">
        <f t="shared" si="29"/>
        <v>524080.89747268514</v>
      </c>
      <c r="O67" s="128">
        <f t="shared" si="4"/>
        <v>200250.61755654967</v>
      </c>
      <c r="P67" s="20">
        <f t="shared" si="5"/>
        <v>4981.4297715910216</v>
      </c>
      <c r="Q67" s="364">
        <f t="shared" si="30"/>
        <v>521480.97563900612</v>
      </c>
      <c r="R67" s="20">
        <f t="shared" si="7"/>
        <v>199257.19086364086</v>
      </c>
      <c r="S67" s="128">
        <f t="shared" si="8"/>
        <v>4926.3935379394807</v>
      </c>
      <c r="T67" s="361">
        <f t="shared" si="31"/>
        <v>515719.50751919457</v>
      </c>
      <c r="U67" s="128">
        <f t="shared" si="10"/>
        <v>197055.74151757921</v>
      </c>
      <c r="V67" s="15">
        <f t="shared" si="33"/>
        <v>2.6171250000000001</v>
      </c>
      <c r="W67" s="153" t="s">
        <v>21</v>
      </c>
      <c r="X67" s="155" t="s">
        <v>149</v>
      </c>
      <c r="Y67" s="60">
        <f>IFERROR(AA47/Y47,0)</f>
        <v>3.4588282829575344E-2</v>
      </c>
      <c r="Z67" s="61">
        <f>IFERROR(Z47/Y47,0)</f>
        <v>3.6208743880140943</v>
      </c>
      <c r="AA67" s="60">
        <f>IFERROR(AD47/AB47,0)</f>
        <v>3.4493190894407021E-2</v>
      </c>
      <c r="AB67" s="61">
        <f>IFERROR(AC47/AB47,0)</f>
        <v>3.6109196887809989</v>
      </c>
      <c r="AC67" s="60">
        <f>IFERROR(AG47/AE47,0)</f>
        <v>3.4555971672514042E-2</v>
      </c>
      <c r="AD67" s="61">
        <f>IFERROR(AF47/AE47,0)</f>
        <v>3.6174918945371326</v>
      </c>
    </row>
    <row r="68" spans="1:30" ht="48" customHeight="1">
      <c r="A68" s="187" t="s">
        <v>184</v>
      </c>
      <c r="B68" s="219" t="s">
        <v>21</v>
      </c>
      <c r="C68" s="184" t="s">
        <v>98</v>
      </c>
      <c r="D68" s="420"/>
      <c r="E68" s="401"/>
      <c r="F68" s="14" t="s">
        <v>100</v>
      </c>
      <c r="G68" s="220">
        <f>C$21</f>
        <v>154496.22303145795</v>
      </c>
      <c r="H68" s="98">
        <f>G68*D$21/C$21</f>
        <v>155492.08087123546</v>
      </c>
      <c r="I68" s="98">
        <f>H68*E$21/D$21</f>
        <v>156203.01522862891</v>
      </c>
      <c r="J68" s="221">
        <v>1</v>
      </c>
      <c r="K68" s="391">
        <f>'ICR 1626.18 9-6-2022'!$E$51</f>
        <v>2.5000000000000001E-2</v>
      </c>
      <c r="L68" s="228">
        <f t="shared" si="28"/>
        <v>2.6171250000000001</v>
      </c>
      <c r="M68" s="128">
        <f t="shared" si="12"/>
        <v>3862.4055757864489</v>
      </c>
      <c r="N68" s="361">
        <f t="shared" si="29"/>
        <v>404335.92770120443</v>
      </c>
      <c r="O68" s="128">
        <f t="shared" si="4"/>
        <v>154496.22303145795</v>
      </c>
      <c r="P68" s="20">
        <f t="shared" si="5"/>
        <v>3887.3020217808867</v>
      </c>
      <c r="Q68" s="364">
        <f t="shared" si="30"/>
        <v>406942.21215013211</v>
      </c>
      <c r="R68" s="20">
        <f t="shared" si="7"/>
        <v>155492.08087123546</v>
      </c>
      <c r="S68" s="128">
        <f t="shared" si="8"/>
        <v>3905.075380715723</v>
      </c>
      <c r="T68" s="361">
        <f t="shared" si="31"/>
        <v>408802.81623022549</v>
      </c>
      <c r="U68" s="128">
        <f t="shared" si="10"/>
        <v>156203.01522862891</v>
      </c>
      <c r="V68" s="15">
        <f t="shared" si="33"/>
        <v>2.6171250000000001</v>
      </c>
      <c r="W68" s="153" t="s">
        <v>236</v>
      </c>
      <c r="X68" s="155" t="s">
        <v>240</v>
      </c>
      <c r="Y68" s="60">
        <f>IFERROR(AA48/Y48,0)</f>
        <v>2.7575667110708406E-2</v>
      </c>
      <c r="Z68" s="61">
        <f>IFERROR(Z48/Y48,0)</f>
        <v>1.5953902206900348</v>
      </c>
      <c r="AA68" s="60">
        <f>IFERROR(AD48/AB48,0)</f>
        <v>2.7575723537031485E-2</v>
      </c>
      <c r="AB68" s="61">
        <f>IFERROR(AC48/AB48,0)</f>
        <v>1.5953934852349567</v>
      </c>
      <c r="AC68" s="60">
        <f>IFERROR(AG48/AE48,0)</f>
        <v>2.7575801243797899E-2</v>
      </c>
      <c r="AD68" s="61">
        <f>IFERROR(AF48/AE48,0)</f>
        <v>1.5953979809599277</v>
      </c>
    </row>
    <row r="69" spans="1:30" ht="32.5" customHeight="1">
      <c r="A69" s="187" t="s">
        <v>184</v>
      </c>
      <c r="B69" s="219" t="s">
        <v>21</v>
      </c>
      <c r="C69" s="227" t="s">
        <v>98</v>
      </c>
      <c r="D69" s="188" t="s">
        <v>104</v>
      </c>
      <c r="E69" s="210" t="s">
        <v>217</v>
      </c>
      <c r="F69" s="14" t="s">
        <v>106</v>
      </c>
      <c r="G69" s="220">
        <f>C$22*4</f>
        <v>76935.151524672547</v>
      </c>
      <c r="H69" s="98">
        <f>G69*D$21/C$21</f>
        <v>77431.063154723946</v>
      </c>
      <c r="I69" s="98">
        <f>H69*E$21/D$21</f>
        <v>77785.090207534318</v>
      </c>
      <c r="J69" s="221">
        <v>4</v>
      </c>
      <c r="K69" s="223">
        <f>1/60</f>
        <v>1.6666666666666666E-2</v>
      </c>
      <c r="L69" s="228">
        <f t="shared" si="28"/>
        <v>1.74475</v>
      </c>
      <c r="M69" s="128">
        <f t="shared" si="12"/>
        <v>5129.0101016448361</v>
      </c>
      <c r="N69" s="362">
        <f t="shared" si="29"/>
        <v>536930.42249068967</v>
      </c>
      <c r="O69" s="128">
        <f t="shared" si="4"/>
        <v>307740.60609869019</v>
      </c>
      <c r="P69" s="20">
        <f t="shared" si="5"/>
        <v>5162.0708769815965</v>
      </c>
      <c r="Q69" s="364">
        <f t="shared" si="30"/>
        <v>540391.38975681842</v>
      </c>
      <c r="R69" s="20">
        <f t="shared" si="7"/>
        <v>309724.25261889579</v>
      </c>
      <c r="S69" s="128">
        <f t="shared" si="8"/>
        <v>5185.6726805022881</v>
      </c>
      <c r="T69" s="362">
        <f t="shared" si="31"/>
        <v>542862.14455838199</v>
      </c>
      <c r="U69" s="128">
        <f t="shared" si="10"/>
        <v>311140.36083013727</v>
      </c>
      <c r="V69" s="15">
        <f t="shared" si="33"/>
        <v>6.9790000000000001</v>
      </c>
      <c r="W69" s="153" t="s">
        <v>3</v>
      </c>
      <c r="X69" s="155" t="s">
        <v>188</v>
      </c>
      <c r="Y69" s="60">
        <f>IFERROR(AA49/Y49,0)</f>
        <v>9.4</v>
      </c>
      <c r="Z69" s="61">
        <f>IFERROR(Z49/Y49,0)</f>
        <v>984.03899999999999</v>
      </c>
      <c r="AA69" s="60">
        <f>IFERROR(AD49/AB49,0)</f>
        <v>9.4</v>
      </c>
      <c r="AB69" s="61">
        <f>IFERROR(AC49/AB49,0)</f>
        <v>984.03899999999999</v>
      </c>
      <c r="AC69" s="60">
        <f>IFERROR(AG49/AE49,0)</f>
        <v>9.4</v>
      </c>
      <c r="AD69" s="61">
        <f>IFERROR(AF49/AE49,0)</f>
        <v>984.03899999999999</v>
      </c>
    </row>
    <row r="70" spans="1:30" ht="24" customHeight="1">
      <c r="A70" s="187" t="s">
        <v>184</v>
      </c>
      <c r="B70" s="219" t="s">
        <v>21</v>
      </c>
      <c r="C70" s="227" t="s">
        <v>98</v>
      </c>
      <c r="D70" s="414" t="s">
        <v>105</v>
      </c>
      <c r="E70" s="400" t="s">
        <v>217</v>
      </c>
      <c r="F70" s="14" t="s">
        <v>99</v>
      </c>
      <c r="G70" s="220">
        <f>C$20</f>
        <v>200250.61755654967</v>
      </c>
      <c r="H70" s="98">
        <f>G70*D$20/C$20</f>
        <v>199257.19086364086</v>
      </c>
      <c r="I70" s="98">
        <f>H70*E$20/D$20</f>
        <v>197055.74151757921</v>
      </c>
      <c r="J70" s="221">
        <v>1</v>
      </c>
      <c r="K70" s="223">
        <f>1/60</f>
        <v>1.6666666666666666E-2</v>
      </c>
      <c r="L70" s="228">
        <f t="shared" si="28"/>
        <v>1.74475</v>
      </c>
      <c r="M70" s="128">
        <f t="shared" si="12"/>
        <v>3337.5102926091608</v>
      </c>
      <c r="N70" s="361">
        <f t="shared" si="29"/>
        <v>349387.26498179004</v>
      </c>
      <c r="O70" s="128">
        <f t="shared" si="4"/>
        <v>200250.61755654967</v>
      </c>
      <c r="P70" s="20">
        <f t="shared" si="5"/>
        <v>3320.9531810606809</v>
      </c>
      <c r="Q70" s="364">
        <f t="shared" si="30"/>
        <v>347653.9837593374</v>
      </c>
      <c r="R70" s="20">
        <f t="shared" si="7"/>
        <v>199257.19086364086</v>
      </c>
      <c r="S70" s="128">
        <f t="shared" si="8"/>
        <v>3284.2623586263203</v>
      </c>
      <c r="T70" s="361">
        <f t="shared" si="31"/>
        <v>343813.00501279632</v>
      </c>
      <c r="U70" s="128">
        <f t="shared" si="10"/>
        <v>197055.74151757921</v>
      </c>
      <c r="V70" s="15">
        <f t="shared" si="33"/>
        <v>1.74475</v>
      </c>
      <c r="W70" s="153" t="s">
        <v>21</v>
      </c>
      <c r="X70" s="155" t="s">
        <v>189</v>
      </c>
      <c r="Y70" s="60">
        <f>IFERROR(AA50/Y50,0)</f>
        <v>40</v>
      </c>
      <c r="Z70" s="61">
        <f>IFERROR(Z50/Y50,0)</f>
        <v>4187.3999999999996</v>
      </c>
      <c r="AA70" s="60">
        <f>IFERROR(AD50/AB50,0)</f>
        <v>40</v>
      </c>
      <c r="AB70" s="61">
        <f>IFERROR(AC50/AB50,0)</f>
        <v>4187.3999999999996</v>
      </c>
      <c r="AC70" s="60">
        <f>IFERROR(AG50/AE50,0)</f>
        <v>40</v>
      </c>
      <c r="AD70" s="61">
        <f>IFERROR(AF50/AE50,0)</f>
        <v>4187.3999999999996</v>
      </c>
    </row>
    <row r="71" spans="1:30" ht="27" customHeight="1">
      <c r="A71" s="187" t="s">
        <v>184</v>
      </c>
      <c r="B71" s="219" t="s">
        <v>21</v>
      </c>
      <c r="C71" s="227" t="s">
        <v>98</v>
      </c>
      <c r="D71" s="415"/>
      <c r="E71" s="401"/>
      <c r="F71" s="14" t="s">
        <v>100</v>
      </c>
      <c r="G71" s="220">
        <f>(C$21-C$22)</f>
        <v>135262.43515028982</v>
      </c>
      <c r="H71" s="98">
        <f>G71*D$21/C$21</f>
        <v>136134.31508255447</v>
      </c>
      <c r="I71" s="98">
        <f>H71*E$21/D$21</f>
        <v>136756.74267674531</v>
      </c>
      <c r="J71" s="221">
        <v>1</v>
      </c>
      <c r="K71" s="223">
        <f>1/60</f>
        <v>1.6666666666666666E-2</v>
      </c>
      <c r="L71" s="228">
        <f t="shared" si="28"/>
        <v>1.74475</v>
      </c>
      <c r="M71" s="128">
        <f t="shared" si="12"/>
        <v>2254.3739191714972</v>
      </c>
      <c r="N71" s="361">
        <f t="shared" si="29"/>
        <v>235999.13372846818</v>
      </c>
      <c r="O71" s="128">
        <f t="shared" si="4"/>
        <v>135262.43515028982</v>
      </c>
      <c r="P71" s="20">
        <f t="shared" si="5"/>
        <v>2268.9052513759079</v>
      </c>
      <c r="Q71" s="364">
        <f t="shared" si="30"/>
        <v>237520.34624028692</v>
      </c>
      <c r="R71" s="20">
        <f t="shared" si="7"/>
        <v>136134.31508255447</v>
      </c>
      <c r="S71" s="128">
        <f t="shared" si="8"/>
        <v>2279.2790446124218</v>
      </c>
      <c r="T71" s="361">
        <f t="shared" si="31"/>
        <v>238606.32678525138</v>
      </c>
      <c r="U71" s="128">
        <f t="shared" si="10"/>
        <v>136756.74267674531</v>
      </c>
      <c r="V71" s="15">
        <f t="shared" si="33"/>
        <v>1.74475</v>
      </c>
      <c r="W71" s="153" t="s">
        <v>236</v>
      </c>
      <c r="X71" s="155" t="s">
        <v>275</v>
      </c>
      <c r="Y71" s="60">
        <f>IFERROR(AA54/Y54,0)</f>
        <v>9</v>
      </c>
      <c r="Z71" s="61">
        <f>IFERROR(Z54/Y54,0)</f>
        <v>1159.0275689999999</v>
      </c>
      <c r="AA71" s="60">
        <f>IFERROR(AD54/AB54,0)</f>
        <v>0</v>
      </c>
      <c r="AB71" s="61">
        <f>IFERROR(AC54/AB54,0)</f>
        <v>0</v>
      </c>
      <c r="AC71" s="60">
        <f>IFERROR(AG54/AE54,0)</f>
        <v>0</v>
      </c>
      <c r="AD71" s="61">
        <f>IFERROR(AF54/AE54,0)</f>
        <v>0</v>
      </c>
    </row>
    <row r="72" spans="1:30" ht="42" customHeight="1">
      <c r="A72" s="187" t="s">
        <v>184</v>
      </c>
      <c r="B72" s="219" t="s">
        <v>21</v>
      </c>
      <c r="C72" s="227" t="s">
        <v>98</v>
      </c>
      <c r="D72" s="414" t="s">
        <v>195</v>
      </c>
      <c r="E72" s="400" t="s">
        <v>222</v>
      </c>
      <c r="F72" s="14" t="s">
        <v>99</v>
      </c>
      <c r="G72" s="220">
        <f>SUM(G45,G47,G49,G51,G53)</f>
        <v>581.27901653174922</v>
      </c>
      <c r="H72" s="98">
        <f>G72*D$20/C$20</f>
        <v>578.39533957685865</v>
      </c>
      <c r="I72" s="98">
        <f>H72*E$20/D$20</f>
        <v>572.00506559699534</v>
      </c>
      <c r="J72" s="221">
        <v>1</v>
      </c>
      <c r="K72" s="223">
        <f>K70</f>
        <v>1.6666666666666666E-2</v>
      </c>
      <c r="L72" s="228">
        <f t="shared" si="28"/>
        <v>1.74475</v>
      </c>
      <c r="M72" s="128">
        <f t="shared" si="12"/>
        <v>9.6879836088624867</v>
      </c>
      <c r="N72" s="361">
        <f t="shared" si="29"/>
        <v>1014.1865640937694</v>
      </c>
      <c r="O72" s="128">
        <f t="shared" si="4"/>
        <v>581.27901653174922</v>
      </c>
      <c r="P72" s="20">
        <f t="shared" si="5"/>
        <v>9.6399223262809777</v>
      </c>
      <c r="Q72" s="364">
        <f t="shared" si="30"/>
        <v>1009.1552687267242</v>
      </c>
      <c r="R72" s="20">
        <f t="shared" si="7"/>
        <v>578.39533957685865</v>
      </c>
      <c r="S72" s="128">
        <f t="shared" si="8"/>
        <v>9.5334177599499217</v>
      </c>
      <c r="T72" s="361">
        <f t="shared" si="31"/>
        <v>998.00583820035763</v>
      </c>
      <c r="U72" s="128">
        <f t="shared" si="10"/>
        <v>572.00506559699534</v>
      </c>
      <c r="V72" s="15">
        <f t="shared" si="33"/>
        <v>1.74475</v>
      </c>
      <c r="W72" s="153" t="s">
        <v>21</v>
      </c>
      <c r="X72" s="155" t="s">
        <v>275</v>
      </c>
      <c r="Y72" s="60">
        <f>IFERROR(AA55/Y55,0)</f>
        <v>0</v>
      </c>
      <c r="Z72" s="61">
        <f>IFERROR(Z55/Y55,0)</f>
        <v>0</v>
      </c>
      <c r="AA72" s="60">
        <f>IFERROR(AD55/AB55,0)</f>
        <v>40</v>
      </c>
      <c r="AB72" s="61">
        <f>IFERROR(AC55/AB55,0)</f>
        <v>3232.3199999999997</v>
      </c>
      <c r="AC72" s="60">
        <f>IFERROR(AG55/AE55,0)</f>
        <v>40</v>
      </c>
      <c r="AD72" s="61">
        <f>IFERROR(AF55/AE55,0)</f>
        <v>3232.3199999999997</v>
      </c>
    </row>
    <row r="73" spans="1:30" ht="25.5" customHeight="1">
      <c r="A73" s="187" t="s">
        <v>184</v>
      </c>
      <c r="B73" s="219" t="s">
        <v>21</v>
      </c>
      <c r="C73" s="227" t="s">
        <v>98</v>
      </c>
      <c r="D73" s="415"/>
      <c r="E73" s="401"/>
      <c r="F73" s="14" t="s">
        <v>100</v>
      </c>
      <c r="G73" s="220">
        <f>SUM(G46,G48,G50,G52,G54)</f>
        <v>508.36393122893372</v>
      </c>
      <c r="H73" s="98">
        <f>G73*D$21/C$21</f>
        <v>511.64076348049872</v>
      </c>
      <c r="I73" s="98">
        <f>H73*E$21/D$21</f>
        <v>513.98006587688587</v>
      </c>
      <c r="J73" s="221">
        <v>1</v>
      </c>
      <c r="K73" s="223">
        <f>K71</f>
        <v>1.6666666666666666E-2</v>
      </c>
      <c r="L73" s="228">
        <f t="shared" si="28"/>
        <v>1.74475</v>
      </c>
      <c r="M73" s="128">
        <f t="shared" si="12"/>
        <v>8.4727321871488961</v>
      </c>
      <c r="N73" s="361">
        <f t="shared" si="29"/>
        <v>886.96796901168216</v>
      </c>
      <c r="O73" s="128">
        <f t="shared" si="4"/>
        <v>508.36393122893372</v>
      </c>
      <c r="P73" s="20">
        <f t="shared" si="5"/>
        <v>8.5273460580083125</v>
      </c>
      <c r="Q73" s="364">
        <f t="shared" si="30"/>
        <v>892.68522208260026</v>
      </c>
      <c r="R73" s="20">
        <f t="shared" si="7"/>
        <v>511.64076348049872</v>
      </c>
      <c r="S73" s="128">
        <f t="shared" si="8"/>
        <v>8.5663344312814313</v>
      </c>
      <c r="T73" s="361">
        <f t="shared" si="31"/>
        <v>896.76671993869661</v>
      </c>
      <c r="U73" s="128">
        <f t="shared" si="10"/>
        <v>513.98006587688587</v>
      </c>
      <c r="V73" s="15">
        <f t="shared" si="33"/>
        <v>1.74475</v>
      </c>
      <c r="X73" s="174" t="s">
        <v>193</v>
      </c>
      <c r="Y73" s="178">
        <f>AA56/Y56</f>
        <v>3.1801935012789113E-2</v>
      </c>
      <c r="Z73" s="178">
        <f>Z56/Y56</f>
        <v>2.7343785872961255</v>
      </c>
      <c r="AA73" s="178">
        <f>AD56/AB56</f>
        <v>4.636741795013026E-2</v>
      </c>
      <c r="AB73" s="178">
        <f>AC56/AB56</f>
        <v>3.6549497103668283</v>
      </c>
      <c r="AC73" s="178">
        <f>AG56/AE56</f>
        <v>7.7503468546121182E-2</v>
      </c>
      <c r="AD73" s="178">
        <f>AF56/AE56</f>
        <v>5.4483335220427342</v>
      </c>
    </row>
    <row r="74" spans="1:30" ht="67.5" customHeight="1">
      <c r="A74" s="187" t="s">
        <v>184</v>
      </c>
      <c r="B74" s="219" t="s">
        <v>21</v>
      </c>
      <c r="C74" s="227" t="s">
        <v>98</v>
      </c>
      <c r="D74" s="218" t="s">
        <v>239</v>
      </c>
      <c r="E74" s="211" t="s">
        <v>230</v>
      </c>
      <c r="F74" s="14" t="s">
        <v>182</v>
      </c>
      <c r="G74" s="395">
        <f>C$31</f>
        <v>147.40551984681304</v>
      </c>
      <c r="H74" s="395">
        <f t="shared" ref="H74:I74" si="34">D$31</f>
        <v>11048.664527113719</v>
      </c>
      <c r="I74" s="395">
        <f t="shared" si="34"/>
        <v>66.55866529326795</v>
      </c>
      <c r="J74" s="221">
        <v>1</v>
      </c>
      <c r="K74" s="223">
        <f>1/60</f>
        <v>1.6666666666666666E-2</v>
      </c>
      <c r="L74" s="228">
        <f t="shared" si="28"/>
        <v>1.74475</v>
      </c>
      <c r="M74" s="128">
        <f t="shared" si="12"/>
        <v>2.4567586641135506</v>
      </c>
      <c r="N74" s="361">
        <f t="shared" si="29"/>
        <v>257.18578075272706</v>
      </c>
      <c r="O74" s="128">
        <f t="shared" si="4"/>
        <v>147.40551984681304</v>
      </c>
      <c r="P74" s="20">
        <f t="shared" si="5"/>
        <v>184.14440878522865</v>
      </c>
      <c r="Q74" s="364">
        <f t="shared" si="30"/>
        <v>19277.157433681663</v>
      </c>
      <c r="R74" s="20">
        <f t="shared" si="7"/>
        <v>11048.664527113719</v>
      </c>
      <c r="S74" s="128">
        <f t="shared" si="8"/>
        <v>1.1093110882211326</v>
      </c>
      <c r="T74" s="361">
        <f t="shared" si="31"/>
        <v>116.12823127042927</v>
      </c>
      <c r="U74" s="128">
        <f t="shared" si="10"/>
        <v>66.55866529326795</v>
      </c>
      <c r="V74" s="15">
        <f t="shared" si="33"/>
        <v>1.74475</v>
      </c>
      <c r="W74" s="19"/>
      <c r="X74" s="193" t="s">
        <v>150</v>
      </c>
      <c r="Y74" s="197">
        <f>AA57/Y57</f>
        <v>-2.0428804170739654</v>
      </c>
      <c r="Z74" s="195">
        <f>Z57/Y57</f>
        <v>-138.92760446399473</v>
      </c>
      <c r="AA74" s="197">
        <f>AD57/AB57</f>
        <v>-2.0428804170739654</v>
      </c>
      <c r="AB74" s="195">
        <f>AC57/AB57</f>
        <v>-138.92760446399473</v>
      </c>
      <c r="AC74" s="197">
        <f>AG57/AE57</f>
        <v>-2.0428804170739654</v>
      </c>
      <c r="AD74" s="195">
        <f>AF57/AE57</f>
        <v>-138.92760446399473</v>
      </c>
    </row>
    <row r="75" spans="1:30" ht="27.65" customHeight="1">
      <c r="A75" s="187" t="s">
        <v>184</v>
      </c>
      <c r="B75" s="219" t="s">
        <v>236</v>
      </c>
      <c r="C75" s="184" t="s">
        <v>92</v>
      </c>
      <c r="D75" s="414" t="s">
        <v>235</v>
      </c>
      <c r="E75" s="400" t="s">
        <v>217</v>
      </c>
      <c r="F75" s="14" t="s">
        <v>99</v>
      </c>
      <c r="G75" s="98">
        <f>'ICR 1626.18 9-6-2022'!$C$41</f>
        <v>300000</v>
      </c>
      <c r="H75" s="98">
        <f>G75*D$20/C$20</f>
        <v>298511.72489998199</v>
      </c>
      <c r="I75" s="98">
        <f>H75*E$20/D$20</f>
        <v>295213.68361612933</v>
      </c>
      <c r="J75" s="99">
        <f>C$20/G75</f>
        <v>0.6675020585218322</v>
      </c>
      <c r="K75" s="100">
        <f>'ICR 1626.18 9-6-2022'!$E$50</f>
        <v>1.6666666666666666E-2</v>
      </c>
      <c r="L75" s="228">
        <f t="shared" ref="L75:L80" si="35">K75*$D$7</f>
        <v>0.96425000000000005</v>
      </c>
      <c r="M75" s="128">
        <f t="shared" si="12"/>
        <v>3337.5102926091608</v>
      </c>
      <c r="N75" s="361">
        <f t="shared" ref="N75:N80" si="36">M75*$D$7</f>
        <v>193091.65797890301</v>
      </c>
      <c r="O75" s="128">
        <f t="shared" si="4"/>
        <v>200250.61755654967</v>
      </c>
      <c r="P75" s="20">
        <f>H75*$J75*$K75</f>
        <v>3320.9531810606809</v>
      </c>
      <c r="Q75" s="365">
        <f t="shared" ref="Q75:Q80" si="37">P75*$D$7</f>
        <v>192133.7462902657</v>
      </c>
      <c r="R75" s="20">
        <f t="shared" si="7"/>
        <v>199257.19086364086</v>
      </c>
      <c r="S75" s="128">
        <f t="shared" si="8"/>
        <v>3284.2623586263203</v>
      </c>
      <c r="T75" s="361">
        <f t="shared" ref="T75:T80" si="38">S75*$D$7</f>
        <v>190010.99875832576</v>
      </c>
      <c r="U75" s="128">
        <f t="shared" si="10"/>
        <v>197055.74151757921</v>
      </c>
      <c r="V75" s="15">
        <f t="shared" si="33"/>
        <v>0.64363885992967673</v>
      </c>
      <c r="W75" s="19"/>
      <c r="X75" s="45" t="s">
        <v>241</v>
      </c>
      <c r="Y75" s="60">
        <f>AA58/Y58</f>
        <v>2.4664980406482538E-2</v>
      </c>
      <c r="Z75" s="61">
        <f>Z58/Y58</f>
        <v>2.2470581348617968</v>
      </c>
      <c r="AA75" s="60">
        <f>AD58/AB58</f>
        <v>3.972348145553814E-2</v>
      </c>
      <c r="AB75" s="61">
        <f>AC58/AB58</f>
        <v>3.201528426739999</v>
      </c>
      <c r="AC75" s="60">
        <f>AG58/AE58</f>
        <v>7.1161615145079959E-2</v>
      </c>
      <c r="AD75" s="61">
        <f>AF58/AE58</f>
        <v>5.0165197172148837</v>
      </c>
    </row>
    <row r="76" spans="1:30" ht="27.65" customHeight="1">
      <c r="A76" s="187" t="s">
        <v>184</v>
      </c>
      <c r="B76" s="219" t="s">
        <v>236</v>
      </c>
      <c r="C76" s="184" t="s">
        <v>92</v>
      </c>
      <c r="D76" s="415"/>
      <c r="E76" s="401"/>
      <c r="F76" s="14" t="s">
        <v>100</v>
      </c>
      <c r="G76" s="98">
        <f>'ICR 1626.18 9-6-2022'!$C$41</f>
        <v>300000</v>
      </c>
      <c r="H76" s="98">
        <f>G76*D$21/C$21</f>
        <v>301933.75181652448</v>
      </c>
      <c r="I76" s="98">
        <f>H76*E$21/D$21</f>
        <v>303314.24062740378</v>
      </c>
      <c r="J76" s="99">
        <f>$C$21/G76</f>
        <v>0.51498741010485982</v>
      </c>
      <c r="K76" s="100">
        <f>'ICR 1626.18 9-6-2022'!$E$50</f>
        <v>1.6666666666666666E-2</v>
      </c>
      <c r="L76" s="228">
        <f t="shared" si="35"/>
        <v>0.96425000000000005</v>
      </c>
      <c r="M76" s="128">
        <f t="shared" si="12"/>
        <v>2574.9370505242991</v>
      </c>
      <c r="N76" s="361">
        <f t="shared" si="36"/>
        <v>148972.98305808334</v>
      </c>
      <c r="O76" s="128">
        <f t="shared" si="4"/>
        <v>154496.22303145795</v>
      </c>
      <c r="P76" s="20">
        <f t="shared" si="5"/>
        <v>2591.5346811872578</v>
      </c>
      <c r="Q76" s="365">
        <f t="shared" si="37"/>
        <v>149933.23898008882</v>
      </c>
      <c r="R76" s="20">
        <f t="shared" si="7"/>
        <v>155492.08087123546</v>
      </c>
      <c r="S76" s="128">
        <f t="shared" si="8"/>
        <v>2603.3835871438155</v>
      </c>
      <c r="T76" s="361">
        <f t="shared" si="38"/>
        <v>150618.75743420544</v>
      </c>
      <c r="U76" s="128">
        <f t="shared" si="10"/>
        <v>156203.01522862894</v>
      </c>
      <c r="V76" s="15">
        <f t="shared" si="33"/>
        <v>0.4965766101936111</v>
      </c>
    </row>
    <row r="77" spans="1:30" ht="27.65" customHeight="1">
      <c r="A77" s="187" t="s">
        <v>184</v>
      </c>
      <c r="B77" s="219" t="s">
        <v>236</v>
      </c>
      <c r="C77" s="184" t="s">
        <v>92</v>
      </c>
      <c r="D77" s="414" t="s">
        <v>238</v>
      </c>
      <c r="E77" s="400" t="s">
        <v>223</v>
      </c>
      <c r="F77" s="14" t="s">
        <v>99</v>
      </c>
      <c r="G77" s="98">
        <f>G75</f>
        <v>300000</v>
      </c>
      <c r="H77" s="98">
        <f>G77*D$20/C$20</f>
        <v>298511.72489998199</v>
      </c>
      <c r="I77" s="98">
        <f>H77*E$20/D$20</f>
        <v>295213.68361612933</v>
      </c>
      <c r="J77" s="99">
        <f>G67/G77</f>
        <v>0.6675020585218322</v>
      </c>
      <c r="K77" s="100">
        <f>K75</f>
        <v>1.6666666666666666E-2</v>
      </c>
      <c r="L77" s="228">
        <f t="shared" si="35"/>
        <v>0.96425000000000005</v>
      </c>
      <c r="M77" s="128">
        <f>G77*$J77*$K77</f>
        <v>3337.5102926091608</v>
      </c>
      <c r="N77" s="361">
        <f t="shared" si="36"/>
        <v>193091.65797890301</v>
      </c>
      <c r="O77" s="128">
        <f t="shared" si="4"/>
        <v>200250.61755654967</v>
      </c>
      <c r="P77" s="20">
        <f t="shared" si="5"/>
        <v>3320.9531810606809</v>
      </c>
      <c r="Q77" s="365">
        <f t="shared" si="37"/>
        <v>192133.7462902657</v>
      </c>
      <c r="R77" s="20">
        <f t="shared" si="7"/>
        <v>199257.19086364086</v>
      </c>
      <c r="S77" s="128">
        <f t="shared" si="8"/>
        <v>3284.2623586263203</v>
      </c>
      <c r="T77" s="361">
        <f t="shared" si="38"/>
        <v>190010.99875832576</v>
      </c>
      <c r="U77" s="128">
        <f t="shared" si="10"/>
        <v>197055.74151757921</v>
      </c>
      <c r="V77" s="15">
        <f t="shared" si="33"/>
        <v>0.64363885992967673</v>
      </c>
      <c r="X77" s="23"/>
      <c r="Y77" s="259"/>
      <c r="Z77" s="5"/>
      <c r="AA77" s="105"/>
      <c r="AB77" s="23"/>
    </row>
    <row r="78" spans="1:30" ht="27.65" customHeight="1">
      <c r="A78" s="187" t="s">
        <v>184</v>
      </c>
      <c r="B78" s="219" t="s">
        <v>236</v>
      </c>
      <c r="C78" s="184" t="s">
        <v>92</v>
      </c>
      <c r="D78" s="415"/>
      <c r="E78" s="401"/>
      <c r="F78" s="14" t="s">
        <v>100</v>
      </c>
      <c r="G78" s="98">
        <f>G76</f>
        <v>300000</v>
      </c>
      <c r="H78" s="98">
        <f>G78*D$21/C$21</f>
        <v>301933.75181652448</v>
      </c>
      <c r="I78" s="98">
        <f>H78*E$21/D$21</f>
        <v>303314.24062740378</v>
      </c>
      <c r="J78" s="99">
        <f>G68/G78</f>
        <v>0.51498741010485982</v>
      </c>
      <c r="K78" s="100">
        <f>K76</f>
        <v>1.6666666666666666E-2</v>
      </c>
      <c r="L78" s="228">
        <f t="shared" si="35"/>
        <v>0.96425000000000005</v>
      </c>
      <c r="M78" s="128">
        <f t="shared" si="12"/>
        <v>2574.9370505242991</v>
      </c>
      <c r="N78" s="361">
        <f t="shared" si="36"/>
        <v>148972.98305808334</v>
      </c>
      <c r="O78" s="128">
        <f t="shared" si="4"/>
        <v>154496.22303145795</v>
      </c>
      <c r="P78" s="20">
        <f t="shared" si="5"/>
        <v>2591.5346811872578</v>
      </c>
      <c r="Q78" s="365">
        <f t="shared" si="37"/>
        <v>149933.23898008882</v>
      </c>
      <c r="R78" s="20">
        <f t="shared" si="7"/>
        <v>155492.08087123546</v>
      </c>
      <c r="S78" s="128">
        <f t="shared" si="8"/>
        <v>2603.3835871438155</v>
      </c>
      <c r="T78" s="361">
        <f t="shared" si="38"/>
        <v>150618.75743420544</v>
      </c>
      <c r="U78" s="128">
        <f t="shared" si="10"/>
        <v>156203.01522862894</v>
      </c>
      <c r="V78" s="15">
        <f t="shared" si="33"/>
        <v>0.4965766101936111</v>
      </c>
      <c r="X78" s="23"/>
      <c r="Y78" s="259"/>
      <c r="Z78" s="5"/>
      <c r="AA78" s="105"/>
      <c r="AB78" s="23"/>
    </row>
    <row r="79" spans="1:30" ht="27.65" customHeight="1">
      <c r="A79" s="187" t="s">
        <v>184</v>
      </c>
      <c r="B79" s="219" t="s">
        <v>236</v>
      </c>
      <c r="C79" s="184" t="s">
        <v>23</v>
      </c>
      <c r="D79" s="414" t="s">
        <v>165</v>
      </c>
      <c r="E79" s="400" t="s">
        <v>216</v>
      </c>
      <c r="F79" s="14" t="s">
        <v>99</v>
      </c>
      <c r="G79" s="220">
        <f>G75</f>
        <v>300000</v>
      </c>
      <c r="H79" s="98">
        <f>G79*D$20/C$20</f>
        <v>298511.72489998199</v>
      </c>
      <c r="I79" s="98">
        <f>H79*E$20/D$20</f>
        <v>295213.68361612933</v>
      </c>
      <c r="J79" s="224">
        <f>C$34/G79</f>
        <v>2.5235389708540308</v>
      </c>
      <c r="K79" s="223">
        <f>'ICR 1626.18 9-6-2022'!$E$39</f>
        <v>3.3333333333333333E-2</v>
      </c>
      <c r="L79" s="228">
        <f t="shared" si="35"/>
        <v>1.9285000000000001</v>
      </c>
      <c r="M79" s="128">
        <f t="shared" ref="M79:M84" si="39">G79*$J79*$K79</f>
        <v>25235.389708540308</v>
      </c>
      <c r="N79" s="361">
        <f t="shared" si="36"/>
        <v>1459993.4715875997</v>
      </c>
      <c r="O79" s="128">
        <f t="shared" si="4"/>
        <v>757061.69125620928</v>
      </c>
      <c r="P79" s="20">
        <f t="shared" si="5"/>
        <v>25110.199034732068</v>
      </c>
      <c r="Q79" s="365">
        <f t="shared" si="37"/>
        <v>1452750.5651544239</v>
      </c>
      <c r="R79" s="20">
        <f t="shared" ref="R79:R88" si="40">H79*$J79</f>
        <v>753305.97104196204</v>
      </c>
      <c r="S79" s="128">
        <f t="shared" si="8"/>
        <v>24832.774511155814</v>
      </c>
      <c r="T79" s="361">
        <f t="shared" si="38"/>
        <v>1436700.1693429197</v>
      </c>
      <c r="U79" s="128">
        <f t="shared" ref="U79:U88" si="41">I79*$J79</f>
        <v>744983.23533467448</v>
      </c>
      <c r="V79" s="15">
        <f t="shared" si="33"/>
        <v>4.8666449052919987</v>
      </c>
      <c r="W79" s="29"/>
      <c r="X79" s="23"/>
      <c r="Y79" s="23"/>
      <c r="Z79" s="5"/>
      <c r="AA79" s="105"/>
      <c r="AB79" s="23"/>
    </row>
    <row r="80" spans="1:30" ht="124" customHeight="1">
      <c r="A80" s="187" t="s">
        <v>184</v>
      </c>
      <c r="B80" s="219" t="s">
        <v>236</v>
      </c>
      <c r="C80" s="184" t="s">
        <v>23</v>
      </c>
      <c r="D80" s="415"/>
      <c r="E80" s="401"/>
      <c r="F80" s="14" t="s">
        <v>100</v>
      </c>
      <c r="G80" s="220">
        <f>G76</f>
        <v>300000</v>
      </c>
      <c r="H80" s="98">
        <f>G80*D$21/C$21</f>
        <v>301933.75181652448</v>
      </c>
      <c r="I80" s="98">
        <f>H80*E$21/D$21</f>
        <v>303314.24062740378</v>
      </c>
      <c r="J80" s="224">
        <f>C35/G80</f>
        <v>1.9573661874315189</v>
      </c>
      <c r="K80" s="223">
        <f>'ICR 1626.18 9-6-2022'!$E$39</f>
        <v>3.3333333333333333E-2</v>
      </c>
      <c r="L80" s="228">
        <f t="shared" si="35"/>
        <v>1.9285000000000001</v>
      </c>
      <c r="M80" s="128">
        <f t="shared" si="39"/>
        <v>19573.661874315188</v>
      </c>
      <c r="N80" s="361">
        <f t="shared" si="36"/>
        <v>1132434.2077385052</v>
      </c>
      <c r="O80" s="128">
        <f t="shared" ref="O80:O83" si="42">G80*$J80</f>
        <v>587209.85622945568</v>
      </c>
      <c r="P80" s="20">
        <f t="shared" si="5"/>
        <v>19699.830555000168</v>
      </c>
      <c r="Q80" s="365">
        <f t="shared" si="37"/>
        <v>1139733.6967595348</v>
      </c>
      <c r="R80" s="20">
        <f t="shared" si="40"/>
        <v>590994.91665000503</v>
      </c>
      <c r="S80" s="128">
        <f t="shared" si="8"/>
        <v>19789.901292351587</v>
      </c>
      <c r="T80" s="361">
        <f t="shared" si="38"/>
        <v>1144944.7392690012</v>
      </c>
      <c r="U80" s="128">
        <f t="shared" si="41"/>
        <v>593697.0387705476</v>
      </c>
      <c r="V80" s="15">
        <f t="shared" si="33"/>
        <v>3.7747806924616842</v>
      </c>
      <c r="W80" s="28"/>
      <c r="X80" s="23"/>
      <c r="Y80" s="23"/>
      <c r="Z80" s="5"/>
      <c r="AA80" s="105"/>
      <c r="AB80" s="23"/>
    </row>
    <row r="81" spans="1:28" ht="190.5" customHeight="1">
      <c r="A81" s="187" t="s">
        <v>185</v>
      </c>
      <c r="B81" s="188" t="s">
        <v>3</v>
      </c>
      <c r="C81" s="184" t="s">
        <v>194</v>
      </c>
      <c r="D81" s="184" t="s">
        <v>187</v>
      </c>
      <c r="E81" s="209" t="s">
        <v>231</v>
      </c>
      <c r="F81" s="14" t="s">
        <v>203</v>
      </c>
      <c r="G81" s="103">
        <v>20</v>
      </c>
      <c r="H81" s="103">
        <f>G81</f>
        <v>20</v>
      </c>
      <c r="I81" s="103">
        <f>G81</f>
        <v>20</v>
      </c>
      <c r="J81" s="102">
        <v>1</v>
      </c>
      <c r="K81" s="107">
        <v>9.4</v>
      </c>
      <c r="L81" s="228">
        <f>K81*$D$8</f>
        <v>984.0390000000001</v>
      </c>
      <c r="M81" s="128">
        <f t="shared" si="39"/>
        <v>188</v>
      </c>
      <c r="N81" s="361">
        <f>M81*$D$8</f>
        <v>19680.78</v>
      </c>
      <c r="O81" s="128">
        <f t="shared" si="42"/>
        <v>20</v>
      </c>
      <c r="P81" s="20">
        <f t="shared" si="5"/>
        <v>188</v>
      </c>
      <c r="Q81" s="364">
        <f>P81*$D$8</f>
        <v>19680.78</v>
      </c>
      <c r="R81" s="20">
        <f t="shared" si="40"/>
        <v>20</v>
      </c>
      <c r="S81" s="128">
        <f t="shared" si="8"/>
        <v>188</v>
      </c>
      <c r="T81" s="361">
        <f>S81*$D$8</f>
        <v>19680.78</v>
      </c>
      <c r="U81" s="128">
        <f t="shared" si="41"/>
        <v>20</v>
      </c>
      <c r="V81" s="15">
        <f t="shared" si="33"/>
        <v>984.0390000000001</v>
      </c>
      <c r="W81" s="28"/>
      <c r="X81" s="23"/>
      <c r="Y81" s="23"/>
      <c r="Z81" s="5"/>
      <c r="AA81" s="105"/>
      <c r="AB81" s="23"/>
    </row>
    <row r="82" spans="1:28" ht="116">
      <c r="A82" s="187" t="s">
        <v>185</v>
      </c>
      <c r="B82" s="219" t="s">
        <v>21</v>
      </c>
      <c r="C82" s="184" t="s">
        <v>194</v>
      </c>
      <c r="D82" s="184" t="s">
        <v>186</v>
      </c>
      <c r="E82" s="209" t="s">
        <v>293</v>
      </c>
      <c r="F82" s="14" t="s">
        <v>203</v>
      </c>
      <c r="G82" s="220">
        <f>G81</f>
        <v>20</v>
      </c>
      <c r="H82" s="103">
        <f t="shared" ref="H82" si="43">G82</f>
        <v>20</v>
      </c>
      <c r="I82" s="103">
        <f t="shared" ref="I82" si="44">G82</f>
        <v>20</v>
      </c>
      <c r="J82" s="98">
        <v>1</v>
      </c>
      <c r="K82" s="98">
        <v>40</v>
      </c>
      <c r="L82" s="228">
        <f>K82*$D$8</f>
        <v>4187.3999999999996</v>
      </c>
      <c r="M82" s="128">
        <f t="shared" si="39"/>
        <v>800</v>
      </c>
      <c r="N82" s="361">
        <f>M82*$D$8</f>
        <v>83748</v>
      </c>
      <c r="O82" s="128">
        <f t="shared" si="42"/>
        <v>20</v>
      </c>
      <c r="P82" s="20">
        <f t="shared" ref="P82:P86" si="45">H82*$J82*$K82</f>
        <v>800</v>
      </c>
      <c r="Q82" s="364">
        <f>P82*$D$8</f>
        <v>83748</v>
      </c>
      <c r="R82" s="20">
        <f t="shared" si="40"/>
        <v>20</v>
      </c>
      <c r="S82" s="128">
        <f t="shared" ref="S82:S86" si="46">I82*$J82*$K82</f>
        <v>800</v>
      </c>
      <c r="T82" s="361">
        <f>S82*$D$8</f>
        <v>83748</v>
      </c>
      <c r="U82" s="128">
        <f t="shared" si="41"/>
        <v>20</v>
      </c>
      <c r="V82" s="15">
        <f t="shared" si="33"/>
        <v>4187.3999999999996</v>
      </c>
      <c r="W82" s="19"/>
      <c r="X82" s="23"/>
      <c r="Y82" s="23"/>
      <c r="Z82" s="5"/>
      <c r="AA82" s="105"/>
      <c r="AB82" s="23"/>
    </row>
    <row r="83" spans="1:28">
      <c r="A83" s="187" t="s">
        <v>275</v>
      </c>
      <c r="B83" s="188" t="s">
        <v>236</v>
      </c>
      <c r="C83" s="184" t="s">
        <v>198</v>
      </c>
      <c r="D83" s="184" t="s">
        <v>274</v>
      </c>
      <c r="E83" s="209" t="s">
        <v>294</v>
      </c>
      <c r="F83" s="14" t="s">
        <v>197</v>
      </c>
      <c r="G83" s="103">
        <v>37</v>
      </c>
      <c r="H83" s="103">
        <v>0</v>
      </c>
      <c r="I83" s="103">
        <v>0</v>
      </c>
      <c r="J83" s="102">
        <v>1</v>
      </c>
      <c r="K83" s="107">
        <v>9</v>
      </c>
      <c r="L83" s="228">
        <f>'Labeling Burden Estimates'!C4*$D$15+'Labeling Burden Estimates'!C5*$D$16</f>
        <v>1159.0275689999999</v>
      </c>
      <c r="M83" s="128">
        <f t="shared" si="39"/>
        <v>333</v>
      </c>
      <c r="N83" s="361">
        <f>L83*J83*G83</f>
        <v>42884.020052999993</v>
      </c>
      <c r="O83" s="128">
        <f t="shared" si="42"/>
        <v>37</v>
      </c>
      <c r="P83" s="20">
        <f t="shared" si="45"/>
        <v>0</v>
      </c>
      <c r="Q83" s="364">
        <f>P83*$D$8</f>
        <v>0</v>
      </c>
      <c r="R83" s="20">
        <f t="shared" si="40"/>
        <v>0</v>
      </c>
      <c r="S83" s="128">
        <f t="shared" si="46"/>
        <v>0</v>
      </c>
      <c r="T83" s="361">
        <f>S83*$D$8</f>
        <v>0</v>
      </c>
      <c r="U83" s="128">
        <f t="shared" si="41"/>
        <v>0</v>
      </c>
      <c r="V83" s="15">
        <f t="shared" si="33"/>
        <v>1159.0275689999999</v>
      </c>
      <c r="W83" s="19"/>
      <c r="X83" s="23"/>
      <c r="Y83" s="23"/>
      <c r="Z83" s="5"/>
      <c r="AA83" s="105"/>
      <c r="AB83" s="23"/>
    </row>
    <row r="84" spans="1:28" ht="236.15" customHeight="1">
      <c r="A84" s="187" t="s">
        <v>275</v>
      </c>
      <c r="B84" s="188" t="s">
        <v>21</v>
      </c>
      <c r="C84" s="184" t="s">
        <v>198</v>
      </c>
      <c r="D84" s="184" t="s">
        <v>276</v>
      </c>
      <c r="E84" s="209" t="s">
        <v>295</v>
      </c>
      <c r="F84" s="14" t="s">
        <v>197</v>
      </c>
      <c r="G84" s="103">
        <v>0</v>
      </c>
      <c r="H84" s="103">
        <v>37</v>
      </c>
      <c r="I84" s="103">
        <f>H84</f>
        <v>37</v>
      </c>
      <c r="J84" s="102">
        <v>1</v>
      </c>
      <c r="K84" s="107">
        <v>40</v>
      </c>
      <c r="L84" s="228">
        <f>K84*$D$14</f>
        <v>1634.6399999999999</v>
      </c>
      <c r="M84" s="128">
        <f t="shared" si="39"/>
        <v>0</v>
      </c>
      <c r="N84" s="361">
        <f>M84*$D$10</f>
        <v>0</v>
      </c>
      <c r="O84" s="128">
        <f>G84*$J84</f>
        <v>0</v>
      </c>
      <c r="P84" s="20">
        <f t="shared" si="45"/>
        <v>1480</v>
      </c>
      <c r="Q84" s="364">
        <f>P84*$D$10</f>
        <v>119595.84</v>
      </c>
      <c r="R84" s="20">
        <f t="shared" si="40"/>
        <v>37</v>
      </c>
      <c r="S84" s="128">
        <f t="shared" si="46"/>
        <v>1480</v>
      </c>
      <c r="T84" s="361">
        <f>S84*$D$10</f>
        <v>119595.84</v>
      </c>
      <c r="U84" s="128">
        <f t="shared" si="41"/>
        <v>37</v>
      </c>
      <c r="V84" s="15">
        <f t="shared" si="33"/>
        <v>1634.6399999999999</v>
      </c>
      <c r="W84" s="19"/>
      <c r="X84" s="23"/>
      <c r="Y84" s="23"/>
      <c r="Z84" s="5"/>
      <c r="AA84" s="105"/>
      <c r="AB84" s="23"/>
    </row>
    <row r="85" spans="1:28" ht="101.5" customHeight="1">
      <c r="A85" s="187" t="s">
        <v>275</v>
      </c>
      <c r="B85" s="149" t="s">
        <v>3</v>
      </c>
      <c r="C85" s="318" t="s">
        <v>17</v>
      </c>
      <c r="D85" s="417" t="s">
        <v>356</v>
      </c>
      <c r="E85" s="352"/>
      <c r="F85" s="14" t="s">
        <v>358</v>
      </c>
      <c r="G85" s="98">
        <v>0</v>
      </c>
      <c r="H85" s="98">
        <f>H84</f>
        <v>37</v>
      </c>
      <c r="I85" s="98">
        <f>I84</f>
        <v>37</v>
      </c>
      <c r="J85" s="98">
        <v>1</v>
      </c>
      <c r="K85" s="102">
        <v>8</v>
      </c>
      <c r="L85" s="360">
        <f>K85*$D$10</f>
        <v>646.46399999999994</v>
      </c>
      <c r="M85" s="128">
        <v>0</v>
      </c>
      <c r="N85" s="361">
        <f>M85*$D$10</f>
        <v>0</v>
      </c>
      <c r="O85" s="128">
        <v>0</v>
      </c>
      <c r="P85" s="20">
        <f t="shared" si="45"/>
        <v>296</v>
      </c>
      <c r="Q85" s="364">
        <f>P85*$D$10</f>
        <v>23919.167999999998</v>
      </c>
      <c r="R85" s="20">
        <f>H85*$J85</f>
        <v>37</v>
      </c>
      <c r="S85" s="128">
        <f t="shared" si="46"/>
        <v>296</v>
      </c>
      <c r="T85" s="361">
        <f>S85*$D$10</f>
        <v>23919.167999999998</v>
      </c>
      <c r="U85" s="128">
        <f t="shared" si="41"/>
        <v>37</v>
      </c>
      <c r="V85" s="15">
        <f t="shared" si="33"/>
        <v>646.46399999999994</v>
      </c>
      <c r="W85" s="19"/>
      <c r="X85" s="23"/>
      <c r="Y85" s="23"/>
      <c r="Z85" s="5"/>
      <c r="AA85" s="105"/>
      <c r="AB85" s="23"/>
    </row>
    <row r="86" spans="1:28" ht="29">
      <c r="A86" s="187" t="s">
        <v>275</v>
      </c>
      <c r="B86" s="149" t="s">
        <v>3</v>
      </c>
      <c r="C86" s="149" t="s">
        <v>354</v>
      </c>
      <c r="D86" s="418"/>
      <c r="E86" s="352"/>
      <c r="F86" s="14" t="s">
        <v>358</v>
      </c>
      <c r="G86" s="98">
        <v>0</v>
      </c>
      <c r="H86" s="98">
        <v>10000</v>
      </c>
      <c r="I86" s="98">
        <v>10000</v>
      </c>
      <c r="J86" s="98">
        <v>1</v>
      </c>
      <c r="K86" s="102">
        <v>8</v>
      </c>
      <c r="L86" s="360">
        <f>K86*$D$11</f>
        <v>530.20799999999997</v>
      </c>
      <c r="M86" s="128">
        <v>0</v>
      </c>
      <c r="N86" s="361">
        <f>M86*$D$11</f>
        <v>0</v>
      </c>
      <c r="O86" s="128">
        <v>0</v>
      </c>
      <c r="P86" s="20">
        <f t="shared" si="45"/>
        <v>80000</v>
      </c>
      <c r="Q86" s="364">
        <f>P86*$D$11</f>
        <v>5302080</v>
      </c>
      <c r="R86" s="20">
        <f t="shared" si="40"/>
        <v>10000</v>
      </c>
      <c r="S86" s="128">
        <f t="shared" si="46"/>
        <v>80000</v>
      </c>
      <c r="T86" s="361">
        <f>S86*$D$11</f>
        <v>5302080</v>
      </c>
      <c r="U86" s="128">
        <f t="shared" si="41"/>
        <v>10000</v>
      </c>
      <c r="V86" s="15">
        <f t="shared" si="33"/>
        <v>530.20799999999997</v>
      </c>
      <c r="W86" s="19"/>
      <c r="X86" s="23"/>
      <c r="Y86" s="23"/>
      <c r="Z86" s="5"/>
      <c r="AA86" s="105"/>
      <c r="AB86" s="23"/>
    </row>
    <row r="87" spans="1:28" ht="139.5" customHeight="1">
      <c r="A87" s="187" t="s">
        <v>377</v>
      </c>
      <c r="B87" s="149" t="s">
        <v>236</v>
      </c>
      <c r="C87" s="149" t="s">
        <v>355</v>
      </c>
      <c r="D87" s="149" t="s">
        <v>357</v>
      </c>
      <c r="E87" s="352" t="s">
        <v>384</v>
      </c>
      <c r="F87" s="14" t="s">
        <v>359</v>
      </c>
      <c r="G87" s="103">
        <v>0</v>
      </c>
      <c r="H87" s="103">
        <v>0</v>
      </c>
      <c r="I87" s="103">
        <f t="shared" ref="I87" si="47">$G$75</f>
        <v>300000</v>
      </c>
      <c r="J87" s="359">
        <f>E$41*10%/I87</f>
        <v>1.123528466769947</v>
      </c>
      <c r="K87" s="102">
        <v>0.5</v>
      </c>
      <c r="L87" s="360">
        <f>K87*$D$7</f>
        <v>28.927500000000002</v>
      </c>
      <c r="M87" s="128">
        <f>G87*$J87*$K87</f>
        <v>0</v>
      </c>
      <c r="N87" s="361">
        <f>M87*$D$7</f>
        <v>0</v>
      </c>
      <c r="O87" s="128">
        <f t="shared" ref="O87" si="48">G87*$J87</f>
        <v>0</v>
      </c>
      <c r="P87" s="20">
        <f>H87*$J87*$K87</f>
        <v>0</v>
      </c>
      <c r="Q87" s="366">
        <f>P87*$D$7</f>
        <v>0</v>
      </c>
      <c r="R87" s="20">
        <f>D$41*10%</f>
        <v>341819.71149265626</v>
      </c>
      <c r="S87" s="128">
        <f>I87*$J87*$K87</f>
        <v>168529.27001549205</v>
      </c>
      <c r="T87" s="361">
        <f>S87*$D$7</f>
        <v>9750260.9167462923</v>
      </c>
      <c r="U87" s="128">
        <f>E$41*10%</f>
        <v>337058.54003098409</v>
      </c>
      <c r="V87" s="15">
        <f t="shared" ref="V87" si="49">L87*J87</f>
        <v>32.500869722487643</v>
      </c>
      <c r="W87" s="19"/>
      <c r="X87" s="23"/>
      <c r="Y87" s="23"/>
      <c r="Z87" s="5"/>
      <c r="AA87" s="105"/>
      <c r="AB87" s="23"/>
    </row>
    <row r="88" spans="1:28" ht="139.5" customHeight="1">
      <c r="A88" s="187" t="s">
        <v>377</v>
      </c>
      <c r="B88" s="380" t="s">
        <v>21</v>
      </c>
      <c r="C88" s="380" t="s">
        <v>403</v>
      </c>
      <c r="D88" s="380" t="s">
        <v>404</v>
      </c>
      <c r="E88" s="352" t="s">
        <v>384</v>
      </c>
      <c r="F88" s="381" t="s">
        <v>359</v>
      </c>
      <c r="G88" s="382">
        <v>0</v>
      </c>
      <c r="H88" s="382">
        <f>G88</f>
        <v>0</v>
      </c>
      <c r="I88" s="377">
        <f>970+641</f>
        <v>1611</v>
      </c>
      <c r="J88" s="383">
        <f>J87*I87/I88</f>
        <v>209.22317816945008</v>
      </c>
      <c r="K88" s="385">
        <f>1/60</f>
        <v>1.6666666666666666E-2</v>
      </c>
      <c r="L88" s="384">
        <f>K88*$D$12</f>
        <v>1.79165</v>
      </c>
      <c r="M88" s="128">
        <f>G88*$J88*$K88</f>
        <v>0</v>
      </c>
      <c r="N88" s="361">
        <f>M88*$D$12</f>
        <v>0</v>
      </c>
      <c r="O88" s="128">
        <f t="shared" ref="O88" si="50">G88*$J88</f>
        <v>0</v>
      </c>
      <c r="P88" s="20">
        <f>H88*$J88*$K88</f>
        <v>0</v>
      </c>
      <c r="Q88" s="366">
        <f>P88*$D$12</f>
        <v>0</v>
      </c>
      <c r="R88" s="20">
        <f t="shared" si="40"/>
        <v>0</v>
      </c>
      <c r="S88" s="128">
        <f>I88*$J88*$K88</f>
        <v>5617.6423338497352</v>
      </c>
      <c r="T88" s="361">
        <f>S88*$D$12</f>
        <v>603890.93324651266</v>
      </c>
      <c r="U88" s="128">
        <f t="shared" si="41"/>
        <v>337058.54003098409</v>
      </c>
      <c r="V88" s="15">
        <f t="shared" si="33"/>
        <v>374.8547071672952</v>
      </c>
      <c r="W88" s="19"/>
      <c r="X88" s="23"/>
      <c r="Y88" s="23"/>
      <c r="Z88" s="5"/>
      <c r="AA88" s="105"/>
      <c r="AB88" s="23"/>
    </row>
    <row r="89" spans="1:28">
      <c r="B89" s="21"/>
      <c r="C89" s="21"/>
      <c r="D89" s="117" t="s">
        <v>204</v>
      </c>
      <c r="E89" s="22"/>
      <c r="F89" s="22"/>
      <c r="G89" s="13">
        <f>SUM(G45:G88)</f>
        <v>3089523.4435962904</v>
      </c>
      <c r="H89" s="13">
        <f>SUM(H45:H88)</f>
        <v>3112151.4237829372</v>
      </c>
      <c r="I89" s="13">
        <f>SUM(I45:I88)</f>
        <v>3392081.4355336488</v>
      </c>
      <c r="J89" s="13">
        <f>SUM(J45:J88)</f>
        <v>259.87680125807475</v>
      </c>
      <c r="K89" s="13">
        <f>SUM(K45:K88)</f>
        <v>136.5</v>
      </c>
      <c r="L89" s="13"/>
      <c r="M89" s="129">
        <f t="shared" ref="M89:U89" si="51">SUM(M45:M88)</f>
        <v>141371.72533154322</v>
      </c>
      <c r="N89" s="363">
        <f t="shared" si="51"/>
        <v>12155355.277602602</v>
      </c>
      <c r="O89" s="129">
        <f t="shared" si="51"/>
        <v>4445381.2409430668</v>
      </c>
      <c r="P89" s="13">
        <f t="shared" si="51"/>
        <v>223028.83163922286</v>
      </c>
      <c r="Q89" s="367">
        <f t="shared" si="51"/>
        <v>17580430.389286742</v>
      </c>
      <c r="R89" s="13">
        <f t="shared" si="51"/>
        <v>4810033.456663426</v>
      </c>
      <c r="S89" s="152">
        <f t="shared" si="51"/>
        <v>396447.28785873653</v>
      </c>
      <c r="T89" s="363">
        <f t="shared" si="51"/>
        <v>27869424.281034708</v>
      </c>
      <c r="U89" s="129">
        <f t="shared" si="51"/>
        <v>5115219.9417090146</v>
      </c>
      <c r="V89" s="28"/>
      <c r="W89" s="19"/>
      <c r="X89" s="23"/>
      <c r="Y89" s="23"/>
      <c r="Z89" s="5"/>
      <c r="AA89" s="105"/>
      <c r="AB89" s="23"/>
    </row>
    <row r="90" spans="1:28" ht="26.5" customHeight="1">
      <c r="B90" s="200"/>
      <c r="C90" s="200"/>
      <c r="D90" s="117" t="s">
        <v>205</v>
      </c>
      <c r="E90" s="117"/>
      <c r="F90" s="117"/>
      <c r="G90" s="416">
        <f>SUM(G89:I89)</f>
        <v>9593756.302912876</v>
      </c>
      <c r="H90" s="416"/>
      <c r="I90" s="416"/>
      <c r="J90" s="13"/>
      <c r="K90" s="13"/>
      <c r="L90" s="13"/>
      <c r="M90" s="410"/>
      <c r="N90" s="411"/>
      <c r="O90" s="412"/>
      <c r="P90" s="404"/>
      <c r="Q90" s="405"/>
      <c r="R90" s="406"/>
      <c r="S90" s="410"/>
      <c r="T90" s="411"/>
      <c r="U90" s="412"/>
      <c r="V90" s="28"/>
      <c r="W90" s="19"/>
      <c r="X90" s="23"/>
      <c r="Y90" s="23"/>
      <c r="Z90" s="5"/>
      <c r="AA90" s="105"/>
      <c r="AB90" s="23"/>
    </row>
    <row r="91" spans="1:28" ht="19" customHeight="1">
      <c r="B91" s="200"/>
      <c r="C91" s="200"/>
      <c r="D91" s="117" t="s">
        <v>206</v>
      </c>
      <c r="E91" s="117"/>
      <c r="F91" s="117"/>
      <c r="G91" s="416">
        <f>AVERAGE(G89:I89)</f>
        <v>3197918.7676376253</v>
      </c>
      <c r="H91" s="416"/>
      <c r="I91" s="416"/>
      <c r="J91" s="13"/>
      <c r="K91" s="13"/>
      <c r="L91" s="13"/>
      <c r="M91" s="410"/>
      <c r="N91" s="411"/>
      <c r="O91" s="412"/>
      <c r="P91" s="404"/>
      <c r="Q91" s="405"/>
      <c r="R91" s="406"/>
      <c r="S91" s="410"/>
      <c r="T91" s="411"/>
      <c r="U91" s="412"/>
      <c r="V91" s="28"/>
      <c r="X91" s="23"/>
      <c r="Y91" s="23"/>
      <c r="AB91" s="23"/>
    </row>
    <row r="92" spans="1:28" ht="20.149999999999999" customHeight="1">
      <c r="D92" s="201" t="s">
        <v>201</v>
      </c>
      <c r="E92" s="201"/>
      <c r="F92" s="202"/>
      <c r="G92" s="204">
        <f>SUM(G55,G56,G75,G81,G85,G86,G88)</f>
        <v>773004.43337458582</v>
      </c>
      <c r="H92" s="204">
        <f>SUM(H55,H56,H75,H81,H85,H86,H88)</f>
        <v>781563.48168048891</v>
      </c>
      <c r="I92" s="204">
        <f>SUM(I55,I56,I75,I81,I85,I86,I88)</f>
        <v>777898.81709759636</v>
      </c>
      <c r="J92" s="202"/>
      <c r="K92" s="202"/>
      <c r="L92" s="202"/>
      <c r="M92" s="205">
        <f>AVERAGE(N89,Q89,T89)</f>
        <v>19201736.649308015</v>
      </c>
      <c r="N92" s="204">
        <f>AVERAGE(O89,R89,U89)</f>
        <v>4790211.5464385031</v>
      </c>
      <c r="O92" s="202"/>
      <c r="P92" s="203"/>
      <c r="Q92" s="203"/>
      <c r="R92" s="203"/>
      <c r="S92" s="203"/>
      <c r="T92" s="203"/>
      <c r="U92" s="203"/>
      <c r="V92" s="28"/>
      <c r="X92" s="23"/>
      <c r="Y92" s="23"/>
      <c r="AB92" s="23"/>
    </row>
    <row r="93" spans="1:28">
      <c r="K93" s="104"/>
      <c r="M93" s="9">
        <f>M89-AA56</f>
        <v>0</v>
      </c>
      <c r="N93" s="9">
        <f>N89-Z56</f>
        <v>0</v>
      </c>
      <c r="O93" s="285">
        <f>O89-Y56</f>
        <v>0</v>
      </c>
      <c r="P93" s="9">
        <f>P89-AD56</f>
        <v>0</v>
      </c>
      <c r="Q93" s="9">
        <f>Q89-AC56</f>
        <v>0</v>
      </c>
      <c r="R93" s="285">
        <f>R89-AB56</f>
        <v>0</v>
      </c>
      <c r="S93" s="9">
        <f>S89-AG56</f>
        <v>0</v>
      </c>
      <c r="T93" s="9">
        <f>T89-AF56</f>
        <v>0</v>
      </c>
      <c r="U93" s="9">
        <f>U89-AE56</f>
        <v>0</v>
      </c>
      <c r="V93" s="28"/>
      <c r="X93" s="23"/>
      <c r="Y93" s="23"/>
      <c r="AB93" s="23"/>
    </row>
    <row r="94" spans="1:28">
      <c r="B94" s="422" t="s">
        <v>97</v>
      </c>
      <c r="C94" s="422" t="s">
        <v>93</v>
      </c>
      <c r="D94" s="422" t="s">
        <v>4</v>
      </c>
      <c r="E94" s="409" t="s">
        <v>170</v>
      </c>
      <c r="F94" s="409"/>
      <c r="G94" s="409"/>
      <c r="H94" s="409"/>
      <c r="I94" s="409" t="s">
        <v>138</v>
      </c>
      <c r="J94" s="409" t="s">
        <v>172</v>
      </c>
      <c r="K94" s="409" t="s">
        <v>173</v>
      </c>
      <c r="L94" s="409" t="s">
        <v>171</v>
      </c>
      <c r="M94" s="409" t="s">
        <v>143</v>
      </c>
      <c r="N94" s="409"/>
      <c r="O94" s="409"/>
      <c r="P94" s="145"/>
      <c r="Q94" s="145"/>
      <c r="R94" s="145"/>
      <c r="S94" s="145"/>
      <c r="T94" s="145"/>
      <c r="V94" s="28"/>
      <c r="X94" s="23"/>
      <c r="Y94" s="23"/>
      <c r="AB94" s="23"/>
    </row>
    <row r="95" spans="1:28">
      <c r="B95" s="422"/>
      <c r="C95" s="422"/>
      <c r="D95" s="422"/>
      <c r="E95" s="127" t="s">
        <v>134</v>
      </c>
      <c r="F95" s="127" t="s">
        <v>152</v>
      </c>
      <c r="G95" s="127" t="s">
        <v>136</v>
      </c>
      <c r="H95" s="127" t="s">
        <v>137</v>
      </c>
      <c r="I95" s="409"/>
      <c r="J95" s="409"/>
      <c r="K95" s="409"/>
      <c r="L95" s="409"/>
      <c r="M95" s="409" t="s">
        <v>142</v>
      </c>
      <c r="N95" s="409" t="s">
        <v>30</v>
      </c>
      <c r="O95" s="409" t="s">
        <v>144</v>
      </c>
      <c r="Q95" s="145"/>
      <c r="R95" s="145"/>
      <c r="S95" s="145"/>
      <c r="T95" s="145"/>
      <c r="V95" s="28"/>
      <c r="X95" s="23"/>
      <c r="Y95" s="23"/>
      <c r="AB95" s="23"/>
    </row>
    <row r="96" spans="1:28" ht="25.5" customHeight="1">
      <c r="B96" s="422"/>
      <c r="C96" s="422"/>
      <c r="D96" s="422"/>
      <c r="E96" s="164">
        <f>$D$13</f>
        <v>147.16800000000001</v>
      </c>
      <c r="F96" s="164">
        <f>$D$9</f>
        <v>117.999</v>
      </c>
      <c r="G96" s="164">
        <f>$D$10</f>
        <v>80.807999999999993</v>
      </c>
      <c r="H96" s="164">
        <f>$D$14</f>
        <v>40.866</v>
      </c>
      <c r="I96" s="409"/>
      <c r="J96" s="409"/>
      <c r="K96" s="409"/>
      <c r="L96" s="409"/>
      <c r="M96" s="409"/>
      <c r="N96" s="409"/>
      <c r="O96" s="409"/>
      <c r="P96" s="28"/>
      <c r="Q96" s="28"/>
      <c r="R96" s="28"/>
      <c r="S96" s="28"/>
      <c r="T96" s="28"/>
      <c r="U96" s="28"/>
      <c r="V96" s="28"/>
      <c r="X96" s="23"/>
      <c r="Y96" s="23"/>
      <c r="AB96" s="23"/>
    </row>
    <row r="97" spans="2:28" ht="25.5" customHeight="1">
      <c r="B97" s="423" t="s">
        <v>119</v>
      </c>
      <c r="C97" s="150" t="s">
        <v>151</v>
      </c>
      <c r="D97" s="148" t="s">
        <v>113</v>
      </c>
      <c r="E97" s="146">
        <v>0</v>
      </c>
      <c r="F97" s="146">
        <v>0</v>
      </c>
      <c r="G97" s="146">
        <v>-3.35</v>
      </c>
      <c r="H97" s="146">
        <v>-1.65</v>
      </c>
      <c r="I97" s="146">
        <f t="shared" ref="I97:I124" si="52">SUM(E97:H97)</f>
        <v>-5</v>
      </c>
      <c r="J97" s="147">
        <f t="shared" ref="J97:J111" si="53">(E97*$E$96)+(F97*$F$96)+(G97*$G$96)+(H97*$H$96)</f>
        <v>-338.13569999999999</v>
      </c>
      <c r="K97" s="147">
        <v>0</v>
      </c>
      <c r="L97" s="147">
        <v>0</v>
      </c>
      <c r="M97" s="396">
        <f>G83</f>
        <v>37</v>
      </c>
      <c r="N97" s="146">
        <f>M97*I97</f>
        <v>-185</v>
      </c>
      <c r="O97" s="27">
        <f>(J97+K97+L97)*M97</f>
        <v>-12511.0209</v>
      </c>
      <c r="P97" s="469" t="s">
        <v>21</v>
      </c>
      <c r="Q97" s="28"/>
      <c r="R97" s="28"/>
      <c r="S97" s="28"/>
      <c r="T97" s="28"/>
      <c r="U97" s="28"/>
      <c r="V97" s="28"/>
      <c r="X97" s="23"/>
      <c r="Y97" s="23"/>
      <c r="AB97" s="23"/>
    </row>
    <row r="98" spans="2:28" ht="25.5" customHeight="1">
      <c r="B98" s="424"/>
      <c r="C98" s="150" t="s">
        <v>151</v>
      </c>
      <c r="D98" s="148" t="s">
        <v>114</v>
      </c>
      <c r="E98" s="146">
        <v>0</v>
      </c>
      <c r="F98" s="146">
        <v>0</v>
      </c>
      <c r="G98" s="146">
        <v>0</v>
      </c>
      <c r="H98" s="146">
        <v>-0.5</v>
      </c>
      <c r="I98" s="146">
        <f t="shared" si="52"/>
        <v>-0.5</v>
      </c>
      <c r="J98" s="147">
        <f t="shared" si="53"/>
        <v>-20.433</v>
      </c>
      <c r="K98" s="147">
        <v>0</v>
      </c>
      <c r="L98" s="147">
        <v>0</v>
      </c>
      <c r="M98" s="396">
        <f>M97</f>
        <v>37</v>
      </c>
      <c r="N98" s="146">
        <f t="shared" ref="N98:N124" si="54">M98*I98</f>
        <v>-18.5</v>
      </c>
      <c r="O98" s="27">
        <f t="shared" ref="O98:O124" si="55">(J98+K98+L98)*M98</f>
        <v>-756.02099999999996</v>
      </c>
      <c r="P98" s="469" t="s">
        <v>21</v>
      </c>
      <c r="Q98" s="19"/>
      <c r="R98" s="19"/>
      <c r="S98" s="19"/>
      <c r="T98" s="19"/>
      <c r="U98" s="145"/>
      <c r="V98" s="28"/>
      <c r="X98" s="23"/>
      <c r="Y98" s="23"/>
      <c r="AB98" s="23"/>
    </row>
    <row r="99" spans="2:28" ht="26.5" customHeight="1">
      <c r="B99" s="424"/>
      <c r="C99" s="150" t="s">
        <v>151</v>
      </c>
      <c r="D99" s="148" t="s">
        <v>115</v>
      </c>
      <c r="E99" s="146">
        <v>0</v>
      </c>
      <c r="F99" s="146">
        <v>0</v>
      </c>
      <c r="G99" s="146">
        <v>-7.5</v>
      </c>
      <c r="H99" s="146">
        <v>-2.5</v>
      </c>
      <c r="I99" s="146">
        <f t="shared" si="52"/>
        <v>-10</v>
      </c>
      <c r="J99" s="147">
        <f t="shared" si="53"/>
        <v>-708.22499999999991</v>
      </c>
      <c r="K99" s="147">
        <v>0</v>
      </c>
      <c r="L99" s="147">
        <v>0</v>
      </c>
      <c r="M99" s="396">
        <f t="shared" ref="M99:M101" si="56">M98</f>
        <v>37</v>
      </c>
      <c r="N99" s="146">
        <f t="shared" si="54"/>
        <v>-370</v>
      </c>
      <c r="O99" s="27">
        <f t="shared" si="55"/>
        <v>-26204.324999999997</v>
      </c>
      <c r="P99" s="469" t="s">
        <v>21</v>
      </c>
      <c r="Q99" s="19"/>
      <c r="R99" s="19"/>
      <c r="S99" s="19"/>
      <c r="T99" s="19"/>
      <c r="U99" s="145"/>
      <c r="V99" s="28"/>
      <c r="X99" s="23"/>
      <c r="Y99" s="23"/>
      <c r="AB99" s="23"/>
    </row>
    <row r="100" spans="2:28" ht="26.5" customHeight="1">
      <c r="B100" s="424"/>
      <c r="C100" s="150" t="s">
        <v>151</v>
      </c>
      <c r="D100" s="148" t="s">
        <v>116</v>
      </c>
      <c r="E100" s="146">
        <v>0</v>
      </c>
      <c r="F100" s="146">
        <v>0</v>
      </c>
      <c r="G100" s="146">
        <v>0</v>
      </c>
      <c r="H100" s="146">
        <v>-1</v>
      </c>
      <c r="I100" s="146">
        <f t="shared" si="52"/>
        <v>-1</v>
      </c>
      <c r="J100" s="147">
        <f t="shared" si="53"/>
        <v>-40.866</v>
      </c>
      <c r="K100" s="147">
        <v>0</v>
      </c>
      <c r="L100" s="147">
        <v>0</v>
      </c>
      <c r="M100" s="396">
        <f t="shared" si="56"/>
        <v>37</v>
      </c>
      <c r="N100" s="146">
        <f t="shared" si="54"/>
        <v>-37</v>
      </c>
      <c r="O100" s="27">
        <f t="shared" si="55"/>
        <v>-1512.0419999999999</v>
      </c>
      <c r="P100" s="469" t="s">
        <v>21</v>
      </c>
      <c r="Q100" s="19"/>
      <c r="R100" s="19"/>
      <c r="S100" s="19"/>
      <c r="T100" s="19"/>
      <c r="U100" s="28"/>
      <c r="V100" s="23"/>
      <c r="X100" s="23"/>
      <c r="Y100" s="23"/>
      <c r="AB100" s="23"/>
    </row>
    <row r="101" spans="2:28" ht="14.5" customHeight="1">
      <c r="B101" s="424"/>
      <c r="C101" s="150" t="s">
        <v>151</v>
      </c>
      <c r="D101" s="148" t="s">
        <v>117</v>
      </c>
      <c r="E101" s="146">
        <v>0</v>
      </c>
      <c r="F101" s="146">
        <v>0</v>
      </c>
      <c r="G101" s="146">
        <v>0</v>
      </c>
      <c r="H101" s="146">
        <v>-0.5</v>
      </c>
      <c r="I101" s="146">
        <f t="shared" si="52"/>
        <v>-0.5</v>
      </c>
      <c r="J101" s="147">
        <f t="shared" si="53"/>
        <v>-20.433</v>
      </c>
      <c r="K101" s="147">
        <v>0</v>
      </c>
      <c r="L101" s="147">
        <v>-4.87</v>
      </c>
      <c r="M101" s="396">
        <f t="shared" si="56"/>
        <v>37</v>
      </c>
      <c r="N101" s="146">
        <f t="shared" si="54"/>
        <v>-18.5</v>
      </c>
      <c r="O101" s="27">
        <f t="shared" si="55"/>
        <v>-936.21100000000001</v>
      </c>
      <c r="P101" s="469" t="s">
        <v>21</v>
      </c>
      <c r="Q101" s="19"/>
      <c r="R101" s="19"/>
      <c r="S101" s="19"/>
      <c r="T101" s="19"/>
      <c r="U101" s="28"/>
      <c r="V101" s="145"/>
      <c r="X101" s="23"/>
      <c r="Y101" s="23"/>
      <c r="AB101" s="23"/>
    </row>
    <row r="102" spans="2:28" ht="29.15" customHeight="1">
      <c r="B102" s="424"/>
      <c r="C102" s="150" t="s">
        <v>151</v>
      </c>
      <c r="D102" s="148" t="s">
        <v>118</v>
      </c>
      <c r="E102" s="146">
        <v>0</v>
      </c>
      <c r="F102" s="146">
        <v>0</v>
      </c>
      <c r="G102" s="146">
        <v>-5</v>
      </c>
      <c r="H102" s="146">
        <v>0</v>
      </c>
      <c r="I102" s="146">
        <f t="shared" si="52"/>
        <v>-5</v>
      </c>
      <c r="J102" s="147">
        <f t="shared" si="53"/>
        <v>-404.03999999999996</v>
      </c>
      <c r="K102" s="147">
        <v>0</v>
      </c>
      <c r="L102" s="147">
        <v>-0.1</v>
      </c>
      <c r="M102" s="396">
        <v>6</v>
      </c>
      <c r="N102" s="146">
        <f t="shared" si="54"/>
        <v>-30</v>
      </c>
      <c r="O102" s="27">
        <f t="shared" si="55"/>
        <v>-2424.84</v>
      </c>
      <c r="P102" s="469" t="s">
        <v>21</v>
      </c>
      <c r="Q102" s="74"/>
      <c r="R102" s="74"/>
      <c r="S102" s="74"/>
      <c r="T102" s="74"/>
      <c r="U102" s="19"/>
      <c r="V102" s="145"/>
      <c r="X102" s="23"/>
      <c r="Y102" s="23"/>
      <c r="AB102" s="23"/>
    </row>
    <row r="103" spans="2:28" ht="29.15" customHeight="1">
      <c r="B103" s="424"/>
      <c r="C103" s="375" t="s">
        <v>403</v>
      </c>
      <c r="D103" s="376" t="s">
        <v>113</v>
      </c>
      <c r="E103" s="377">
        <v>0</v>
      </c>
      <c r="F103" s="377">
        <v>0</v>
      </c>
      <c r="G103" s="377">
        <v>-3.35</v>
      </c>
      <c r="H103" s="377">
        <v>-1.65</v>
      </c>
      <c r="I103" s="377">
        <f t="shared" ref="I103:I108" si="57">SUM(E103:H103)</f>
        <v>-5</v>
      </c>
      <c r="J103" s="378">
        <f t="shared" ref="J103:J108" si="58">(E103*$E$96)+(F103*$F$96)+(G103*$G$96)+(H103*$H$96)</f>
        <v>-338.13569999999999</v>
      </c>
      <c r="K103" s="378">
        <v>0</v>
      </c>
      <c r="L103" s="378">
        <v>0</v>
      </c>
      <c r="M103" s="377">
        <f>I88</f>
        <v>1611</v>
      </c>
      <c r="N103" s="377">
        <f t="shared" ref="N103:N108" si="59">M103*I103</f>
        <v>-8055</v>
      </c>
      <c r="O103" s="379">
        <f t="shared" ref="O103:O108" si="60">(J103+K103+L103)*M103</f>
        <v>-544736.61269999994</v>
      </c>
      <c r="P103" s="469" t="s">
        <v>21</v>
      </c>
      <c r="Q103" s="74"/>
      <c r="R103" s="74"/>
      <c r="S103" s="74"/>
      <c r="T103" s="74"/>
      <c r="U103" s="19"/>
      <c r="V103" s="145"/>
      <c r="X103" s="23"/>
      <c r="Y103" s="23"/>
      <c r="AB103" s="23"/>
    </row>
    <row r="104" spans="2:28" ht="29.15" customHeight="1">
      <c r="B104" s="424"/>
      <c r="C104" s="375" t="s">
        <v>403</v>
      </c>
      <c r="D104" s="376" t="s">
        <v>114</v>
      </c>
      <c r="E104" s="377">
        <v>0</v>
      </c>
      <c r="F104" s="377">
        <v>0</v>
      </c>
      <c r="G104" s="377">
        <v>0</v>
      </c>
      <c r="H104" s="377">
        <v>-0.5</v>
      </c>
      <c r="I104" s="377">
        <f t="shared" si="57"/>
        <v>-0.5</v>
      </c>
      <c r="J104" s="378">
        <f t="shared" si="58"/>
        <v>-20.433</v>
      </c>
      <c r="K104" s="378">
        <v>0</v>
      </c>
      <c r="L104" s="378">
        <v>0</v>
      </c>
      <c r="M104" s="377">
        <f>M103</f>
        <v>1611</v>
      </c>
      <c r="N104" s="377">
        <f t="shared" si="59"/>
        <v>-805.5</v>
      </c>
      <c r="O104" s="379">
        <f t="shared" si="60"/>
        <v>-32917.563000000002</v>
      </c>
      <c r="P104" s="469" t="s">
        <v>21</v>
      </c>
      <c r="Q104" s="74"/>
      <c r="R104" s="74"/>
      <c r="S104" s="74"/>
      <c r="T104" s="74"/>
      <c r="U104" s="19"/>
      <c r="V104" s="145"/>
      <c r="X104" s="23"/>
      <c r="Y104" s="23"/>
      <c r="AB104" s="23"/>
    </row>
    <row r="105" spans="2:28" ht="29.15" customHeight="1">
      <c r="B105" s="424"/>
      <c r="C105" s="375" t="s">
        <v>403</v>
      </c>
      <c r="D105" s="376" t="s">
        <v>115</v>
      </c>
      <c r="E105" s="377">
        <v>0</v>
      </c>
      <c r="F105" s="377">
        <v>0</v>
      </c>
      <c r="G105" s="377">
        <v>-7.5</v>
      </c>
      <c r="H105" s="377">
        <v>-2.5</v>
      </c>
      <c r="I105" s="377">
        <f t="shared" si="57"/>
        <v>-10</v>
      </c>
      <c r="J105" s="378">
        <f t="shared" si="58"/>
        <v>-708.22499999999991</v>
      </c>
      <c r="K105" s="378">
        <v>0</v>
      </c>
      <c r="L105" s="378">
        <v>0</v>
      </c>
      <c r="M105" s="377">
        <f t="shared" ref="M105:M107" si="61">M104</f>
        <v>1611</v>
      </c>
      <c r="N105" s="377">
        <f t="shared" si="59"/>
        <v>-16110</v>
      </c>
      <c r="O105" s="379">
        <f t="shared" si="60"/>
        <v>-1140950.4749999999</v>
      </c>
      <c r="P105" s="469" t="s">
        <v>21</v>
      </c>
      <c r="Q105" s="74"/>
      <c r="R105" s="74"/>
      <c r="S105" s="74"/>
      <c r="T105" s="74"/>
      <c r="U105" s="19"/>
      <c r="V105" s="145"/>
      <c r="X105" s="23"/>
      <c r="Y105" s="23"/>
      <c r="AB105" s="23"/>
    </row>
    <row r="106" spans="2:28" ht="29.15" customHeight="1">
      <c r="B106" s="424"/>
      <c r="C106" s="375" t="s">
        <v>403</v>
      </c>
      <c r="D106" s="376" t="s">
        <v>116</v>
      </c>
      <c r="E106" s="377">
        <v>0</v>
      </c>
      <c r="F106" s="377">
        <v>0</v>
      </c>
      <c r="G106" s="377">
        <v>0</v>
      </c>
      <c r="H106" s="377">
        <v>-1</v>
      </c>
      <c r="I106" s="377">
        <f t="shared" si="57"/>
        <v>-1</v>
      </c>
      <c r="J106" s="378">
        <f t="shared" si="58"/>
        <v>-40.866</v>
      </c>
      <c r="K106" s="378">
        <v>0</v>
      </c>
      <c r="L106" s="378">
        <v>0</v>
      </c>
      <c r="M106" s="377">
        <f t="shared" si="61"/>
        <v>1611</v>
      </c>
      <c r="N106" s="377">
        <f t="shared" si="59"/>
        <v>-1611</v>
      </c>
      <c r="O106" s="379">
        <f t="shared" si="60"/>
        <v>-65835.126000000004</v>
      </c>
      <c r="P106" s="469" t="s">
        <v>21</v>
      </c>
      <c r="Q106" s="74"/>
      <c r="R106" s="74"/>
      <c r="S106" s="74"/>
      <c r="T106" s="74"/>
      <c r="U106" s="19"/>
      <c r="V106" s="145"/>
      <c r="X106" s="23"/>
      <c r="Y106" s="23"/>
      <c r="AB106" s="23"/>
    </row>
    <row r="107" spans="2:28" ht="29.15" customHeight="1">
      <c r="B107" s="424"/>
      <c r="C107" s="375" t="s">
        <v>403</v>
      </c>
      <c r="D107" s="376" t="s">
        <v>117</v>
      </c>
      <c r="E107" s="377">
        <v>0</v>
      </c>
      <c r="F107" s="377">
        <v>0</v>
      </c>
      <c r="G107" s="377">
        <v>0</v>
      </c>
      <c r="H107" s="377">
        <v>-0.5</v>
      </c>
      <c r="I107" s="377">
        <f t="shared" si="57"/>
        <v>-0.5</v>
      </c>
      <c r="J107" s="378">
        <f t="shared" si="58"/>
        <v>-20.433</v>
      </c>
      <c r="K107" s="378">
        <v>0</v>
      </c>
      <c r="L107" s="378">
        <v>-4.87</v>
      </c>
      <c r="M107" s="377">
        <f t="shared" si="61"/>
        <v>1611</v>
      </c>
      <c r="N107" s="377">
        <f t="shared" si="59"/>
        <v>-805.5</v>
      </c>
      <c r="O107" s="379">
        <f t="shared" si="60"/>
        <v>-40763.133000000002</v>
      </c>
      <c r="P107" s="469" t="s">
        <v>21</v>
      </c>
      <c r="Q107" s="74"/>
      <c r="R107" s="74"/>
      <c r="S107" s="74"/>
      <c r="T107" s="74"/>
      <c r="U107" s="19"/>
      <c r="V107" s="145"/>
      <c r="X107" s="23"/>
      <c r="Y107" s="23"/>
      <c r="AB107" s="23"/>
    </row>
    <row r="108" spans="2:28" ht="29.15" customHeight="1">
      <c r="B108" s="425"/>
      <c r="C108" s="375" t="s">
        <v>403</v>
      </c>
      <c r="D108" s="376" t="s">
        <v>118</v>
      </c>
      <c r="E108" s="377">
        <v>0</v>
      </c>
      <c r="F108" s="377">
        <v>0</v>
      </c>
      <c r="G108" s="377">
        <v>-5</v>
      </c>
      <c r="H108" s="377">
        <v>0</v>
      </c>
      <c r="I108" s="377">
        <f t="shared" si="57"/>
        <v>-5</v>
      </c>
      <c r="J108" s="378">
        <f t="shared" si="58"/>
        <v>-404.03999999999996</v>
      </c>
      <c r="K108" s="378">
        <v>0</v>
      </c>
      <c r="L108" s="378">
        <v>-0.1</v>
      </c>
      <c r="M108" s="377">
        <f>ROUND(I88*0.15,0)</f>
        <v>242</v>
      </c>
      <c r="N108" s="377">
        <f t="shared" si="59"/>
        <v>-1210</v>
      </c>
      <c r="O108" s="379">
        <f t="shared" si="60"/>
        <v>-97801.87999999999</v>
      </c>
      <c r="P108" s="469" t="s">
        <v>21</v>
      </c>
      <c r="Q108" s="74"/>
      <c r="R108" s="74"/>
      <c r="S108" s="74"/>
      <c r="T108" s="74"/>
      <c r="U108" s="19"/>
      <c r="V108" s="145"/>
      <c r="X108" s="23"/>
      <c r="Y108" s="23"/>
      <c r="AB108" s="23"/>
    </row>
    <row r="109" spans="2:28">
      <c r="B109" s="423" t="s">
        <v>120</v>
      </c>
      <c r="C109" s="150" t="s">
        <v>151</v>
      </c>
      <c r="D109" s="148" t="s">
        <v>121</v>
      </c>
      <c r="E109" s="146">
        <v>0</v>
      </c>
      <c r="F109" s="146">
        <v>0</v>
      </c>
      <c r="G109" s="146">
        <v>-0.22</v>
      </c>
      <c r="H109" s="146">
        <v>-1.5</v>
      </c>
      <c r="I109" s="146">
        <f t="shared" si="52"/>
        <v>-1.72</v>
      </c>
      <c r="J109" s="147">
        <f t="shared" si="53"/>
        <v>-79.076759999999993</v>
      </c>
      <c r="K109" s="147">
        <v>0</v>
      </c>
      <c r="L109" s="147">
        <v>0</v>
      </c>
      <c r="M109" s="146">
        <v>1</v>
      </c>
      <c r="N109" s="146">
        <f t="shared" si="54"/>
        <v>-1.72</v>
      </c>
      <c r="O109" s="27">
        <f t="shared" si="55"/>
        <v>-79.076759999999993</v>
      </c>
      <c r="P109" s="469" t="s">
        <v>21</v>
      </c>
      <c r="Q109" s="74"/>
      <c r="R109" s="74"/>
      <c r="S109" s="74"/>
      <c r="T109" s="74"/>
      <c r="U109" s="19"/>
      <c r="V109" s="62"/>
      <c r="X109" s="23"/>
      <c r="Y109" s="23"/>
      <c r="AB109" s="23"/>
    </row>
    <row r="110" spans="2:28" ht="87" customHeight="1">
      <c r="B110" s="424"/>
      <c r="C110" s="150" t="s">
        <v>151</v>
      </c>
      <c r="D110" s="148" t="s">
        <v>122</v>
      </c>
      <c r="E110" s="146">
        <v>-1.28</v>
      </c>
      <c r="F110" s="146">
        <v>0</v>
      </c>
      <c r="G110" s="146">
        <v>-0.9</v>
      </c>
      <c r="H110" s="146">
        <v>0</v>
      </c>
      <c r="I110" s="146">
        <f t="shared" si="52"/>
        <v>-2.1800000000000002</v>
      </c>
      <c r="J110" s="147">
        <f t="shared" si="53"/>
        <v>-261.10223999999999</v>
      </c>
      <c r="K110" s="147">
        <v>0</v>
      </c>
      <c r="L110" s="147">
        <v>0</v>
      </c>
      <c r="M110" s="146">
        <v>1</v>
      </c>
      <c r="N110" s="146">
        <f t="shared" si="54"/>
        <v>-2.1800000000000002</v>
      </c>
      <c r="O110" s="27">
        <f t="shared" si="55"/>
        <v>-261.10223999999999</v>
      </c>
      <c r="P110" s="469" t="s">
        <v>21</v>
      </c>
      <c r="Q110" s="28"/>
      <c r="R110" s="28"/>
      <c r="S110" s="28"/>
      <c r="T110" s="28"/>
      <c r="U110" s="19"/>
      <c r="V110" s="62"/>
      <c r="X110" s="23"/>
      <c r="Y110" s="23"/>
      <c r="AB110" s="23"/>
    </row>
    <row r="111" spans="2:28">
      <c r="B111" s="424"/>
      <c r="C111" s="150" t="s">
        <v>151</v>
      </c>
      <c r="D111" s="148" t="s">
        <v>123</v>
      </c>
      <c r="E111" s="146">
        <v>0</v>
      </c>
      <c r="F111" s="146">
        <v>-0.1</v>
      </c>
      <c r="G111" s="146">
        <v>-0.9</v>
      </c>
      <c r="H111" s="146">
        <v>0</v>
      </c>
      <c r="I111" s="146">
        <f t="shared" si="52"/>
        <v>-1</v>
      </c>
      <c r="J111" s="147">
        <f t="shared" si="53"/>
        <v>-84.52709999999999</v>
      </c>
      <c r="K111" s="147">
        <v>0</v>
      </c>
      <c r="L111" s="147">
        <v>-11.35</v>
      </c>
      <c r="M111" s="146">
        <v>1</v>
      </c>
      <c r="N111" s="146">
        <f t="shared" si="54"/>
        <v>-1</v>
      </c>
      <c r="O111" s="27">
        <f t="shared" si="55"/>
        <v>-95.877099999999984</v>
      </c>
      <c r="P111" s="469" t="s">
        <v>414</v>
      </c>
      <c r="Q111" s="28"/>
      <c r="R111" s="28"/>
      <c r="S111" s="28"/>
      <c r="T111" s="28"/>
      <c r="U111" s="19"/>
      <c r="V111" s="74"/>
      <c r="X111" s="23"/>
      <c r="Y111" s="23"/>
      <c r="AB111" s="23"/>
    </row>
    <row r="112" spans="2:28" ht="29">
      <c r="B112" s="424"/>
      <c r="C112" s="150" t="s">
        <v>151</v>
      </c>
      <c r="D112" s="148" t="s">
        <v>127</v>
      </c>
      <c r="E112" s="146">
        <v>0</v>
      </c>
      <c r="F112" s="146">
        <v>0</v>
      </c>
      <c r="G112" s="146">
        <v>-0.5</v>
      </c>
      <c r="H112" s="146">
        <v>0</v>
      </c>
      <c r="I112" s="146">
        <f t="shared" ref="I112:I115" si="62">SUM(E112:H112)</f>
        <v>-0.5</v>
      </c>
      <c r="J112" s="147">
        <f t="shared" ref="J112:J124" si="63">(E112*$E$96)+(F112*$F$96)+(G112*$G$96)+(H112*$H$96)</f>
        <v>-40.403999999999996</v>
      </c>
      <c r="K112" s="147">
        <v>0</v>
      </c>
      <c r="L112" s="147">
        <v>0</v>
      </c>
      <c r="M112" s="146">
        <v>0</v>
      </c>
      <c r="N112" s="146">
        <f t="shared" ref="N112:N115" si="64">M112*I112</f>
        <v>0</v>
      </c>
      <c r="O112" s="27">
        <f t="shared" ref="O112:O115" si="65">(J112+K112+L112)*M112</f>
        <v>0</v>
      </c>
      <c r="P112" s="469" t="s">
        <v>21</v>
      </c>
      <c r="Q112" s="28"/>
      <c r="R112" s="28"/>
      <c r="S112" s="28"/>
      <c r="T112" s="28"/>
      <c r="U112" s="19"/>
      <c r="V112" s="74"/>
      <c r="W112" s="23"/>
      <c r="Z112" s="23"/>
    </row>
    <row r="113" spans="2:26" ht="29">
      <c r="B113" s="424"/>
      <c r="C113" s="150" t="s">
        <v>151</v>
      </c>
      <c r="D113" s="148" t="s">
        <v>128</v>
      </c>
      <c r="E113" s="146">
        <v>0</v>
      </c>
      <c r="F113" s="146">
        <v>0</v>
      </c>
      <c r="G113" s="146">
        <v>-0.5</v>
      </c>
      <c r="H113" s="146">
        <v>0</v>
      </c>
      <c r="I113" s="146">
        <f t="shared" si="62"/>
        <v>-0.5</v>
      </c>
      <c r="J113" s="147">
        <f t="shared" si="63"/>
        <v>-40.403999999999996</v>
      </c>
      <c r="K113" s="147">
        <v>0</v>
      </c>
      <c r="L113" s="147">
        <v>-5.29</v>
      </c>
      <c r="M113" s="146">
        <v>0</v>
      </c>
      <c r="N113" s="146">
        <f t="shared" si="64"/>
        <v>0</v>
      </c>
      <c r="O113" s="27">
        <f t="shared" si="65"/>
        <v>0</v>
      </c>
      <c r="P113" s="469" t="s">
        <v>414</v>
      </c>
      <c r="Q113" s="28"/>
      <c r="R113" s="28"/>
      <c r="S113" s="28"/>
      <c r="T113" s="28"/>
      <c r="U113" s="19"/>
      <c r="V113" s="74"/>
      <c r="W113" s="145"/>
      <c r="Z113" s="23"/>
    </row>
    <row r="114" spans="2:26" ht="43.5">
      <c r="B114" s="424"/>
      <c r="C114" s="150" t="s">
        <v>151</v>
      </c>
      <c r="D114" s="148" t="s">
        <v>129</v>
      </c>
      <c r="E114" s="146">
        <v>0</v>
      </c>
      <c r="F114" s="146">
        <v>0</v>
      </c>
      <c r="G114" s="146">
        <v>-0.1</v>
      </c>
      <c r="H114" s="146">
        <v>0</v>
      </c>
      <c r="I114" s="146">
        <f t="shared" si="62"/>
        <v>-0.1</v>
      </c>
      <c r="J114" s="147">
        <f t="shared" si="63"/>
        <v>-8.0808</v>
      </c>
      <c r="K114" s="147">
        <v>0</v>
      </c>
      <c r="L114" s="147">
        <v>0</v>
      </c>
      <c r="M114" s="146">
        <v>0</v>
      </c>
      <c r="N114" s="146">
        <f t="shared" si="64"/>
        <v>0</v>
      </c>
      <c r="O114" s="27">
        <f t="shared" si="65"/>
        <v>0</v>
      </c>
      <c r="P114" s="469" t="s">
        <v>21</v>
      </c>
      <c r="Q114" s="28"/>
      <c r="R114" s="28"/>
      <c r="S114" s="28"/>
      <c r="T114" s="28"/>
      <c r="U114" s="19"/>
      <c r="V114" s="74"/>
      <c r="W114" s="145"/>
      <c r="Z114" s="23"/>
    </row>
    <row r="115" spans="2:26">
      <c r="B115" s="424"/>
      <c r="C115" s="150" t="s">
        <v>151</v>
      </c>
      <c r="D115" s="148" t="s">
        <v>130</v>
      </c>
      <c r="E115" s="146">
        <v>0</v>
      </c>
      <c r="F115" s="146">
        <v>0</v>
      </c>
      <c r="G115" s="146">
        <v>0</v>
      </c>
      <c r="H115" s="146">
        <v>-0.1</v>
      </c>
      <c r="I115" s="146">
        <f t="shared" si="62"/>
        <v>-0.1</v>
      </c>
      <c r="J115" s="147">
        <f t="shared" si="63"/>
        <v>-4.0865999999999998</v>
      </c>
      <c r="K115" s="147">
        <v>0</v>
      </c>
      <c r="L115" s="147">
        <v>0</v>
      </c>
      <c r="M115" s="146">
        <v>0</v>
      </c>
      <c r="N115" s="146">
        <f t="shared" si="64"/>
        <v>0</v>
      </c>
      <c r="O115" s="27">
        <f t="shared" si="65"/>
        <v>0</v>
      </c>
      <c r="P115" s="469" t="s">
        <v>21</v>
      </c>
      <c r="Q115" s="28"/>
      <c r="R115" s="28"/>
      <c r="S115" s="28"/>
      <c r="T115" s="28"/>
      <c r="U115" s="19"/>
      <c r="V115" s="74"/>
      <c r="W115" s="145"/>
      <c r="Z115" s="23"/>
    </row>
    <row r="116" spans="2:26">
      <c r="B116" s="424"/>
      <c r="C116" s="375" t="s">
        <v>403</v>
      </c>
      <c r="D116" s="376" t="s">
        <v>121</v>
      </c>
      <c r="E116" s="377">
        <f>E109</f>
        <v>0</v>
      </c>
      <c r="F116" s="377">
        <f t="shared" ref="F116:I116" si="66">F109</f>
        <v>0</v>
      </c>
      <c r="G116" s="377">
        <f t="shared" si="66"/>
        <v>-0.22</v>
      </c>
      <c r="H116" s="377">
        <f t="shared" si="66"/>
        <v>-1.5</v>
      </c>
      <c r="I116" s="377">
        <f t="shared" si="66"/>
        <v>-1.72</v>
      </c>
      <c r="J116" s="378">
        <f t="shared" si="63"/>
        <v>-79.076759999999993</v>
      </c>
      <c r="K116" s="378">
        <f>K109</f>
        <v>0</v>
      </c>
      <c r="L116" s="378">
        <f>L109</f>
        <v>0</v>
      </c>
      <c r="M116" s="377">
        <f>ROUND(I88*0.03,0)</f>
        <v>48</v>
      </c>
      <c r="N116" s="377">
        <f t="shared" ref="N116:N122" si="67">M116*I116</f>
        <v>-82.56</v>
      </c>
      <c r="O116" s="379">
        <f t="shared" ref="O116:O122" si="68">(J116+K116+L116)*M116</f>
        <v>-3795.6844799999999</v>
      </c>
      <c r="P116" s="469" t="s">
        <v>21</v>
      </c>
      <c r="Q116" s="28"/>
      <c r="R116" s="28"/>
      <c r="S116" s="28"/>
      <c r="T116" s="28"/>
      <c r="U116" s="19"/>
      <c r="V116" s="74"/>
      <c r="W116" s="145"/>
      <c r="Z116" s="23"/>
    </row>
    <row r="117" spans="2:26">
      <c r="B117" s="424"/>
      <c r="C117" s="375" t="s">
        <v>403</v>
      </c>
      <c r="D117" s="376" t="s">
        <v>122</v>
      </c>
      <c r="E117" s="377">
        <f t="shared" ref="E117:I117" si="69">E110</f>
        <v>-1.28</v>
      </c>
      <c r="F117" s="377">
        <f t="shared" si="69"/>
        <v>0</v>
      </c>
      <c r="G117" s="377">
        <f t="shared" si="69"/>
        <v>-0.9</v>
      </c>
      <c r="H117" s="377">
        <f t="shared" si="69"/>
        <v>0</v>
      </c>
      <c r="I117" s="377">
        <f t="shared" si="69"/>
        <v>-2.1800000000000002</v>
      </c>
      <c r="J117" s="378">
        <f t="shared" si="63"/>
        <v>-261.10223999999999</v>
      </c>
      <c r="K117" s="378">
        <f t="shared" ref="K117:L117" si="70">K110</f>
        <v>0</v>
      </c>
      <c r="L117" s="378">
        <f t="shared" si="70"/>
        <v>0</v>
      </c>
      <c r="M117" s="377">
        <f>M116</f>
        <v>48</v>
      </c>
      <c r="N117" s="377">
        <f t="shared" si="67"/>
        <v>-104.64000000000001</v>
      </c>
      <c r="O117" s="379">
        <f t="shared" si="68"/>
        <v>-12532.907520000001</v>
      </c>
      <c r="P117" s="469" t="s">
        <v>21</v>
      </c>
      <c r="Q117" s="28"/>
      <c r="R117" s="28"/>
      <c r="S117" s="28"/>
      <c r="T117" s="28"/>
      <c r="U117" s="19"/>
      <c r="V117" s="74"/>
      <c r="W117" s="145"/>
      <c r="Z117" s="23"/>
    </row>
    <row r="118" spans="2:26">
      <c r="B118" s="424"/>
      <c r="C118" s="375" t="s">
        <v>403</v>
      </c>
      <c r="D118" s="376" t="s">
        <v>123</v>
      </c>
      <c r="E118" s="377">
        <f t="shared" ref="E118:I118" si="71">E111</f>
        <v>0</v>
      </c>
      <c r="F118" s="377">
        <f t="shared" si="71"/>
        <v>-0.1</v>
      </c>
      <c r="G118" s="377">
        <f t="shared" si="71"/>
        <v>-0.9</v>
      </c>
      <c r="H118" s="377">
        <f t="shared" si="71"/>
        <v>0</v>
      </c>
      <c r="I118" s="377">
        <f t="shared" si="71"/>
        <v>-1</v>
      </c>
      <c r="J118" s="378">
        <f t="shared" si="63"/>
        <v>-84.52709999999999</v>
      </c>
      <c r="K118" s="378">
        <f t="shared" ref="K118:L118" si="72">K111</f>
        <v>0</v>
      </c>
      <c r="L118" s="378">
        <f t="shared" si="72"/>
        <v>-11.35</v>
      </c>
      <c r="M118" s="377">
        <f t="shared" ref="M118:M122" si="73">M117</f>
        <v>48</v>
      </c>
      <c r="N118" s="377">
        <f t="shared" si="67"/>
        <v>-48</v>
      </c>
      <c r="O118" s="379">
        <f t="shared" si="68"/>
        <v>-4602.1007999999993</v>
      </c>
      <c r="P118" s="469" t="s">
        <v>414</v>
      </c>
      <c r="Q118" s="28"/>
      <c r="R118" s="28"/>
      <c r="S118" s="28"/>
      <c r="T118" s="28"/>
      <c r="U118" s="19"/>
      <c r="V118" s="74"/>
      <c r="W118" s="145"/>
      <c r="Z118" s="23"/>
    </row>
    <row r="119" spans="2:26" ht="29">
      <c r="B119" s="424"/>
      <c r="C119" s="375" t="s">
        <v>403</v>
      </c>
      <c r="D119" s="376" t="s">
        <v>127</v>
      </c>
      <c r="E119" s="377">
        <f t="shared" ref="E119:I119" si="74">E112</f>
        <v>0</v>
      </c>
      <c r="F119" s="377">
        <f t="shared" si="74"/>
        <v>0</v>
      </c>
      <c r="G119" s="377">
        <f t="shared" si="74"/>
        <v>-0.5</v>
      </c>
      <c r="H119" s="377">
        <f t="shared" si="74"/>
        <v>0</v>
      </c>
      <c r="I119" s="377">
        <f t="shared" si="74"/>
        <v>-0.5</v>
      </c>
      <c r="J119" s="378">
        <f t="shared" si="63"/>
        <v>-40.403999999999996</v>
      </c>
      <c r="K119" s="378">
        <f t="shared" ref="K119:L119" si="75">K112</f>
        <v>0</v>
      </c>
      <c r="L119" s="378">
        <f t="shared" si="75"/>
        <v>0</v>
      </c>
      <c r="M119" s="377">
        <f t="shared" si="73"/>
        <v>48</v>
      </c>
      <c r="N119" s="377">
        <f t="shared" si="67"/>
        <v>-24</v>
      </c>
      <c r="O119" s="379">
        <f t="shared" si="68"/>
        <v>-1939.3919999999998</v>
      </c>
      <c r="P119" s="469" t="s">
        <v>21</v>
      </c>
      <c r="Q119" s="28"/>
      <c r="R119" s="28"/>
      <c r="S119" s="28"/>
      <c r="T119" s="28"/>
      <c r="U119" s="19"/>
      <c r="V119" s="74"/>
      <c r="W119" s="145"/>
      <c r="Z119" s="23"/>
    </row>
    <row r="120" spans="2:26" ht="29">
      <c r="B120" s="424"/>
      <c r="C120" s="375" t="s">
        <v>403</v>
      </c>
      <c r="D120" s="376" t="s">
        <v>128</v>
      </c>
      <c r="E120" s="377">
        <f t="shared" ref="E120:I120" si="76">E113</f>
        <v>0</v>
      </c>
      <c r="F120" s="377">
        <f t="shared" si="76"/>
        <v>0</v>
      </c>
      <c r="G120" s="377">
        <f t="shared" si="76"/>
        <v>-0.5</v>
      </c>
      <c r="H120" s="377">
        <f t="shared" si="76"/>
        <v>0</v>
      </c>
      <c r="I120" s="377">
        <f t="shared" si="76"/>
        <v>-0.5</v>
      </c>
      <c r="J120" s="378">
        <f t="shared" si="63"/>
        <v>-40.403999999999996</v>
      </c>
      <c r="K120" s="378">
        <f t="shared" ref="K120:L120" si="77">K113</f>
        <v>0</v>
      </c>
      <c r="L120" s="378">
        <f t="shared" si="77"/>
        <v>-5.29</v>
      </c>
      <c r="M120" s="377">
        <f t="shared" si="73"/>
        <v>48</v>
      </c>
      <c r="N120" s="377">
        <f t="shared" si="67"/>
        <v>-24</v>
      </c>
      <c r="O120" s="379">
        <f t="shared" si="68"/>
        <v>-2193.3119999999999</v>
      </c>
      <c r="P120" s="469" t="s">
        <v>414</v>
      </c>
      <c r="Q120" s="28"/>
      <c r="R120" s="28"/>
      <c r="S120" s="28"/>
      <c r="T120" s="28"/>
      <c r="U120" s="19"/>
      <c r="V120" s="74"/>
      <c r="W120" s="145"/>
      <c r="Z120" s="23"/>
    </row>
    <row r="121" spans="2:26" ht="43.5">
      <c r="B121" s="424"/>
      <c r="C121" s="375" t="s">
        <v>403</v>
      </c>
      <c r="D121" s="376" t="s">
        <v>129</v>
      </c>
      <c r="E121" s="377">
        <f t="shared" ref="E121:I121" si="78">E114</f>
        <v>0</v>
      </c>
      <c r="F121" s="377">
        <f t="shared" si="78"/>
        <v>0</v>
      </c>
      <c r="G121" s="377">
        <f t="shared" si="78"/>
        <v>-0.1</v>
      </c>
      <c r="H121" s="377">
        <f t="shared" si="78"/>
        <v>0</v>
      </c>
      <c r="I121" s="377">
        <f t="shared" si="78"/>
        <v>-0.1</v>
      </c>
      <c r="J121" s="378">
        <f t="shared" si="63"/>
        <v>-8.0808</v>
      </c>
      <c r="K121" s="378">
        <f t="shared" ref="K121:L121" si="79">K114</f>
        <v>0</v>
      </c>
      <c r="L121" s="378">
        <f t="shared" si="79"/>
        <v>0</v>
      </c>
      <c r="M121" s="377">
        <f t="shared" si="73"/>
        <v>48</v>
      </c>
      <c r="N121" s="377">
        <f t="shared" si="67"/>
        <v>-4.8000000000000007</v>
      </c>
      <c r="O121" s="379">
        <f t="shared" si="68"/>
        <v>-387.8784</v>
      </c>
      <c r="P121" s="469" t="s">
        <v>21</v>
      </c>
      <c r="Q121" s="28"/>
      <c r="R121" s="28"/>
      <c r="S121" s="28"/>
      <c r="T121" s="28"/>
      <c r="U121" s="19"/>
      <c r="V121" s="74"/>
      <c r="W121" s="145"/>
      <c r="Z121" s="23"/>
    </row>
    <row r="122" spans="2:26">
      <c r="B122" s="425"/>
      <c r="C122" s="375" t="s">
        <v>403</v>
      </c>
      <c r="D122" s="376" t="s">
        <v>130</v>
      </c>
      <c r="E122" s="377">
        <f t="shared" ref="E122:I122" si="80">E115</f>
        <v>0</v>
      </c>
      <c r="F122" s="377">
        <f t="shared" si="80"/>
        <v>0</v>
      </c>
      <c r="G122" s="377">
        <f t="shared" si="80"/>
        <v>0</v>
      </c>
      <c r="H122" s="377">
        <f t="shared" si="80"/>
        <v>-0.1</v>
      </c>
      <c r="I122" s="377">
        <f t="shared" si="80"/>
        <v>-0.1</v>
      </c>
      <c r="J122" s="378">
        <f t="shared" si="63"/>
        <v>-4.0865999999999998</v>
      </c>
      <c r="K122" s="378">
        <f t="shared" ref="K122:L122" si="81">K115</f>
        <v>0</v>
      </c>
      <c r="L122" s="378">
        <f t="shared" si="81"/>
        <v>0</v>
      </c>
      <c r="M122" s="377">
        <f t="shared" si="73"/>
        <v>48</v>
      </c>
      <c r="N122" s="377">
        <f t="shared" si="67"/>
        <v>-4.8000000000000007</v>
      </c>
      <c r="O122" s="379">
        <f t="shared" si="68"/>
        <v>-196.15679999999998</v>
      </c>
      <c r="P122" s="469" t="s">
        <v>21</v>
      </c>
      <c r="Q122" s="28"/>
      <c r="R122" s="28"/>
      <c r="S122" s="28"/>
      <c r="T122" s="28"/>
      <c r="U122" s="19"/>
      <c r="V122" s="74"/>
      <c r="W122" s="145"/>
      <c r="Z122" s="23"/>
    </row>
    <row r="123" spans="2:26">
      <c r="B123" s="423" t="s">
        <v>126</v>
      </c>
      <c r="C123" s="150" t="s">
        <v>151</v>
      </c>
      <c r="D123" s="148" t="s">
        <v>124</v>
      </c>
      <c r="E123" s="146">
        <v>0</v>
      </c>
      <c r="F123" s="146">
        <v>0</v>
      </c>
      <c r="G123" s="146">
        <v>-0.5</v>
      </c>
      <c r="H123" s="146">
        <v>0</v>
      </c>
      <c r="I123" s="146">
        <f t="shared" si="52"/>
        <v>-0.5</v>
      </c>
      <c r="J123" s="147">
        <f t="shared" si="63"/>
        <v>-40.403999999999996</v>
      </c>
      <c r="K123" s="147">
        <v>0</v>
      </c>
      <c r="L123" s="147">
        <v>0</v>
      </c>
      <c r="M123" s="377">
        <f>M97</f>
        <v>37</v>
      </c>
      <c r="N123" s="146">
        <f t="shared" si="54"/>
        <v>-18.5</v>
      </c>
      <c r="O123" s="27">
        <f t="shared" si="55"/>
        <v>-1494.9479999999999</v>
      </c>
      <c r="P123" s="469" t="s">
        <v>21</v>
      </c>
      <c r="U123" s="74"/>
      <c r="V123" s="74"/>
      <c r="W123" s="145"/>
      <c r="Z123" s="23"/>
    </row>
    <row r="124" spans="2:26" ht="18" customHeight="1">
      <c r="B124" s="424"/>
      <c r="C124" s="150" t="s">
        <v>151</v>
      </c>
      <c r="D124" s="148" t="s">
        <v>125</v>
      </c>
      <c r="E124" s="146">
        <v>0</v>
      </c>
      <c r="F124" s="146">
        <v>0</v>
      </c>
      <c r="G124" s="146">
        <v>0</v>
      </c>
      <c r="H124" s="146">
        <v>-0.1</v>
      </c>
      <c r="I124" s="146">
        <f t="shared" si="52"/>
        <v>-0.1</v>
      </c>
      <c r="J124" s="147">
        <f t="shared" si="63"/>
        <v>-4.0865999999999998</v>
      </c>
      <c r="K124" s="147">
        <v>0</v>
      </c>
      <c r="L124" s="147">
        <v>0</v>
      </c>
      <c r="M124" s="377">
        <f>M123</f>
        <v>37</v>
      </c>
      <c r="N124" s="146">
        <f t="shared" si="54"/>
        <v>-3.7</v>
      </c>
      <c r="O124" s="27">
        <f t="shared" si="55"/>
        <v>-151.20419999999999</v>
      </c>
      <c r="P124" s="469" t="s">
        <v>21</v>
      </c>
      <c r="U124" s="74"/>
      <c r="V124" s="23"/>
      <c r="W124" s="145"/>
      <c r="Z124" s="23"/>
    </row>
    <row r="125" spans="2:26" ht="18" customHeight="1">
      <c r="B125" s="424"/>
      <c r="C125" s="375" t="s">
        <v>403</v>
      </c>
      <c r="D125" s="376" t="s">
        <v>124</v>
      </c>
      <c r="E125" s="377">
        <v>0</v>
      </c>
      <c r="F125" s="377">
        <v>0</v>
      </c>
      <c r="G125" s="377">
        <v>-0.5</v>
      </c>
      <c r="H125" s="377">
        <v>0</v>
      </c>
      <c r="I125" s="377">
        <f t="shared" ref="I125:I126" si="82">SUM(E125:H125)</f>
        <v>-0.5</v>
      </c>
      <c r="J125" s="378">
        <f t="shared" ref="J125:J126" si="83">(E125*$E$96)+(F125*$F$96)+(G125*$G$96)+(H125*$H$96)</f>
        <v>-40.403999999999996</v>
      </c>
      <c r="K125" s="378">
        <v>0</v>
      </c>
      <c r="L125" s="378">
        <v>0</v>
      </c>
      <c r="M125" s="377">
        <f>M103</f>
        <v>1611</v>
      </c>
      <c r="N125" s="377">
        <f t="shared" ref="N125:N126" si="84">M125*I125</f>
        <v>-805.5</v>
      </c>
      <c r="O125" s="379">
        <f t="shared" ref="O125:O126" si="85">(J125+K125+L125)*M125</f>
        <v>-65090.843999999997</v>
      </c>
      <c r="P125" s="469" t="s">
        <v>21</v>
      </c>
      <c r="U125" s="74"/>
      <c r="V125" s="23"/>
      <c r="W125" s="145"/>
      <c r="Z125" s="23"/>
    </row>
    <row r="126" spans="2:26" ht="18" customHeight="1">
      <c r="B126" s="425"/>
      <c r="C126" s="375" t="s">
        <v>403</v>
      </c>
      <c r="D126" s="376" t="s">
        <v>125</v>
      </c>
      <c r="E126" s="377">
        <v>0</v>
      </c>
      <c r="F126" s="377">
        <v>0</v>
      </c>
      <c r="G126" s="377">
        <v>0</v>
      </c>
      <c r="H126" s="377">
        <v>-0.1</v>
      </c>
      <c r="I126" s="377">
        <f t="shared" si="82"/>
        <v>-0.1</v>
      </c>
      <c r="J126" s="378">
        <f t="shared" si="83"/>
        <v>-4.0865999999999998</v>
      </c>
      <c r="K126" s="378">
        <v>0</v>
      </c>
      <c r="L126" s="378">
        <v>0</v>
      </c>
      <c r="M126" s="377">
        <f>M125</f>
        <v>1611</v>
      </c>
      <c r="N126" s="377">
        <f t="shared" si="84"/>
        <v>-161.10000000000002</v>
      </c>
      <c r="O126" s="379">
        <f t="shared" si="85"/>
        <v>-6583.5126</v>
      </c>
      <c r="P126" s="469" t="s">
        <v>21</v>
      </c>
      <c r="U126" s="74"/>
      <c r="V126" s="23"/>
      <c r="W126" s="145"/>
      <c r="Z126" s="23"/>
    </row>
    <row r="127" spans="2:26" ht="29">
      <c r="B127" s="421" t="s">
        <v>131</v>
      </c>
      <c r="C127" s="306" t="s">
        <v>151</v>
      </c>
      <c r="D127" s="307" t="s">
        <v>132</v>
      </c>
      <c r="E127" s="303"/>
      <c r="F127" s="303"/>
      <c r="G127" s="303"/>
      <c r="H127" s="303"/>
      <c r="I127" s="303"/>
      <c r="J127" s="304"/>
      <c r="K127" s="304"/>
      <c r="L127" s="304"/>
      <c r="M127" s="303"/>
      <c r="N127" s="303"/>
      <c r="O127" s="305"/>
      <c r="P127" s="469" t="s">
        <v>21</v>
      </c>
      <c r="Q127" s="126" t="s">
        <v>345</v>
      </c>
      <c r="V127" s="23"/>
      <c r="W127" s="145"/>
      <c r="Z127" s="23"/>
    </row>
    <row r="128" spans="2:26" ht="72.5">
      <c r="B128" s="421"/>
      <c r="C128" s="306" t="s">
        <v>151</v>
      </c>
      <c r="D128" s="307" t="s">
        <v>133</v>
      </c>
      <c r="E128" s="303"/>
      <c r="F128" s="303"/>
      <c r="G128" s="303"/>
      <c r="H128" s="303"/>
      <c r="I128" s="303"/>
      <c r="J128" s="304"/>
      <c r="K128" s="304"/>
      <c r="L128" s="304"/>
      <c r="M128" s="303"/>
      <c r="N128" s="303"/>
      <c r="O128" s="305"/>
      <c r="P128" s="469" t="s">
        <v>21</v>
      </c>
      <c r="Q128" s="126" t="s">
        <v>345</v>
      </c>
      <c r="T128" s="16"/>
      <c r="V128" s="23"/>
      <c r="W128" s="185"/>
      <c r="X128" s="186"/>
      <c r="Z128" s="23"/>
    </row>
    <row r="129" spans="2:26" ht="29">
      <c r="B129" s="399" t="s">
        <v>131</v>
      </c>
      <c r="C129" s="375" t="s">
        <v>403</v>
      </c>
      <c r="D129" s="380" t="s">
        <v>132</v>
      </c>
      <c r="E129" s="377">
        <v>0</v>
      </c>
      <c r="F129" s="377">
        <v>0</v>
      </c>
      <c r="G129" s="377">
        <v>-0.25</v>
      </c>
      <c r="H129" s="377">
        <v>0</v>
      </c>
      <c r="I129" s="377">
        <f t="shared" ref="I129" si="86">SUM(E129:H129)</f>
        <v>-0.25</v>
      </c>
      <c r="J129" s="378">
        <f t="shared" ref="J129" si="87">(E129*$E$96)+(F129*$F$96)+(G129*$G$96)+(H129*$H$96)</f>
        <v>-20.201999999999998</v>
      </c>
      <c r="K129" s="378">
        <v>0</v>
      </c>
      <c r="L129" s="378">
        <v>0</v>
      </c>
      <c r="M129" s="377">
        <f>I88</f>
        <v>1611</v>
      </c>
      <c r="N129" s="377">
        <f t="shared" ref="N129:N130" si="88">M129*I129</f>
        <v>-402.75</v>
      </c>
      <c r="O129" s="379">
        <f t="shared" ref="O129:O130" si="89">(J129+K129+L129)*M129</f>
        <v>-32545.421999999999</v>
      </c>
      <c r="P129" s="469" t="s">
        <v>21</v>
      </c>
      <c r="T129" s="16"/>
      <c r="V129" s="23"/>
      <c r="W129" s="23"/>
      <c r="X129" s="23"/>
      <c r="Y129" s="23"/>
      <c r="Z129" s="23"/>
    </row>
    <row r="130" spans="2:26" ht="72.5">
      <c r="B130" s="399"/>
      <c r="C130" s="375" t="s">
        <v>403</v>
      </c>
      <c r="D130" s="380" t="s">
        <v>133</v>
      </c>
      <c r="E130" s="377">
        <v>0</v>
      </c>
      <c r="F130" s="377">
        <v>0</v>
      </c>
      <c r="G130" s="377">
        <v>-0.25</v>
      </c>
      <c r="H130" s="377">
        <v>0</v>
      </c>
      <c r="I130" s="377">
        <f t="shared" ref="I130" si="90">SUM(E130:H130)</f>
        <v>-0.25</v>
      </c>
      <c r="J130" s="378">
        <f t="shared" ref="J130" si="91">(E130*$E$96)+(F130*$F$96)+(G130*$G$96)+(H130*$H$96)</f>
        <v>-20.201999999999998</v>
      </c>
      <c r="K130" s="378">
        <v>0</v>
      </c>
      <c r="L130" s="378">
        <v>0</v>
      </c>
      <c r="M130" s="377">
        <f>M129</f>
        <v>1611</v>
      </c>
      <c r="N130" s="377">
        <f t="shared" si="88"/>
        <v>-402.75</v>
      </c>
      <c r="O130" s="379">
        <f t="shared" si="89"/>
        <v>-32545.421999999999</v>
      </c>
      <c r="P130" s="469" t="s">
        <v>21</v>
      </c>
      <c r="T130" s="16"/>
      <c r="V130" s="23"/>
      <c r="W130" s="23"/>
      <c r="X130" s="23"/>
      <c r="Y130" s="23"/>
      <c r="Z130" s="23"/>
    </row>
    <row r="131" spans="2:26">
      <c r="C131" s="28"/>
      <c r="D131" s="28"/>
      <c r="F131" s="28"/>
      <c r="G131" s="28"/>
      <c r="H131" s="28"/>
      <c r="I131" s="28"/>
      <c r="J131" s="28"/>
      <c r="K131" s="28"/>
      <c r="L131" s="372">
        <f>SUM(L97:L130)</f>
        <v>-43.22</v>
      </c>
      <c r="M131" s="373">
        <f t="shared" ref="M131:O131" si="92">SUM(M97:M130)</f>
        <v>15345</v>
      </c>
      <c r="N131" s="373">
        <f t="shared" si="92"/>
        <v>-31348</v>
      </c>
      <c r="O131" s="374">
        <f t="shared" si="92"/>
        <v>-2131844.090499999</v>
      </c>
      <c r="T131" s="16"/>
      <c r="V131" s="23"/>
      <c r="W131" s="23"/>
      <c r="X131" s="23"/>
      <c r="Y131" s="23"/>
      <c r="Z131" s="23"/>
    </row>
    <row r="132" spans="2:26">
      <c r="C132" s="28"/>
      <c r="D132" s="28"/>
      <c r="F132" s="28"/>
      <c r="G132" s="28"/>
      <c r="H132" s="28"/>
      <c r="I132" s="28"/>
      <c r="J132" s="28"/>
      <c r="K132" s="28"/>
      <c r="L132" s="28"/>
      <c r="M132" s="28"/>
      <c r="W132" s="23"/>
      <c r="X132" s="23"/>
      <c r="Y132" s="23"/>
      <c r="Z132" s="23"/>
    </row>
    <row r="133" spans="2:26">
      <c r="C133" s="28"/>
      <c r="D133" s="28"/>
      <c r="F133" s="28"/>
      <c r="G133" s="28"/>
      <c r="H133" s="28"/>
      <c r="I133" s="28"/>
      <c r="J133" s="28"/>
      <c r="K133" s="28"/>
      <c r="L133" s="28"/>
      <c r="M133" s="28"/>
      <c r="T133" s="23"/>
      <c r="W133" s="23"/>
      <c r="X133" s="23"/>
      <c r="Y133" s="23"/>
      <c r="Z133" s="23"/>
    </row>
    <row r="134" spans="2:26">
      <c r="C134" s="28"/>
      <c r="D134" s="28"/>
      <c r="F134" s="28"/>
      <c r="G134" s="28"/>
      <c r="H134" s="28"/>
      <c r="I134" s="28"/>
      <c r="J134" s="28"/>
      <c r="K134" s="28"/>
      <c r="L134" s="28"/>
      <c r="M134" s="28"/>
      <c r="T134" s="23"/>
      <c r="W134" s="23"/>
      <c r="X134" s="23"/>
      <c r="Y134" s="23"/>
      <c r="Z134" s="23"/>
    </row>
    <row r="135" spans="2:26">
      <c r="E135" s="176"/>
      <c r="F135" s="177"/>
      <c r="T135" s="23"/>
      <c r="W135" s="23"/>
      <c r="X135" s="23"/>
      <c r="Y135" s="23"/>
      <c r="Z135" s="23"/>
    </row>
    <row r="136" spans="2:26" ht="45" customHeight="1">
      <c r="E136" s="176"/>
      <c r="F136" s="177"/>
      <c r="W136" s="23"/>
      <c r="X136" s="23"/>
      <c r="Y136" s="23"/>
      <c r="Z136" s="23"/>
    </row>
    <row r="137" spans="2:26">
      <c r="F137" s="176"/>
      <c r="G137" s="177"/>
      <c r="H137" s="345"/>
      <c r="W137" s="23"/>
      <c r="X137" s="23"/>
      <c r="Y137" s="23"/>
      <c r="Z137" s="23"/>
    </row>
    <row r="138" spans="2:26">
      <c r="F138" s="176"/>
      <c r="G138" s="177"/>
      <c r="H138" s="345"/>
      <c r="L138" s="104"/>
    </row>
    <row r="139" spans="2:26">
      <c r="U139" s="23"/>
    </row>
    <row r="140" spans="2:26">
      <c r="L140" s="104"/>
    </row>
    <row r="141" spans="2:26" ht="51.65" customHeight="1"/>
  </sheetData>
  <mergeCells count="67">
    <mergeCell ref="B43:B44"/>
    <mergeCell ref="D70:D71"/>
    <mergeCell ref="C43:C44"/>
    <mergeCell ref="D75:D76"/>
    <mergeCell ref="D49:D50"/>
    <mergeCell ref="D51:D52"/>
    <mergeCell ref="D67:D68"/>
    <mergeCell ref="D45:D46"/>
    <mergeCell ref="D47:D48"/>
    <mergeCell ref="D63:D64"/>
    <mergeCell ref="D43:D44"/>
    <mergeCell ref="D72:D73"/>
    <mergeCell ref="D57:D58"/>
    <mergeCell ref="D53:D54"/>
    <mergeCell ref="B127:B128"/>
    <mergeCell ref="D77:D78"/>
    <mergeCell ref="C94:C96"/>
    <mergeCell ref="B94:B96"/>
    <mergeCell ref="D94:D96"/>
    <mergeCell ref="B97:B108"/>
    <mergeCell ref="B123:B126"/>
    <mergeCell ref="B109:B122"/>
    <mergeCell ref="E94:H94"/>
    <mergeCell ref="E79:E80"/>
    <mergeCell ref="E70:E71"/>
    <mergeCell ref="E63:E64"/>
    <mergeCell ref="E77:E78"/>
    <mergeCell ref="I94:I96"/>
    <mergeCell ref="J94:J96"/>
    <mergeCell ref="M94:O94"/>
    <mergeCell ref="K94:K96"/>
    <mergeCell ref="L94:L96"/>
    <mergeCell ref="M95:M96"/>
    <mergeCell ref="N95:N96"/>
    <mergeCell ref="O95:O96"/>
    <mergeCell ref="S90:U90"/>
    <mergeCell ref="M90:O90"/>
    <mergeCell ref="M91:O91"/>
    <mergeCell ref="D55:D56"/>
    <mergeCell ref="D61:D62"/>
    <mergeCell ref="D65:D66"/>
    <mergeCell ref="G90:I90"/>
    <mergeCell ref="G91:I91"/>
    <mergeCell ref="E65:E66"/>
    <mergeCell ref="E67:E68"/>
    <mergeCell ref="D79:D80"/>
    <mergeCell ref="D85:D86"/>
    <mergeCell ref="D59:D60"/>
    <mergeCell ref="S91:U91"/>
    <mergeCell ref="E55:E56"/>
    <mergeCell ref="E57:E58"/>
    <mergeCell ref="B129:B130"/>
    <mergeCell ref="E51:E52"/>
    <mergeCell ref="J43:J44"/>
    <mergeCell ref="P90:R90"/>
    <mergeCell ref="P91:R91"/>
    <mergeCell ref="E75:E76"/>
    <mergeCell ref="E53:E54"/>
    <mergeCell ref="E61:E62"/>
    <mergeCell ref="E72:E73"/>
    <mergeCell ref="L43:L44"/>
    <mergeCell ref="E43:E44"/>
    <mergeCell ref="K43:K44"/>
    <mergeCell ref="E49:E50"/>
    <mergeCell ref="F43:F44"/>
    <mergeCell ref="E45:E46"/>
    <mergeCell ref="E47:E48"/>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BFC-B8E1-434D-8D31-29161BA09651}">
  <dimension ref="B1:G28"/>
  <sheetViews>
    <sheetView topLeftCell="A3" workbookViewId="0">
      <selection activeCell="B8" sqref="B8:G8"/>
    </sheetView>
  </sheetViews>
  <sheetFormatPr defaultRowHeight="14.5"/>
  <cols>
    <col min="2" max="2" width="19.7265625" customWidth="1"/>
    <col min="3" max="4" width="12.26953125" customWidth="1"/>
    <col min="5" max="5" width="14" customWidth="1"/>
    <col min="6" max="6" width="12.26953125" customWidth="1"/>
    <col min="7" max="7" width="13.26953125" customWidth="1"/>
  </cols>
  <sheetData>
    <row r="1" spans="2:7" ht="15.5">
      <c r="E1" s="354" t="s">
        <v>386</v>
      </c>
    </row>
    <row r="2" spans="2:7" ht="18.5">
      <c r="B2" s="17" t="s">
        <v>288</v>
      </c>
    </row>
    <row r="3" spans="2:7" ht="15" thickBot="1"/>
    <row r="4" spans="2:7" ht="28.5" thickBot="1">
      <c r="B4" s="286" t="s">
        <v>207</v>
      </c>
      <c r="C4" s="287" t="s">
        <v>209</v>
      </c>
      <c r="D4" s="287" t="s">
        <v>210</v>
      </c>
      <c r="E4" s="287" t="s">
        <v>285</v>
      </c>
      <c r="F4" s="287" t="s">
        <v>286</v>
      </c>
      <c r="G4" s="287" t="s">
        <v>211</v>
      </c>
    </row>
    <row r="5" spans="2:7" ht="15" thickBot="1">
      <c r="B5" s="288" t="s">
        <v>379</v>
      </c>
      <c r="C5" s="289">
        <f>ROUND('Respondent Burden'!Y56,0)</f>
        <v>4445381</v>
      </c>
      <c r="D5" s="289">
        <f>ROUND('Respondent Burden'!AA56,0)</f>
        <v>141372</v>
      </c>
      <c r="E5" s="290">
        <f>ROUND('Respondent Burden'!Z56,2)</f>
        <v>12155355.279999999</v>
      </c>
      <c r="F5" s="290">
        <v>0</v>
      </c>
      <c r="G5" s="295">
        <f>SUM(E5:F5)</f>
        <v>12155355.279999999</v>
      </c>
    </row>
    <row r="6" spans="2:7" ht="15" thickBot="1">
      <c r="B6" s="288" t="s">
        <v>380</v>
      </c>
      <c r="C6" s="289">
        <f>'Respondent Burden'!AB56</f>
        <v>4810033.456663426</v>
      </c>
      <c r="D6" s="289">
        <f>'Respondent Burden'!AD56</f>
        <v>223028.83163922286</v>
      </c>
      <c r="E6" s="290">
        <f>'Respondent Burden'!AC56</f>
        <v>17580430.389286742</v>
      </c>
      <c r="F6" s="290">
        <v>0</v>
      </c>
      <c r="G6" s="295">
        <f t="shared" ref="G6:G7" si="0">SUM(E6:F6)</f>
        <v>17580430.389286742</v>
      </c>
    </row>
    <row r="7" spans="2:7" ht="15" thickBot="1">
      <c r="B7" s="288" t="s">
        <v>381</v>
      </c>
      <c r="C7" s="289">
        <f>'Respondent Burden'!AE56</f>
        <v>5115219.9417090146</v>
      </c>
      <c r="D7" s="289">
        <f>'Respondent Burden'!AG56</f>
        <v>396447.28785873647</v>
      </c>
      <c r="E7" s="290">
        <f>'Respondent Burden'!AF56</f>
        <v>27869424.281034704</v>
      </c>
      <c r="F7" s="290">
        <v>0</v>
      </c>
      <c r="G7" s="295">
        <f t="shared" si="0"/>
        <v>27869424.281034704</v>
      </c>
    </row>
    <row r="8" spans="2:7" ht="25.5" customHeight="1" thickBot="1">
      <c r="B8" s="288" t="s">
        <v>287</v>
      </c>
      <c r="C8" s="289">
        <f>AVERAGE(C5:C7)</f>
        <v>4790211.4661241472</v>
      </c>
      <c r="D8" s="289">
        <f t="shared" ref="D8:G8" si="1">AVERAGE(D5:D7)</f>
        <v>253616.0398326531</v>
      </c>
      <c r="E8" s="290">
        <f t="shared" si="1"/>
        <v>19201736.650107149</v>
      </c>
      <c r="F8" s="290">
        <f t="shared" si="1"/>
        <v>0</v>
      </c>
      <c r="G8" s="295">
        <f t="shared" si="1"/>
        <v>19201736.650107149</v>
      </c>
    </row>
    <row r="9" spans="2:7">
      <c r="G9" s="10"/>
    </row>
    <row r="10" spans="2:7">
      <c r="G10" s="10"/>
    </row>
    <row r="11" spans="2:7" ht="18.5">
      <c r="B11" s="17" t="s">
        <v>289</v>
      </c>
      <c r="G11" s="10"/>
    </row>
    <row r="12" spans="2:7" ht="15" thickBot="1">
      <c r="G12" s="10"/>
    </row>
    <row r="13" spans="2:7" ht="28.5" thickBot="1">
      <c r="B13" s="286" t="s">
        <v>207</v>
      </c>
      <c r="C13" s="287" t="s">
        <v>209</v>
      </c>
      <c r="D13" s="287" t="s">
        <v>210</v>
      </c>
      <c r="E13" s="287" t="s">
        <v>285</v>
      </c>
      <c r="F13" s="287" t="s">
        <v>286</v>
      </c>
      <c r="G13" s="296" t="s">
        <v>211</v>
      </c>
    </row>
    <row r="14" spans="2:7" ht="15" thickBot="1">
      <c r="B14" s="288" t="s">
        <v>379</v>
      </c>
      <c r="C14" s="289">
        <f>'Respondent Burden'!Y58</f>
        <v>4460726.2409430668</v>
      </c>
      <c r="D14" s="289">
        <f>'Respondent Burden'!AA58</f>
        <v>110023.72533154325</v>
      </c>
      <c r="E14" s="290">
        <f>'Respondent Burden'!Z58</f>
        <v>10023511.187102601</v>
      </c>
      <c r="F14" s="290">
        <v>0</v>
      </c>
      <c r="G14" s="295">
        <f>SUM(E14:F14)</f>
        <v>10023511.187102601</v>
      </c>
    </row>
    <row r="15" spans="2:7" ht="15" thickBot="1">
      <c r="B15" s="288" t="s">
        <v>380</v>
      </c>
      <c r="C15" s="289">
        <f>'Respondent Burden'!AB58</f>
        <v>4825378.456663426</v>
      </c>
      <c r="D15" s="289">
        <f>'Respondent Burden'!AD58</f>
        <v>191680.83163922286</v>
      </c>
      <c r="E15" s="290">
        <f>'Respondent Burden'!AC58</f>
        <v>15448586.298786743</v>
      </c>
      <c r="F15" s="290">
        <v>0</v>
      </c>
      <c r="G15" s="295">
        <f t="shared" ref="G15:G16" si="2">SUM(E15:F15)</f>
        <v>15448586.298786743</v>
      </c>
    </row>
    <row r="16" spans="2:7" ht="15" thickBot="1">
      <c r="B16" s="288" t="s">
        <v>381</v>
      </c>
      <c r="C16" s="289">
        <f>'Respondent Burden'!AE58</f>
        <v>5130564.9417090146</v>
      </c>
      <c r="D16" s="289">
        <f>'Respondent Burden'!AG58</f>
        <v>365099.28785873647</v>
      </c>
      <c r="E16" s="290">
        <f>'Respondent Burden'!AF58</f>
        <v>25737580.190534703</v>
      </c>
      <c r="F16" s="290">
        <v>0</v>
      </c>
      <c r="G16" s="295">
        <f t="shared" si="2"/>
        <v>25737580.190534703</v>
      </c>
    </row>
    <row r="17" spans="2:7" ht="28" customHeight="1" thickBot="1">
      <c r="B17" s="288" t="s">
        <v>287</v>
      </c>
      <c r="C17" s="289">
        <f>AVERAGE(C14:C16)</f>
        <v>4805556.5464385031</v>
      </c>
      <c r="D17" s="289">
        <f t="shared" ref="D17" si="3">AVERAGE(D14:D16)</f>
        <v>222267.94827650083</v>
      </c>
      <c r="E17" s="290">
        <f t="shared" ref="E17" si="4">AVERAGE(E14:E16)</f>
        <v>17069892.558808018</v>
      </c>
      <c r="F17" s="290">
        <f t="shared" ref="F17" si="5">AVERAGE(F14:F16)</f>
        <v>0</v>
      </c>
      <c r="G17" s="295">
        <f t="shared" ref="G17" si="6">AVERAGE(G14:G16)</f>
        <v>17069892.558808018</v>
      </c>
    </row>
    <row r="18" spans="2:7">
      <c r="G18" s="15"/>
    </row>
    <row r="20" spans="2:7" ht="18.5">
      <c r="B20" s="429" t="s">
        <v>378</v>
      </c>
      <c r="C20" s="429"/>
      <c r="D20" s="429"/>
      <c r="E20" s="429"/>
      <c r="F20" s="429"/>
      <c r="G20" s="429"/>
    </row>
    <row r="21" spans="2:7" ht="15" thickBot="1"/>
    <row r="22" spans="2:7" ht="28.5" thickBot="1">
      <c r="B22" s="286" t="s">
        <v>207</v>
      </c>
      <c r="C22" s="287" t="s">
        <v>209</v>
      </c>
      <c r="D22" s="287" t="s">
        <v>210</v>
      </c>
      <c r="E22" s="287" t="s">
        <v>285</v>
      </c>
      <c r="F22" s="287" t="s">
        <v>286</v>
      </c>
      <c r="G22" s="287" t="s">
        <v>211</v>
      </c>
    </row>
    <row r="23" spans="2:7" ht="15" thickBot="1">
      <c r="B23" s="288" t="s">
        <v>379</v>
      </c>
      <c r="C23" s="289">
        <f>C5</f>
        <v>4445381</v>
      </c>
      <c r="D23" s="289">
        <f t="shared" ref="D23:G23" si="7">D5</f>
        <v>141372</v>
      </c>
      <c r="E23" s="290">
        <f t="shared" si="7"/>
        <v>12155355.279999999</v>
      </c>
      <c r="F23" s="290">
        <f t="shared" si="7"/>
        <v>0</v>
      </c>
      <c r="G23" s="346">
        <f t="shared" si="7"/>
        <v>12155355.279999999</v>
      </c>
    </row>
    <row r="24" spans="2:7" ht="15" thickBot="1">
      <c r="B24" s="288" t="s">
        <v>380</v>
      </c>
      <c r="C24" s="289">
        <f t="shared" ref="C24:G25" si="8">C6</f>
        <v>4810033.456663426</v>
      </c>
      <c r="D24" s="289">
        <f t="shared" si="8"/>
        <v>223028.83163922286</v>
      </c>
      <c r="E24" s="290">
        <f t="shared" si="8"/>
        <v>17580430.389286742</v>
      </c>
      <c r="F24" s="290">
        <f t="shared" si="8"/>
        <v>0</v>
      </c>
      <c r="G24" s="346">
        <f t="shared" si="8"/>
        <v>17580430.389286742</v>
      </c>
    </row>
    <row r="25" spans="2:7" ht="15" thickBot="1">
      <c r="B25" s="288" t="s">
        <v>381</v>
      </c>
      <c r="C25" s="289">
        <f>C7</f>
        <v>5115219.9417090146</v>
      </c>
      <c r="D25" s="289">
        <f t="shared" si="8"/>
        <v>396447.28785873647</v>
      </c>
      <c r="E25" s="349">
        <f t="shared" si="8"/>
        <v>27869424.281034704</v>
      </c>
      <c r="F25" s="349">
        <f t="shared" si="8"/>
        <v>0</v>
      </c>
      <c r="G25" s="346">
        <f t="shared" si="8"/>
        <v>27869424.281034704</v>
      </c>
    </row>
    <row r="26" spans="2:7" ht="28.5" thickBot="1">
      <c r="B26" s="350" t="s">
        <v>287</v>
      </c>
      <c r="C26" s="347">
        <f>AVERAGE(C23:C25)</f>
        <v>4790211.4661241472</v>
      </c>
      <c r="D26" s="347">
        <f t="shared" ref="D26:G26" si="9">AVERAGE(D23:D25)</f>
        <v>253616.0398326531</v>
      </c>
      <c r="E26" s="351">
        <f t="shared" si="9"/>
        <v>19201736.650107149</v>
      </c>
      <c r="F26" s="351">
        <f t="shared" si="9"/>
        <v>0</v>
      </c>
      <c r="G26" s="348">
        <f t="shared" si="9"/>
        <v>19201736.650107149</v>
      </c>
    </row>
    <row r="27" spans="2:7" ht="42.5" thickBot="1">
      <c r="B27" s="288" t="s">
        <v>382</v>
      </c>
      <c r="C27" s="289">
        <f>'Respondent Burden'!Y57</f>
        <v>15345</v>
      </c>
      <c r="D27" s="289">
        <f>'Respondent Burden'!AA57</f>
        <v>-31348</v>
      </c>
      <c r="E27" s="290">
        <f>'Respondent Burden'!Z57</f>
        <v>-2131844.090499999</v>
      </c>
      <c r="F27" s="290">
        <v>0</v>
      </c>
      <c r="G27" s="346">
        <f>'Respondent Burden'!Z57</f>
        <v>-2131844.090499999</v>
      </c>
    </row>
    <row r="28" spans="2:7" ht="46.5" customHeight="1" thickBot="1">
      <c r="B28" s="350" t="s">
        <v>383</v>
      </c>
      <c r="C28" s="347">
        <f>C26+C27</f>
        <v>4805556.4661241472</v>
      </c>
      <c r="D28" s="347">
        <f t="shared" ref="D28:F28" si="10">D26+D27</f>
        <v>222268.0398326531</v>
      </c>
      <c r="E28" s="351">
        <f t="shared" si="10"/>
        <v>17069892.559607148</v>
      </c>
      <c r="F28" s="351">
        <f t="shared" si="10"/>
        <v>0</v>
      </c>
      <c r="G28" s="348">
        <f>G26+G27</f>
        <v>17069892.559607148</v>
      </c>
    </row>
  </sheetData>
  <mergeCells count="1">
    <mergeCell ref="B20:G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E5F58-A3A9-4266-BF5B-A473C7D0BF8A}">
  <dimension ref="A1:Z47"/>
  <sheetViews>
    <sheetView topLeftCell="R1" workbookViewId="0">
      <selection activeCell="X5" sqref="X5"/>
    </sheetView>
  </sheetViews>
  <sheetFormatPr defaultRowHeight="14.5"/>
  <cols>
    <col min="2" max="2" width="11.1796875" customWidth="1"/>
    <col min="3" max="3" width="11.54296875" customWidth="1"/>
    <col min="4" max="4" width="11.1796875" customWidth="1"/>
    <col min="5" max="5" width="11.81640625" customWidth="1"/>
    <col min="6" max="6" width="9.54296875" bestFit="1" customWidth="1"/>
    <col min="12" max="12" width="11.7265625" customWidth="1"/>
    <col min="13" max="14" width="10.81640625" bestFit="1" customWidth="1"/>
    <col min="18" max="18" width="42.7265625" customWidth="1"/>
    <col min="19" max="19" width="13.26953125" bestFit="1" customWidth="1"/>
    <col min="20" max="20" width="10.26953125" bestFit="1" customWidth="1"/>
    <col min="21" max="21" width="13.6328125" bestFit="1" customWidth="1"/>
    <col min="24" max="24" width="30.54296875" customWidth="1"/>
    <col min="25" max="25" width="10.81640625" customWidth="1"/>
    <col min="26" max="26" width="12" bestFit="1" customWidth="1"/>
  </cols>
  <sheetData>
    <row r="1" spans="1:26" ht="15" thickBot="1">
      <c r="A1" t="s">
        <v>263</v>
      </c>
      <c r="R1" t="s">
        <v>290</v>
      </c>
      <c r="X1" t="s">
        <v>291</v>
      </c>
    </row>
    <row r="2" spans="1:26" ht="36.75" customHeight="1" thickBot="1">
      <c r="B2" s="431" t="s">
        <v>242</v>
      </c>
      <c r="C2" s="431" t="s">
        <v>243</v>
      </c>
      <c r="D2" s="431" t="s">
        <v>4</v>
      </c>
      <c r="E2" s="431" t="s">
        <v>29</v>
      </c>
      <c r="F2" s="446" t="s">
        <v>244</v>
      </c>
      <c r="G2" s="447"/>
      <c r="H2" s="448"/>
      <c r="I2" s="446" t="s">
        <v>245</v>
      </c>
      <c r="J2" s="447"/>
      <c r="K2" s="448"/>
      <c r="L2" s="446" t="s">
        <v>246</v>
      </c>
      <c r="M2" s="447"/>
      <c r="N2" s="448"/>
      <c r="R2" s="444" t="s">
        <v>207</v>
      </c>
      <c r="S2" s="249" t="s">
        <v>28</v>
      </c>
      <c r="T2" s="444" t="s">
        <v>210</v>
      </c>
      <c r="U2" s="249" t="s">
        <v>264</v>
      </c>
      <c r="X2" s="254" t="s">
        <v>207</v>
      </c>
      <c r="Y2" s="255" t="s">
        <v>210</v>
      </c>
      <c r="Z2" s="255" t="s">
        <v>211</v>
      </c>
    </row>
    <row r="3" spans="1:26" ht="15" thickBot="1">
      <c r="B3" s="432"/>
      <c r="C3" s="432"/>
      <c r="D3" s="432"/>
      <c r="E3" s="432"/>
      <c r="F3" s="235" t="s">
        <v>247</v>
      </c>
      <c r="G3" s="235" t="s">
        <v>248</v>
      </c>
      <c r="H3" s="235" t="s">
        <v>249</v>
      </c>
      <c r="I3" s="235" t="s">
        <v>247</v>
      </c>
      <c r="J3" s="235" t="s">
        <v>248</v>
      </c>
      <c r="K3" s="235" t="s">
        <v>249</v>
      </c>
      <c r="L3" s="235" t="s">
        <v>247</v>
      </c>
      <c r="M3" s="235" t="s">
        <v>248</v>
      </c>
      <c r="N3" s="235" t="s">
        <v>249</v>
      </c>
      <c r="R3" s="445"/>
      <c r="S3" s="250" t="s">
        <v>41</v>
      </c>
      <c r="T3" s="445"/>
      <c r="U3" s="250" t="s">
        <v>42</v>
      </c>
      <c r="X3" s="251" t="s">
        <v>94</v>
      </c>
      <c r="Y3" s="256">
        <f>AVERAGE('Agency Burden'!K25)</f>
        <v>416.31385506620637</v>
      </c>
      <c r="Z3" s="369">
        <f>'Agency Burden'!L25</f>
        <v>37648.094541347178</v>
      </c>
    </row>
    <row r="4" spans="1:26" ht="35.15" customHeight="1" thickBot="1">
      <c r="B4" s="435" t="s">
        <v>250</v>
      </c>
      <c r="C4" s="441" t="s">
        <v>251</v>
      </c>
      <c r="D4" s="441" t="s">
        <v>72</v>
      </c>
      <c r="E4" s="236" t="s">
        <v>252</v>
      </c>
      <c r="F4" s="239">
        <f>'Respondent Burden'!G45</f>
        <v>215.34009008322303</v>
      </c>
      <c r="G4" s="239">
        <f>'Respondent Burden'!H45</f>
        <v>214.27180576953472</v>
      </c>
      <c r="H4" s="239">
        <f>'Respondent Burden'!I45</f>
        <v>211.90447074565799</v>
      </c>
      <c r="I4" s="238">
        <f>'Respondent Burden'!M45</f>
        <v>107.67004504161152</v>
      </c>
      <c r="J4" s="238">
        <f>'Respondent Burden'!P45</f>
        <v>107.13590288476736</v>
      </c>
      <c r="K4" s="238">
        <f>'Respondent Burden'!S45</f>
        <v>105.95223537282899</v>
      </c>
      <c r="L4" s="237">
        <f>'Respondent Burden'!N45</f>
        <v>11271.438665181102</v>
      </c>
      <c r="M4" s="237">
        <f>'Respondent Burden'!Q45</f>
        <v>11215.521993491871</v>
      </c>
      <c r="N4" s="237">
        <f>'Respondent Burden'!T45</f>
        <v>11091.609760004603</v>
      </c>
      <c r="R4" s="251" t="s">
        <v>94</v>
      </c>
      <c r="S4" s="252">
        <f>'Respondent Burden'!Y56</f>
        <v>4445381.2409430668</v>
      </c>
      <c r="T4" s="252">
        <f>'Respondent Burden'!AA56</f>
        <v>141371.72533154325</v>
      </c>
      <c r="U4" s="394">
        <f>'Respondent Burden'!Z56</f>
        <v>12155355.2776026</v>
      </c>
      <c r="X4" s="251" t="s">
        <v>95</v>
      </c>
      <c r="Y4" s="256">
        <f>'Agency Burden'!N25</f>
        <v>5434.9619617274811</v>
      </c>
      <c r="Z4" s="369">
        <f>'Agency Burden'!O25</f>
        <v>491494.48012293968</v>
      </c>
    </row>
    <row r="5" spans="1:26" ht="45" customHeight="1" thickBot="1">
      <c r="B5" s="436"/>
      <c r="C5" s="443"/>
      <c r="D5" s="442"/>
      <c r="E5" s="236" t="s">
        <v>253</v>
      </c>
      <c r="F5" s="239">
        <f>'Respondent Burden'!G46</f>
        <v>215.34009008322303</v>
      </c>
      <c r="G5" s="239">
        <f>'Respondent Burden'!H46</f>
        <v>216.7281377177863</v>
      </c>
      <c r="H5" s="239">
        <f>'Respondent Burden'!I46</f>
        <v>217.71905300076503</v>
      </c>
      <c r="I5" s="238">
        <f>'Respondent Burden'!M46</f>
        <v>107.67004504161152</v>
      </c>
      <c r="J5" s="238">
        <f>'Respondent Burden'!P46</f>
        <v>108.36406885889315</v>
      </c>
      <c r="K5" s="238">
        <f>'Respondent Burden'!S46</f>
        <v>108.85952650038251</v>
      </c>
      <c r="L5" s="237">
        <f>'Respondent Burden'!N46</f>
        <v>11271.438665181102</v>
      </c>
      <c r="M5" s="237">
        <f>'Respondent Burden'!Q46</f>
        <v>11344.092548493229</v>
      </c>
      <c r="N5" s="237">
        <f>'Respondent Burden'!T46</f>
        <v>11395.959531692544</v>
      </c>
      <c r="R5" s="251" t="s">
        <v>95</v>
      </c>
      <c r="S5" s="252">
        <f>'Respondent Burden'!AB56</f>
        <v>4810033.456663426</v>
      </c>
      <c r="T5" s="252">
        <f>'Respondent Burden'!AD56</f>
        <v>223028.83163922286</v>
      </c>
      <c r="U5" s="394">
        <f>'Respondent Burden'!AC56</f>
        <v>17580430.389286742</v>
      </c>
      <c r="X5" s="251" t="s">
        <v>96</v>
      </c>
      <c r="Y5" s="256">
        <f>'Agency Burden'!Q25</f>
        <v>5433.4534628528509</v>
      </c>
      <c r="Z5" s="369">
        <f>'Agency Burden'!R25</f>
        <v>491358.06355270906</v>
      </c>
    </row>
    <row r="6" spans="1:26" ht="84.75" customHeight="1" thickBot="1">
      <c r="B6" s="436"/>
      <c r="C6" s="443"/>
      <c r="D6" s="441" t="s">
        <v>102</v>
      </c>
      <c r="E6" s="236" t="s">
        <v>252</v>
      </c>
      <c r="F6" s="239">
        <f>'Respondent Burden'!G47</f>
        <v>43.068018016644608</v>
      </c>
      <c r="G6" s="239">
        <f>'Respondent Burden'!H47</f>
        <v>42.854361153906943</v>
      </c>
      <c r="H6" s="239">
        <f>'Respondent Burden'!I47</f>
        <v>42.380894149131592</v>
      </c>
      <c r="I6" s="238">
        <f>'Respondent Burden'!M47</f>
        <v>21.534009008322304</v>
      </c>
      <c r="J6" s="238">
        <f>'Respondent Burden'!P47</f>
        <v>21.427180576953472</v>
      </c>
      <c r="K6" s="238">
        <f>'Respondent Burden'!S47</f>
        <v>21.190447074565796</v>
      </c>
      <c r="L6" s="237">
        <f>'Respondent Burden'!N47</f>
        <v>2254.2877330362203</v>
      </c>
      <c r="M6" s="237">
        <f>'Respondent Burden'!Q47</f>
        <v>2243.1043986983741</v>
      </c>
      <c r="N6" s="237">
        <f>'Respondent Burden'!T47</f>
        <v>2218.3219520009202</v>
      </c>
      <c r="R6" s="251" t="s">
        <v>96</v>
      </c>
      <c r="S6" s="252">
        <f>'Respondent Burden'!AE56</f>
        <v>5115219.9417090146</v>
      </c>
      <c r="T6" s="252">
        <f>'Respondent Burden'!AG56</f>
        <v>396447.28785873647</v>
      </c>
      <c r="U6" s="394">
        <f>'Respondent Burden'!AF56</f>
        <v>27869424.281034704</v>
      </c>
      <c r="X6" s="253" t="s">
        <v>208</v>
      </c>
      <c r="Y6" s="260">
        <f>AVERAGE(Y3:Y5)</f>
        <v>3761.5764265488456</v>
      </c>
      <c r="Z6" s="370">
        <f>AVERAGE(Z3:Z5)</f>
        <v>340166.87940566527</v>
      </c>
    </row>
    <row r="7" spans="1:26" ht="26.5" thickBot="1">
      <c r="B7" s="436"/>
      <c r="C7" s="443"/>
      <c r="D7" s="442"/>
      <c r="E7" s="236" t="s">
        <v>253</v>
      </c>
      <c r="F7" s="239">
        <f>'Respondent Burden'!G48</f>
        <v>43.068018016644608</v>
      </c>
      <c r="G7" s="239">
        <f>'Respondent Burden'!H48</f>
        <v>43.345627543557264</v>
      </c>
      <c r="H7" s="239">
        <f>'Respondent Burden'!I48</f>
        <v>43.543810600153016</v>
      </c>
      <c r="I7" s="238">
        <f>'Respondent Burden'!M48</f>
        <v>21.534009008322304</v>
      </c>
      <c r="J7" s="238">
        <f>'Respondent Burden'!P48</f>
        <v>21.672813771778632</v>
      </c>
      <c r="K7" s="238">
        <f>'Respondent Burden'!S48</f>
        <v>21.771905300076508</v>
      </c>
      <c r="L7" s="237">
        <f>'Respondent Burden'!N48</f>
        <v>2254.2877330362203</v>
      </c>
      <c r="M7" s="237">
        <f>'Respondent Burden'!Q48</f>
        <v>2268.8185096986463</v>
      </c>
      <c r="N7" s="237">
        <f>'Respondent Burden'!T48</f>
        <v>2279.1919063385094</v>
      </c>
      <c r="R7" s="253" t="s">
        <v>208</v>
      </c>
      <c r="S7" s="260">
        <f>AVERAGE(S4:S6)</f>
        <v>4790211.5464385031</v>
      </c>
      <c r="T7" s="260">
        <f>AVERAGE(T4:T6)</f>
        <v>253615.94827650083</v>
      </c>
      <c r="U7" s="371">
        <f>AVERAGE(U4:U6)</f>
        <v>19201736.649308015</v>
      </c>
      <c r="X7" s="251" t="s">
        <v>267</v>
      </c>
      <c r="Y7" s="392">
        <f>AVERAGE('Agency Burden'!Y22,'Agency Burden'!AB22,'Agency Burden'!AE22)</f>
        <v>-98</v>
      </c>
      <c r="Z7" s="394">
        <f>AVERAGE('Agency Burden'!X22,'Agency Burden'!AA22,'Agency Burden'!AD22)</f>
        <v>-7870.9680000000008</v>
      </c>
    </row>
    <row r="8" spans="1:26" ht="84.75" customHeight="1" thickBot="1">
      <c r="B8" s="436"/>
      <c r="C8" s="443"/>
      <c r="D8" s="441" t="s">
        <v>111</v>
      </c>
      <c r="E8" s="236" t="s">
        <v>252</v>
      </c>
      <c r="F8" s="239">
        <f>'Respondent Burden'!G49</f>
        <v>100.12530877827484</v>
      </c>
      <c r="G8" s="239">
        <f>'Respondent Burden'!H49</f>
        <v>99.628595431820443</v>
      </c>
      <c r="H8" s="239">
        <f>'Respondent Burden'!I49</f>
        <v>98.527870758789618</v>
      </c>
      <c r="I8" s="238">
        <f>'Respondent Burden'!M49</f>
        <v>50.062654389137421</v>
      </c>
      <c r="J8" s="238">
        <f>'Respondent Burden'!P49</f>
        <v>49.814297715910222</v>
      </c>
      <c r="K8" s="238">
        <f>'Respondent Burden'!S49</f>
        <v>49.263935379394809</v>
      </c>
      <c r="L8" s="237">
        <f>'Respondent Burden'!N49</f>
        <v>5240.8089747268514</v>
      </c>
      <c r="M8" s="237">
        <f>'Respondent Burden'!Q49</f>
        <v>5214.8097563900619</v>
      </c>
      <c r="N8" s="237">
        <f>'Respondent Burden'!T49</f>
        <v>5157.1950751919458</v>
      </c>
      <c r="R8" s="251" t="s">
        <v>265</v>
      </c>
      <c r="S8" s="392">
        <f>AVERAGE('Respondent Burden'!Y57,'Respondent Burden'!AB57,'Respondent Burden'!AE57)</f>
        <v>15345</v>
      </c>
      <c r="T8" s="392">
        <f>AVERAGE('Respondent Burden'!AA57,'Respondent Burden'!AD57,'Respondent Burden'!AG57)</f>
        <v>-31348</v>
      </c>
      <c r="U8" s="394">
        <f>AVERAGE('Respondent Burden'!Z57,'Respondent Burden'!AC57,'Respondent Burden'!AF57)</f>
        <v>-2131844.090499999</v>
      </c>
      <c r="X8" s="253" t="s">
        <v>268</v>
      </c>
      <c r="Y8" s="393">
        <f>AVERAGE('Agency Burden'!Y23,'Agency Burden'!AB23,'Agency Burden'!AE23)</f>
        <v>3663.5764265488456</v>
      </c>
      <c r="Z8" s="371">
        <f>AVERAGE('Agency Burden'!X23,'Agency Burden'!AA23,'Agency Burden'!AD23)</f>
        <v>332295.91140566533</v>
      </c>
    </row>
    <row r="9" spans="1:26" ht="15" thickBot="1">
      <c r="B9" s="436"/>
      <c r="C9" s="443"/>
      <c r="D9" s="442"/>
      <c r="E9" s="236" t="s">
        <v>253</v>
      </c>
      <c r="F9" s="239">
        <f>'Respondent Burden'!G50</f>
        <v>77.248111515728979</v>
      </c>
      <c r="G9" s="239">
        <f>'Respondent Burden'!H50</f>
        <v>77.746040435617743</v>
      </c>
      <c r="H9" s="239">
        <f>'Respondent Burden'!I50</f>
        <v>78.101507614314471</v>
      </c>
      <c r="I9" s="238">
        <f>'Respondent Burden'!M50</f>
        <v>38.62405575786449</v>
      </c>
      <c r="J9" s="238">
        <f>'Respondent Burden'!P50</f>
        <v>38.873020217808872</v>
      </c>
      <c r="K9" s="238">
        <f>'Respondent Burden'!S50</f>
        <v>39.050753807157236</v>
      </c>
      <c r="L9" s="237">
        <f>'Respondent Burden'!N50</f>
        <v>4043.359277012044</v>
      </c>
      <c r="M9" s="237">
        <f>'Respondent Burden'!Q50</f>
        <v>4069.4221215013217</v>
      </c>
      <c r="N9" s="237">
        <f>'Respondent Burden'!T50</f>
        <v>4088.0281623022552</v>
      </c>
      <c r="R9" s="253" t="s">
        <v>266</v>
      </c>
      <c r="S9" s="393">
        <f>AVERAGE('Respondent Burden'!Y58,'Respondent Burden'!AB58,'Respondent Burden'!AE58)</f>
        <v>4805556.5464385031</v>
      </c>
      <c r="T9" s="393">
        <f>AVERAGE('Respondent Burden'!AA58,'Respondent Burden'!AD58,'Respondent Burden'!AG58)</f>
        <v>222267.94827650083</v>
      </c>
      <c r="U9" s="371">
        <f>AVERAGE('Respondent Burden'!Z58,'Respondent Burden'!AC58,'Respondent Burden'!AF58)</f>
        <v>17069892.558808018</v>
      </c>
      <c r="Z9" s="104">
        <f>SUM(Z8,U9)</f>
        <v>17402188.470213681</v>
      </c>
    </row>
    <row r="10" spans="1:26" ht="204.75" customHeight="1" thickBot="1">
      <c r="B10" s="436"/>
      <c r="C10" s="443"/>
      <c r="D10" s="441" t="s">
        <v>103</v>
      </c>
      <c r="E10" s="236" t="s">
        <v>252</v>
      </c>
      <c r="F10" s="239">
        <f>'Respondent Burden'!G51</f>
        <v>218.99793637951996</v>
      </c>
      <c r="G10" s="239">
        <f>'Respondent Burden'!H51</f>
        <v>217.91150579395674</v>
      </c>
      <c r="H10" s="239">
        <f>'Respondent Burden'!I51</f>
        <v>215.50395834309606</v>
      </c>
      <c r="I10" s="239">
        <f>'Respondent Burden'!M51</f>
        <v>218.99793637951996</v>
      </c>
      <c r="J10" s="239">
        <f>'Respondent Burden'!P51</f>
        <v>217.91150579395674</v>
      </c>
      <c r="K10" s="239">
        <f>'Respondent Burden'!S51</f>
        <v>215.50395834309606</v>
      </c>
      <c r="L10" s="237">
        <f>'Respondent Burden'!N51</f>
        <v>22925.798969890046</v>
      </c>
      <c r="M10" s="237">
        <f>'Respondent Burden'!Q51</f>
        <v>22812.06598404036</v>
      </c>
      <c r="N10" s="237">
        <f>'Respondent Burden'!T51</f>
        <v>22560.031879147013</v>
      </c>
      <c r="S10" s="34"/>
      <c r="T10" s="34"/>
      <c r="U10" s="34"/>
    </row>
    <row r="11" spans="1:26" ht="15" thickBot="1">
      <c r="B11" s="436"/>
      <c r="C11" s="443"/>
      <c r="D11" s="442"/>
      <c r="E11" s="236" t="s">
        <v>253</v>
      </c>
      <c r="F11" s="239">
        <f>'Respondent Burden'!G52</f>
        <v>168.96004833925028</v>
      </c>
      <c r="G11" s="239">
        <f>'Respondent Burden'!H52</f>
        <v>170.04913767390391</v>
      </c>
      <c r="H11" s="239">
        <f>'Respondent Burden'!I52</f>
        <v>170.82662919463041</v>
      </c>
      <c r="I11" s="239">
        <f>'Respondent Burden'!M52</f>
        <v>168.96004833925028</v>
      </c>
      <c r="J11" s="239">
        <f>'Respondent Burden'!P52</f>
        <v>170.04913767390391</v>
      </c>
      <c r="K11" s="239">
        <f>'Respondent Burden'!S52</f>
        <v>170.82662919463041</v>
      </c>
      <c r="L11" s="237">
        <f>'Respondent Burden'!N52</f>
        <v>17687.582660394415</v>
      </c>
      <c r="M11" s="237">
        <f>'Respondent Burden'!Q52</f>
        <v>17801.593977392633</v>
      </c>
      <c r="N11" s="237">
        <f>'Respondent Burden'!T52</f>
        <v>17882.985677239885</v>
      </c>
    </row>
    <row r="12" spans="1:26" ht="168.75" customHeight="1" thickBot="1">
      <c r="B12" s="436"/>
      <c r="C12" s="443"/>
      <c r="D12" s="441" t="s">
        <v>196</v>
      </c>
      <c r="E12" s="236" t="s">
        <v>252</v>
      </c>
      <c r="F12" s="239">
        <f>'Respondent Burden'!G53</f>
        <v>3.7476632740868223</v>
      </c>
      <c r="G12" s="239">
        <f>'Respondent Burden'!H53</f>
        <v>3.7290714276399042</v>
      </c>
      <c r="H12" s="239">
        <f>'Respondent Burden'!I53</f>
        <v>3.6878716003201815</v>
      </c>
      <c r="I12" s="248">
        <f>'Respondent Burden'!M53</f>
        <v>9.3691581852170566E-2</v>
      </c>
      <c r="J12" s="248">
        <f>'Respondent Burden'!P53</f>
        <v>9.3226785690997613E-2</v>
      </c>
      <c r="K12" s="248">
        <f>'Respondent Burden'!S53</f>
        <v>9.2196790008004542E-2</v>
      </c>
      <c r="L12" s="237">
        <f>'Respondent Burden'!N53</f>
        <v>9.8081032461944755</v>
      </c>
      <c r="M12" s="237">
        <f>'Respondent Burden'!Q53</f>
        <v>9.7594460600620856</v>
      </c>
      <c r="N12" s="237">
        <f>'Respondent Burden'!T53</f>
        <v>9.6516209619879554</v>
      </c>
    </row>
    <row r="13" spans="1:26" ht="15" thickBot="1">
      <c r="B13" s="436"/>
      <c r="C13" s="443"/>
      <c r="D13" s="442"/>
      <c r="E13" s="236" t="s">
        <v>253</v>
      </c>
      <c r="F13" s="239">
        <f>'Respondent Burden'!G54</f>
        <v>3.7476632740868223</v>
      </c>
      <c r="G13" s="239">
        <f>'Respondent Burden'!H54</f>
        <v>3.7718201096334476</v>
      </c>
      <c r="H13" s="239">
        <f>'Respondent Burden'!I54</f>
        <v>3.7890654670228474</v>
      </c>
      <c r="I13" s="248">
        <f>'Respondent Burden'!M54</f>
        <v>9.3691581852170566E-2</v>
      </c>
      <c r="J13" s="248">
        <f>'Respondent Burden'!P54</f>
        <v>9.4295502740836201E-2</v>
      </c>
      <c r="K13" s="248">
        <f>'Respondent Burden'!S54</f>
        <v>9.4726636675571185E-2</v>
      </c>
      <c r="L13" s="237">
        <f>'Respondent Burden'!N54</f>
        <v>9.8081032461944755</v>
      </c>
      <c r="M13" s="237">
        <f>'Respondent Burden'!Q54</f>
        <v>9.8713247044244383</v>
      </c>
      <c r="N13" s="237">
        <f>'Respondent Burden'!T54</f>
        <v>9.9164579603821696</v>
      </c>
    </row>
    <row r="14" spans="1:26" ht="48.75" customHeight="1" thickBot="1">
      <c r="B14" s="436"/>
      <c r="C14" s="443"/>
      <c r="D14" s="441" t="s">
        <v>78</v>
      </c>
      <c r="E14" s="236" t="s">
        <v>252</v>
      </c>
      <c r="F14" s="239">
        <f>'Respondent Burden'!G55</f>
        <v>266373.55803459213</v>
      </c>
      <c r="G14" s="239">
        <f>'Respondent Burden'!H55</f>
        <v>265052.10092217184</v>
      </c>
      <c r="H14" s="239">
        <f>'Respondent Burden'!I55</f>
        <v>262123.73095108912</v>
      </c>
      <c r="I14" s="239">
        <f>'Respondent Burden'!M55</f>
        <v>18926.542281405229</v>
      </c>
      <c r="J14" s="239">
        <f>'Respondent Burden'!P55</f>
        <v>18832.649276049051</v>
      </c>
      <c r="K14" s="239">
        <f>'Respondent Burden'!S55</f>
        <v>18624.58088336686</v>
      </c>
      <c r="L14" s="237">
        <f>'Respondent Burden'!N55</f>
        <v>1981325.0787289063</v>
      </c>
      <c r="M14" s="237">
        <f>'Respondent Burden'!Q55</f>
        <v>1971495.8894631949</v>
      </c>
      <c r="N14" s="237">
        <f>'Respondent Burden'!T55</f>
        <v>1949714.2497752598</v>
      </c>
    </row>
    <row r="15" spans="1:26" ht="15" thickBot="1">
      <c r="B15" s="436"/>
      <c r="C15" s="443"/>
      <c r="D15" s="442"/>
      <c r="E15" s="236" t="s">
        <v>253</v>
      </c>
      <c r="F15" s="239">
        <f>'Respondent Burden'!G56</f>
        <v>206610.87533999365</v>
      </c>
      <c r="G15" s="239">
        <f>'Respondent Burden'!H56</f>
        <v>207942.65585833509</v>
      </c>
      <c r="H15" s="239">
        <f>'Respondent Burden'!I56</f>
        <v>208893.40253037785</v>
      </c>
      <c r="I15" s="239">
        <f>'Respondent Burden'!M56</f>
        <v>14680.246405736392</v>
      </c>
      <c r="J15" s="239">
        <f>'Respondent Burden'!P56</f>
        <v>14774.872916250124</v>
      </c>
      <c r="K15" s="239">
        <f>'Respondent Burden'!S56</f>
        <v>14842.425969263692</v>
      </c>
      <c r="L15" s="237">
        <f>'Respondent Burden'!N56</f>
        <v>1536801.5949845142</v>
      </c>
      <c r="M15" s="237">
        <f>'Respondent Burden'!Q56</f>
        <v>1546707.5712376442</v>
      </c>
      <c r="N15" s="237">
        <f>'Respondent Burden'!T56</f>
        <v>1553779.3625923696</v>
      </c>
    </row>
    <row r="16" spans="1:26" ht="48.75" customHeight="1" thickBot="1">
      <c r="B16" s="436"/>
      <c r="C16" s="443"/>
      <c r="D16" s="441" t="s">
        <v>254</v>
      </c>
      <c r="E16" s="236" t="s">
        <v>252</v>
      </c>
      <c r="F16" s="239">
        <f>'Respondent Burden'!G57</f>
        <v>24850</v>
      </c>
      <c r="G16" s="239">
        <f>'Respondent Burden'!H57</f>
        <v>24726.721212548509</v>
      </c>
      <c r="H16" s="239">
        <f>'Respondent Burden'!I57</f>
        <v>24453.533459536047</v>
      </c>
      <c r="I16" s="239">
        <f>'Respondent Burden'!M57</f>
        <v>621.25</v>
      </c>
      <c r="J16" s="239">
        <f>'Respondent Burden'!P57</f>
        <v>618.16803031371273</v>
      </c>
      <c r="K16" s="239">
        <f>'Respondent Burden'!S57</f>
        <v>611.33833648840118</v>
      </c>
      <c r="L16" s="237">
        <f>'Respondent Burden'!N57</f>
        <v>65035.556250000001</v>
      </c>
      <c r="M16" s="237">
        <f>'Respondent Burden'!Q57</f>
        <v>64712.920253391021</v>
      </c>
      <c r="N16" s="237">
        <f>'Respondent Burden'!T57</f>
        <v>63997.953755288276</v>
      </c>
    </row>
    <row r="17" spans="2:14" ht="15" thickBot="1">
      <c r="B17" s="436"/>
      <c r="C17" s="443"/>
      <c r="D17" s="442"/>
      <c r="E17" s="236" t="s">
        <v>253</v>
      </c>
      <c r="F17" s="239">
        <f>'Respondent Burden'!G58</f>
        <v>13734.516552524985</v>
      </c>
      <c r="G17" s="239">
        <f>'Respondent Burden'!H58</f>
        <v>13823.047040300087</v>
      </c>
      <c r="H17" s="239">
        <f>'Respondent Burden'!I58</f>
        <v>13886.248195045409</v>
      </c>
      <c r="I17" s="239">
        <f>'Respondent Burden'!M58</f>
        <v>343.36291381312463</v>
      </c>
      <c r="J17" s="239">
        <f>'Respondent Burden'!P58</f>
        <v>345.57617600750223</v>
      </c>
      <c r="K17" s="239">
        <f>'Respondent Burden'!S58</f>
        <v>347.15620487613523</v>
      </c>
      <c r="L17" s="237">
        <f>'Respondent Burden'!N58</f>
        <v>35944.946632526953</v>
      </c>
      <c r="M17" s="237">
        <f>'Respondent Burden'!Q58</f>
        <v>36176.64198534537</v>
      </c>
      <c r="N17" s="237">
        <f>'Respondent Burden'!T58</f>
        <v>36342.047307458219</v>
      </c>
    </row>
    <row r="18" spans="2:14" ht="15" thickBot="1">
      <c r="B18" s="436"/>
      <c r="C18" s="443"/>
      <c r="D18" s="441" t="s">
        <v>385</v>
      </c>
      <c r="E18" s="236" t="s">
        <v>252</v>
      </c>
      <c r="F18" s="239">
        <f>'Respondent Burden'!G59</f>
        <v>2663.7355803459213</v>
      </c>
      <c r="G18" s="239">
        <f>'Respondent Burden'!H59</f>
        <v>2650.5210092217185</v>
      </c>
      <c r="H18" s="239">
        <f>'Respondent Burden'!I59</f>
        <v>2621.2373095108915</v>
      </c>
      <c r="I18" s="239">
        <f>'Respondent Burden'!M59</f>
        <v>66.593389508648031</v>
      </c>
      <c r="J18" s="239">
        <f>'Respondent Burden'!P59</f>
        <v>66.263025230542965</v>
      </c>
      <c r="K18" s="239">
        <f>'Respondent Burden'!S59</f>
        <v>65.530932737772289</v>
      </c>
      <c r="L18" s="237">
        <f>'Respondent Burden'!N59</f>
        <v>6971.3289807128194</v>
      </c>
      <c r="M18" s="237">
        <f>'Respondent Burden'!Q59</f>
        <v>6936.7447962593906</v>
      </c>
      <c r="N18" s="237">
        <f>'Respondent Burden'!T59</f>
        <v>6860.1056936536925</v>
      </c>
    </row>
    <row r="19" spans="2:14" ht="15" thickBot="1">
      <c r="B19" s="436"/>
      <c r="C19" s="443"/>
      <c r="D19" s="442"/>
      <c r="E19" s="236" t="s">
        <v>253</v>
      </c>
      <c r="F19" s="239">
        <f>'Respondent Burden'!G60</f>
        <v>2066.1087533999366</v>
      </c>
      <c r="G19" s="239">
        <f>'Respondent Burden'!H60</f>
        <v>2079.4265585833509</v>
      </c>
      <c r="H19" s="239">
        <f>'Respondent Burden'!I60</f>
        <v>2088.9340253037785</v>
      </c>
      <c r="I19" s="239">
        <f>'Respondent Burden'!M60</f>
        <v>51.652718834998417</v>
      </c>
      <c r="J19" s="239">
        <f>'Respondent Burden'!P60</f>
        <v>51.985663964583779</v>
      </c>
      <c r="K19" s="239">
        <f>'Respondent Burden'!S60</f>
        <v>52.223350632594467</v>
      </c>
      <c r="L19" s="237">
        <f>'Respondent Burden'!N60</f>
        <v>5407.2648712418095</v>
      </c>
      <c r="M19" s="237">
        <f>'Respondent Burden'!Q60</f>
        <v>5442.1192321324534</v>
      </c>
      <c r="N19" s="237">
        <f>'Respondent Burden'!T60</f>
        <v>5467.0014609731516</v>
      </c>
    </row>
    <row r="20" spans="2:14" ht="60.75" customHeight="1" thickBot="1">
      <c r="B20" s="436"/>
      <c r="C20" s="443"/>
      <c r="D20" s="441" t="s">
        <v>179</v>
      </c>
      <c r="E20" s="236" t="s">
        <v>252</v>
      </c>
      <c r="F20" s="239">
        <f>'Respondent Burden'!G61</f>
        <v>2002.5061755654967</v>
      </c>
      <c r="G20" s="239">
        <f>'Respondent Burden'!H61</f>
        <v>1992.5719086364088</v>
      </c>
      <c r="H20" s="239">
        <f>'Respondent Burden'!I61</f>
        <v>1970.5574151757924</v>
      </c>
      <c r="I20" s="239">
        <f>'Respondent Burden'!M61</f>
        <v>16020.049404523974</v>
      </c>
      <c r="J20" s="239">
        <f>'Respondent Burden'!P61</f>
        <v>15940.57526909127</v>
      </c>
      <c r="K20" s="239">
        <f>'Respondent Burden'!S61</f>
        <v>15764.459321406339</v>
      </c>
      <c r="L20" s="237">
        <f>'Respondent Burden'!N61</f>
        <v>1677058.8719125923</v>
      </c>
      <c r="M20" s="237">
        <f>'Respondent Burden'!Q61</f>
        <v>1668739.1220448196</v>
      </c>
      <c r="N20" s="237">
        <f>'Respondent Burden'!T61</f>
        <v>1650302.4240614227</v>
      </c>
    </row>
    <row r="21" spans="2:14" ht="15" thickBot="1">
      <c r="B21" s="436"/>
      <c r="C21" s="443"/>
      <c r="D21" s="442"/>
      <c r="E21" s="236" t="s">
        <v>253</v>
      </c>
      <c r="F21" s="239">
        <f>'Respondent Burden'!G62</f>
        <v>1544.9622303145795</v>
      </c>
      <c r="G21" s="239">
        <f>'Respondent Burden'!H62</f>
        <v>1554.9208087123545</v>
      </c>
      <c r="H21" s="239">
        <f>'Respondent Burden'!I62</f>
        <v>1562.030152286289</v>
      </c>
      <c r="I21" s="239">
        <f>'Respondent Burden'!M62</f>
        <v>12359.697842516636</v>
      </c>
      <c r="J21" s="239">
        <f>'Respondent Burden'!P62</f>
        <v>12439.366469698836</v>
      </c>
      <c r="K21" s="239">
        <f>'Respondent Burden'!S62</f>
        <v>12496.241218290312</v>
      </c>
      <c r="L21" s="237">
        <f>'Respondent Burden'!N62</f>
        <v>1293874.9686438541</v>
      </c>
      <c r="M21" s="237">
        <f>'Respondent Burden'!Q62</f>
        <v>1302215.0788804227</v>
      </c>
      <c r="N21" s="237">
        <f>'Respondent Burden'!T62</f>
        <v>1308169.0119367214</v>
      </c>
    </row>
    <row r="22" spans="2:14" ht="252.75" customHeight="1" thickBot="1">
      <c r="B22" s="436"/>
      <c r="C22" s="443"/>
      <c r="D22" s="441" t="s">
        <v>180</v>
      </c>
      <c r="E22" s="236" t="s">
        <v>252</v>
      </c>
      <c r="F22" s="239">
        <f>'Respondent Burden'!G63</f>
        <v>40.050123511309934</v>
      </c>
      <c r="G22" s="239">
        <f>'Respondent Burden'!H63</f>
        <v>39.851438172728173</v>
      </c>
      <c r="H22" s="239">
        <f>'Respondent Burden'!I63</f>
        <v>39.411148303515844</v>
      </c>
      <c r="I22" s="248">
        <f>'Respondent Burden'!M63</f>
        <v>1.0012530877827484</v>
      </c>
      <c r="J22" s="248">
        <f>'Respondent Burden'!P63</f>
        <v>0.99628595431820433</v>
      </c>
      <c r="K22" s="248">
        <f>'Respondent Burden'!S63</f>
        <v>0.98527870758789615</v>
      </c>
      <c r="L22" s="237">
        <f>'Respondent Burden'!N63</f>
        <v>104.81617949453701</v>
      </c>
      <c r="M22" s="237">
        <f>'Respondent Burden'!Q63</f>
        <v>104.29619512780123</v>
      </c>
      <c r="N22" s="237">
        <f>'Respondent Burden'!T63</f>
        <v>103.1439015038389</v>
      </c>
    </row>
    <row r="23" spans="2:14" ht="15" thickBot="1">
      <c r="B23" s="436"/>
      <c r="C23" s="443"/>
      <c r="D23" s="442"/>
      <c r="E23" s="236" t="s">
        <v>253</v>
      </c>
      <c r="F23" s="239">
        <f>'Respondent Burden'!G64</f>
        <v>30.899244606291592</v>
      </c>
      <c r="G23" s="239">
        <f>'Respondent Burden'!H64</f>
        <v>31.098416174247092</v>
      </c>
      <c r="H23" s="239">
        <f>'Respondent Burden'!I64</f>
        <v>31.240603045725784</v>
      </c>
      <c r="I23" s="248">
        <f>'Respondent Burden'!M64</f>
        <v>0.7724811151572899</v>
      </c>
      <c r="J23" s="248">
        <f>'Respondent Burden'!P64</f>
        <v>0.77746040435617736</v>
      </c>
      <c r="K23" s="248">
        <f>'Respondent Burden'!S64</f>
        <v>0.78101507614314469</v>
      </c>
      <c r="L23" s="237">
        <f>'Respondent Burden'!N64</f>
        <v>80.867185540240897</v>
      </c>
      <c r="M23" s="237">
        <f>'Respondent Burden'!Q64</f>
        <v>81.38844243002643</v>
      </c>
      <c r="N23" s="237">
        <f>'Respondent Burden'!T64</f>
        <v>81.760563246045109</v>
      </c>
    </row>
    <row r="24" spans="2:14" ht="120.75" customHeight="1" thickBot="1">
      <c r="B24" s="436"/>
      <c r="C24" s="443"/>
      <c r="D24" s="441" t="s">
        <v>181</v>
      </c>
      <c r="E24" s="236" t="s">
        <v>252</v>
      </c>
      <c r="F24" s="239">
        <f>'Respondent Burden'!G65</f>
        <v>3.7476632740868223</v>
      </c>
      <c r="G24" s="239">
        <f>'Respondent Burden'!H65</f>
        <v>3.7290714276399042</v>
      </c>
      <c r="H24" s="239">
        <f>'Respondent Burden'!I65</f>
        <v>3.6878716003201815</v>
      </c>
      <c r="I24" s="248">
        <f>'Respondent Burden'!M65</f>
        <v>9.3691581852170566E-2</v>
      </c>
      <c r="J24" s="248">
        <f>'Respondent Burden'!P65</f>
        <v>9.3226785690997613E-2</v>
      </c>
      <c r="K24" s="248">
        <f>'Respondent Burden'!S65</f>
        <v>9.2196790008004542E-2</v>
      </c>
      <c r="L24" s="237">
        <f>'Respondent Burden'!N65</f>
        <v>9.8081032461944755</v>
      </c>
      <c r="M24" s="237">
        <f>'Respondent Burden'!Q65</f>
        <v>9.7594460600620856</v>
      </c>
      <c r="N24" s="237">
        <f>'Respondent Burden'!T65</f>
        <v>9.6516209619879554</v>
      </c>
    </row>
    <row r="25" spans="2:14" ht="15" thickBot="1">
      <c r="B25" s="436"/>
      <c r="C25" s="443"/>
      <c r="D25" s="442"/>
      <c r="E25" s="236" t="s">
        <v>253</v>
      </c>
      <c r="F25" s="239">
        <f>'Respondent Burden'!G66</f>
        <v>3.7476632740868223</v>
      </c>
      <c r="G25" s="239">
        <f>'Respondent Burden'!H66</f>
        <v>3.7718201096334476</v>
      </c>
      <c r="H25" s="239">
        <f>'Respondent Burden'!I66</f>
        <v>3.7890654670228474</v>
      </c>
      <c r="I25" s="248">
        <f>'Respondent Burden'!M66</f>
        <v>9.3691581852170566E-2</v>
      </c>
      <c r="J25" s="248">
        <f>'Respondent Burden'!P66</f>
        <v>9.4295502740836201E-2</v>
      </c>
      <c r="K25" s="248">
        <f>'Respondent Burden'!S66</f>
        <v>9.4726636675571185E-2</v>
      </c>
      <c r="L25" s="237">
        <f>'Respondent Burden'!N66</f>
        <v>9.8081032461944755</v>
      </c>
      <c r="M25" s="237">
        <f>'Respondent Burden'!Q66</f>
        <v>9.8713247044244383</v>
      </c>
      <c r="N25" s="237">
        <f>'Respondent Burden'!T66</f>
        <v>9.9164579603821696</v>
      </c>
    </row>
    <row r="26" spans="2:14" ht="120.75" customHeight="1" thickBot="1">
      <c r="B26" s="436"/>
      <c r="C26" s="443"/>
      <c r="D26" s="441" t="s">
        <v>255</v>
      </c>
      <c r="E26" s="236" t="s">
        <v>252</v>
      </c>
      <c r="F26" s="239">
        <f>'Respondent Burden'!G67</f>
        <v>200250.61755654967</v>
      </c>
      <c r="G26" s="239">
        <f>'Respondent Burden'!H67</f>
        <v>199257.19086364086</v>
      </c>
      <c r="H26" s="239">
        <f>'Respondent Burden'!I67</f>
        <v>197055.74151757921</v>
      </c>
      <c r="I26" s="239">
        <f>'Respondent Burden'!M67</f>
        <v>5006.2654389137424</v>
      </c>
      <c r="J26" s="239">
        <f>'Respondent Burden'!P67</f>
        <v>4981.4297715910216</v>
      </c>
      <c r="K26" s="239">
        <f>'Respondent Burden'!S67</f>
        <v>4926.3935379394807</v>
      </c>
      <c r="L26" s="237">
        <f>'Respondent Burden'!N67</f>
        <v>524080.89747268514</v>
      </c>
      <c r="M26" s="237">
        <f>'Respondent Burden'!Q67</f>
        <v>521480.97563900612</v>
      </c>
      <c r="N26" s="237">
        <f>'Respondent Burden'!T67</f>
        <v>515719.50751919457</v>
      </c>
    </row>
    <row r="27" spans="2:14" ht="15" thickBot="1">
      <c r="B27" s="436"/>
      <c r="C27" s="443"/>
      <c r="D27" s="442"/>
      <c r="E27" s="236" t="s">
        <v>253</v>
      </c>
      <c r="F27" s="239">
        <f>'Respondent Burden'!G68</f>
        <v>154496.22303145795</v>
      </c>
      <c r="G27" s="239">
        <f>'Respondent Burden'!H68</f>
        <v>155492.08087123546</v>
      </c>
      <c r="H27" s="239">
        <f>'Respondent Burden'!I68</f>
        <v>156203.01522862891</v>
      </c>
      <c r="I27" s="239">
        <f>'Respondent Burden'!M68</f>
        <v>3862.4055757864489</v>
      </c>
      <c r="J27" s="239">
        <f>'Respondent Burden'!P68</f>
        <v>3887.3020217808867</v>
      </c>
      <c r="K27" s="239">
        <f>'Respondent Burden'!S68</f>
        <v>3905.075380715723</v>
      </c>
      <c r="L27" s="237">
        <f>'Respondent Burden'!N68</f>
        <v>404335.92770120443</v>
      </c>
      <c r="M27" s="237">
        <f>'Respondent Burden'!Q68</f>
        <v>406942.21215013211</v>
      </c>
      <c r="N27" s="237">
        <f>'Respondent Burden'!T68</f>
        <v>408802.81623022549</v>
      </c>
    </row>
    <row r="28" spans="2:14" ht="46.5" thickBot="1">
      <c r="B28" s="436"/>
      <c r="C28" s="443"/>
      <c r="D28" s="236" t="s">
        <v>104</v>
      </c>
      <c r="E28" s="236" t="s">
        <v>106</v>
      </c>
      <c r="F28" s="239">
        <f>'Respondent Burden'!G69</f>
        <v>76935.151524672547</v>
      </c>
      <c r="G28" s="239">
        <f>'Respondent Burden'!H69</f>
        <v>77431.063154723946</v>
      </c>
      <c r="H28" s="239">
        <f>'Respondent Burden'!I69</f>
        <v>77785.090207534318</v>
      </c>
      <c r="I28" s="239">
        <f>'Respondent Burden'!M69</f>
        <v>5129.0101016448361</v>
      </c>
      <c r="J28" s="239">
        <f>'Respondent Burden'!P69</f>
        <v>5162.0708769815965</v>
      </c>
      <c r="K28" s="239">
        <f>'Respondent Burden'!S69</f>
        <v>5185.6726805022881</v>
      </c>
      <c r="L28" s="237">
        <f>'Respondent Burden'!N69</f>
        <v>536930.42249068967</v>
      </c>
      <c r="M28" s="237">
        <f>'Respondent Burden'!Q69</f>
        <v>540391.38975681842</v>
      </c>
      <c r="N28" s="237">
        <f>'Respondent Burden'!T69</f>
        <v>542862.14455838199</v>
      </c>
    </row>
    <row r="29" spans="2:14" ht="48.75" customHeight="1" thickBot="1">
      <c r="B29" s="436"/>
      <c r="C29" s="443"/>
      <c r="D29" s="441" t="s">
        <v>105</v>
      </c>
      <c r="E29" s="236" t="s">
        <v>252</v>
      </c>
      <c r="F29" s="239">
        <f>'Respondent Burden'!G70</f>
        <v>200250.61755654967</v>
      </c>
      <c r="G29" s="239">
        <f>'Respondent Burden'!H70</f>
        <v>199257.19086364086</v>
      </c>
      <c r="H29" s="239">
        <f>'Respondent Burden'!I70</f>
        <v>197055.74151757921</v>
      </c>
      <c r="I29" s="239">
        <f>'Respondent Burden'!M70</f>
        <v>3337.5102926091608</v>
      </c>
      <c r="J29" s="239">
        <f>'Respondent Burden'!P70</f>
        <v>3320.9531810606809</v>
      </c>
      <c r="K29" s="239">
        <f>'Respondent Burden'!S70</f>
        <v>3284.2623586263203</v>
      </c>
      <c r="L29" s="237">
        <f>'Respondent Burden'!N70</f>
        <v>349387.26498179004</v>
      </c>
      <c r="M29" s="237">
        <f>'Respondent Burden'!Q70</f>
        <v>347653.9837593374</v>
      </c>
      <c r="N29" s="237">
        <f>'Respondent Burden'!T70</f>
        <v>343813.00501279632</v>
      </c>
    </row>
    <row r="30" spans="2:14" ht="15" thickBot="1">
      <c r="B30" s="436"/>
      <c r="C30" s="443"/>
      <c r="D30" s="442"/>
      <c r="E30" s="236" t="s">
        <v>253</v>
      </c>
      <c r="F30" s="239">
        <f>'Respondent Burden'!G71</f>
        <v>135262.43515028982</v>
      </c>
      <c r="G30" s="239">
        <f>'Respondent Burden'!H71</f>
        <v>136134.31508255447</v>
      </c>
      <c r="H30" s="239">
        <f>'Respondent Burden'!I71</f>
        <v>136756.74267674531</v>
      </c>
      <c r="I30" s="239">
        <f>'Respondent Burden'!M71</f>
        <v>2254.3739191714972</v>
      </c>
      <c r="J30" s="239">
        <f>'Respondent Burden'!P71</f>
        <v>2268.9052513759079</v>
      </c>
      <c r="K30" s="239">
        <f>'Respondent Burden'!S71</f>
        <v>2279.2790446124218</v>
      </c>
      <c r="L30" s="237">
        <f>'Respondent Burden'!N71</f>
        <v>235999.13372846818</v>
      </c>
      <c r="M30" s="237">
        <f>'Respondent Burden'!Q71</f>
        <v>237520.34624028692</v>
      </c>
      <c r="N30" s="237">
        <f>'Respondent Burden'!T71</f>
        <v>238606.32678525138</v>
      </c>
    </row>
    <row r="31" spans="2:14" ht="132.75" customHeight="1" thickBot="1">
      <c r="B31" s="436"/>
      <c r="C31" s="443"/>
      <c r="D31" s="441" t="s">
        <v>195</v>
      </c>
      <c r="E31" s="236" t="s">
        <v>252</v>
      </c>
      <c r="F31" s="239">
        <f>'Respondent Burden'!G72</f>
        <v>581.27901653174922</v>
      </c>
      <c r="G31" s="239">
        <f>'Respondent Burden'!H72</f>
        <v>578.39533957685865</v>
      </c>
      <c r="H31" s="239">
        <f>'Respondent Burden'!I72</f>
        <v>572.00506559699534</v>
      </c>
      <c r="I31" s="238">
        <f>'Respondent Burden'!M72</f>
        <v>9.6879836088624867</v>
      </c>
      <c r="J31" s="238">
        <f>'Respondent Burden'!P72</f>
        <v>9.6399223262809777</v>
      </c>
      <c r="K31" s="238">
        <f>'Respondent Burden'!S72</f>
        <v>9.5334177599499217</v>
      </c>
      <c r="L31" s="237">
        <f>'Respondent Burden'!N72</f>
        <v>1014.1865640937694</v>
      </c>
      <c r="M31" s="237">
        <f>'Respondent Burden'!Q72</f>
        <v>1009.1552687267242</v>
      </c>
      <c r="N31" s="237">
        <f>'Respondent Burden'!T72</f>
        <v>998.00583820035763</v>
      </c>
    </row>
    <row r="32" spans="2:14" ht="15" thickBot="1">
      <c r="B32" s="436"/>
      <c r="C32" s="443"/>
      <c r="D32" s="442"/>
      <c r="E32" s="236" t="s">
        <v>253</v>
      </c>
      <c r="F32" s="239">
        <f>'Respondent Burden'!G73</f>
        <v>508.36393122893372</v>
      </c>
      <c r="G32" s="239">
        <f>'Respondent Burden'!H73</f>
        <v>511.64076348049872</v>
      </c>
      <c r="H32" s="239">
        <f>'Respondent Burden'!I73</f>
        <v>513.98006587688587</v>
      </c>
      <c r="I32" s="238">
        <f>'Respondent Burden'!M73</f>
        <v>8.4727321871488961</v>
      </c>
      <c r="J32" s="238">
        <f>'Respondent Burden'!P73</f>
        <v>8.5273460580083125</v>
      </c>
      <c r="K32" s="238">
        <f>'Respondent Burden'!S73</f>
        <v>8.5663344312814313</v>
      </c>
      <c r="L32" s="237">
        <f>'Respondent Burden'!N73</f>
        <v>886.96796901168216</v>
      </c>
      <c r="M32" s="237">
        <f>'Respondent Burden'!Q73</f>
        <v>892.68522208260026</v>
      </c>
      <c r="N32" s="237">
        <f>'Respondent Burden'!T73</f>
        <v>896.76671993869661</v>
      </c>
    </row>
    <row r="33" spans="2:14" ht="368.5" thickBot="1">
      <c r="B33" s="436"/>
      <c r="C33" s="442"/>
      <c r="D33" s="236" t="s">
        <v>256</v>
      </c>
      <c r="E33" s="236" t="s">
        <v>182</v>
      </c>
      <c r="F33" s="239">
        <f>'Respondent Burden'!G74</f>
        <v>147.40551984681304</v>
      </c>
      <c r="G33" s="239">
        <f>'Respondent Burden'!H74</f>
        <v>11048.664527113719</v>
      </c>
      <c r="H33" s="239">
        <f>'Respondent Burden'!I74</f>
        <v>66.55866529326795</v>
      </c>
      <c r="I33" s="239">
        <f>'Respondent Burden'!M74</f>
        <v>2.4567586641135506</v>
      </c>
      <c r="J33" s="239">
        <f>'Respondent Burden'!P74</f>
        <v>184.14440878522865</v>
      </c>
      <c r="K33" s="239">
        <f>'Respondent Burden'!S74</f>
        <v>1.1093110882211326</v>
      </c>
      <c r="L33" s="237">
        <f>'Respondent Burden'!N74</f>
        <v>257.18578075272706</v>
      </c>
      <c r="M33" s="237">
        <f>'Respondent Burden'!Q74</f>
        <v>19277.157433681663</v>
      </c>
      <c r="N33" s="237">
        <f>'Respondent Burden'!T74</f>
        <v>116.12823127042927</v>
      </c>
    </row>
    <row r="34" spans="2:14" ht="120.75" customHeight="1" thickBot="1">
      <c r="B34" s="436"/>
      <c r="C34" s="441" t="s">
        <v>257</v>
      </c>
      <c r="D34" s="441" t="s">
        <v>235</v>
      </c>
      <c r="E34" s="236" t="s">
        <v>252</v>
      </c>
      <c r="F34" s="239">
        <f>'Respondent Burden'!G75</f>
        <v>300000</v>
      </c>
      <c r="G34" s="239">
        <f>'Respondent Burden'!H75</f>
        <v>298511.72489998199</v>
      </c>
      <c r="H34" s="239">
        <f>'Respondent Burden'!I75</f>
        <v>295213.68361612933</v>
      </c>
      <c r="I34" s="239">
        <f>'Respondent Burden'!M75</f>
        <v>3337.5102926091608</v>
      </c>
      <c r="J34" s="239">
        <f>'Respondent Burden'!P75</f>
        <v>3320.9531810606809</v>
      </c>
      <c r="K34" s="239">
        <f>'Respondent Burden'!S75</f>
        <v>3284.2623586263203</v>
      </c>
      <c r="L34" s="237">
        <f>'Respondent Burden'!N75</f>
        <v>193091.65797890301</v>
      </c>
      <c r="M34" s="237">
        <f>'Respondent Burden'!Q75</f>
        <v>192133.7462902657</v>
      </c>
      <c r="N34" s="237">
        <f>'Respondent Burden'!T75</f>
        <v>190010.99875832576</v>
      </c>
    </row>
    <row r="35" spans="2:14" ht="15" thickBot="1">
      <c r="B35" s="436"/>
      <c r="C35" s="443"/>
      <c r="D35" s="442"/>
      <c r="E35" s="236" t="s">
        <v>253</v>
      </c>
      <c r="F35" s="239">
        <f>'Respondent Burden'!G76</f>
        <v>300000</v>
      </c>
      <c r="G35" s="239">
        <f>'Respondent Burden'!H76</f>
        <v>301933.75181652448</v>
      </c>
      <c r="H35" s="239">
        <f>'Respondent Burden'!I76</f>
        <v>303314.24062740378</v>
      </c>
      <c r="I35" s="239">
        <f>'Respondent Burden'!M76</f>
        <v>2574.9370505242991</v>
      </c>
      <c r="J35" s="239">
        <f>'Respondent Burden'!P76</f>
        <v>2591.5346811872578</v>
      </c>
      <c r="K35" s="239">
        <f>'Respondent Burden'!S76</f>
        <v>2603.3835871438155</v>
      </c>
      <c r="L35" s="237">
        <f>'Respondent Burden'!N76</f>
        <v>148972.98305808334</v>
      </c>
      <c r="M35" s="237">
        <f>'Respondent Burden'!Q76</f>
        <v>149933.23898008882</v>
      </c>
      <c r="N35" s="237">
        <f>'Respondent Burden'!T76</f>
        <v>150618.75743420544</v>
      </c>
    </row>
    <row r="36" spans="2:14" ht="192.75" customHeight="1" thickBot="1">
      <c r="B36" s="436"/>
      <c r="C36" s="443"/>
      <c r="D36" s="441" t="s">
        <v>238</v>
      </c>
      <c r="E36" s="236" t="s">
        <v>252</v>
      </c>
      <c r="F36" s="239">
        <f>'Respondent Burden'!G77</f>
        <v>300000</v>
      </c>
      <c r="G36" s="239">
        <f>'Respondent Burden'!H77</f>
        <v>298511.72489998199</v>
      </c>
      <c r="H36" s="239">
        <f>'Respondent Burden'!I77</f>
        <v>295213.68361612933</v>
      </c>
      <c r="I36" s="239">
        <f>'Respondent Burden'!M77</f>
        <v>3337.5102926091608</v>
      </c>
      <c r="J36" s="239">
        <f>'Respondent Burden'!P77</f>
        <v>3320.9531810606809</v>
      </c>
      <c r="K36" s="239">
        <f>'Respondent Burden'!S77</f>
        <v>3284.2623586263203</v>
      </c>
      <c r="L36" s="237">
        <f>'Respondent Burden'!N77</f>
        <v>193091.65797890301</v>
      </c>
      <c r="M36" s="237">
        <f>'Respondent Burden'!Q77</f>
        <v>192133.7462902657</v>
      </c>
      <c r="N36" s="237">
        <f>'Respondent Burden'!T77</f>
        <v>190010.99875832576</v>
      </c>
    </row>
    <row r="37" spans="2:14" ht="15" thickBot="1">
      <c r="B37" s="436"/>
      <c r="C37" s="443"/>
      <c r="D37" s="442"/>
      <c r="E37" s="236" t="s">
        <v>253</v>
      </c>
      <c r="F37" s="239">
        <f>'Respondent Burden'!G78</f>
        <v>300000</v>
      </c>
      <c r="G37" s="239">
        <f>'Respondent Burden'!H78</f>
        <v>301933.75181652448</v>
      </c>
      <c r="H37" s="239">
        <f>'Respondent Burden'!I78</f>
        <v>303314.24062740378</v>
      </c>
      <c r="I37" s="239">
        <f>'Respondent Burden'!M78</f>
        <v>2574.9370505242991</v>
      </c>
      <c r="J37" s="239">
        <f>'Respondent Burden'!P78</f>
        <v>2591.5346811872578</v>
      </c>
      <c r="K37" s="239">
        <f>'Respondent Burden'!S78</f>
        <v>2603.3835871438155</v>
      </c>
      <c r="L37" s="237">
        <f>'Respondent Burden'!N78</f>
        <v>148972.98305808334</v>
      </c>
      <c r="M37" s="237">
        <f>'Respondent Burden'!Q78</f>
        <v>149933.23898008882</v>
      </c>
      <c r="N37" s="237">
        <f>'Respondent Burden'!T78</f>
        <v>150618.75743420544</v>
      </c>
    </row>
    <row r="38" spans="2:14" ht="120.75" customHeight="1" thickBot="1">
      <c r="B38" s="436"/>
      <c r="C38" s="443"/>
      <c r="D38" s="441" t="s">
        <v>258</v>
      </c>
      <c r="E38" s="236" t="s">
        <v>252</v>
      </c>
      <c r="F38" s="239">
        <f>'Respondent Burden'!G79</f>
        <v>300000</v>
      </c>
      <c r="G38" s="239">
        <f>'Respondent Burden'!H79</f>
        <v>298511.72489998199</v>
      </c>
      <c r="H38" s="239">
        <f>'Respondent Burden'!I79</f>
        <v>295213.68361612933</v>
      </c>
      <c r="I38" s="239">
        <f>'Respondent Burden'!M79</f>
        <v>25235.389708540308</v>
      </c>
      <c r="J38" s="239">
        <f>'Respondent Burden'!P79</f>
        <v>25110.199034732068</v>
      </c>
      <c r="K38" s="239">
        <f>'Respondent Burden'!S79</f>
        <v>24832.774511155814</v>
      </c>
      <c r="L38" s="237">
        <f>'Respondent Burden'!N79</f>
        <v>1459993.4715875997</v>
      </c>
      <c r="M38" s="237">
        <f>'Respondent Burden'!Q79</f>
        <v>1452750.5651544239</v>
      </c>
      <c r="N38" s="237">
        <f>'Respondent Burden'!T79</f>
        <v>1436700.1693429197</v>
      </c>
    </row>
    <row r="39" spans="2:14" ht="15" thickBot="1">
      <c r="B39" s="436"/>
      <c r="C39" s="443"/>
      <c r="D39" s="443"/>
      <c r="E39" s="341" t="s">
        <v>253</v>
      </c>
      <c r="F39" s="340">
        <f>'Respondent Burden'!G80</f>
        <v>300000</v>
      </c>
      <c r="G39" s="340">
        <f>'Respondent Burden'!H80</f>
        <v>301933.75181652448</v>
      </c>
      <c r="H39" s="340">
        <f>'Respondent Burden'!I80</f>
        <v>303314.24062740378</v>
      </c>
      <c r="I39" s="340">
        <f>'Respondent Burden'!M80</f>
        <v>19573.661874315188</v>
      </c>
      <c r="J39" s="340">
        <f>'Respondent Burden'!P80</f>
        <v>19699.830555000168</v>
      </c>
      <c r="K39" s="340">
        <f>'Respondent Burden'!S80</f>
        <v>19789.901292351587</v>
      </c>
      <c r="L39" s="339">
        <f>'Respondent Burden'!N80</f>
        <v>1132434.2077385052</v>
      </c>
      <c r="M39" s="339">
        <f>'Respondent Burden'!Q80</f>
        <v>1139733.6967595348</v>
      </c>
      <c r="N39" s="339">
        <f>'Respondent Burden'!T80</f>
        <v>1144944.7392690012</v>
      </c>
    </row>
    <row r="40" spans="2:14" ht="48.75" customHeight="1" thickBot="1">
      <c r="B40" s="430" t="s">
        <v>190</v>
      </c>
      <c r="C40" s="430" t="s">
        <v>259</v>
      </c>
      <c r="D40" s="333" t="s">
        <v>260</v>
      </c>
      <c r="E40" s="430" t="s">
        <v>261</v>
      </c>
      <c r="F40" s="338">
        <f>'Respondent Burden'!G81</f>
        <v>20</v>
      </c>
      <c r="G40" s="338">
        <f>'Respondent Burden'!H81</f>
        <v>20</v>
      </c>
      <c r="H40" s="338">
        <f>'Respondent Burden'!I81</f>
        <v>20</v>
      </c>
      <c r="I40" s="338">
        <f>'Respondent Burden'!M81</f>
        <v>188</v>
      </c>
      <c r="J40" s="338">
        <f>'Respondent Burden'!P81</f>
        <v>188</v>
      </c>
      <c r="K40" s="338">
        <f>'Respondent Burden'!S81</f>
        <v>188</v>
      </c>
      <c r="L40" s="336">
        <f>'Respondent Burden'!N81</f>
        <v>19680.78</v>
      </c>
      <c r="M40" s="336">
        <f>'Respondent Burden'!Q81</f>
        <v>19680.78</v>
      </c>
      <c r="N40" s="336">
        <f>'Respondent Burden'!T81</f>
        <v>19680.78</v>
      </c>
    </row>
    <row r="41" spans="2:14" ht="23.5" thickBot="1">
      <c r="B41" s="430"/>
      <c r="C41" s="430"/>
      <c r="D41" s="333" t="s">
        <v>262</v>
      </c>
      <c r="E41" s="430"/>
      <c r="F41" s="338">
        <f>'Respondent Burden'!G82</f>
        <v>20</v>
      </c>
      <c r="G41" s="338">
        <f>'Respondent Burden'!H82</f>
        <v>20</v>
      </c>
      <c r="H41" s="338">
        <f>'Respondent Burden'!I82</f>
        <v>20</v>
      </c>
      <c r="I41" s="338">
        <f>'Respondent Burden'!M82</f>
        <v>800</v>
      </c>
      <c r="J41" s="338">
        <f>'Respondent Burden'!P82</f>
        <v>800</v>
      </c>
      <c r="K41" s="338">
        <f>'Respondent Burden'!S82</f>
        <v>800</v>
      </c>
      <c r="L41" s="336">
        <f>'Respondent Burden'!N82</f>
        <v>83748</v>
      </c>
      <c r="M41" s="336">
        <f>'Respondent Burden'!Q82</f>
        <v>83748</v>
      </c>
      <c r="N41" s="336">
        <f>'Respondent Burden'!T82</f>
        <v>83748</v>
      </c>
    </row>
    <row r="42" spans="2:14" ht="23.5" thickBot="1">
      <c r="B42" s="435" t="s">
        <v>275</v>
      </c>
      <c r="C42" s="440" t="s">
        <v>198</v>
      </c>
      <c r="D42" s="333" t="s">
        <v>274</v>
      </c>
      <c r="E42" s="430"/>
      <c r="F42" s="338">
        <f>'Respondent Burden'!G83</f>
        <v>37</v>
      </c>
      <c r="G42" s="338">
        <f>'Respondent Burden'!H83</f>
        <v>0</v>
      </c>
      <c r="H42" s="338">
        <f>'Respondent Burden'!I83</f>
        <v>0</v>
      </c>
      <c r="I42" s="338">
        <f>'Respondent Burden'!M83</f>
        <v>333</v>
      </c>
      <c r="J42" s="338">
        <f>'Respondent Burden'!P83</f>
        <v>0</v>
      </c>
      <c r="K42" s="338">
        <f>'Respondent Burden'!S83</f>
        <v>0</v>
      </c>
      <c r="L42" s="336">
        <f>'Respondent Burden'!N83</f>
        <v>42884.020052999993</v>
      </c>
      <c r="M42" s="336">
        <f>'Respondent Burden'!Q83</f>
        <v>0</v>
      </c>
      <c r="N42" s="336">
        <f>'Respondent Burden'!T83</f>
        <v>0</v>
      </c>
    </row>
    <row r="43" spans="2:14" ht="23.5" thickBot="1">
      <c r="B43" s="436"/>
      <c r="C43" s="440"/>
      <c r="D43" s="333" t="s">
        <v>262</v>
      </c>
      <c r="E43" s="430"/>
      <c r="F43" s="338">
        <f>'Respondent Burden'!G84</f>
        <v>0</v>
      </c>
      <c r="G43" s="338">
        <f>'Respondent Burden'!H84</f>
        <v>37</v>
      </c>
      <c r="H43" s="338">
        <f>'Respondent Burden'!I84</f>
        <v>37</v>
      </c>
      <c r="I43" s="338">
        <f>'Respondent Burden'!M84</f>
        <v>0</v>
      </c>
      <c r="J43" s="338">
        <f>'Respondent Burden'!P84</f>
        <v>1480</v>
      </c>
      <c r="K43" s="338">
        <f>'Respondent Burden'!S84</f>
        <v>1480</v>
      </c>
      <c r="L43" s="336">
        <f>'Respondent Burden'!N84</f>
        <v>0</v>
      </c>
      <c r="M43" s="336">
        <f>'Respondent Burden'!Q84</f>
        <v>119595.84</v>
      </c>
      <c r="N43" s="336">
        <f>'Respondent Burden'!T84</f>
        <v>119595.84</v>
      </c>
    </row>
    <row r="44" spans="2:14" ht="36" customHeight="1" thickBot="1">
      <c r="B44" s="436"/>
      <c r="C44" s="433" t="s">
        <v>371</v>
      </c>
      <c r="D44" s="438" t="s">
        <v>372</v>
      </c>
      <c r="E44" s="337" t="s">
        <v>198</v>
      </c>
      <c r="F44" s="338">
        <f>'Respondent Burden'!G85</f>
        <v>0</v>
      </c>
      <c r="G44" s="338">
        <f>'Respondent Burden'!H85</f>
        <v>37</v>
      </c>
      <c r="H44" s="338">
        <f>'Respondent Burden'!I85</f>
        <v>37</v>
      </c>
      <c r="I44" s="338">
        <f>'Respondent Burden'!M85</f>
        <v>0</v>
      </c>
      <c r="J44" s="338">
        <f>'Respondent Burden'!P85</f>
        <v>296</v>
      </c>
      <c r="K44" s="338">
        <f>'Respondent Burden'!S85</f>
        <v>296</v>
      </c>
      <c r="L44" s="336">
        <f>'Respondent Burden'!N85</f>
        <v>0</v>
      </c>
      <c r="M44" s="336">
        <f>'Respondent Burden'!Q85</f>
        <v>23919.167999999998</v>
      </c>
      <c r="N44" s="336">
        <f>'Respondent Burden'!T85</f>
        <v>23919.167999999998</v>
      </c>
    </row>
    <row r="45" spans="2:14" ht="24.5" thickBot="1">
      <c r="B45" s="437"/>
      <c r="C45" s="434"/>
      <c r="D45" s="439"/>
      <c r="E45" s="337" t="s">
        <v>374</v>
      </c>
      <c r="F45" s="338">
        <f>'Respondent Burden'!G86</f>
        <v>0</v>
      </c>
      <c r="G45" s="338">
        <f>'Respondent Burden'!H86</f>
        <v>10000</v>
      </c>
      <c r="H45" s="338">
        <f>'Respondent Burden'!I86</f>
        <v>10000</v>
      </c>
      <c r="I45" s="338">
        <f>'Respondent Burden'!M86</f>
        <v>0</v>
      </c>
      <c r="J45" s="338">
        <f>'Respondent Burden'!P86</f>
        <v>80000</v>
      </c>
      <c r="K45" s="338">
        <f>'Respondent Burden'!S86</f>
        <v>80000</v>
      </c>
      <c r="L45" s="336">
        <f>'Respondent Burden'!N86</f>
        <v>0</v>
      </c>
      <c r="M45" s="336">
        <f>'Respondent Burden'!Q86</f>
        <v>5302080</v>
      </c>
      <c r="N45" s="336">
        <f>'Respondent Burden'!T86</f>
        <v>5302080</v>
      </c>
    </row>
    <row r="46" spans="2:14" ht="46.5" thickBot="1">
      <c r="B46" s="430" t="s">
        <v>410</v>
      </c>
      <c r="C46" s="335" t="s">
        <v>355</v>
      </c>
      <c r="D46" s="333" t="s">
        <v>373</v>
      </c>
      <c r="E46" s="335" t="s">
        <v>197</v>
      </c>
      <c r="F46" s="338">
        <f>'Respondent Burden'!G87</f>
        <v>0</v>
      </c>
      <c r="G46" s="338">
        <f>'Respondent Burden'!H87</f>
        <v>0</v>
      </c>
      <c r="H46" s="338">
        <f>'Respondent Burden'!I87</f>
        <v>300000</v>
      </c>
      <c r="I46" s="338">
        <f>'Respondent Burden'!M87</f>
        <v>0</v>
      </c>
      <c r="J46" s="338">
        <f>'Respondent Burden'!P87</f>
        <v>0</v>
      </c>
      <c r="K46" s="338">
        <f>'Respondent Burden'!S87</f>
        <v>168529.27001549205</v>
      </c>
      <c r="L46" s="336">
        <f>'Respondent Burden'!N87</f>
        <v>0</v>
      </c>
      <c r="M46" s="336">
        <f>'Respondent Burden'!Q87</f>
        <v>0</v>
      </c>
      <c r="N46" s="336">
        <f>'Respondent Burden'!T87</f>
        <v>9750260.9167462923</v>
      </c>
    </row>
    <row r="47" spans="2:14" ht="23.5" thickBot="1">
      <c r="B47" s="430"/>
      <c r="C47" s="335" t="s">
        <v>411</v>
      </c>
      <c r="D47" s="333" t="s">
        <v>262</v>
      </c>
      <c r="E47" s="335" t="s">
        <v>197</v>
      </c>
      <c r="F47" s="338">
        <f>'Respondent Burden'!G88</f>
        <v>0</v>
      </c>
      <c r="G47" s="338">
        <f>'Respondent Burden'!H88</f>
        <v>0</v>
      </c>
      <c r="H47" s="338">
        <f>'Respondent Burden'!I88</f>
        <v>1611</v>
      </c>
      <c r="I47" s="338">
        <f>'Respondent Burden'!M88</f>
        <v>0</v>
      </c>
      <c r="J47" s="338">
        <f>'Respondent Burden'!P88</f>
        <v>0</v>
      </c>
      <c r="K47" s="338">
        <f>'Respondent Burden'!S88</f>
        <v>5617.6423338497352</v>
      </c>
      <c r="L47" s="336">
        <f>'Respondent Burden'!N88</f>
        <v>0</v>
      </c>
      <c r="M47" s="336">
        <f>'Respondent Burden'!Q88</f>
        <v>0</v>
      </c>
      <c r="N47" s="336">
        <f>'Respondent Burden'!T88</f>
        <v>603890.93324651266</v>
      </c>
    </row>
  </sheetData>
  <mergeCells count="38">
    <mergeCell ref="I2:K2"/>
    <mergeCell ref="D26:D27"/>
    <mergeCell ref="E42:E43"/>
    <mergeCell ref="D22:D23"/>
    <mergeCell ref="D24:D25"/>
    <mergeCell ref="D18:D19"/>
    <mergeCell ref="D29:D30"/>
    <mergeCell ref="D31:D32"/>
    <mergeCell ref="D10:D11"/>
    <mergeCell ref="D12:D13"/>
    <mergeCell ref="R2:R3"/>
    <mergeCell ref="T2:T3"/>
    <mergeCell ref="B40:B41"/>
    <mergeCell ref="C40:C41"/>
    <mergeCell ref="E40:E41"/>
    <mergeCell ref="D34:D35"/>
    <mergeCell ref="D36:D37"/>
    <mergeCell ref="D38:D39"/>
    <mergeCell ref="B4:B39"/>
    <mergeCell ref="L2:N2"/>
    <mergeCell ref="C4:C33"/>
    <mergeCell ref="D4:D5"/>
    <mergeCell ref="D6:D7"/>
    <mergeCell ref="D8:D9"/>
    <mergeCell ref="E2:E3"/>
    <mergeCell ref="F2:H2"/>
    <mergeCell ref="B46:B47"/>
    <mergeCell ref="B2:B3"/>
    <mergeCell ref="C2:C3"/>
    <mergeCell ref="D2:D3"/>
    <mergeCell ref="C44:C45"/>
    <mergeCell ref="B42:B45"/>
    <mergeCell ref="D44:D45"/>
    <mergeCell ref="C42:C43"/>
    <mergeCell ref="D14:D15"/>
    <mergeCell ref="D16:D17"/>
    <mergeCell ref="D20:D21"/>
    <mergeCell ref="C34:C3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ACCF9-D7ED-410E-BF5D-C9CD4380005A}">
  <sheetPr>
    <tabColor theme="2" tint="-9.9978637043366805E-2"/>
  </sheetPr>
  <dimension ref="A1:Q113"/>
  <sheetViews>
    <sheetView workbookViewId="0">
      <selection activeCell="D12" sqref="D12"/>
    </sheetView>
  </sheetViews>
  <sheetFormatPr defaultRowHeight="14.5"/>
  <cols>
    <col min="1" max="1" width="27.1796875" customWidth="1"/>
    <col min="2" max="2" width="60.7265625" customWidth="1"/>
    <col min="3" max="3" width="17.1796875" customWidth="1"/>
    <col min="4" max="4" width="16.81640625" bestFit="1" customWidth="1"/>
    <col min="5" max="5" width="15.81640625" style="9" customWidth="1"/>
    <col min="6" max="6" width="14.54296875" customWidth="1"/>
    <col min="7" max="7" width="16.1796875" style="2" bestFit="1" customWidth="1"/>
    <col min="8" max="8" width="19.54296875" customWidth="1"/>
    <col min="9" max="9" width="20.453125" style="9" customWidth="1"/>
    <col min="10" max="10" width="15.26953125" bestFit="1" customWidth="1"/>
    <col min="11" max="11" width="2.7265625" style="30" customWidth="1"/>
    <col min="14" max="14" width="23.81640625" bestFit="1" customWidth="1"/>
    <col min="15" max="15" width="27" bestFit="1" customWidth="1"/>
    <col min="16" max="16" width="37.54296875" bestFit="1" customWidth="1"/>
    <col min="17" max="17" width="16.26953125" customWidth="1"/>
  </cols>
  <sheetData>
    <row r="1" spans="1:10" ht="18.5">
      <c r="A1" s="169" t="s">
        <v>387</v>
      </c>
      <c r="B1" s="170"/>
      <c r="C1" s="170"/>
      <c r="D1" s="170"/>
      <c r="E1" s="171"/>
      <c r="F1" s="170"/>
      <c r="G1" s="172"/>
    </row>
    <row r="2" spans="1:10" ht="15.5">
      <c r="B2" s="354" t="s">
        <v>386</v>
      </c>
    </row>
    <row r="3" spans="1:10" ht="23.5">
      <c r="A3" s="1" t="s">
        <v>33</v>
      </c>
    </row>
    <row r="5" spans="1:10" ht="23.5">
      <c r="A5" s="3" t="s">
        <v>0</v>
      </c>
    </row>
    <row r="7" spans="1:10" ht="19" thickBot="1">
      <c r="A7" s="4" t="s">
        <v>1</v>
      </c>
    </row>
    <row r="8" spans="1:10" ht="18.5">
      <c r="A8" s="4"/>
      <c r="B8" s="135" t="s">
        <v>332</v>
      </c>
      <c r="C8" s="136" t="s">
        <v>34</v>
      </c>
      <c r="F8" s="9"/>
      <c r="G8" s="9"/>
      <c r="I8" s="2"/>
    </row>
    <row r="9" spans="1:10">
      <c r="A9" s="31"/>
      <c r="B9" s="32"/>
      <c r="C9" s="138">
        <v>1.1000000000000001</v>
      </c>
      <c r="E9"/>
      <c r="G9"/>
      <c r="I9"/>
    </row>
    <row r="10" spans="1:10" ht="43.5">
      <c r="A10" s="31" t="s">
        <v>35</v>
      </c>
      <c r="B10" s="33">
        <v>27.63</v>
      </c>
      <c r="C10" s="139">
        <f t="shared" ref="C10:C15" si="0">B10+B10*$D$6</f>
        <v>27.63</v>
      </c>
      <c r="D10" s="449" t="s">
        <v>333</v>
      </c>
      <c r="E10" s="449"/>
      <c r="F10" s="449"/>
      <c r="G10" s="449"/>
      <c r="H10" s="449"/>
      <c r="I10" s="449"/>
      <c r="J10" s="449"/>
    </row>
    <row r="11" spans="1:10">
      <c r="A11" s="31" t="s">
        <v>17</v>
      </c>
      <c r="B11" s="33">
        <v>49.79</v>
      </c>
      <c r="C11" s="139">
        <f t="shared" si="0"/>
        <v>49.79</v>
      </c>
      <c r="D11" s="449" t="s">
        <v>334</v>
      </c>
      <c r="E11" s="449"/>
      <c r="F11" s="449"/>
      <c r="G11" s="449"/>
      <c r="H11" s="449"/>
      <c r="I11" s="449"/>
      <c r="J11" s="449"/>
    </row>
    <row r="12" spans="1:10">
      <c r="A12" s="31" t="s">
        <v>22</v>
      </c>
      <c r="B12" s="33">
        <v>51.62</v>
      </c>
      <c r="C12" s="139">
        <f t="shared" si="0"/>
        <v>51.62</v>
      </c>
      <c r="D12" s="133" t="s">
        <v>335</v>
      </c>
      <c r="E12" s="119"/>
      <c r="F12" s="119"/>
      <c r="G12" s="119"/>
      <c r="H12" s="119"/>
      <c r="I12" s="119"/>
      <c r="J12" s="119"/>
    </row>
    <row r="13" spans="1:10" ht="29">
      <c r="A13" s="31" t="s">
        <v>18</v>
      </c>
      <c r="B13" s="33">
        <v>46.41</v>
      </c>
      <c r="C13" s="139">
        <f t="shared" si="0"/>
        <v>46.41</v>
      </c>
      <c r="D13" s="133" t="s">
        <v>336</v>
      </c>
      <c r="E13" s="119"/>
      <c r="F13" s="119"/>
      <c r="G13" s="119"/>
      <c r="H13" s="119"/>
      <c r="I13" s="119"/>
      <c r="J13" s="119"/>
    </row>
    <row r="14" spans="1:10">
      <c r="A14" s="31" t="s">
        <v>16</v>
      </c>
      <c r="B14" s="33">
        <v>65.260000000000005</v>
      </c>
      <c r="C14" s="139">
        <f t="shared" si="0"/>
        <v>65.260000000000005</v>
      </c>
      <c r="D14" s="133" t="s">
        <v>337</v>
      </c>
      <c r="E14" s="119"/>
      <c r="F14" s="119"/>
      <c r="G14" s="119"/>
      <c r="H14" s="119"/>
      <c r="I14" s="119"/>
      <c r="J14" s="119"/>
    </row>
    <row r="15" spans="1:10">
      <c r="A15" s="31" t="s">
        <v>23</v>
      </c>
      <c r="B15" s="33">
        <v>18.29</v>
      </c>
      <c r="C15" s="139">
        <f t="shared" si="0"/>
        <v>18.29</v>
      </c>
      <c r="D15" s="133" t="s">
        <v>338</v>
      </c>
      <c r="E15" s="119"/>
      <c r="F15" s="119"/>
      <c r="G15" s="119"/>
      <c r="H15" s="119"/>
      <c r="I15" s="119"/>
      <c r="J15" s="119"/>
    </row>
    <row r="16" spans="1:10">
      <c r="A16" s="31" t="s">
        <v>36</v>
      </c>
      <c r="B16" s="33">
        <v>67.33</v>
      </c>
      <c r="C16" s="139">
        <f>B16*(1+$D$6)*(1+0.312)</f>
        <v>88.336960000000005</v>
      </c>
      <c r="D16" s="133" t="s">
        <v>339</v>
      </c>
      <c r="E16" s="119"/>
      <c r="F16" s="119"/>
      <c r="G16" s="119"/>
      <c r="H16" s="119"/>
      <c r="I16" s="119"/>
      <c r="J16" s="119"/>
    </row>
    <row r="17" spans="1:17" ht="15" thickBot="1">
      <c r="A17" s="31" t="s">
        <v>37</v>
      </c>
      <c r="B17" s="180">
        <v>27.88</v>
      </c>
      <c r="C17" s="181">
        <f>B17*(1+$D$6)*(1+0.312)</f>
        <v>36.578560000000003</v>
      </c>
      <c r="D17" s="133" t="s">
        <v>340</v>
      </c>
      <c r="E17" s="119"/>
      <c r="F17" s="119"/>
      <c r="G17" s="119"/>
      <c r="H17" s="119"/>
      <c r="I17" s="119"/>
      <c r="J17" s="119"/>
    </row>
    <row r="18" spans="1:17">
      <c r="N18" s="26"/>
      <c r="O18" s="5"/>
    </row>
    <row r="19" spans="1:17" ht="18.5">
      <c r="A19" s="4" t="s">
        <v>2</v>
      </c>
      <c r="H19" s="34"/>
      <c r="N19" s="35"/>
    </row>
    <row r="20" spans="1:17">
      <c r="A20" s="451" t="s">
        <v>10</v>
      </c>
      <c r="B20" s="452" t="s">
        <v>4</v>
      </c>
      <c r="C20" s="451" t="s">
        <v>5</v>
      </c>
      <c r="D20" s="451" t="s">
        <v>6</v>
      </c>
      <c r="E20" s="451" t="s">
        <v>7</v>
      </c>
      <c r="F20" s="452" t="s">
        <v>9</v>
      </c>
      <c r="G20" s="452"/>
      <c r="H20" s="452" t="s">
        <v>8</v>
      </c>
      <c r="I20" s="452"/>
      <c r="J20" s="452"/>
      <c r="N20" s="35"/>
    </row>
    <row r="21" spans="1:17" ht="43.5">
      <c r="A21" s="451"/>
      <c r="B21" s="452"/>
      <c r="C21" s="451"/>
      <c r="D21" s="451"/>
      <c r="E21" s="451"/>
      <c r="F21" s="36" t="s">
        <v>11</v>
      </c>
      <c r="G21" s="36" t="s">
        <v>14</v>
      </c>
      <c r="H21" s="37" t="s">
        <v>11</v>
      </c>
      <c r="I21" s="36" t="s">
        <v>12</v>
      </c>
      <c r="J21" s="37" t="s">
        <v>13</v>
      </c>
    </row>
    <row r="22" spans="1:17" s="5" customFormat="1">
      <c r="A22" s="453" t="s">
        <v>15</v>
      </c>
      <c r="B22" s="38" t="s">
        <v>38</v>
      </c>
      <c r="C22" s="39">
        <v>0</v>
      </c>
      <c r="D22" s="39">
        <v>1</v>
      </c>
      <c r="E22" s="40">
        <v>8</v>
      </c>
      <c r="F22" s="41">
        <f t="shared" ref="F22:F55" si="1">D22*E22</f>
        <v>8</v>
      </c>
      <c r="G22" s="42">
        <f>F22*$C$10</f>
        <v>221.04</v>
      </c>
      <c r="H22" s="39">
        <f>C22*D22*E22</f>
        <v>0</v>
      </c>
      <c r="I22" s="43">
        <f>H22*$C$10</f>
        <v>0</v>
      </c>
      <c r="J22" s="39">
        <f>C22*D22</f>
        <v>0</v>
      </c>
      <c r="K22" s="30">
        <v>1</v>
      </c>
      <c r="P22"/>
    </row>
    <row r="23" spans="1:17" s="5" customFormat="1">
      <c r="A23" s="453"/>
      <c r="B23" s="38" t="s">
        <v>39</v>
      </c>
      <c r="C23" s="39">
        <v>2</v>
      </c>
      <c r="D23" s="39">
        <v>1</v>
      </c>
      <c r="E23" s="40">
        <v>0.5</v>
      </c>
      <c r="F23" s="41">
        <f t="shared" si="1"/>
        <v>0.5</v>
      </c>
      <c r="G23" s="42">
        <f>F23*$C$10</f>
        <v>13.815</v>
      </c>
      <c r="H23" s="39">
        <f t="shared" ref="H23:H44" si="2">C23*D23*E23</f>
        <v>1</v>
      </c>
      <c r="I23" s="43">
        <f>H23*$C$10</f>
        <v>27.63</v>
      </c>
      <c r="J23" s="39">
        <f>C23*D23</f>
        <v>2</v>
      </c>
      <c r="K23" s="30">
        <v>1</v>
      </c>
      <c r="N23" s="44" t="s">
        <v>40</v>
      </c>
      <c r="O23" s="44" t="s">
        <v>41</v>
      </c>
      <c r="P23" s="44" t="s">
        <v>42</v>
      </c>
      <c r="Q23" s="44" t="s">
        <v>43</v>
      </c>
    </row>
    <row r="24" spans="1:17" s="5" customFormat="1">
      <c r="A24" s="453"/>
      <c r="B24" s="38" t="s">
        <v>44</v>
      </c>
      <c r="C24" s="39">
        <v>2</v>
      </c>
      <c r="D24" s="39">
        <v>1</v>
      </c>
      <c r="E24" s="40">
        <v>0.5</v>
      </c>
      <c r="F24" s="41">
        <f t="shared" si="1"/>
        <v>0.5</v>
      </c>
      <c r="G24" s="42">
        <f>F24*$C$10</f>
        <v>13.815</v>
      </c>
      <c r="H24" s="40">
        <f t="shared" si="2"/>
        <v>1</v>
      </c>
      <c r="I24" s="43">
        <f>H24*$C$10</f>
        <v>27.63</v>
      </c>
      <c r="J24" s="39">
        <f>C24*D24</f>
        <v>2</v>
      </c>
      <c r="K24" s="30">
        <v>3</v>
      </c>
      <c r="N24" s="45" t="s">
        <v>3</v>
      </c>
      <c r="O24" s="46">
        <f>SUMIF($K$22:$K$55, "1", $J$22:$J$55)</f>
        <v>372</v>
      </c>
      <c r="P24" s="47">
        <f>SUMIF($K$22:$K$55, "1", $I$22:$I$55)</f>
        <v>47173.118418349623</v>
      </c>
      <c r="Q24" s="48">
        <f>SUMIF($K$22:$K$55, "1", $H$22:$H$55)</f>
        <v>849.17285837215536</v>
      </c>
    </row>
    <row r="25" spans="1:17" s="5" customFormat="1">
      <c r="A25" s="453"/>
      <c r="B25" s="49" t="s">
        <v>45</v>
      </c>
      <c r="C25" s="50">
        <v>2</v>
      </c>
      <c r="D25" s="50">
        <v>1</v>
      </c>
      <c r="E25" s="51">
        <v>0.5</v>
      </c>
      <c r="F25" s="41">
        <f t="shared" si="1"/>
        <v>0.5</v>
      </c>
      <c r="G25" s="42">
        <f>F25*$C$10</f>
        <v>13.815</v>
      </c>
      <c r="H25" s="52">
        <f>C25*D25*E25</f>
        <v>1</v>
      </c>
      <c r="I25" s="43">
        <f>H25*$C$10</f>
        <v>27.63</v>
      </c>
      <c r="J25" s="53">
        <f t="shared" ref="J25:J45" si="3">C25*D25</f>
        <v>2</v>
      </c>
      <c r="K25" s="30">
        <v>2</v>
      </c>
      <c r="N25" s="45" t="s">
        <v>21</v>
      </c>
      <c r="O25" s="46">
        <f>SUMIF($K$22:$K$55, "2", $J$22:$J$55)</f>
        <v>12248596.937850252</v>
      </c>
      <c r="P25" s="47">
        <f>SUMIF($K$22:$K$55, "2", $I$22:$I$55)</f>
        <v>24836881.619865183</v>
      </c>
      <c r="Q25" s="48">
        <f>SUMIF($K$22:$K$55, "2", $H$22:$H$55)</f>
        <v>379615.16939604853</v>
      </c>
    </row>
    <row r="26" spans="1:17" s="5" customFormat="1">
      <c r="A26" s="454" t="s">
        <v>17</v>
      </c>
      <c r="B26" s="38" t="s">
        <v>46</v>
      </c>
      <c r="C26" s="39">
        <v>56</v>
      </c>
      <c r="D26" s="39">
        <v>1</v>
      </c>
      <c r="E26" s="40">
        <v>9.36915818521706</v>
      </c>
      <c r="F26" s="41">
        <f t="shared" si="1"/>
        <v>9.36915818521706</v>
      </c>
      <c r="G26" s="42">
        <f>F26*$C$11</f>
        <v>466.49038604195744</v>
      </c>
      <c r="H26" s="39">
        <f t="shared" si="2"/>
        <v>524.67285837215536</v>
      </c>
      <c r="I26" s="43">
        <f>H26*$C$11</f>
        <v>26123.461618349615</v>
      </c>
      <c r="J26" s="39">
        <f t="shared" si="3"/>
        <v>56</v>
      </c>
      <c r="K26" s="30">
        <v>1</v>
      </c>
      <c r="N26" s="45" t="s">
        <v>47</v>
      </c>
      <c r="O26" s="46">
        <f>SUMIF($K$22:$K$55, "3", $J$22:$J$55)</f>
        <v>1449543.98799928</v>
      </c>
      <c r="P26" s="47">
        <f>SUMIF($K$22:$K$55, "3", $I$22:$I$55)</f>
        <v>823964.38285022776</v>
      </c>
      <c r="Q26" s="48">
        <f>SUMIF($K$22:$K$55, "3", $H$22:$H$55)</f>
        <v>45049.482933309337</v>
      </c>
    </row>
    <row r="27" spans="1:17" s="5" customFormat="1">
      <c r="A27" s="454"/>
      <c r="B27" s="38" t="s">
        <v>48</v>
      </c>
      <c r="C27" s="39">
        <v>2</v>
      </c>
      <c r="D27" s="39">
        <v>1</v>
      </c>
      <c r="E27" s="40">
        <v>5</v>
      </c>
      <c r="F27" s="41">
        <f t="shared" si="1"/>
        <v>5</v>
      </c>
      <c r="G27" s="42">
        <f>F27*$C$11</f>
        <v>248.95</v>
      </c>
      <c r="H27" s="39">
        <f>C27*D27*E27</f>
        <v>10</v>
      </c>
      <c r="I27" s="43">
        <f>H27*$C$11</f>
        <v>497.9</v>
      </c>
      <c r="J27" s="39">
        <f t="shared" si="3"/>
        <v>2</v>
      </c>
      <c r="K27" s="30">
        <v>1</v>
      </c>
      <c r="N27" s="54" t="s">
        <v>28</v>
      </c>
      <c r="O27" s="55">
        <f>O24+O25+O26</f>
        <v>13698512.925849531</v>
      </c>
      <c r="P27" s="55">
        <f>P24+P25+P26</f>
        <v>25708019.12113376</v>
      </c>
      <c r="Q27" s="56">
        <f t="shared" ref="Q27" si="4">Q24+Q25+Q26</f>
        <v>425513.82518773002</v>
      </c>
    </row>
    <row r="28" spans="1:17" s="5" customFormat="1">
      <c r="A28" s="454"/>
      <c r="B28" s="38" t="s">
        <v>49</v>
      </c>
      <c r="C28" s="50">
        <f>C26</f>
        <v>56</v>
      </c>
      <c r="D28" s="50">
        <v>50</v>
      </c>
      <c r="E28" s="51">
        <f>14/60</f>
        <v>0.23333333333333334</v>
      </c>
      <c r="F28" s="41">
        <f t="shared" si="1"/>
        <v>11.666666666666666</v>
      </c>
      <c r="G28" s="42">
        <f>F28*$C$11</f>
        <v>580.88333333333333</v>
      </c>
      <c r="H28" s="50">
        <f t="shared" si="2"/>
        <v>653.33333333333337</v>
      </c>
      <c r="I28" s="43">
        <f>H28*$C$11</f>
        <v>32529.466666666667</v>
      </c>
      <c r="J28" s="53">
        <f t="shared" si="3"/>
        <v>2800</v>
      </c>
      <c r="K28" s="30">
        <v>2</v>
      </c>
      <c r="O28" s="25">
        <f>O27-J56</f>
        <v>0</v>
      </c>
      <c r="P28" s="25">
        <f>P27-I56</f>
        <v>0</v>
      </c>
      <c r="Q28" s="25">
        <f>Q27-H56</f>
        <v>0</v>
      </c>
    </row>
    <row r="29" spans="1:17" s="5" customFormat="1" ht="29">
      <c r="A29" s="454"/>
      <c r="B29" s="38" t="s">
        <v>50</v>
      </c>
      <c r="C29" s="39">
        <f>C26</f>
        <v>56</v>
      </c>
      <c r="D29" s="39">
        <f>5*52</f>
        <v>260</v>
      </c>
      <c r="E29" s="40">
        <f>1/60</f>
        <v>1.6666666666666666E-2</v>
      </c>
      <c r="F29" s="41">
        <f t="shared" si="1"/>
        <v>4.333333333333333</v>
      </c>
      <c r="G29" s="42">
        <f>F29*$C$11</f>
        <v>215.75666666666666</v>
      </c>
      <c r="H29" s="50">
        <f t="shared" si="2"/>
        <v>242.66666666666666</v>
      </c>
      <c r="I29" s="43">
        <f>H29*$C$11</f>
        <v>12082.373333333333</v>
      </c>
      <c r="J29" s="53">
        <f t="shared" si="3"/>
        <v>14560</v>
      </c>
      <c r="K29" s="30">
        <v>2</v>
      </c>
      <c r="N29" s="26" t="s">
        <v>51</v>
      </c>
      <c r="O29" s="9">
        <f>C60</f>
        <v>13698512.925849531</v>
      </c>
      <c r="P29"/>
    </row>
    <row r="30" spans="1:17" s="5" customFormat="1" ht="29">
      <c r="A30" s="57" t="s">
        <v>22</v>
      </c>
      <c r="B30" s="38" t="s">
        <v>52</v>
      </c>
      <c r="C30" s="50">
        <v>10000</v>
      </c>
      <c r="D30" s="58">
        <f>5*52</f>
        <v>260</v>
      </c>
      <c r="E30" s="51">
        <f>2/60</f>
        <v>3.3333333333333333E-2</v>
      </c>
      <c r="F30" s="41">
        <f t="shared" si="1"/>
        <v>8.6666666666666661</v>
      </c>
      <c r="G30" s="42">
        <f>F30*$C$12</f>
        <v>447.37333333333328</v>
      </c>
      <c r="H30" s="50">
        <f t="shared" si="2"/>
        <v>86666.666666666672</v>
      </c>
      <c r="I30" s="59">
        <f>H30*$C$12</f>
        <v>4473733.333333333</v>
      </c>
      <c r="J30" s="53">
        <f t="shared" si="3"/>
        <v>2600000</v>
      </c>
      <c r="K30" s="30">
        <v>2</v>
      </c>
      <c r="N30" s="44" t="s">
        <v>53</v>
      </c>
      <c r="O30" s="44" t="s">
        <v>54</v>
      </c>
      <c r="P30" s="44" t="s">
        <v>55</v>
      </c>
    </row>
    <row r="31" spans="1:17" s="5" customFormat="1">
      <c r="A31" s="455" t="s">
        <v>18</v>
      </c>
      <c r="B31" s="38" t="s">
        <v>38</v>
      </c>
      <c r="C31" s="39">
        <v>3</v>
      </c>
      <c r="D31" s="39">
        <v>1</v>
      </c>
      <c r="E31" s="40">
        <v>5</v>
      </c>
      <c r="F31" s="41">
        <f t="shared" si="1"/>
        <v>5</v>
      </c>
      <c r="G31" s="42">
        <f>F31*$C$13</f>
        <v>232.04999999999998</v>
      </c>
      <c r="H31" s="39">
        <f t="shared" si="2"/>
        <v>15</v>
      </c>
      <c r="I31" s="43">
        <f>H31*$C$13</f>
        <v>696.15</v>
      </c>
      <c r="J31" s="39">
        <f t="shared" si="3"/>
        <v>3</v>
      </c>
      <c r="K31" s="30">
        <v>1</v>
      </c>
      <c r="N31" s="45" t="s">
        <v>3</v>
      </c>
      <c r="O31" s="60">
        <f>Q24/$O24</f>
        <v>2.2827227375595576</v>
      </c>
      <c r="P31" s="61">
        <f>P24/O24</f>
        <v>126.80945811384308</v>
      </c>
    </row>
    <row r="32" spans="1:17" s="5" customFormat="1">
      <c r="A32" s="455"/>
      <c r="B32" s="38" t="s">
        <v>56</v>
      </c>
      <c r="C32" s="39">
        <v>74</v>
      </c>
      <c r="D32" s="39">
        <v>2</v>
      </c>
      <c r="E32" s="40">
        <f>5/60</f>
        <v>8.3333333333333329E-2</v>
      </c>
      <c r="F32" s="41">
        <f t="shared" si="1"/>
        <v>0.16666666666666666</v>
      </c>
      <c r="G32" s="42">
        <f>F32*$C$13</f>
        <v>7.7349999999999994</v>
      </c>
      <c r="H32" s="39">
        <f t="shared" si="2"/>
        <v>12.333333333333332</v>
      </c>
      <c r="I32" s="43">
        <f>H32*$C$13</f>
        <v>572.38999999999987</v>
      </c>
      <c r="J32" s="39">
        <f t="shared" si="3"/>
        <v>148</v>
      </c>
      <c r="K32" s="30">
        <v>2</v>
      </c>
      <c r="N32" s="45" t="s">
        <v>21</v>
      </c>
      <c r="O32" s="60">
        <f t="shared" ref="O32:O33" si="5">Q25/$O25</f>
        <v>3.0992543172269224E-2</v>
      </c>
      <c r="P32" s="61">
        <f t="shared" ref="P32:P34" si="6">P25/O25</f>
        <v>2.0277327881624538</v>
      </c>
    </row>
    <row r="33" spans="1:17" s="5" customFormat="1">
      <c r="A33" s="455"/>
      <c r="B33" s="38" t="s">
        <v>57</v>
      </c>
      <c r="C33" s="39">
        <v>74</v>
      </c>
      <c r="D33" s="39">
        <v>2</v>
      </c>
      <c r="E33" s="40">
        <v>1</v>
      </c>
      <c r="F33" s="41">
        <f t="shared" si="1"/>
        <v>2</v>
      </c>
      <c r="G33" s="42">
        <f>F33*$C$13</f>
        <v>92.82</v>
      </c>
      <c r="H33" s="39">
        <f t="shared" si="2"/>
        <v>148</v>
      </c>
      <c r="I33" s="43">
        <f>H33*$C$13</f>
        <v>6868.6799999999994</v>
      </c>
      <c r="J33" s="39">
        <f t="shared" si="3"/>
        <v>148</v>
      </c>
      <c r="K33" s="30">
        <v>1</v>
      </c>
      <c r="N33" s="45" t="s">
        <v>47</v>
      </c>
      <c r="O33" s="60">
        <f t="shared" si="5"/>
        <v>3.1078382792293514E-2</v>
      </c>
      <c r="P33" s="61">
        <f t="shared" si="6"/>
        <v>0.56843006467675206</v>
      </c>
    </row>
    <row r="34" spans="1:17" s="5" customFormat="1">
      <c r="A34" s="455"/>
      <c r="B34" s="38" t="s">
        <v>58</v>
      </c>
      <c r="C34" s="50">
        <v>1</v>
      </c>
      <c r="D34" s="50">
        <v>1</v>
      </c>
      <c r="E34" s="51">
        <v>8</v>
      </c>
      <c r="F34" s="41">
        <f t="shared" si="1"/>
        <v>8</v>
      </c>
      <c r="G34" s="42">
        <f>F34*$C$13</f>
        <v>371.28</v>
      </c>
      <c r="H34" s="50">
        <f t="shared" si="2"/>
        <v>8</v>
      </c>
      <c r="I34" s="43">
        <f>H34*$C$13</f>
        <v>371.28</v>
      </c>
      <c r="J34" s="53">
        <f t="shared" si="3"/>
        <v>1</v>
      </c>
      <c r="K34" s="30">
        <v>1</v>
      </c>
      <c r="N34" s="45" t="s">
        <v>59</v>
      </c>
      <c r="O34" s="60">
        <f>Q27/$O27</f>
        <v>3.1062775024635839E-2</v>
      </c>
      <c r="P34" s="61">
        <f t="shared" si="6"/>
        <v>1.8767014536754503</v>
      </c>
    </row>
    <row r="35" spans="1:17" s="5" customFormat="1">
      <c r="A35" s="455"/>
      <c r="B35" s="38" t="s">
        <v>60</v>
      </c>
      <c r="C35" s="50">
        <v>74</v>
      </c>
      <c r="D35" s="50">
        <v>1</v>
      </c>
      <c r="E35" s="51">
        <v>5</v>
      </c>
      <c r="F35" s="41">
        <f t="shared" si="1"/>
        <v>5</v>
      </c>
      <c r="G35" s="42">
        <f>F35*$C$13</f>
        <v>232.04999999999998</v>
      </c>
      <c r="H35" s="50">
        <f t="shared" si="2"/>
        <v>370</v>
      </c>
      <c r="I35" s="43">
        <f>H35*$C$13</f>
        <v>17171.699999999997</v>
      </c>
      <c r="J35" s="53">
        <f t="shared" si="3"/>
        <v>74</v>
      </c>
      <c r="K35" s="30">
        <v>2</v>
      </c>
      <c r="N35" s="62" t="s">
        <v>61</v>
      </c>
      <c r="O35"/>
      <c r="P35"/>
    </row>
    <row r="36" spans="1:17" ht="29">
      <c r="A36" s="57" t="s">
        <v>16</v>
      </c>
      <c r="B36" s="38" t="s">
        <v>62</v>
      </c>
      <c r="C36" s="50">
        <v>7500</v>
      </c>
      <c r="D36" s="58">
        <f>5*52</f>
        <v>260</v>
      </c>
      <c r="E36" s="51">
        <f>3.5/60</f>
        <v>5.8333333333333334E-2</v>
      </c>
      <c r="F36" s="41">
        <f t="shared" si="1"/>
        <v>15.166666666666666</v>
      </c>
      <c r="G36" s="42">
        <f>F36*$C$14</f>
        <v>989.77666666666676</v>
      </c>
      <c r="H36" s="50">
        <f t="shared" si="2"/>
        <v>113750</v>
      </c>
      <c r="I36" s="59">
        <f>H36*$C$14</f>
        <v>7423325.0000000009</v>
      </c>
      <c r="J36" s="53">
        <f t="shared" si="3"/>
        <v>1950000</v>
      </c>
      <c r="K36" s="30">
        <v>2</v>
      </c>
      <c r="N36" s="44" t="s">
        <v>63</v>
      </c>
      <c r="O36" s="44" t="s">
        <v>64</v>
      </c>
      <c r="P36" s="44" t="s">
        <v>65</v>
      </c>
      <c r="Q36" s="5"/>
    </row>
    <row r="37" spans="1:17" s="5" customFormat="1">
      <c r="A37" s="456" t="s">
        <v>23</v>
      </c>
      <c r="B37" s="38" t="s">
        <v>66</v>
      </c>
      <c r="C37" s="50">
        <f>C38*0.1</f>
        <v>30000</v>
      </c>
      <c r="D37" s="50">
        <v>1</v>
      </c>
      <c r="E37" s="51">
        <f>1/60</f>
        <v>1.6666666666666666E-2</v>
      </c>
      <c r="F37" s="63">
        <f t="shared" si="1"/>
        <v>1.6666666666666666E-2</v>
      </c>
      <c r="G37" s="42">
        <f t="shared" ref="G37:G42" si="7">F37*$C$15</f>
        <v>0.30483333333333329</v>
      </c>
      <c r="H37" s="50">
        <f>C37*D37*E37</f>
        <v>500</v>
      </c>
      <c r="I37" s="59">
        <f t="shared" ref="I37:I42" si="8">H37*$C$15</f>
        <v>9145</v>
      </c>
      <c r="J37" s="53">
        <f>C37*D37</f>
        <v>30000</v>
      </c>
      <c r="K37" s="30">
        <v>3</v>
      </c>
      <c r="N37" s="45" t="s">
        <v>3</v>
      </c>
      <c r="O37" s="64">
        <f>Q24</f>
        <v>849.17285837215536</v>
      </c>
      <c r="P37" s="65" t="s">
        <v>32</v>
      </c>
      <c r="Q37"/>
    </row>
    <row r="38" spans="1:17" s="5" customFormat="1">
      <c r="A38" s="456"/>
      <c r="B38" s="38" t="s">
        <v>67</v>
      </c>
      <c r="C38" s="50">
        <v>300000</v>
      </c>
      <c r="D38" s="50">
        <v>1</v>
      </c>
      <c r="E38" s="51">
        <f>1/60</f>
        <v>1.6666666666666666E-2</v>
      </c>
      <c r="F38" s="63">
        <f t="shared" si="1"/>
        <v>1.6666666666666666E-2</v>
      </c>
      <c r="G38" s="42">
        <f t="shared" si="7"/>
        <v>0.30483333333333329</v>
      </c>
      <c r="H38" s="50">
        <f>C38*D38*E38</f>
        <v>5000</v>
      </c>
      <c r="I38" s="59">
        <f t="shared" si="8"/>
        <v>91450</v>
      </c>
      <c r="J38" s="53">
        <f>C38*D38</f>
        <v>300000</v>
      </c>
      <c r="K38" s="30">
        <v>2</v>
      </c>
      <c r="N38" s="45" t="s">
        <v>21</v>
      </c>
      <c r="O38" s="64">
        <f t="shared" ref="O38:O39" si="9">Q25</f>
        <v>379615.16939604853</v>
      </c>
      <c r="P38" s="65" t="s">
        <v>32</v>
      </c>
    </row>
    <row r="39" spans="1:17" s="5" customFormat="1" ht="29">
      <c r="A39" s="456"/>
      <c r="B39" s="38" t="s">
        <v>68</v>
      </c>
      <c r="C39" s="50">
        <v>300000</v>
      </c>
      <c r="D39" s="66">
        <v>2.2078899599975998</v>
      </c>
      <c r="E39" s="51">
        <f>2/60</f>
        <v>3.3333333333333333E-2</v>
      </c>
      <c r="F39" s="41">
        <f t="shared" si="1"/>
        <v>7.3596331999919995E-2</v>
      </c>
      <c r="G39" s="42">
        <f t="shared" si="7"/>
        <v>1.3460769122785365</v>
      </c>
      <c r="H39" s="50">
        <f t="shared" si="2"/>
        <v>22078.899599976001</v>
      </c>
      <c r="I39" s="43">
        <f t="shared" si="8"/>
        <v>403823.07368356106</v>
      </c>
      <c r="J39" s="53">
        <f t="shared" si="3"/>
        <v>662366.98799927998</v>
      </c>
      <c r="K39" s="30">
        <v>3</v>
      </c>
      <c r="L39" s="67"/>
      <c r="N39" s="45" t="s">
        <v>47</v>
      </c>
      <c r="O39" s="64">
        <f t="shared" si="9"/>
        <v>45049.482933309337</v>
      </c>
      <c r="P39" s="65" t="s">
        <v>32</v>
      </c>
    </row>
    <row r="40" spans="1:17" s="5" customFormat="1" ht="29">
      <c r="A40" s="456"/>
      <c r="B40" s="38" t="s">
        <v>69</v>
      </c>
      <c r="C40" s="50">
        <v>300000</v>
      </c>
      <c r="D40" s="66">
        <v>1.97</v>
      </c>
      <c r="E40" s="51">
        <f>2/60</f>
        <v>3.3333333333333333E-2</v>
      </c>
      <c r="F40" s="41">
        <f t="shared" si="1"/>
        <v>6.5666666666666665E-2</v>
      </c>
      <c r="G40" s="42">
        <f t="shared" si="7"/>
        <v>1.2010433333333332</v>
      </c>
      <c r="H40" s="50">
        <f t="shared" si="2"/>
        <v>19700</v>
      </c>
      <c r="I40" s="43">
        <f t="shared" si="8"/>
        <v>360313</v>
      </c>
      <c r="J40" s="53">
        <f t="shared" si="3"/>
        <v>591000</v>
      </c>
      <c r="K40" s="30">
        <v>3</v>
      </c>
      <c r="O40" s="68"/>
    </row>
    <row r="41" spans="1:17" s="5" customFormat="1">
      <c r="A41" s="456"/>
      <c r="B41" s="38" t="s">
        <v>70</v>
      </c>
      <c r="C41" s="50">
        <v>300000</v>
      </c>
      <c r="D41" s="51">
        <f>C50/C41</f>
        <v>0.55391666666666661</v>
      </c>
      <c r="E41" s="51">
        <f>1/60</f>
        <v>1.6666666666666666E-2</v>
      </c>
      <c r="F41" s="41">
        <f t="shared" si="1"/>
        <v>9.2319444444444437E-3</v>
      </c>
      <c r="G41" s="42">
        <f t="shared" si="7"/>
        <v>0.16885226388888885</v>
      </c>
      <c r="H41" s="50">
        <f t="shared" si="2"/>
        <v>2769.583333333333</v>
      </c>
      <c r="I41" s="43">
        <f t="shared" si="8"/>
        <v>50655.679166666661</v>
      </c>
      <c r="J41" s="53">
        <f t="shared" si="3"/>
        <v>166174.99999999997</v>
      </c>
      <c r="K41" s="30">
        <v>3</v>
      </c>
      <c r="O41" s="68"/>
    </row>
    <row r="42" spans="1:17" s="5" customFormat="1">
      <c r="A42" s="456"/>
      <c r="B42" s="38" t="s">
        <v>71</v>
      </c>
      <c r="C42" s="50">
        <v>300000</v>
      </c>
      <c r="D42" s="50">
        <v>12</v>
      </c>
      <c r="E42" s="51">
        <f>1/60</f>
        <v>1.6666666666666666E-2</v>
      </c>
      <c r="F42" s="41">
        <f t="shared" si="1"/>
        <v>0.2</v>
      </c>
      <c r="G42" s="42">
        <f t="shared" si="7"/>
        <v>3.6579999999999999</v>
      </c>
      <c r="H42" s="50">
        <f t="shared" si="2"/>
        <v>60000</v>
      </c>
      <c r="I42" s="59">
        <f t="shared" si="8"/>
        <v>1097400</v>
      </c>
      <c r="J42" s="53">
        <f t="shared" si="3"/>
        <v>3600000</v>
      </c>
      <c r="K42" s="30">
        <v>2</v>
      </c>
    </row>
    <row r="43" spans="1:17" s="5" customFormat="1">
      <c r="A43" s="455" t="s">
        <v>36</v>
      </c>
      <c r="B43" s="38" t="s">
        <v>72</v>
      </c>
      <c r="C43" s="39">
        <v>25</v>
      </c>
      <c r="D43" s="39">
        <v>1</v>
      </c>
      <c r="E43" s="40">
        <v>0.5</v>
      </c>
      <c r="F43" s="41">
        <f t="shared" si="1"/>
        <v>0.5</v>
      </c>
      <c r="G43" s="42">
        <f t="shared" ref="G43:G54" si="10">F43*$C$16</f>
        <v>44.168480000000002</v>
      </c>
      <c r="H43" s="39">
        <f t="shared" si="2"/>
        <v>12.5</v>
      </c>
      <c r="I43" s="43">
        <f>H43*$C$16</f>
        <v>1104.212</v>
      </c>
      <c r="J43" s="39">
        <f t="shared" si="3"/>
        <v>25</v>
      </c>
      <c r="K43" s="30">
        <v>1</v>
      </c>
      <c r="N43"/>
      <c r="O43"/>
      <c r="P43"/>
    </row>
    <row r="44" spans="1:17" s="5" customFormat="1" ht="29">
      <c r="A44" s="455"/>
      <c r="B44" s="38" t="s">
        <v>73</v>
      </c>
      <c r="C44" s="39">
        <v>5</v>
      </c>
      <c r="D44" s="39">
        <v>1</v>
      </c>
      <c r="E44" s="40">
        <v>0.5</v>
      </c>
      <c r="F44" s="41">
        <f t="shared" si="1"/>
        <v>0.5</v>
      </c>
      <c r="G44" s="42">
        <f t="shared" si="10"/>
        <v>44.168480000000002</v>
      </c>
      <c r="H44" s="39">
        <f t="shared" si="2"/>
        <v>2.5</v>
      </c>
      <c r="I44" s="43">
        <f>H44*$C$16</f>
        <v>220.8424</v>
      </c>
      <c r="J44" s="39">
        <f t="shared" si="3"/>
        <v>5</v>
      </c>
      <c r="K44" s="30">
        <v>1</v>
      </c>
    </row>
    <row r="45" spans="1:17" s="5" customFormat="1" ht="29">
      <c r="A45" s="455"/>
      <c r="B45" s="38" t="s">
        <v>74</v>
      </c>
      <c r="C45" s="39">
        <v>5</v>
      </c>
      <c r="D45" s="39">
        <v>1</v>
      </c>
      <c r="E45" s="40">
        <v>0.5</v>
      </c>
      <c r="F45" s="41">
        <f t="shared" si="1"/>
        <v>0.5</v>
      </c>
      <c r="G45" s="42">
        <f t="shared" si="10"/>
        <v>44.168480000000002</v>
      </c>
      <c r="H45" s="39">
        <f>C45*D45*E45</f>
        <v>2.5</v>
      </c>
      <c r="I45" s="43">
        <f>H45*$C$16</f>
        <v>220.8424</v>
      </c>
      <c r="J45" s="39">
        <f t="shared" si="3"/>
        <v>5</v>
      </c>
      <c r="K45" s="30">
        <v>1</v>
      </c>
    </row>
    <row r="46" spans="1:17" s="5" customFormat="1" ht="29">
      <c r="A46" s="455"/>
      <c r="B46" s="38" t="s">
        <v>75</v>
      </c>
      <c r="C46" s="39">
        <v>125</v>
      </c>
      <c r="D46" s="39">
        <v>1</v>
      </c>
      <c r="E46" s="40">
        <v>1</v>
      </c>
      <c r="F46" s="41">
        <f t="shared" si="1"/>
        <v>1</v>
      </c>
      <c r="G46" s="42">
        <f t="shared" si="10"/>
        <v>88.336960000000005</v>
      </c>
      <c r="H46" s="39">
        <f>C46*D46*E46</f>
        <v>125</v>
      </c>
      <c r="I46" s="43">
        <f>H46*$C$16</f>
        <v>11042.12</v>
      </c>
      <c r="J46" s="39">
        <f>C46*D46</f>
        <v>125</v>
      </c>
      <c r="K46" s="30">
        <v>1</v>
      </c>
    </row>
    <row r="47" spans="1:17" s="5" customFormat="1">
      <c r="A47" s="455"/>
      <c r="B47" s="38" t="s">
        <v>76</v>
      </c>
      <c r="C47" s="50">
        <v>255083</v>
      </c>
      <c r="D47" s="50">
        <v>1</v>
      </c>
      <c r="E47" s="51">
        <f>3/60</f>
        <v>0.05</v>
      </c>
      <c r="F47" s="41">
        <f t="shared" si="1"/>
        <v>0.05</v>
      </c>
      <c r="G47" s="42">
        <f t="shared" si="10"/>
        <v>4.4168480000000008</v>
      </c>
      <c r="H47" s="50">
        <f>C47*D47*E47</f>
        <v>12754.150000000001</v>
      </c>
      <c r="I47" s="43">
        <f t="shared" ref="I47:I48" si="11">H47*$C$16</f>
        <v>1126662.8383840001</v>
      </c>
      <c r="J47" s="53">
        <f t="shared" ref="J47:J49" si="12">C47*D47</f>
        <v>255083</v>
      </c>
      <c r="K47" s="30">
        <v>2</v>
      </c>
    </row>
    <row r="48" spans="1:17" s="72" customFormat="1">
      <c r="A48" s="455"/>
      <c r="B48" s="38" t="s">
        <v>77</v>
      </c>
      <c r="C48" s="50">
        <v>255083</v>
      </c>
      <c r="D48" s="69">
        <v>6.2539446771971843</v>
      </c>
      <c r="E48" s="70">
        <f>1/60</f>
        <v>1.6666666666666666E-2</v>
      </c>
      <c r="F48" s="41">
        <f t="shared" si="1"/>
        <v>0.10423241128661974</v>
      </c>
      <c r="G48" s="42">
        <f t="shared" si="10"/>
        <v>9.2075743465296771</v>
      </c>
      <c r="H48" s="50">
        <f>C48*D48*E48</f>
        <v>26587.916168224823</v>
      </c>
      <c r="I48" s="43">
        <f t="shared" si="11"/>
        <v>2348695.6870358298</v>
      </c>
      <c r="J48" s="53">
        <f t="shared" si="12"/>
        <v>1595274.9700934894</v>
      </c>
      <c r="K48" s="71">
        <v>2</v>
      </c>
      <c r="N48" s="5"/>
      <c r="O48" s="5"/>
      <c r="P48" s="5"/>
      <c r="Q48" s="5"/>
    </row>
    <row r="49" spans="1:17" s="74" customFormat="1">
      <c r="A49" s="455"/>
      <c r="B49" s="38" t="s">
        <v>78</v>
      </c>
      <c r="C49" s="50">
        <v>255083</v>
      </c>
      <c r="D49" s="69">
        <v>6.2539446771971843</v>
      </c>
      <c r="E49" s="51">
        <f>1.5/60</f>
        <v>2.5000000000000001E-2</v>
      </c>
      <c r="F49" s="41">
        <f t="shared" si="1"/>
        <v>0.15634861692992963</v>
      </c>
      <c r="G49" s="42">
        <f t="shared" si="10"/>
        <v>13.811361519794517</v>
      </c>
      <c r="H49" s="50">
        <f t="shared" ref="H49:H51" si="13">C49*D49*E49</f>
        <v>39881.874252337235</v>
      </c>
      <c r="I49" s="59">
        <v>5236883.43715363</v>
      </c>
      <c r="J49" s="53">
        <f t="shared" si="12"/>
        <v>1595274.9700934894</v>
      </c>
      <c r="K49" s="73">
        <v>2</v>
      </c>
      <c r="N49" s="5"/>
      <c r="O49" s="5"/>
      <c r="P49" s="5"/>
      <c r="Q49" s="72"/>
    </row>
    <row r="50" spans="1:17" s="5" customFormat="1">
      <c r="A50" s="455"/>
      <c r="B50" s="38" t="s">
        <v>79</v>
      </c>
      <c r="C50" s="50">
        <v>166175</v>
      </c>
      <c r="D50" s="69">
        <v>2.7346095503792762</v>
      </c>
      <c r="E50" s="70">
        <f>1/60</f>
        <v>1.6666666666666666E-2</v>
      </c>
      <c r="F50" s="63">
        <f t="shared" si="1"/>
        <v>4.5576825839654604E-2</v>
      </c>
      <c r="G50" s="42">
        <f t="shared" si="10"/>
        <v>4.0261182411245358</v>
      </c>
      <c r="H50" s="50">
        <f t="shared" si="13"/>
        <v>7573.729033904604</v>
      </c>
      <c r="I50" s="43">
        <f>H50*$C$16</f>
        <v>669040.19871886971</v>
      </c>
      <c r="J50" s="53">
        <f>J41</f>
        <v>166174.99999999997</v>
      </c>
      <c r="K50" s="30">
        <v>2</v>
      </c>
      <c r="Q50" s="74"/>
    </row>
    <row r="51" spans="1:17" s="5" customFormat="1">
      <c r="A51" s="455"/>
      <c r="B51" s="38" t="s">
        <v>80</v>
      </c>
      <c r="C51" s="50">
        <v>166175</v>
      </c>
      <c r="D51" s="50">
        <v>1</v>
      </c>
      <c r="E51" s="51">
        <f>1.5/60</f>
        <v>2.5000000000000001E-2</v>
      </c>
      <c r="F51" s="63">
        <f t="shared" si="1"/>
        <v>2.5000000000000001E-2</v>
      </c>
      <c r="G51" s="42">
        <f t="shared" si="10"/>
        <v>2.2084240000000004</v>
      </c>
      <c r="H51" s="50">
        <f t="shared" si="13"/>
        <v>4154.375</v>
      </c>
      <c r="I51" s="43">
        <f>H51*$C$16</f>
        <v>366984.85820000002</v>
      </c>
      <c r="J51" s="53">
        <f>C51*D51</f>
        <v>166175</v>
      </c>
      <c r="K51" s="30">
        <v>2</v>
      </c>
    </row>
    <row r="52" spans="1:17" s="5" customFormat="1" ht="29">
      <c r="A52" s="455"/>
      <c r="B52" s="38" t="s">
        <v>81</v>
      </c>
      <c r="C52" s="50">
        <v>2745</v>
      </c>
      <c r="D52" s="50">
        <v>1</v>
      </c>
      <c r="E52" s="51">
        <v>8</v>
      </c>
      <c r="F52" s="41">
        <f t="shared" si="1"/>
        <v>8</v>
      </c>
      <c r="G52" s="42">
        <f t="shared" si="10"/>
        <v>706.69568000000004</v>
      </c>
      <c r="H52" s="75">
        <f>C52*D52*E52</f>
        <v>21960</v>
      </c>
      <c r="I52" s="43">
        <f>H52*$C$16</f>
        <v>1939879.6416000002</v>
      </c>
      <c r="J52" s="53">
        <f>C52*D52</f>
        <v>2745</v>
      </c>
      <c r="K52" s="30">
        <v>2</v>
      </c>
      <c r="O52" s="72"/>
    </row>
    <row r="53" spans="1:17" s="5" customFormat="1">
      <c r="A53" s="455"/>
      <c r="B53" s="38" t="s">
        <v>82</v>
      </c>
      <c r="C53" s="50">
        <f>0.05*C52</f>
        <v>137.25</v>
      </c>
      <c r="D53" s="50">
        <v>1</v>
      </c>
      <c r="E53" s="51">
        <f>1.5/60</f>
        <v>2.5000000000000001E-2</v>
      </c>
      <c r="F53" s="63">
        <f t="shared" si="1"/>
        <v>2.5000000000000001E-2</v>
      </c>
      <c r="G53" s="42">
        <f t="shared" si="10"/>
        <v>2.2084240000000004</v>
      </c>
      <c r="H53" s="50">
        <f t="shared" ref="H53:H54" si="14">C53*D53*E53</f>
        <v>3.4312500000000004</v>
      </c>
      <c r="I53" s="43">
        <f t="shared" ref="I53" si="15">H53*$C$16</f>
        <v>303.10619400000007</v>
      </c>
      <c r="J53" s="53">
        <f t="shared" ref="J53" si="16">C53*D53</f>
        <v>137.25</v>
      </c>
      <c r="K53" s="30">
        <v>2</v>
      </c>
      <c r="O53" s="74"/>
    </row>
    <row r="54" spans="1:17" s="5" customFormat="1">
      <c r="A54" s="455"/>
      <c r="B54" s="38" t="s">
        <v>83</v>
      </c>
      <c r="C54" s="50">
        <v>3.7476632740868223</v>
      </c>
      <c r="D54" s="50">
        <v>1</v>
      </c>
      <c r="E54" s="51">
        <f>1.5/60</f>
        <v>2.5000000000000001E-2</v>
      </c>
      <c r="F54" s="63">
        <f t="shared" si="1"/>
        <v>2.5000000000000001E-2</v>
      </c>
      <c r="G54" s="42">
        <f t="shared" si="10"/>
        <v>2.2084240000000004</v>
      </c>
      <c r="H54" s="75">
        <f t="shared" si="14"/>
        <v>9.3691581852170566E-2</v>
      </c>
      <c r="I54" s="43">
        <f>H54*$C$16</f>
        <v>8.2764295184119181</v>
      </c>
      <c r="J54" s="53">
        <f>C54*D54</f>
        <v>3.7476632740868223</v>
      </c>
      <c r="K54" s="30">
        <v>2</v>
      </c>
    </row>
    <row r="55" spans="1:17" s="5" customFormat="1" ht="29">
      <c r="A55" s="76" t="s">
        <v>37</v>
      </c>
      <c r="B55" s="38" t="s">
        <v>84</v>
      </c>
      <c r="C55" s="50">
        <v>12</v>
      </c>
      <c r="D55" s="50">
        <v>12</v>
      </c>
      <c r="E55" s="51">
        <f>1.5/60</f>
        <v>2.5000000000000001E-2</v>
      </c>
      <c r="F55" s="41">
        <f t="shared" si="1"/>
        <v>0.30000000000000004</v>
      </c>
      <c r="G55" s="42">
        <f>F55*$C$17</f>
        <v>10.973568000000002</v>
      </c>
      <c r="H55" s="50">
        <f>C55*D55*E55</f>
        <v>3.6</v>
      </c>
      <c r="I55" s="59">
        <f>H55*C17</f>
        <v>131.682816</v>
      </c>
      <c r="J55" s="53">
        <f>C55*D55</f>
        <v>144</v>
      </c>
      <c r="K55" s="30">
        <v>2</v>
      </c>
      <c r="N55" s="72"/>
      <c r="P55" s="72"/>
    </row>
    <row r="56" spans="1:17">
      <c r="A56" s="77" t="s">
        <v>19</v>
      </c>
      <c r="B56" s="78"/>
      <c r="C56" s="79">
        <f>C36+C30+C23+C26+C32+C39+C47+C55</f>
        <v>572727</v>
      </c>
      <c r="D56" s="80" t="s">
        <v>20</v>
      </c>
      <c r="E56" s="80" t="s">
        <v>20</v>
      </c>
      <c r="F56" s="81" t="s">
        <v>20</v>
      </c>
      <c r="G56" s="81" t="s">
        <v>20</v>
      </c>
      <c r="H56" s="79">
        <f>SUM(H22:H55)</f>
        <v>425513.82518773002</v>
      </c>
      <c r="I56" s="82">
        <f>SUM(I22:I55)</f>
        <v>25708019.121133756</v>
      </c>
      <c r="J56" s="81">
        <f>SUM(J22:J55)</f>
        <v>13698512.925849531</v>
      </c>
      <c r="N56" s="74"/>
      <c r="O56" s="5"/>
      <c r="P56" s="74"/>
      <c r="Q56" s="5"/>
    </row>
    <row r="57" spans="1:17">
      <c r="A57" s="83"/>
      <c r="B57" s="12"/>
      <c r="C57" s="12"/>
      <c r="D57" s="12"/>
      <c r="E57" s="84"/>
      <c r="F57" s="12"/>
      <c r="G57" s="83"/>
      <c r="H57" s="85"/>
      <c r="I57" s="84"/>
      <c r="J57" s="12"/>
      <c r="N57" s="5"/>
      <c r="O57" s="5"/>
      <c r="P57" s="5"/>
    </row>
    <row r="58" spans="1:17">
      <c r="A58" s="2"/>
      <c r="G58" s="86"/>
      <c r="N58" s="5"/>
      <c r="O58" s="5"/>
      <c r="P58" s="5"/>
    </row>
    <row r="59" spans="1:17" ht="29">
      <c r="A59" s="6"/>
      <c r="B59" s="87" t="s">
        <v>24</v>
      </c>
      <c r="C59" s="87" t="s">
        <v>25</v>
      </c>
      <c r="D59" s="87" t="s">
        <v>26</v>
      </c>
      <c r="E59" s="88" t="s">
        <v>27</v>
      </c>
      <c r="J59" s="34"/>
      <c r="N59" s="5"/>
      <c r="O59" s="5"/>
      <c r="P59" s="5"/>
    </row>
    <row r="60" spans="1:17">
      <c r="A60" s="7"/>
      <c r="B60" s="89">
        <f>C56</f>
        <v>572727</v>
      </c>
      <c r="C60" s="89">
        <f>$J$56</f>
        <v>13698512.925849531</v>
      </c>
      <c r="D60" s="89">
        <f>$H$56</f>
        <v>425513.82518773002</v>
      </c>
      <c r="E60" s="90">
        <f>$I$56</f>
        <v>25708019.121133756</v>
      </c>
      <c r="H60" s="8"/>
      <c r="N60" s="5"/>
      <c r="P60" s="5"/>
    </row>
    <row r="61" spans="1:17">
      <c r="A61" s="7"/>
      <c r="B61" s="9"/>
      <c r="C61" s="9"/>
      <c r="D61" s="9"/>
      <c r="H61" s="11"/>
      <c r="N61" s="5"/>
      <c r="P61" s="5"/>
    </row>
    <row r="62" spans="1:17">
      <c r="F62" s="15"/>
      <c r="H62" s="10"/>
      <c r="N62" s="5"/>
      <c r="P62" s="5"/>
    </row>
    <row r="63" spans="1:17">
      <c r="E63" s="9">
        <f>MIN(E22:E55)</f>
        <v>1.6666666666666666E-2</v>
      </c>
      <c r="F63" s="9">
        <f>60*E63</f>
        <v>1</v>
      </c>
    </row>
    <row r="64" spans="1:17">
      <c r="E64" s="91">
        <f>MAX(E22:E55)</f>
        <v>9.36915818521706</v>
      </c>
    </row>
    <row r="66" spans="1:11">
      <c r="E66"/>
      <c r="G66"/>
      <c r="I66"/>
      <c r="K66"/>
    </row>
    <row r="67" spans="1:11">
      <c r="E67"/>
      <c r="G67"/>
      <c r="I67"/>
      <c r="K67"/>
    </row>
    <row r="68" spans="1:11">
      <c r="A68" s="92"/>
    </row>
    <row r="69" spans="1:11">
      <c r="A69" s="92"/>
    </row>
    <row r="70" spans="1:11">
      <c r="A70" s="92"/>
    </row>
    <row r="71" spans="1:11">
      <c r="A71" s="92"/>
    </row>
    <row r="72" spans="1:11">
      <c r="A72" s="92"/>
    </row>
    <row r="73" spans="1:11">
      <c r="A73" s="92"/>
    </row>
    <row r="74" spans="1:11">
      <c r="A74" s="92"/>
    </row>
    <row r="75" spans="1:11">
      <c r="A75" s="92"/>
    </row>
    <row r="76" spans="1:11">
      <c r="A76" s="93"/>
    </row>
    <row r="77" spans="1:11">
      <c r="A77" s="92"/>
    </row>
    <row r="78" spans="1:11">
      <c r="A78" s="92"/>
    </row>
    <row r="79" spans="1:11">
      <c r="A79" s="92"/>
    </row>
    <row r="80" spans="1:11">
      <c r="A80" s="92"/>
      <c r="B80" s="94"/>
    </row>
    <row r="81" spans="1:2">
      <c r="A81" s="92"/>
      <c r="B81" s="94"/>
    </row>
    <row r="82" spans="1:2">
      <c r="A82" s="93"/>
      <c r="B82" s="94"/>
    </row>
    <row r="83" spans="1:2">
      <c r="A83" s="92"/>
      <c r="B83" s="94"/>
    </row>
    <row r="84" spans="1:2">
      <c r="A84" s="93"/>
      <c r="B84" s="94"/>
    </row>
    <row r="85" spans="1:2">
      <c r="A85" s="93"/>
      <c r="B85" s="94"/>
    </row>
    <row r="86" spans="1:2">
      <c r="A86" s="93"/>
      <c r="B86" s="94"/>
    </row>
    <row r="87" spans="1:2">
      <c r="A87" s="93"/>
      <c r="B87" s="94"/>
    </row>
    <row r="88" spans="1:2">
      <c r="A88" s="93"/>
      <c r="B88" s="94"/>
    </row>
    <row r="89" spans="1:2">
      <c r="A89" s="93"/>
      <c r="B89" s="94"/>
    </row>
    <row r="90" spans="1:2">
      <c r="A90" s="92"/>
      <c r="B90" s="94"/>
    </row>
    <row r="91" spans="1:2">
      <c r="A91" s="95"/>
      <c r="B91" s="94"/>
    </row>
    <row r="92" spans="1:2">
      <c r="A92" s="96"/>
      <c r="B92" s="94"/>
    </row>
    <row r="93" spans="1:2">
      <c r="A93" s="96"/>
      <c r="B93" s="94"/>
    </row>
    <row r="94" spans="1:2">
      <c r="A94" s="96"/>
      <c r="B94" s="94"/>
    </row>
    <row r="95" spans="1:2">
      <c r="A95" s="93"/>
      <c r="B95" s="94"/>
    </row>
    <row r="96" spans="1:2">
      <c r="A96" s="96"/>
      <c r="B96" s="94"/>
    </row>
    <row r="97" spans="1:2">
      <c r="A97" s="96"/>
      <c r="B97" s="94"/>
    </row>
    <row r="98" spans="1:2">
      <c r="A98" s="96"/>
      <c r="B98" s="94"/>
    </row>
    <row r="99" spans="1:2">
      <c r="A99" s="92"/>
      <c r="B99" s="94"/>
    </row>
    <row r="100" spans="1:2">
      <c r="A100" s="95"/>
      <c r="B100" s="94"/>
    </row>
    <row r="101" spans="1:2">
      <c r="A101" s="92"/>
      <c r="B101" s="94"/>
    </row>
    <row r="102" spans="1:2">
      <c r="B102" s="94"/>
    </row>
    <row r="103" spans="1:2">
      <c r="A103" s="92"/>
      <c r="B103" s="94"/>
    </row>
    <row r="104" spans="1:2">
      <c r="A104" s="93"/>
      <c r="B104" s="94"/>
    </row>
    <row r="105" spans="1:2">
      <c r="A105" s="450"/>
      <c r="B105" s="94"/>
    </row>
    <row r="106" spans="1:2">
      <c r="A106" s="450"/>
      <c r="B106" s="94"/>
    </row>
    <row r="107" spans="1:2">
      <c r="A107" s="450"/>
      <c r="B107" s="94"/>
    </row>
    <row r="108" spans="1:2">
      <c r="B108" s="94"/>
    </row>
    <row r="109" spans="1:2">
      <c r="A109" s="93"/>
      <c r="B109" s="94"/>
    </row>
    <row r="110" spans="1:2">
      <c r="A110" s="93"/>
      <c r="B110" s="94"/>
    </row>
    <row r="111" spans="1:2">
      <c r="A111" s="92"/>
      <c r="B111" s="94"/>
    </row>
    <row r="112" spans="1:2">
      <c r="A112" s="97"/>
      <c r="B112" s="94"/>
    </row>
    <row r="113" spans="1:2">
      <c r="A113" s="92"/>
      <c r="B113" s="94"/>
    </row>
  </sheetData>
  <mergeCells count="15">
    <mergeCell ref="D10:J10"/>
    <mergeCell ref="D11:J11"/>
    <mergeCell ref="A105:A107"/>
    <mergeCell ref="A20:A21"/>
    <mergeCell ref="B20:B21"/>
    <mergeCell ref="C20:C21"/>
    <mergeCell ref="D20:D21"/>
    <mergeCell ref="E20:E21"/>
    <mergeCell ref="F20:G20"/>
    <mergeCell ref="H20:J20"/>
    <mergeCell ref="A22:A25"/>
    <mergeCell ref="A26:A29"/>
    <mergeCell ref="A31:A35"/>
    <mergeCell ref="A37:A42"/>
    <mergeCell ref="A43:A54"/>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D210A-C49A-49BF-BEAC-A73736783A2A}">
  <sheetPr>
    <pageSetUpPr fitToPage="1"/>
  </sheetPr>
  <dimension ref="A1:AH36"/>
  <sheetViews>
    <sheetView topLeftCell="B17" zoomScale="80" zoomScaleNormal="80" workbookViewId="0">
      <selection activeCell="O31" sqref="O31"/>
    </sheetView>
  </sheetViews>
  <sheetFormatPr defaultColWidth="9.1796875" defaultRowHeight="14.5"/>
  <cols>
    <col min="1" max="1" width="22.54296875" customWidth="1"/>
    <col min="2" max="2" width="73.81640625" customWidth="1"/>
    <col min="3" max="3" width="20.7265625" customWidth="1"/>
    <col min="4" max="11" width="21.7265625" customWidth="1"/>
    <col min="12" max="13" width="14.54296875" customWidth="1"/>
    <col min="14" max="15" width="15.7265625" customWidth="1"/>
    <col min="16" max="16" width="18.54296875" customWidth="1"/>
    <col min="17" max="19" width="15.7265625" customWidth="1"/>
    <col min="22" max="22" width="25" customWidth="1"/>
    <col min="23" max="23" width="21.1796875" customWidth="1"/>
    <col min="24" max="24" width="16.54296875" customWidth="1"/>
    <col min="26" max="26" width="12.7265625" customWidth="1"/>
    <col min="27" max="27" width="15.26953125" customWidth="1"/>
    <col min="28" max="28" width="13.1796875" customWidth="1"/>
    <col min="29" max="29" width="11.54296875" customWidth="1"/>
    <col min="30" max="30" width="13.54296875" customWidth="1"/>
    <col min="34" max="34" width="16.1796875" customWidth="1"/>
  </cols>
  <sheetData>
    <row r="1" spans="2:31" ht="23.5">
      <c r="B1" s="1" t="s">
        <v>163</v>
      </c>
      <c r="G1" s="354" t="s">
        <v>386</v>
      </c>
      <c r="N1" s="2"/>
    </row>
    <row r="2" spans="2:31">
      <c r="B2" s="126" t="s">
        <v>406</v>
      </c>
      <c r="N2" s="2"/>
    </row>
    <row r="3" spans="2:31" ht="23.5">
      <c r="B3" s="3" t="s">
        <v>87</v>
      </c>
      <c r="N3" s="2"/>
    </row>
    <row r="4" spans="2:31">
      <c r="B4" s="457"/>
      <c r="C4" s="457"/>
      <c r="D4" s="457"/>
      <c r="E4" s="457"/>
      <c r="F4" s="457"/>
      <c r="G4" s="457"/>
      <c r="H4" s="457"/>
      <c r="I4" s="457"/>
      <c r="J4" s="457"/>
      <c r="K4" s="457"/>
      <c r="L4" s="457"/>
      <c r="M4" s="457"/>
      <c r="N4" s="457"/>
    </row>
    <row r="5" spans="2:31" ht="19" thickBot="1">
      <c r="B5" s="4" t="s">
        <v>1</v>
      </c>
    </row>
    <row r="6" spans="2:31" ht="18.5">
      <c r="B6" s="134"/>
      <c r="C6" s="135" t="s">
        <v>332</v>
      </c>
      <c r="D6" s="136" t="s">
        <v>34</v>
      </c>
    </row>
    <row r="7" spans="2:31">
      <c r="B7" s="270" t="s">
        <v>156</v>
      </c>
      <c r="C7" s="32"/>
      <c r="D7" s="166">
        <v>1.6</v>
      </c>
      <c r="E7" t="s">
        <v>160</v>
      </c>
      <c r="I7" s="165"/>
      <c r="J7" s="165"/>
      <c r="K7" s="165"/>
      <c r="L7" s="165"/>
      <c r="M7" s="165"/>
      <c r="N7" s="165"/>
    </row>
    <row r="8" spans="2:31">
      <c r="B8" s="270" t="s">
        <v>158</v>
      </c>
      <c r="C8" s="33">
        <v>78.56</v>
      </c>
      <c r="D8" s="139">
        <f>C8*$D$7</f>
        <v>125.69600000000001</v>
      </c>
      <c r="E8" t="s">
        <v>402</v>
      </c>
      <c r="F8" s="165"/>
      <c r="G8" s="165"/>
      <c r="H8" s="165"/>
      <c r="I8" s="165"/>
      <c r="J8" s="165"/>
      <c r="K8" s="165"/>
      <c r="L8" s="165"/>
      <c r="M8" s="165"/>
      <c r="N8" s="165"/>
    </row>
    <row r="9" spans="2:31">
      <c r="B9" s="270" t="s">
        <v>157</v>
      </c>
      <c r="C9" s="33">
        <v>56.52</v>
      </c>
      <c r="D9" s="139">
        <f t="shared" ref="D9:D10" si="0">C9*$D$7</f>
        <v>90.432000000000016</v>
      </c>
      <c r="E9" t="s">
        <v>402</v>
      </c>
      <c r="F9" s="165"/>
      <c r="G9" s="165"/>
      <c r="H9" s="165"/>
      <c r="I9" s="165"/>
      <c r="J9" s="165"/>
      <c r="K9" s="165"/>
      <c r="L9" s="165"/>
      <c r="M9" s="165"/>
      <c r="N9" s="165"/>
    </row>
    <row r="10" spans="2:31">
      <c r="B10" s="271" t="s">
        <v>159</v>
      </c>
      <c r="C10" s="267">
        <v>39.659999999999997</v>
      </c>
      <c r="D10" s="268">
        <f t="shared" si="0"/>
        <v>63.455999999999996</v>
      </c>
      <c r="E10" t="s">
        <v>402</v>
      </c>
      <c r="F10" s="165"/>
      <c r="G10" s="165"/>
      <c r="H10" s="165"/>
      <c r="I10" s="165"/>
      <c r="J10" s="165"/>
      <c r="K10" s="165"/>
      <c r="L10" s="165"/>
      <c r="M10" s="165"/>
      <c r="N10" s="165"/>
    </row>
    <row r="11" spans="2:31" ht="15" thickBot="1">
      <c r="B11" s="272" t="s">
        <v>273</v>
      </c>
      <c r="C11" s="180"/>
      <c r="D11" s="181">
        <f>(172.44+101.82)/2</f>
        <v>137.13</v>
      </c>
      <c r="E11" t="s">
        <v>348</v>
      </c>
      <c r="F11" s="165"/>
      <c r="G11" s="165"/>
      <c r="H11" s="165"/>
      <c r="I11" s="165"/>
      <c r="J11" s="165"/>
      <c r="K11" s="165"/>
      <c r="L11" s="165"/>
      <c r="M11" s="165"/>
      <c r="N11" s="165"/>
    </row>
    <row r="13" spans="2:31" ht="18.5">
      <c r="B13" s="4" t="s">
        <v>88</v>
      </c>
    </row>
    <row r="14" spans="2:31" ht="15.5">
      <c r="B14" s="109" t="s">
        <v>89</v>
      </c>
      <c r="C14" s="109"/>
      <c r="D14" s="109"/>
      <c r="E14" s="109"/>
      <c r="F14" s="109"/>
      <c r="G14" s="109"/>
      <c r="H14" s="109"/>
      <c r="I14" s="109"/>
      <c r="J14" s="109"/>
    </row>
    <row r="15" spans="2:31" ht="15.65" customHeight="1">
      <c r="B15" s="109"/>
      <c r="C15" s="36" t="s">
        <v>94</v>
      </c>
      <c r="D15" s="36" t="s">
        <v>95</v>
      </c>
      <c r="E15" s="36" t="s">
        <v>96</v>
      </c>
      <c r="F15" s="458" t="s">
        <v>6</v>
      </c>
      <c r="G15" s="462" t="s">
        <v>271</v>
      </c>
      <c r="H15" s="463"/>
      <c r="I15" s="463"/>
      <c r="J15" s="464"/>
      <c r="K15" s="36" t="s">
        <v>94</v>
      </c>
      <c r="L15" s="36" t="s">
        <v>94</v>
      </c>
      <c r="M15" s="36" t="s">
        <v>94</v>
      </c>
      <c r="N15" s="36" t="s">
        <v>95</v>
      </c>
      <c r="O15" s="36" t="s">
        <v>95</v>
      </c>
      <c r="P15" s="36" t="s">
        <v>95</v>
      </c>
      <c r="Q15" s="36" t="s">
        <v>96</v>
      </c>
      <c r="R15" s="36" t="s">
        <v>96</v>
      </c>
      <c r="S15" s="36" t="s">
        <v>96</v>
      </c>
      <c r="V15" s="8"/>
      <c r="W15" t="s">
        <v>94</v>
      </c>
      <c r="X15" s="18" t="s">
        <v>94</v>
      </c>
      <c r="Y15" s="18" t="s">
        <v>94</v>
      </c>
      <c r="Z15" s="18" t="s">
        <v>95</v>
      </c>
      <c r="AA15" s="18" t="s">
        <v>95</v>
      </c>
      <c r="AB15" s="18" t="s">
        <v>95</v>
      </c>
      <c r="AC15" s="18" t="s">
        <v>96</v>
      </c>
      <c r="AD15" s="18" t="s">
        <v>96</v>
      </c>
      <c r="AE15" s="18" t="s">
        <v>96</v>
      </c>
    </row>
    <row r="16" spans="2:31" ht="15.5">
      <c r="B16" s="109"/>
      <c r="C16" s="36"/>
      <c r="D16" s="36"/>
      <c r="E16" s="36"/>
      <c r="F16" s="458"/>
      <c r="G16" s="127" t="s">
        <v>135</v>
      </c>
      <c r="H16" s="127" t="s">
        <v>136</v>
      </c>
      <c r="I16" s="127" t="s">
        <v>137</v>
      </c>
      <c r="J16" s="127" t="s">
        <v>272</v>
      </c>
      <c r="K16" s="36"/>
      <c r="L16" s="36"/>
      <c r="M16" s="36"/>
      <c r="N16" s="36"/>
      <c r="O16" s="36"/>
      <c r="P16" s="36"/>
      <c r="Q16" s="36"/>
      <c r="R16" s="36"/>
      <c r="S16" s="36"/>
      <c r="V16" s="8"/>
      <c r="X16" s="18"/>
      <c r="Y16" s="18"/>
      <c r="Z16" s="18"/>
      <c r="AA16" s="18"/>
      <c r="AB16" s="18"/>
      <c r="AC16" s="18"/>
      <c r="AD16" s="18"/>
      <c r="AE16" s="18"/>
    </row>
    <row r="17" spans="1:34" ht="43.5">
      <c r="B17" s="36" t="s">
        <v>4</v>
      </c>
      <c r="C17" s="36" t="s">
        <v>296</v>
      </c>
      <c r="D17" s="36" t="s">
        <v>296</v>
      </c>
      <c r="E17" s="36" t="s">
        <v>296</v>
      </c>
      <c r="F17" s="459"/>
      <c r="G17" s="164">
        <f>$D$8</f>
        <v>125.69600000000001</v>
      </c>
      <c r="H17" s="164">
        <f>$D$9</f>
        <v>90.432000000000016</v>
      </c>
      <c r="I17" s="164">
        <f>$D$10</f>
        <v>63.455999999999996</v>
      </c>
      <c r="J17" s="265">
        <f>$D$11</f>
        <v>137.13</v>
      </c>
      <c r="K17" s="36" t="s">
        <v>90</v>
      </c>
      <c r="L17" s="36" t="s">
        <v>91</v>
      </c>
      <c r="M17" s="36" t="s">
        <v>297</v>
      </c>
      <c r="N17" s="36" t="s">
        <v>90</v>
      </c>
      <c r="O17" s="36" t="s">
        <v>91</v>
      </c>
      <c r="P17" s="36" t="s">
        <v>297</v>
      </c>
      <c r="Q17" s="36" t="s">
        <v>90</v>
      </c>
      <c r="R17" s="36" t="s">
        <v>91</v>
      </c>
      <c r="S17" s="36" t="s">
        <v>297</v>
      </c>
      <c r="V17" s="167" t="s">
        <v>40</v>
      </c>
      <c r="W17" s="168" t="s">
        <v>41</v>
      </c>
      <c r="X17" s="168" t="s">
        <v>42</v>
      </c>
      <c r="Y17" s="168" t="s">
        <v>43</v>
      </c>
      <c r="Z17" s="168" t="s">
        <v>41</v>
      </c>
      <c r="AA17" s="168" t="s">
        <v>42</v>
      </c>
      <c r="AB17" s="168" t="s">
        <v>43</v>
      </c>
      <c r="AC17" s="168" t="s">
        <v>41</v>
      </c>
      <c r="AD17" s="168" t="s">
        <v>42</v>
      </c>
      <c r="AE17" s="168" t="s">
        <v>43</v>
      </c>
    </row>
    <row r="18" spans="1:34" ht="42.65" customHeight="1">
      <c r="B18" s="240" t="s">
        <v>107</v>
      </c>
      <c r="C18" s="241">
        <f>SUM('Respondent Burden'!G45:G46)</f>
        <v>430.68018016644606</v>
      </c>
      <c r="D18" s="241">
        <f>SUM('Respondent Burden'!H45:H46)</f>
        <v>430.99994348732105</v>
      </c>
      <c r="E18" s="241">
        <f>SUM('Respondent Burden'!I45:I46)</f>
        <v>429.62352374642302</v>
      </c>
      <c r="F18" s="241">
        <v>1</v>
      </c>
      <c r="G18" s="241">
        <v>0</v>
      </c>
      <c r="H18" s="242">
        <f>15/60</f>
        <v>0.25</v>
      </c>
      <c r="I18" s="241">
        <v>0</v>
      </c>
      <c r="J18" s="241">
        <v>0</v>
      </c>
      <c r="K18" s="130">
        <f>C18*$F18*SUM($G18:$J18)</f>
        <v>107.67004504161152</v>
      </c>
      <c r="L18" s="131">
        <f t="shared" ref="L18:L23" si="1">K18*$D$9</f>
        <v>9736.8175132030137</v>
      </c>
      <c r="M18" s="132">
        <f>C18*F18</f>
        <v>430.68018016644606</v>
      </c>
      <c r="N18" s="269">
        <f>D18*$F18*SUM($G18:$J18)</f>
        <v>107.74998587183026</v>
      </c>
      <c r="O18" s="110">
        <f t="shared" ref="O18:O23" si="2">N18*$D$9</f>
        <v>9744.0467223613559</v>
      </c>
      <c r="P18" s="111">
        <f>D18*$F18</f>
        <v>430.99994348732105</v>
      </c>
      <c r="Q18" s="130">
        <f>E18*$F18*SUM($G18:$J18)</f>
        <v>107.40588093660575</v>
      </c>
      <c r="R18" s="131">
        <f t="shared" ref="R18:R23" si="3">Q18*$D$9</f>
        <v>9712.9286248591325</v>
      </c>
      <c r="S18" s="132">
        <f>E18*F18</f>
        <v>429.62352374642302</v>
      </c>
      <c r="V18" s="155" t="s">
        <v>148</v>
      </c>
      <c r="W18" s="154">
        <f>SUM(M18:M22)</f>
        <v>1089.642947760683</v>
      </c>
      <c r="X18" s="61">
        <f>SUM(L18:L22)</f>
        <v>36743.774541347178</v>
      </c>
      <c r="Y18" s="140">
        <f>SUM(K18:K22)</f>
        <v>406.31385506620637</v>
      </c>
      <c r="Z18" s="154">
        <f>SUM(P18:P22)</f>
        <v>1090.0361030573574</v>
      </c>
      <c r="AA18" s="61">
        <f>SUM(O18:O22)</f>
        <v>36757.168122939598</v>
      </c>
      <c r="AB18" s="140">
        <f>SUM(N18:N22)</f>
        <v>406.46196172748131</v>
      </c>
      <c r="AC18" s="154">
        <f>SUM(S18:S22)</f>
        <v>1085.9851314738812</v>
      </c>
      <c r="AD18" s="61">
        <f>SUM(R18:R22)</f>
        <v>36620.751552708978</v>
      </c>
      <c r="AE18" s="140">
        <f>SUM(Q18:Q22)</f>
        <v>404.95346285285041</v>
      </c>
    </row>
    <row r="19" spans="1:34" ht="29">
      <c r="B19" s="240" t="s">
        <v>108</v>
      </c>
      <c r="C19" s="241">
        <f>SUM('Respondent Burden'!G47:G48)</f>
        <v>86.136036033289216</v>
      </c>
      <c r="D19" s="241">
        <f>SUM('Respondent Burden'!H47:H48)</f>
        <v>86.199988697464207</v>
      </c>
      <c r="E19" s="241">
        <f>SUM('Respondent Burden'!I47:I48)</f>
        <v>85.924704749284615</v>
      </c>
      <c r="F19" s="241">
        <v>1</v>
      </c>
      <c r="G19" s="241">
        <v>0</v>
      </c>
      <c r="H19" s="241">
        <v>1</v>
      </c>
      <c r="I19" s="241">
        <v>0</v>
      </c>
      <c r="J19" s="241">
        <v>0</v>
      </c>
      <c r="K19" s="130">
        <f t="shared" ref="K19:K23" si="4">C19*$F19*SUM($G19:$J19)</f>
        <v>86.136036033289216</v>
      </c>
      <c r="L19" s="131">
        <f t="shared" si="1"/>
        <v>7789.4540105624119</v>
      </c>
      <c r="M19" s="132">
        <f t="shared" ref="M19:M23" si="5">C19*F19</f>
        <v>86.136036033289216</v>
      </c>
      <c r="N19" s="269">
        <f t="shared" ref="N19:N23" si="6">D19*$F19*SUM($G19:$J19)</f>
        <v>86.199988697464207</v>
      </c>
      <c r="O19" s="110">
        <f t="shared" si="2"/>
        <v>7795.2373778890842</v>
      </c>
      <c r="P19" s="111">
        <f t="shared" ref="P19:P23" si="7">D19*$F19</f>
        <v>86.199988697464207</v>
      </c>
      <c r="Q19" s="130">
        <f t="shared" ref="Q19:Q24" si="8">E19*F19*H19</f>
        <v>85.924704749284615</v>
      </c>
      <c r="R19" s="131">
        <f t="shared" si="3"/>
        <v>7770.3428998873078</v>
      </c>
      <c r="S19" s="132">
        <f t="shared" ref="S19:S23" si="9">E19*F19</f>
        <v>85.924704749284615</v>
      </c>
      <c r="V19" s="155" t="s">
        <v>188</v>
      </c>
      <c r="W19" s="154">
        <f>M23</f>
        <v>20</v>
      </c>
      <c r="X19" s="61">
        <f>L23</f>
        <v>904.32000000000016</v>
      </c>
      <c r="Y19" s="140">
        <f>K23</f>
        <v>10</v>
      </c>
      <c r="Z19" s="154">
        <f>P23</f>
        <v>20</v>
      </c>
      <c r="AA19" s="61">
        <f>O23</f>
        <v>904.32000000000016</v>
      </c>
      <c r="AB19" s="140">
        <f>N23</f>
        <v>10</v>
      </c>
      <c r="AC19" s="154">
        <f>S23</f>
        <v>20</v>
      </c>
      <c r="AD19" s="61">
        <f>R23</f>
        <v>904.32000000000016</v>
      </c>
      <c r="AE19" s="140">
        <f>Q23</f>
        <v>10</v>
      </c>
    </row>
    <row r="20" spans="1:34" ht="29">
      <c r="B20" s="240" t="s">
        <v>109</v>
      </c>
      <c r="C20" s="243">
        <f>SUM('Respondent Burden'!G49:G50)</f>
        <v>177.37342029400384</v>
      </c>
      <c r="D20" s="243">
        <f>SUM('Respondent Burden'!H49:H50)</f>
        <v>177.3746358674382</v>
      </c>
      <c r="E20" s="243">
        <f>SUM('Respondent Burden'!I49:I50)</f>
        <v>176.62937837310409</v>
      </c>
      <c r="F20" s="243">
        <v>1</v>
      </c>
      <c r="G20" s="243">
        <v>0</v>
      </c>
      <c r="H20" s="244">
        <f>5/60</f>
        <v>8.3333333333333329E-2</v>
      </c>
      <c r="I20" s="241">
        <v>0</v>
      </c>
      <c r="J20" s="241">
        <v>0</v>
      </c>
      <c r="K20" s="130">
        <f t="shared" si="4"/>
        <v>14.781118357833652</v>
      </c>
      <c r="L20" s="131">
        <f t="shared" si="1"/>
        <v>1336.6860953356131</v>
      </c>
      <c r="M20" s="132">
        <f t="shared" si="5"/>
        <v>177.37342029400384</v>
      </c>
      <c r="N20" s="269">
        <f t="shared" si="6"/>
        <v>14.78121965561985</v>
      </c>
      <c r="O20" s="110">
        <f t="shared" si="2"/>
        <v>1336.6952558970145</v>
      </c>
      <c r="P20" s="111">
        <f t="shared" si="7"/>
        <v>177.3746358674382</v>
      </c>
      <c r="Q20" s="130">
        <f t="shared" si="8"/>
        <v>14.71911486442534</v>
      </c>
      <c r="R20" s="131">
        <f t="shared" si="3"/>
        <v>1331.0789954197126</v>
      </c>
      <c r="S20" s="132">
        <f t="shared" si="9"/>
        <v>176.62937837310409</v>
      </c>
      <c r="V20" s="155" t="s">
        <v>370</v>
      </c>
      <c r="W20" s="154">
        <f>M24</f>
        <v>0</v>
      </c>
      <c r="X20" s="61">
        <f>L24</f>
        <v>0</v>
      </c>
      <c r="Y20" s="140">
        <f>K24</f>
        <v>0</v>
      </c>
      <c r="Z20" s="154">
        <f>P24</f>
        <v>10037</v>
      </c>
      <c r="AA20" s="61">
        <f>O24</f>
        <v>453832.99200000009</v>
      </c>
      <c r="AB20" s="140">
        <f>N24</f>
        <v>5018.5</v>
      </c>
      <c r="AC20" s="154">
        <f>S24</f>
        <v>10037</v>
      </c>
      <c r="AD20" s="61">
        <f>R24</f>
        <v>453832.99200000009</v>
      </c>
      <c r="AE20" s="140">
        <f>Q24</f>
        <v>5018.5</v>
      </c>
    </row>
    <row r="21" spans="1:34" ht="43.5">
      <c r="B21" s="240" t="s">
        <v>110</v>
      </c>
      <c r="C21" s="243">
        <f>SUM('Respondent Burden'!G51:G52)</f>
        <v>387.95798471877026</v>
      </c>
      <c r="D21" s="243">
        <f>SUM('Respondent Burden'!H51:H52)</f>
        <v>387.96064346786068</v>
      </c>
      <c r="E21" s="243">
        <f>SUM('Respondent Burden'!I51:I52)</f>
        <v>386.3305875377265</v>
      </c>
      <c r="F21" s="243">
        <v>1</v>
      </c>
      <c r="G21" s="243">
        <v>0</v>
      </c>
      <c r="H21" s="244">
        <f>30/60</f>
        <v>0.5</v>
      </c>
      <c r="I21" s="241">
        <v>0</v>
      </c>
      <c r="J21" s="241">
        <v>0</v>
      </c>
      <c r="K21" s="130">
        <f t="shared" si="4"/>
        <v>193.97899235938513</v>
      </c>
      <c r="L21" s="131">
        <f t="shared" si="1"/>
        <v>17541.908237043921</v>
      </c>
      <c r="M21" s="132">
        <f t="shared" si="5"/>
        <v>387.95798471877026</v>
      </c>
      <c r="N21" s="269">
        <f t="shared" si="6"/>
        <v>193.98032173393034</v>
      </c>
      <c r="O21" s="110">
        <f t="shared" si="2"/>
        <v>17542.028455042793</v>
      </c>
      <c r="P21" s="111">
        <f t="shared" si="7"/>
        <v>387.96064346786068</v>
      </c>
      <c r="Q21" s="130">
        <f t="shared" si="8"/>
        <v>193.16529376886325</v>
      </c>
      <c r="R21" s="131">
        <f t="shared" si="3"/>
        <v>17468.323846105846</v>
      </c>
      <c r="S21" s="132">
        <f t="shared" si="9"/>
        <v>386.3305875377265</v>
      </c>
      <c r="V21" s="155" t="s">
        <v>28</v>
      </c>
      <c r="W21" s="257">
        <f t="shared" ref="W21:AE21" si="10">SUM(W18:W20)</f>
        <v>1109.642947760683</v>
      </c>
      <c r="X21" s="297">
        <f t="shared" si="10"/>
        <v>37648.094541347178</v>
      </c>
      <c r="Y21" s="258">
        <f t="shared" si="10"/>
        <v>416.31385506620637</v>
      </c>
      <c r="Z21" s="257">
        <f t="shared" si="10"/>
        <v>11147.036103057357</v>
      </c>
      <c r="AA21" s="297">
        <f t="shared" si="10"/>
        <v>491494.48012293968</v>
      </c>
      <c r="AB21" s="258">
        <f t="shared" si="10"/>
        <v>5434.9619617274811</v>
      </c>
      <c r="AC21" s="257">
        <f t="shared" si="10"/>
        <v>11142.985131473881</v>
      </c>
      <c r="AD21" s="297">
        <f t="shared" si="10"/>
        <v>491358.06355270906</v>
      </c>
      <c r="AE21" s="258">
        <f t="shared" si="10"/>
        <v>5433.4534628528509</v>
      </c>
    </row>
    <row r="22" spans="1:34" ht="43.5">
      <c r="B22" s="245" t="s">
        <v>199</v>
      </c>
      <c r="C22" s="243">
        <f>SUM('Respondent Burden'!G53:G54)</f>
        <v>7.4953265481736446</v>
      </c>
      <c r="D22" s="243">
        <f>SUM('Respondent Burden'!H53:H54)</f>
        <v>7.5008915372733522</v>
      </c>
      <c r="E22" s="243">
        <f>SUM('Respondent Burden'!I53:I54)</f>
        <v>7.4769370673430284</v>
      </c>
      <c r="F22" s="243">
        <v>1</v>
      </c>
      <c r="G22" s="262">
        <v>0</v>
      </c>
      <c r="H22" s="246">
        <v>0.5</v>
      </c>
      <c r="I22" s="241">
        <v>0</v>
      </c>
      <c r="J22" s="241">
        <v>0</v>
      </c>
      <c r="K22" s="130">
        <f t="shared" si="4"/>
        <v>3.7476632740868223</v>
      </c>
      <c r="L22" s="131">
        <f t="shared" si="1"/>
        <v>338.9086852022196</v>
      </c>
      <c r="M22" s="132">
        <f t="shared" si="5"/>
        <v>7.4953265481736446</v>
      </c>
      <c r="N22" s="269">
        <f t="shared" si="6"/>
        <v>3.7504457686366761</v>
      </c>
      <c r="O22" s="110">
        <f t="shared" si="2"/>
        <v>339.16031174935193</v>
      </c>
      <c r="P22" s="111">
        <f t="shared" si="7"/>
        <v>7.5008915372733522</v>
      </c>
      <c r="Q22" s="130">
        <f t="shared" si="8"/>
        <v>3.7384685336715142</v>
      </c>
      <c r="R22" s="131">
        <f t="shared" si="3"/>
        <v>338.07718643698246</v>
      </c>
      <c r="S22" s="132">
        <f t="shared" si="9"/>
        <v>7.4769370673430284</v>
      </c>
      <c r="V22" s="193" t="s">
        <v>150</v>
      </c>
      <c r="W22" s="194">
        <f>O34</f>
        <v>147</v>
      </c>
      <c r="X22" s="195">
        <f>Q34</f>
        <v>-7870.9680000000008</v>
      </c>
      <c r="Y22" s="196">
        <f>P34</f>
        <v>-98</v>
      </c>
      <c r="Z22" s="194">
        <f>$W$22</f>
        <v>147</v>
      </c>
      <c r="AA22" s="195">
        <f>$X$22</f>
        <v>-7870.9680000000008</v>
      </c>
      <c r="AB22" s="196">
        <f>$Y$22</f>
        <v>-98</v>
      </c>
      <c r="AC22" s="194">
        <f>$W$22</f>
        <v>147</v>
      </c>
      <c r="AD22" s="195">
        <f>$X$22</f>
        <v>-7870.9680000000008</v>
      </c>
      <c r="AE22" s="196">
        <f>$Y$22</f>
        <v>-98</v>
      </c>
      <c r="AG22" t="s">
        <v>168</v>
      </c>
      <c r="AH22" s="10">
        <f>AVERAGE(X23,AA23,AD23)</f>
        <v>332295.91140566533</v>
      </c>
    </row>
    <row r="23" spans="1:34" ht="30" customHeight="1">
      <c r="B23" s="247" t="s">
        <v>200</v>
      </c>
      <c r="C23" s="241">
        <f>'Respondent Burden'!G81</f>
        <v>20</v>
      </c>
      <c r="D23" s="241">
        <f>'Respondent Burden'!H81</f>
        <v>20</v>
      </c>
      <c r="E23" s="241">
        <f>'Respondent Burden'!I81</f>
        <v>20</v>
      </c>
      <c r="F23" s="241">
        <v>1</v>
      </c>
      <c r="G23" s="261">
        <v>0</v>
      </c>
      <c r="H23" s="246">
        <v>0.5</v>
      </c>
      <c r="I23" s="241">
        <v>0</v>
      </c>
      <c r="J23" s="241">
        <v>0</v>
      </c>
      <c r="K23" s="130">
        <f t="shared" si="4"/>
        <v>10</v>
      </c>
      <c r="L23" s="131">
        <f t="shared" si="1"/>
        <v>904.32000000000016</v>
      </c>
      <c r="M23" s="132">
        <f t="shared" si="5"/>
        <v>20</v>
      </c>
      <c r="N23" s="269">
        <f t="shared" si="6"/>
        <v>10</v>
      </c>
      <c r="O23" s="110">
        <f t="shared" si="2"/>
        <v>904.32000000000016</v>
      </c>
      <c r="P23" s="111">
        <f t="shared" si="7"/>
        <v>20</v>
      </c>
      <c r="Q23" s="130">
        <f t="shared" si="8"/>
        <v>10</v>
      </c>
      <c r="R23" s="131">
        <f t="shared" si="3"/>
        <v>904.32000000000016</v>
      </c>
      <c r="S23" s="132">
        <f t="shared" si="9"/>
        <v>20</v>
      </c>
      <c r="V23" s="54" t="s">
        <v>269</v>
      </c>
      <c r="W23" s="55">
        <f>SUM(W18:W20)+W22</f>
        <v>1256.642947760683</v>
      </c>
      <c r="X23" s="192">
        <f t="shared" ref="X23:AE23" si="11">SUM(X18:X20)+X22</f>
        <v>29777.126541347177</v>
      </c>
      <c r="Y23" s="299">
        <f t="shared" si="11"/>
        <v>318.31385506620637</v>
      </c>
      <c r="Z23" s="55">
        <f t="shared" si="11"/>
        <v>11294.036103057357</v>
      </c>
      <c r="AA23" s="192">
        <f t="shared" si="11"/>
        <v>483623.51212293969</v>
      </c>
      <c r="AB23" s="55">
        <f t="shared" si="11"/>
        <v>5336.9619617274811</v>
      </c>
      <c r="AC23" s="55">
        <f t="shared" si="11"/>
        <v>11289.985131473881</v>
      </c>
      <c r="AD23" s="192">
        <f t="shared" si="11"/>
        <v>483487.09555270907</v>
      </c>
      <c r="AE23" s="55">
        <f t="shared" si="11"/>
        <v>5335.4534628528509</v>
      </c>
      <c r="AG23" t="s">
        <v>169</v>
      </c>
      <c r="AH23" s="10">
        <f>AH22+'Respondent Burden'!Z22</f>
        <v>17402188.470213681</v>
      </c>
    </row>
    <row r="24" spans="1:34" ht="43.5">
      <c r="B24" s="247" t="s">
        <v>369</v>
      </c>
      <c r="C24" s="273">
        <f>SUM('Respondent Burden'!G85:G86)</f>
        <v>0</v>
      </c>
      <c r="D24" s="241">
        <f>SUM('Respondent Burden'!H85:H86)</f>
        <v>10037</v>
      </c>
      <c r="E24" s="241">
        <f>SUM('Respondent Burden'!I85:I86)</f>
        <v>10037</v>
      </c>
      <c r="F24" s="261">
        <v>1</v>
      </c>
      <c r="G24" s="261">
        <v>0</v>
      </c>
      <c r="H24" s="342">
        <v>0.5</v>
      </c>
      <c r="I24" s="241">
        <v>0</v>
      </c>
      <c r="J24" s="241">
        <v>0</v>
      </c>
      <c r="K24" s="130">
        <f t="shared" ref="K24" si="12">C24*$F24*SUM($G24:$J24)</f>
        <v>0</v>
      </c>
      <c r="L24" s="131">
        <f t="shared" ref="L24" si="13">K24*$D$9</f>
        <v>0</v>
      </c>
      <c r="M24" s="132">
        <f t="shared" ref="M24" si="14">C24*F24</f>
        <v>0</v>
      </c>
      <c r="N24" s="269">
        <f t="shared" ref="N24" si="15">D24*$F24*SUM($G24:$J24)</f>
        <v>5018.5</v>
      </c>
      <c r="O24" s="110">
        <f t="shared" ref="O24" si="16">N24*$D$9</f>
        <v>453832.99200000009</v>
      </c>
      <c r="P24" s="111">
        <f t="shared" ref="P24" si="17">D24*$F24</f>
        <v>10037</v>
      </c>
      <c r="Q24" s="130">
        <f t="shared" si="8"/>
        <v>5018.5</v>
      </c>
      <c r="R24" s="131">
        <f t="shared" ref="R24" si="18">Q24*$D$9</f>
        <v>453832.99200000009</v>
      </c>
      <c r="S24" s="132">
        <f t="shared" ref="S24" si="19">E24*F24</f>
        <v>10037</v>
      </c>
      <c r="X24" s="15">
        <f>AVERAGE(X23,AA23,AD23)</f>
        <v>332295.91140566533</v>
      </c>
      <c r="Y24" s="9">
        <f>AVERAGE(Y23,AB23,AE23)</f>
        <v>3663.5764265488456</v>
      </c>
    </row>
    <row r="25" spans="1:34">
      <c r="B25" s="113" t="s">
        <v>19</v>
      </c>
      <c r="C25" s="114">
        <f>SUM(C18:C24)</f>
        <v>1109.642947760683</v>
      </c>
      <c r="D25" s="114">
        <f t="shared" ref="D25:S25" si="20">SUM(D18:D24)</f>
        <v>11147.036103057357</v>
      </c>
      <c r="E25" s="114">
        <f t="shared" si="20"/>
        <v>11142.985131473881</v>
      </c>
      <c r="F25" s="114">
        <f t="shared" si="20"/>
        <v>7</v>
      </c>
      <c r="G25" s="114">
        <f t="shared" si="20"/>
        <v>0</v>
      </c>
      <c r="H25" s="114">
        <f t="shared" si="20"/>
        <v>3.333333333333333</v>
      </c>
      <c r="I25" s="114">
        <f t="shared" si="20"/>
        <v>0</v>
      </c>
      <c r="J25" s="114"/>
      <c r="K25" s="114">
        <f>SUM(K18:K24)</f>
        <v>416.31385506620637</v>
      </c>
      <c r="L25" s="115">
        <f>SUM(L18:L24)</f>
        <v>37648.094541347178</v>
      </c>
      <c r="M25" s="114">
        <f t="shared" si="20"/>
        <v>1109.642947760683</v>
      </c>
      <c r="N25" s="114">
        <f t="shared" si="20"/>
        <v>5434.9619617274811</v>
      </c>
      <c r="O25" s="115">
        <f>SUM(O18:O24)</f>
        <v>491494.48012293968</v>
      </c>
      <c r="P25" s="114">
        <f t="shared" si="20"/>
        <v>11147.036103057357</v>
      </c>
      <c r="Q25" s="114">
        <f t="shared" si="20"/>
        <v>5433.4534628528509</v>
      </c>
      <c r="R25" s="115">
        <f>SUM(R18:R24)</f>
        <v>491358.06355270906</v>
      </c>
      <c r="S25" s="114">
        <f t="shared" si="20"/>
        <v>11142.985131473881</v>
      </c>
    </row>
    <row r="26" spans="1:34">
      <c r="B26" s="2"/>
      <c r="I26" s="10"/>
      <c r="J26" s="10"/>
      <c r="L26" s="112"/>
      <c r="X26" s="15"/>
      <c r="Y26" s="9"/>
    </row>
    <row r="27" spans="1:34">
      <c r="L27" s="112"/>
      <c r="W27" t="s">
        <v>270</v>
      </c>
      <c r="X27" s="15">
        <f>X24+'Respondent Burden'!Z22</f>
        <v>17402188.470213681</v>
      </c>
      <c r="Z27" s="9"/>
    </row>
    <row r="28" spans="1:34" ht="14.5" customHeight="1">
      <c r="A28" s="422" t="s">
        <v>97</v>
      </c>
      <c r="B28" s="422" t="s">
        <v>4</v>
      </c>
      <c r="C28" s="460"/>
      <c r="D28" s="263"/>
      <c r="E28" s="263"/>
      <c r="F28" s="264"/>
      <c r="G28" s="465" t="s">
        <v>170</v>
      </c>
      <c r="H28" s="466"/>
      <c r="I28" s="466"/>
      <c r="J28" s="467"/>
      <c r="K28" s="402" t="s">
        <v>138</v>
      </c>
      <c r="L28" s="402" t="s">
        <v>139</v>
      </c>
      <c r="M28" s="402" t="s">
        <v>140</v>
      </c>
      <c r="N28" s="402" t="s">
        <v>141</v>
      </c>
      <c r="O28" s="465" t="s">
        <v>143</v>
      </c>
      <c r="P28" s="466"/>
      <c r="Q28" s="467"/>
      <c r="W28" s="9">
        <f>AVERAGE(W23,Z23,AC23)</f>
        <v>7946.888060763973</v>
      </c>
      <c r="X28" s="9">
        <f>AVERAGE(X23,AA23,AD23)</f>
        <v>332295.91140566533</v>
      </c>
      <c r="Y28" s="9">
        <f>AVERAGE(Y23,AB23,AE23)</f>
        <v>3663.5764265488456</v>
      </c>
      <c r="Z28" s="9"/>
    </row>
    <row r="29" spans="1:34" ht="14.5" customHeight="1">
      <c r="A29" s="422"/>
      <c r="B29" s="422"/>
      <c r="C29" s="460"/>
      <c r="D29" s="263"/>
      <c r="E29" s="263"/>
      <c r="F29" s="263"/>
      <c r="G29" s="127" t="s">
        <v>135</v>
      </c>
      <c r="H29" s="127" t="s">
        <v>136</v>
      </c>
      <c r="I29" s="127" t="s">
        <v>137</v>
      </c>
      <c r="J29" s="127" t="s">
        <v>272</v>
      </c>
      <c r="K29" s="461"/>
      <c r="L29" s="461"/>
      <c r="M29" s="461"/>
      <c r="N29" s="461"/>
      <c r="O29" s="402" t="s">
        <v>161</v>
      </c>
      <c r="P29" s="402" t="s">
        <v>30</v>
      </c>
      <c r="Q29" s="402" t="s">
        <v>144</v>
      </c>
      <c r="V29" s="5"/>
      <c r="W29" s="25"/>
      <c r="X29" s="25"/>
      <c r="Y29" s="25"/>
      <c r="Z29" s="25"/>
      <c r="AA29" s="25"/>
      <c r="AB29" s="25"/>
      <c r="AC29" s="25"/>
      <c r="AD29" s="25"/>
      <c r="AE29" s="25"/>
    </row>
    <row r="30" spans="1:34" ht="29.15" customHeight="1">
      <c r="A30" s="422"/>
      <c r="B30" s="422"/>
      <c r="C30" s="460"/>
      <c r="D30" s="263"/>
      <c r="E30" s="263"/>
      <c r="F30" s="263"/>
      <c r="G30" s="164">
        <f>$D$8</f>
        <v>125.69600000000001</v>
      </c>
      <c r="H30" s="164">
        <f>$D$9</f>
        <v>90.432000000000016</v>
      </c>
      <c r="I30" s="164">
        <f>$D$10</f>
        <v>63.455999999999996</v>
      </c>
      <c r="J30" s="266">
        <f>$D$11</f>
        <v>137.13</v>
      </c>
      <c r="K30" s="403"/>
      <c r="L30" s="403"/>
      <c r="M30" s="403"/>
      <c r="N30" s="403"/>
      <c r="O30" s="403"/>
      <c r="P30" s="403"/>
      <c r="Q30" s="403"/>
      <c r="S30" s="9">
        <f>AVERAGE(K25,N25,Q25)</f>
        <v>3761.5764265488456</v>
      </c>
      <c r="V30" s="26" t="s">
        <v>51</v>
      </c>
      <c r="W30" t="s">
        <v>94</v>
      </c>
      <c r="X30" t="s">
        <v>94</v>
      </c>
      <c r="Y30" s="5" t="s">
        <v>95</v>
      </c>
      <c r="Z30" s="5" t="s">
        <v>95</v>
      </c>
      <c r="AA30" t="s">
        <v>96</v>
      </c>
      <c r="AB30" t="s">
        <v>96</v>
      </c>
    </row>
    <row r="31" spans="1:34" ht="29">
      <c r="A31" s="468" t="s">
        <v>120</v>
      </c>
      <c r="B31" s="149" t="s">
        <v>145</v>
      </c>
      <c r="C31" s="151"/>
      <c r="D31" s="263"/>
      <c r="E31" s="263"/>
      <c r="F31" s="263"/>
      <c r="G31" s="146">
        <v>0</v>
      </c>
      <c r="H31" s="146">
        <v>-0.5</v>
      </c>
      <c r="I31" s="146">
        <v>0</v>
      </c>
      <c r="J31" s="146">
        <v>0</v>
      </c>
      <c r="K31" s="146">
        <f>SUM(G31:J31)</f>
        <v>-0.5</v>
      </c>
      <c r="L31" s="147">
        <f>(G31*$G$30)+(H31*$H$30)+(I31*$I$30)</f>
        <v>-45.216000000000008</v>
      </c>
      <c r="M31" s="147">
        <v>0</v>
      </c>
      <c r="N31" s="147">
        <v>0</v>
      </c>
      <c r="O31" s="377">
        <f>'Respondent Burden'!M110+'Respondent Burden'!M117</f>
        <v>49</v>
      </c>
      <c r="P31" s="146">
        <f>O31*K31</f>
        <v>-24.5</v>
      </c>
      <c r="Q31" s="27">
        <f>(L31+M31+N31)*O31</f>
        <v>-2215.5840000000003</v>
      </c>
      <c r="S31" s="10">
        <f>AVERAGE(L25,O25,R25)</f>
        <v>340166.87940566527</v>
      </c>
      <c r="V31" s="44" t="s">
        <v>53</v>
      </c>
      <c r="W31" s="141" t="s">
        <v>54</v>
      </c>
      <c r="X31" s="141" t="s">
        <v>162</v>
      </c>
      <c r="Y31" s="141" t="s">
        <v>54</v>
      </c>
      <c r="Z31" s="141" t="s">
        <v>162</v>
      </c>
      <c r="AA31" s="141" t="s">
        <v>54</v>
      </c>
      <c r="AB31" s="141" t="s">
        <v>162</v>
      </c>
    </row>
    <row r="32" spans="1:34" ht="29">
      <c r="A32" s="468"/>
      <c r="B32" s="149" t="s">
        <v>146</v>
      </c>
      <c r="C32" s="151"/>
      <c r="D32" s="263"/>
      <c r="E32" s="263"/>
      <c r="F32" s="263"/>
      <c r="G32" s="146">
        <v>0</v>
      </c>
      <c r="H32" s="146">
        <v>-0.5</v>
      </c>
      <c r="I32" s="146">
        <v>-0.5</v>
      </c>
      <c r="J32" s="146">
        <v>0</v>
      </c>
      <c r="K32" s="146">
        <f>SUM(G32:J32)</f>
        <v>-1</v>
      </c>
      <c r="L32" s="147">
        <f>(G32*$G$30)+(H32*$H$30)+(I32*$I$30)</f>
        <v>-76.944000000000003</v>
      </c>
      <c r="M32" s="147">
        <v>0</v>
      </c>
      <c r="N32" s="147">
        <v>0</v>
      </c>
      <c r="O32" s="377">
        <f>O31</f>
        <v>49</v>
      </c>
      <c r="P32" s="146">
        <f t="shared" ref="P32:P33" si="21">O32*K32</f>
        <v>-49</v>
      </c>
      <c r="Q32" s="27">
        <f t="shared" ref="Q32:Q33" si="22">(L32+M32+N32)*O32</f>
        <v>-3770.2560000000003</v>
      </c>
      <c r="S32" s="9">
        <f>S30+P34</f>
        <v>3663.5764265488456</v>
      </c>
      <c r="V32" s="155" t="s">
        <v>148</v>
      </c>
      <c r="W32" s="60">
        <f>Y18/W18</f>
        <v>0.37288715161348851</v>
      </c>
      <c r="X32" s="61">
        <f>X18/W18</f>
        <v>33.720930894710996</v>
      </c>
      <c r="Y32" s="60">
        <f>AB18/Z18</f>
        <v>0.37288853147838663</v>
      </c>
      <c r="Z32" s="61">
        <f>AA18/Z18</f>
        <v>33.721055678653464</v>
      </c>
      <c r="AA32" s="60">
        <f>AE18/AC18</f>
        <v>0.37289043018780027</v>
      </c>
      <c r="AB32" s="61">
        <f>AD18/AC18</f>
        <v>33.721227382743166</v>
      </c>
    </row>
    <row r="33" spans="1:28">
      <c r="A33" s="423"/>
      <c r="B33" s="275" t="s">
        <v>147</v>
      </c>
      <c r="C33" s="276"/>
      <c r="D33" s="263"/>
      <c r="E33" s="263"/>
      <c r="F33" s="263"/>
      <c r="G33" s="146">
        <v>0</v>
      </c>
      <c r="H33" s="146">
        <v>-0.25</v>
      </c>
      <c r="I33" s="146">
        <v>-0.25</v>
      </c>
      <c r="J33" s="146">
        <v>0</v>
      </c>
      <c r="K33" s="146">
        <f>SUM(G33:J33)</f>
        <v>-0.5</v>
      </c>
      <c r="L33" s="147">
        <f>(G33*$G$30)+(H33*$H$30)+(I33*$I$30)</f>
        <v>-38.472000000000001</v>
      </c>
      <c r="M33" s="147">
        <v>0</v>
      </c>
      <c r="N33" s="147">
        <v>0</v>
      </c>
      <c r="O33" s="377">
        <f>O32</f>
        <v>49</v>
      </c>
      <c r="P33" s="146">
        <f t="shared" si="21"/>
        <v>-24.5</v>
      </c>
      <c r="Q33" s="27">
        <f t="shared" si="22"/>
        <v>-1885.1280000000002</v>
      </c>
      <c r="S33" s="10">
        <f>S31+Q34</f>
        <v>332295.91140566528</v>
      </c>
      <c r="V33" s="155" t="s">
        <v>188</v>
      </c>
      <c r="W33" s="60">
        <f>Y19/W19</f>
        <v>0.5</v>
      </c>
      <c r="X33" s="61">
        <f>X19/W19</f>
        <v>45.216000000000008</v>
      </c>
      <c r="Y33" s="60">
        <f>AB19/Z19</f>
        <v>0.5</v>
      </c>
      <c r="Z33" s="61">
        <f>AA19/Z19</f>
        <v>45.216000000000008</v>
      </c>
      <c r="AA33" s="60">
        <f>AE19/AC19</f>
        <v>0.5</v>
      </c>
      <c r="AB33" s="61">
        <f>AD19/AC19</f>
        <v>45.216000000000008</v>
      </c>
    </row>
    <row r="34" spans="1:28">
      <c r="A34" s="277"/>
      <c r="B34" s="278"/>
      <c r="C34" s="278"/>
      <c r="D34" s="277"/>
      <c r="E34" s="277"/>
      <c r="F34" s="277"/>
      <c r="G34" s="274">
        <f>SUM(G31:G33)</f>
        <v>0</v>
      </c>
      <c r="H34" s="114">
        <f>SUM(H31:H33)</f>
        <v>-1.25</v>
      </c>
      <c r="I34" s="114">
        <f t="shared" ref="I34:Q34" si="23">SUM(I31:I33)</f>
        <v>-0.75</v>
      </c>
      <c r="J34" s="114">
        <f t="shared" si="23"/>
        <v>0</v>
      </c>
      <c r="K34" s="114">
        <f t="shared" si="23"/>
        <v>-2</v>
      </c>
      <c r="L34" s="114">
        <f t="shared" si="23"/>
        <v>-160.63200000000001</v>
      </c>
      <c r="M34" s="114">
        <f t="shared" si="23"/>
        <v>0</v>
      </c>
      <c r="N34" s="114">
        <f t="shared" si="23"/>
        <v>0</v>
      </c>
      <c r="O34" s="114">
        <f t="shared" si="23"/>
        <v>147</v>
      </c>
      <c r="P34" s="114">
        <f t="shared" si="23"/>
        <v>-98</v>
      </c>
      <c r="Q34" s="115">
        <f t="shared" si="23"/>
        <v>-7870.9680000000008</v>
      </c>
      <c r="V34" s="155" t="s">
        <v>370</v>
      </c>
      <c r="W34" s="60" t="str">
        <f>IFERROR(Y20/W20,"-")</f>
        <v>-</v>
      </c>
      <c r="X34" s="61" t="str">
        <f>IFERROR(X20/W20,"-")</f>
        <v>-</v>
      </c>
      <c r="Y34" s="60">
        <f>AB20/Z20</f>
        <v>0.5</v>
      </c>
      <c r="Z34" s="61">
        <f>AA20/Z20</f>
        <v>45.216000000000008</v>
      </c>
      <c r="AA34" s="60">
        <f>AE20/AC20</f>
        <v>0.5</v>
      </c>
      <c r="AB34" s="61">
        <f>AD20/AC20</f>
        <v>45.216000000000008</v>
      </c>
    </row>
    <row r="35" spans="1:28" ht="29">
      <c r="V35" s="193" t="s">
        <v>150</v>
      </c>
      <c r="W35" s="197">
        <f>Y22/W22</f>
        <v>-0.66666666666666663</v>
      </c>
      <c r="X35" s="195">
        <f>X22/W22</f>
        <v>-53.544000000000004</v>
      </c>
      <c r="Y35" s="197">
        <f>AB22/Z22</f>
        <v>-0.66666666666666663</v>
      </c>
      <c r="Z35" s="195">
        <f>AA22/Z22</f>
        <v>-53.544000000000004</v>
      </c>
      <c r="AA35" s="197">
        <f>AE22/AC22</f>
        <v>-0.66666666666666663</v>
      </c>
      <c r="AB35" s="195">
        <f>AD22/AC22</f>
        <v>-53.544000000000004</v>
      </c>
    </row>
    <row r="36" spans="1:28">
      <c r="V36" s="45" t="s">
        <v>59</v>
      </c>
      <c r="W36" s="60">
        <f>Y23/W23</f>
        <v>0.2533049309140965</v>
      </c>
      <c r="X36" s="61">
        <f>X23/W23</f>
        <v>23.695773405174098</v>
      </c>
      <c r="Y36" s="60">
        <f>AB23/Z23</f>
        <v>0.47254691883645888</v>
      </c>
      <c r="Z36" s="61">
        <f>AA23/Z23</f>
        <v>42.821140972979549</v>
      </c>
      <c r="AA36" s="60">
        <f>AE23/AC23</f>
        <v>0.47258286000561989</v>
      </c>
      <c r="AB36" s="61">
        <f>AD23/AC23</f>
        <v>42.824422700509878</v>
      </c>
    </row>
  </sheetData>
  <mergeCells count="16">
    <mergeCell ref="O29:O30"/>
    <mergeCell ref="P29:P30"/>
    <mergeCell ref="Q29:Q30"/>
    <mergeCell ref="O28:Q28"/>
    <mergeCell ref="A31:A33"/>
    <mergeCell ref="B4:N4"/>
    <mergeCell ref="F15:F17"/>
    <mergeCell ref="A28:A30"/>
    <mergeCell ref="C28:C30"/>
    <mergeCell ref="B28:B30"/>
    <mergeCell ref="L28:L30"/>
    <mergeCell ref="M28:M30"/>
    <mergeCell ref="N28:N30"/>
    <mergeCell ref="K28:K30"/>
    <mergeCell ref="G15:J15"/>
    <mergeCell ref="G28:J28"/>
  </mergeCells>
  <pageMargins left="0.7" right="0.7" top="0.75" bottom="0.75" header="0.3" footer="0.3"/>
  <pageSetup scale="2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46ED-5633-4A5B-9A7C-12D6D7572EE7}">
  <dimension ref="B2:D7"/>
  <sheetViews>
    <sheetView workbookViewId="0">
      <selection activeCell="D7" sqref="D7"/>
    </sheetView>
  </sheetViews>
  <sheetFormatPr defaultRowHeight="14.5"/>
  <cols>
    <col min="2" max="3" width="17.7265625" customWidth="1"/>
    <col min="4" max="4" width="31.7265625" customWidth="1"/>
  </cols>
  <sheetData>
    <row r="2" spans="2:4">
      <c r="B2" s="26" t="s">
        <v>277</v>
      </c>
      <c r="C2" s="26"/>
      <c r="D2" s="26"/>
    </row>
    <row r="3" spans="2:4">
      <c r="B3" s="279" t="s">
        <v>4</v>
      </c>
      <c r="C3" s="279" t="s">
        <v>278</v>
      </c>
      <c r="D3" s="279" t="s">
        <v>279</v>
      </c>
    </row>
    <row r="4" spans="2:4" ht="23">
      <c r="B4" s="280" t="s">
        <v>280</v>
      </c>
      <c r="C4" s="281">
        <v>3.5</v>
      </c>
      <c r="D4" s="282" t="s">
        <v>281</v>
      </c>
    </row>
    <row r="5" spans="2:4" ht="23">
      <c r="B5" s="283" t="s">
        <v>282</v>
      </c>
      <c r="C5" s="281">
        <v>5.5</v>
      </c>
      <c r="D5" s="284"/>
    </row>
    <row r="7" spans="2:4" ht="15.5">
      <c r="D7" s="354" t="s">
        <v>386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2024-04-21T01:33:33+00:00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SharedWithUsers xmlns="8c57eaaf-0617-4b5e-abd8-c9c87ce9c094">
      <UserInfo>
        <DisplayName>Cyrs, Thomas</DisplayName>
        <AccountId>293</AccountId>
        <AccountType/>
      </UserInfo>
      <UserInfo>
        <DisplayName>Godwin, Dave</DisplayName>
        <AccountId>52</AccountId>
        <AccountType/>
      </UserInfo>
      <UserInfo>
        <DisplayName>Tasich, Chris</DisplayName>
        <AccountId>1188</AccountId>
        <AccountType/>
      </UserInfo>
      <UserInfo>
        <DisplayName>Casey, James</DisplayName>
        <AccountId>16</AccountId>
        <AccountType/>
      </UserInfo>
      <UserInfo>
        <DisplayName>Farquharson, Chenise</DisplayName>
        <AccountId>24</AccountId>
        <AccountType/>
      </UserInfo>
      <UserInfo>
        <DisplayName>Celsa, Matthew</DisplayName>
        <AccountId>960</AccountId>
        <AccountType/>
      </UserInfo>
      <UserInfo>
        <DisplayName>Kee, Annie</DisplayName>
        <AccountId>330</AccountId>
        <AccountType/>
      </UserInfo>
      <UserInfo>
        <DisplayName>Newberg, Cindy</DisplayName>
        <AccountId>35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9" ma:contentTypeDescription="Create a new document." ma:contentTypeScope="" ma:versionID="b1db1c32c88e329479adf67636dd5d33">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6B3AF2-3E21-4916-A3BB-4937FDBE9C50}">
  <ds:schemaRefs>
    <ds:schemaRef ds:uri="68213bf0-f606-4cb1-8429-7bd93e1c4948"/>
    <ds:schemaRef ds:uri="http://schemas.microsoft.com/office/2006/metadata/properties"/>
    <ds:schemaRef ds:uri="http://schemas.microsoft.com/office/infopath/2007/PartnerControls"/>
    <ds:schemaRef ds:uri="http://schemas.microsoft.com/office/2006/documentManagement/types"/>
    <ds:schemaRef ds:uri="http://purl.org/dc/terms/"/>
    <ds:schemaRef ds:uri="http://purl.org/dc/dcmitype/"/>
    <ds:schemaRef ds:uri="http://purl.org/dc/elements/1.1/"/>
    <ds:schemaRef ds:uri="94bb9097-af3b-4c81-aa39-b63e50845b68"/>
    <ds:schemaRef ds:uri="http://schemas.openxmlformats.org/package/2006/metadata/core-properties"/>
    <ds:schemaRef ds:uri="fa6a9aea-fb0f-4ddd-aff8-712634b7d5fe"/>
    <ds:schemaRef ds:uri="http://www.w3.org/XML/1998/namespace"/>
    <ds:schemaRef ds:uri="4ffa91fb-a0ff-4ac5-b2db-65c790d184a4"/>
    <ds:schemaRef ds:uri="20af4edb-1540-4aba-b7d0-294715a11a7a"/>
    <ds:schemaRef ds:uri="http://schemas.microsoft.com/sharepoint/v3/fields"/>
    <ds:schemaRef ds:uri="http://schemas.microsoft.com/sharepoint/v3"/>
    <ds:schemaRef ds:uri="http://schemas.microsoft.com/sharepoint.v3"/>
    <ds:schemaRef ds:uri="8c57eaaf-0617-4b5e-abd8-c9c87ce9c094"/>
  </ds:schemaRefs>
</ds:datastoreItem>
</file>

<file path=customXml/itemProps2.xml><?xml version="1.0" encoding="utf-8"?>
<ds:datastoreItem xmlns:ds="http://schemas.openxmlformats.org/officeDocument/2006/customXml" ds:itemID="{6E3D2619-E5E2-4DED-AD6B-E2655B72ED18}">
  <ds:schemaRefs>
    <ds:schemaRef ds:uri="http://schemas.microsoft.com/sharepoint/v3/contenttype/forms"/>
  </ds:schemaRefs>
</ds:datastoreItem>
</file>

<file path=customXml/itemProps3.xml><?xml version="1.0" encoding="utf-8"?>
<ds:datastoreItem xmlns:ds="http://schemas.openxmlformats.org/officeDocument/2006/customXml" ds:itemID="{C1869403-0BD1-41A3-82C1-5E7A815A8FA5}">
  <ds:schemaRefs>
    <ds:schemaRef ds:uri="Microsoft.SharePoint.Taxonomy.ContentTypeSync"/>
  </ds:schemaRefs>
</ds:datastoreItem>
</file>

<file path=customXml/itemProps4.xml><?xml version="1.0" encoding="utf-8"?>
<ds:datastoreItem xmlns:ds="http://schemas.openxmlformats.org/officeDocument/2006/customXml" ds:itemID="{50429350-A349-4B5B-8FE6-5B4D50BC7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For Submission Worksheet</vt:lpstr>
      <vt:lpstr>Respondent Burden</vt:lpstr>
      <vt:lpstr>Respondent Burden Summary</vt:lpstr>
      <vt:lpstr>Tables for Supporting Statement</vt:lpstr>
      <vt:lpstr>ICR 1626.18 9-6-2022</vt:lpstr>
      <vt:lpstr>Agency Burden</vt:lpstr>
      <vt:lpstr>Labeling Burden Estimates</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dc:creator>
  <cp:lastModifiedBy>Kee, Annie</cp:lastModifiedBy>
  <dcterms:created xsi:type="dcterms:W3CDTF">2015-02-02T15:31:16Z</dcterms:created>
  <dcterms:modified xsi:type="dcterms:W3CDTF">2024-05-30T21:00:02Z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ies>
</file>