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https://usdagcc-my.sharepoint.com/personal/christina_sandberg_usda_gov/Documents/Documents/Proposed Rule for Serious Deficiency Process in CACFP and SFSP/CACFP ROCIS Submission/"/>
    </mc:Choice>
  </mc:AlternateContent>
  <xr:revisionPtr revIDLastSave="184" documentId="8_{525613A4-3728-48B2-82AC-828A2A2E30AB}" xr6:coauthVersionLast="47" xr6:coauthVersionMax="47" xr10:uidLastSave="{64AEE47D-07D6-4CEF-8868-E09FBD644863}"/>
  <bookViews>
    <workbookView xWindow="-110" yWindow="-110" windowWidth="19420" windowHeight="10300" tabRatio="876" activeTab="3" xr2:uid="{00000000-000D-0000-FFFF-FFFF00000000}"/>
  </bookViews>
  <sheets>
    <sheet name="Reporting" sheetId="3" r:id="rId1"/>
    <sheet name="Recordkeeping" sheetId="8" r:id="rId2"/>
    <sheet name="Public Disclosure" sheetId="9" r:id="rId3"/>
    <sheet name="Burden Summary" sheetId="12" r:id="rId4"/>
    <sheet name="Proposed Rule Respondent Costs" sheetId="19" r:id="rId5"/>
    <sheet name="60-Day FRN Burden Table" sheetId="13" r:id="rId6"/>
    <sheet name="Electronic Responses" sheetId="18" r:id="rId7"/>
    <sheet name="Assumptions" sheetId="11" r:id="rId8"/>
    <sheet name="Labor Rates" sheetId="16" r:id="rId9"/>
    <sheet name="National DB Data_20200812_1" sheetId="15" state="hidden" r:id="rId10"/>
    <sheet name="National DB Data_20200812_2" sheetId="14" state="hidden" r:id="rId11"/>
    <sheet name="ESRI_MAPINFO_SHEET" sheetId="7" state="veryHidden" r:id="rId12"/>
  </sheets>
  <definedNames>
    <definedName name="_xlnm.Print_Area" localSheetId="5">'60-Day FRN Burden Table'!$B$7:$H$26</definedName>
    <definedName name="_xlnm.Print_Area" localSheetId="7">Assumptions!$B$4:$G$50</definedName>
    <definedName name="_xlnm.Print_Area" localSheetId="6">'Electronic Responses'!$B$7:$F$26</definedName>
    <definedName name="_xlnm.Print_Area" localSheetId="4">'Proposed Rule Respondent Costs'!$B$6:$D$18</definedName>
    <definedName name="_xlnm.Print_Area" localSheetId="2">'Public Disclosure'!$F$3:$S$25</definedName>
    <definedName name="_xlnm.Print_Area" localSheetId="1">Recordkeeping!$F$3:$S$39</definedName>
    <definedName name="_xlnm.Print_Area" localSheetId="0">Reporting!$F$2:$S$188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1" i="3" l="1"/>
  <c r="L175" i="3" s="1"/>
  <c r="L192" i="3" s="1"/>
  <c r="N192" i="3"/>
  <c r="N30" i="8"/>
  <c r="O30" i="8"/>
  <c r="L30" i="8"/>
  <c r="N29" i="8"/>
  <c r="Q29" i="8" s="1"/>
  <c r="R29" i="8" s="1"/>
  <c r="L29" i="8"/>
  <c r="L25" i="8"/>
  <c r="N25" i="8" s="1"/>
  <c r="Q25" i="8" s="1"/>
  <c r="R25" i="8" s="1"/>
  <c r="L116" i="3"/>
  <c r="B65" i="3" l="1"/>
  <c r="B66" i="3"/>
  <c r="B67" i="3" s="1"/>
  <c r="B68" i="3" s="1"/>
  <c r="B69" i="3" s="1"/>
  <c r="B70" i="3" s="1"/>
  <c r="B71" i="3" s="1"/>
  <c r="B72" i="3" s="1"/>
  <c r="B73" i="3" s="1"/>
  <c r="B74" i="3" s="1"/>
  <c r="B75" i="3" s="1"/>
  <c r="B76" i="3" s="1"/>
  <c r="B77" i="3" s="1"/>
  <c r="B78" i="3" s="1"/>
  <c r="B79" i="3" s="1"/>
  <c r="B80" i="3" s="1"/>
  <c r="B81" i="3" s="1"/>
  <c r="B13" i="3"/>
  <c r="D15" i="19"/>
  <c r="D16" i="19" s="1"/>
  <c r="D12" i="19"/>
  <c r="G15" i="19"/>
  <c r="G12" i="19"/>
  <c r="G11" i="19"/>
  <c r="G8" i="19"/>
  <c r="G7" i="19"/>
  <c r="R72" i="3"/>
  <c r="Q72" i="3"/>
  <c r="N72" i="3"/>
  <c r="L72" i="3"/>
  <c r="J72" i="3"/>
  <c r="I15" i="19" l="1"/>
  <c r="I16" i="19" s="1"/>
  <c r="I12" i="19"/>
  <c r="J47" i="3"/>
  <c r="J46" i="3"/>
  <c r="P13" i="9"/>
  <c r="O13" i="9"/>
  <c r="B10" i="9"/>
  <c r="B9" i="9"/>
  <c r="P13" i="8"/>
  <c r="O13" i="8"/>
  <c r="K47" i="3" l="1"/>
  <c r="L47" i="3" s="1"/>
  <c r="N47" i="3" s="1"/>
  <c r="Q47" i="3" s="1"/>
  <c r="R47" i="3" s="1"/>
  <c r="J61" i="3"/>
  <c r="J62" i="3"/>
  <c r="J63" i="3"/>
  <c r="J64" i="3"/>
  <c r="J65" i="3"/>
  <c r="J66" i="3"/>
  <c r="J67" i="3"/>
  <c r="J68" i="3"/>
  <c r="J69" i="3"/>
  <c r="J70" i="3"/>
  <c r="J71" i="3"/>
  <c r="L71" i="3" s="1"/>
  <c r="N71" i="3" s="1"/>
  <c r="Q71" i="3" s="1"/>
  <c r="R71" i="3" s="1"/>
  <c r="J73" i="3"/>
  <c r="J74" i="3"/>
  <c r="J75" i="3"/>
  <c r="J76" i="3"/>
  <c r="J77" i="3"/>
  <c r="J78" i="3"/>
  <c r="J79" i="3"/>
  <c r="J80" i="3"/>
  <c r="J81" i="3"/>
  <c r="J39" i="3"/>
  <c r="J40" i="3"/>
  <c r="J41" i="3"/>
  <c r="J42" i="3"/>
  <c r="J43" i="3"/>
  <c r="J44" i="3"/>
  <c r="J45" i="3"/>
  <c r="J48" i="3"/>
  <c r="J38" i="3"/>
  <c r="J60" i="3"/>
  <c r="J12" i="8"/>
  <c r="L12" i="8" s="1"/>
  <c r="N12" i="8" s="1"/>
  <c r="Q12" i="8" s="1"/>
  <c r="R12" i="8" s="1"/>
  <c r="B121" i="3" l="1"/>
  <c r="B122" i="3" s="1"/>
  <c r="B84" i="3"/>
  <c r="B85" i="3" s="1"/>
  <c r="P82" i="3"/>
  <c r="P117" i="3"/>
  <c r="P161" i="3"/>
  <c r="O161" i="3"/>
  <c r="J84" i="3" l="1"/>
  <c r="D38" i="11"/>
  <c r="D37" i="11"/>
  <c r="L68" i="3"/>
  <c r="N68" i="3" s="1"/>
  <c r="Q68" i="3" s="1"/>
  <c r="R68" i="3" s="1"/>
  <c r="L69" i="3"/>
  <c r="N69" i="3" s="1"/>
  <c r="Q69" i="3" s="1"/>
  <c r="R69" i="3" s="1"/>
  <c r="L70" i="3"/>
  <c r="N70" i="3" s="1"/>
  <c r="Q70" i="3" s="1"/>
  <c r="R70" i="3" s="1"/>
  <c r="L66" i="3"/>
  <c r="N66" i="3" s="1"/>
  <c r="Q66" i="3" s="1"/>
  <c r="R66" i="3" s="1"/>
  <c r="L60" i="3"/>
  <c r="N60" i="3" s="1"/>
  <c r="Q60" i="3" s="1"/>
  <c r="R60" i="3" s="1"/>
  <c r="L37" i="3"/>
  <c r="N37" i="3" s="1"/>
  <c r="Q37" i="3" s="1"/>
  <c r="R37" i="3" s="1"/>
  <c r="L43" i="3"/>
  <c r="N43" i="3" s="1"/>
  <c r="Q43" i="3" s="1"/>
  <c r="R43" i="3" s="1"/>
  <c r="L75" i="3"/>
  <c r="N75" i="3" s="1"/>
  <c r="Q75" i="3" s="1"/>
  <c r="R75" i="3" s="1"/>
  <c r="L76" i="3"/>
  <c r="N76" i="3" s="1"/>
  <c r="Q76" i="3" s="1"/>
  <c r="R76" i="3" s="1"/>
  <c r="L77" i="3"/>
  <c r="N77" i="3" s="1"/>
  <c r="Q77" i="3" s="1"/>
  <c r="R77" i="3" s="1"/>
  <c r="L78" i="3"/>
  <c r="N78" i="3" s="1"/>
  <c r="Q78" i="3" s="1"/>
  <c r="R78" i="3" s="1"/>
  <c r="L79" i="3"/>
  <c r="N79" i="3" s="1"/>
  <c r="Q79" i="3" s="1"/>
  <c r="R79" i="3" s="1"/>
  <c r="L80" i="3"/>
  <c r="N80" i="3" s="1"/>
  <c r="Q80" i="3" s="1"/>
  <c r="R80" i="3" s="1"/>
  <c r="L73" i="3"/>
  <c r="N73" i="3" s="1"/>
  <c r="Q73" i="3" s="1"/>
  <c r="R73" i="3" s="1"/>
  <c r="L61" i="3"/>
  <c r="N61" i="3" s="1"/>
  <c r="Q61" i="3" s="1"/>
  <c r="R61" i="3" s="1"/>
  <c r="K64" i="3"/>
  <c r="L64" i="3" s="1"/>
  <c r="N64" i="3" s="1"/>
  <c r="Q64" i="3" s="1"/>
  <c r="R64" i="3" s="1"/>
  <c r="K63" i="3"/>
  <c r="L63" i="3" s="1"/>
  <c r="N63" i="3" s="1"/>
  <c r="Q63" i="3" s="1"/>
  <c r="R63" i="3" s="1"/>
  <c r="K62" i="3"/>
  <c r="L62" i="3" s="1"/>
  <c r="N62" i="3" s="1"/>
  <c r="Q62" i="3" s="1"/>
  <c r="R62" i="3" s="1"/>
  <c r="K18" i="3"/>
  <c r="K17" i="3"/>
  <c r="K16" i="3"/>
  <c r="J11" i="8"/>
  <c r="L11" i="8" s="1"/>
  <c r="N11" i="8" s="1"/>
  <c r="Q11" i="8" s="1"/>
  <c r="R11" i="8" s="1"/>
  <c r="B8" i="8"/>
  <c r="J12" i="3"/>
  <c r="J11" i="3"/>
  <c r="L11" i="3" s="1"/>
  <c r="N11" i="3" s="1"/>
  <c r="Q11" i="3" s="1"/>
  <c r="R11" i="3" s="1"/>
  <c r="C27" i="11"/>
  <c r="C24" i="11"/>
  <c r="C22" i="11"/>
  <c r="J143" i="3" l="1"/>
  <c r="L143" i="3" s="1"/>
  <c r="N143" i="3" s="1"/>
  <c r="Q143" i="3" s="1"/>
  <c r="R143" i="3" s="1"/>
  <c r="J168" i="3"/>
  <c r="L168" i="3" s="1"/>
  <c r="N168" i="3" s="1"/>
  <c r="Q168" i="3" s="1"/>
  <c r="R168" i="3" s="1"/>
  <c r="J146" i="3"/>
  <c r="L146" i="3" s="1"/>
  <c r="N146" i="3" s="1"/>
  <c r="Q146" i="3" s="1"/>
  <c r="R146" i="3" s="1"/>
  <c r="J166" i="3"/>
  <c r="L166" i="3" s="1"/>
  <c r="N166" i="3" s="1"/>
  <c r="Q166" i="3" s="1"/>
  <c r="R166" i="3" s="1"/>
  <c r="J140" i="3"/>
  <c r="L140" i="3" s="1"/>
  <c r="N140" i="3" s="1"/>
  <c r="Q140" i="3" s="1"/>
  <c r="R140" i="3" s="1"/>
  <c r="J172" i="3"/>
  <c r="L172" i="3" s="1"/>
  <c r="N172" i="3" s="1"/>
  <c r="Q172" i="3" s="1"/>
  <c r="R172" i="3" s="1"/>
  <c r="J169" i="3"/>
  <c r="L169" i="3" s="1"/>
  <c r="N169" i="3" s="1"/>
  <c r="Q169" i="3" s="1"/>
  <c r="R169" i="3" s="1"/>
  <c r="J144" i="3"/>
  <c r="L144" i="3" s="1"/>
  <c r="N144" i="3" s="1"/>
  <c r="Q144" i="3" s="1"/>
  <c r="R144" i="3" s="1"/>
  <c r="J173" i="3"/>
  <c r="L173" i="3" s="1"/>
  <c r="N173" i="3" s="1"/>
  <c r="Q173" i="3" s="1"/>
  <c r="R173" i="3" s="1"/>
  <c r="J167" i="3"/>
  <c r="L167" i="3" s="1"/>
  <c r="N167" i="3" s="1"/>
  <c r="Q167" i="3" s="1"/>
  <c r="R167" i="3" s="1"/>
  <c r="J141" i="3"/>
  <c r="L141" i="3" s="1"/>
  <c r="N141" i="3" s="1"/>
  <c r="Q141" i="3" s="1"/>
  <c r="R141" i="3" s="1"/>
  <c r="J147" i="3"/>
  <c r="L147" i="3" s="1"/>
  <c r="N147" i="3" s="1"/>
  <c r="Q147" i="3" s="1"/>
  <c r="R147" i="3" s="1"/>
  <c r="B23" i="8"/>
  <c r="B24" i="8" s="1"/>
  <c r="B16" i="8"/>
  <c r="B17" i="8" s="1"/>
  <c r="B9" i="8"/>
  <c r="B10" i="8" s="1"/>
  <c r="B11" i="8" s="1"/>
  <c r="B12" i="8" s="1"/>
  <c r="B123" i="3" l="1"/>
  <c r="B124" i="3" s="1"/>
  <c r="B125" i="3" s="1"/>
  <c r="B126" i="3" s="1"/>
  <c r="B127" i="3" s="1"/>
  <c r="B128" i="3" s="1"/>
  <c r="B164" i="3"/>
  <c r="B165" i="3" s="1"/>
  <c r="B166" i="3" s="1"/>
  <c r="B167" i="3" s="1"/>
  <c r="B168" i="3" s="1"/>
  <c r="B169" i="3" s="1"/>
  <c r="B170" i="3" s="1"/>
  <c r="B171" i="3" s="1"/>
  <c r="B172" i="3" s="1"/>
  <c r="B173" i="3" s="1"/>
  <c r="B178" i="3"/>
  <c r="B179" i="3" s="1"/>
  <c r="B86" i="3"/>
  <c r="B87" i="3" s="1"/>
  <c r="B88" i="3" s="1"/>
  <c r="B89" i="3" s="1"/>
  <c r="B129" i="3" l="1"/>
  <c r="B90" i="3"/>
  <c r="B91" i="3" s="1"/>
  <c r="B92" i="3" s="1"/>
  <c r="B93" i="3" s="1"/>
  <c r="B94" i="3" s="1"/>
  <c r="B95" i="3" s="1"/>
  <c r="B96" i="3" s="1"/>
  <c r="B130" i="3" l="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97" i="3"/>
  <c r="B98" i="3" s="1"/>
  <c r="B99" i="3" s="1"/>
  <c r="B100" i="3" s="1"/>
  <c r="B101" i="3" s="1"/>
  <c r="B102" i="3" s="1"/>
  <c r="B103" i="3" s="1"/>
  <c r="B104" i="3" s="1"/>
  <c r="B105" i="3" s="1"/>
  <c r="B106" i="3" s="1"/>
  <c r="B107" i="3" s="1"/>
  <c r="B108" i="3" s="1"/>
  <c r="B109" i="3" s="1"/>
  <c r="B110" i="3" s="1"/>
  <c r="B111" i="3" s="1"/>
  <c r="B112" i="3" s="1"/>
  <c r="B113" i="3" s="1"/>
  <c r="B114" i="3" s="1"/>
  <c r="B115" i="3" s="1"/>
  <c r="B116" i="3" s="1"/>
  <c r="B9" i="3" l="1"/>
  <c r="B10" i="3" s="1"/>
  <c r="Q59" i="3"/>
  <c r="B14" i="3" l="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11" i="3"/>
  <c r="B12" i="3" s="1"/>
  <c r="B42" i="3" l="1"/>
  <c r="B43" i="3" s="1"/>
  <c r="B44" i="3" s="1"/>
  <c r="B45" i="3" s="1"/>
  <c r="J107" i="3"/>
  <c r="L107" i="3" s="1"/>
  <c r="N107" i="3" s="1"/>
  <c r="B46" i="3" l="1"/>
  <c r="Q107" i="3"/>
  <c r="G24" i="13"/>
  <c r="E24" i="13"/>
  <c r="G23" i="13"/>
  <c r="E23" i="13"/>
  <c r="G22" i="13"/>
  <c r="E22" i="13"/>
  <c r="B47" i="3" l="1"/>
  <c r="B48" i="3" s="1"/>
  <c r="B49" i="3" s="1"/>
  <c r="B50" i="3" s="1"/>
  <c r="B51" i="3" s="1"/>
  <c r="B52" i="3" s="1"/>
  <c r="B53" i="3" s="1"/>
  <c r="B54" i="3" s="1"/>
  <c r="B55" i="3" s="1"/>
  <c r="B56" i="3" s="1"/>
  <c r="B57" i="3" s="1"/>
  <c r="B58" i="3" s="1"/>
  <c r="B59" i="3" s="1"/>
  <c r="B60" i="3" s="1"/>
  <c r="B61" i="3" s="1"/>
  <c r="B62" i="3" s="1"/>
  <c r="B63" i="3" s="1"/>
  <c r="B64" i="3" s="1"/>
  <c r="D24" i="11"/>
  <c r="D32" i="11" l="1"/>
  <c r="J85" i="3"/>
  <c r="J8" i="3"/>
  <c r="K14" i="3"/>
  <c r="J14" i="3"/>
  <c r="K9" i="3"/>
  <c r="J10" i="3"/>
  <c r="J9" i="3"/>
  <c r="J13" i="3"/>
  <c r="J103" i="3" l="1"/>
  <c r="L103" i="3" s="1"/>
  <c r="N103" i="3" s="1"/>
  <c r="J104" i="3"/>
  <c r="L104" i="3" s="1"/>
  <c r="N104" i="3" s="1"/>
  <c r="L9" i="3"/>
  <c r="N9" i="3" s="1"/>
  <c r="Q9" i="3" l="1"/>
  <c r="R9" i="3" s="1"/>
  <c r="Q104" i="3"/>
  <c r="R104" i="3" s="1"/>
  <c r="Q103" i="3"/>
  <c r="R103" i="3" s="1"/>
  <c r="J36" i="3"/>
  <c r="J10" i="8" l="1"/>
  <c r="L10" i="8" s="1"/>
  <c r="N10" i="8" s="1"/>
  <c r="J8" i="8"/>
  <c r="L8" i="8" s="1"/>
  <c r="O174" i="3"/>
  <c r="N8" i="8" l="1"/>
  <c r="Q8" i="8"/>
  <c r="Q10" i="8"/>
  <c r="R10" i="8" s="1"/>
  <c r="R8" i="8" l="1"/>
  <c r="L14" i="3"/>
  <c r="N14" i="3" s="1"/>
  <c r="J52" i="3"/>
  <c r="J24" i="3"/>
  <c r="L24" i="3" s="1"/>
  <c r="N24" i="3" s="1"/>
  <c r="J25" i="3"/>
  <c r="Q24" i="3" l="1"/>
  <c r="R24" i="3" s="1"/>
  <c r="Q14" i="3"/>
  <c r="R14" i="3" s="1"/>
  <c r="J50" i="3" l="1"/>
  <c r="L50" i="3" s="1"/>
  <c r="N50" i="3" s="1"/>
  <c r="Q50" i="3" l="1"/>
  <c r="R50" i="3" s="1"/>
  <c r="L25" i="3" l="1"/>
  <c r="N25" i="3" s="1"/>
  <c r="Q25" i="3" l="1"/>
  <c r="R25" i="3" s="1"/>
  <c r="D43" i="11" l="1"/>
  <c r="D40" i="11"/>
  <c r="D39" i="11"/>
  <c r="K65" i="3" s="1"/>
  <c r="L65" i="3" s="1"/>
  <c r="N65" i="3" s="1"/>
  <c r="Q65" i="3" s="1"/>
  <c r="R65" i="3" s="1"/>
  <c r="D36" i="11"/>
  <c r="J174" i="3" s="1"/>
  <c r="D33" i="11"/>
  <c r="D28" i="11"/>
  <c r="D27" i="11"/>
  <c r="K9" i="9" l="1"/>
  <c r="L9" i="9" s="1"/>
  <c r="K46" i="3"/>
  <c r="L46" i="3" s="1"/>
  <c r="N46" i="3" s="1"/>
  <c r="Q46" i="3" s="1"/>
  <c r="R46" i="3" s="1"/>
  <c r="J91" i="3"/>
  <c r="K40" i="3"/>
  <c r="L40" i="3" s="1"/>
  <c r="N40" i="3" s="1"/>
  <c r="Q40" i="3" s="1"/>
  <c r="R40" i="3" s="1"/>
  <c r="K38" i="3"/>
  <c r="K39" i="3"/>
  <c r="L39" i="3" s="1"/>
  <c r="N39" i="3" s="1"/>
  <c r="Q39" i="3" s="1"/>
  <c r="R39" i="3" s="1"/>
  <c r="K45" i="3"/>
  <c r="K42" i="3"/>
  <c r="L42" i="3" s="1"/>
  <c r="N42" i="3" s="1"/>
  <c r="Q42" i="3" s="1"/>
  <c r="R42" i="3" s="1"/>
  <c r="K41" i="3"/>
  <c r="L41" i="3" s="1"/>
  <c r="N41" i="3" s="1"/>
  <c r="Q41" i="3" s="1"/>
  <c r="R41" i="3" s="1"/>
  <c r="K44" i="3"/>
  <c r="L44" i="3" s="1"/>
  <c r="N44" i="3" s="1"/>
  <c r="Q44" i="3" s="1"/>
  <c r="R44" i="3" s="1"/>
  <c r="J116" i="3"/>
  <c r="N116" i="3" s="1"/>
  <c r="Q116" i="3" s="1"/>
  <c r="R116" i="3" s="1"/>
  <c r="J108" i="3"/>
  <c r="L108" i="3" s="1"/>
  <c r="N108" i="3" s="1"/>
  <c r="Q108" i="3" s="1"/>
  <c r="R108" i="3" s="1"/>
  <c r="J114" i="3"/>
  <c r="L114" i="3" s="1"/>
  <c r="N114" i="3" s="1"/>
  <c r="Q114" i="3" s="1"/>
  <c r="R114" i="3" s="1"/>
  <c r="J110" i="3"/>
  <c r="L110" i="3" s="1"/>
  <c r="N110" i="3" s="1"/>
  <c r="Q110" i="3" s="1"/>
  <c r="R110" i="3" s="1"/>
  <c r="J115" i="3"/>
  <c r="L115" i="3" s="1"/>
  <c r="N115" i="3" s="1"/>
  <c r="Q115" i="3" s="1"/>
  <c r="R115" i="3" s="1"/>
  <c r="J113" i="3"/>
  <c r="L113" i="3" s="1"/>
  <c r="N113" i="3" s="1"/>
  <c r="Q113" i="3" s="1"/>
  <c r="R113" i="3" s="1"/>
  <c r="J111" i="3"/>
  <c r="L111" i="3" s="1"/>
  <c r="N111" i="3" s="1"/>
  <c r="Q111" i="3" s="1"/>
  <c r="R111" i="3" s="1"/>
  <c r="J112" i="3"/>
  <c r="L112" i="3" s="1"/>
  <c r="N112" i="3" s="1"/>
  <c r="Q112" i="3" s="1"/>
  <c r="R112" i="3" s="1"/>
  <c r="J109" i="3"/>
  <c r="L109" i="3" s="1"/>
  <c r="N109" i="3" s="1"/>
  <c r="Q109" i="3" s="1"/>
  <c r="R109" i="3" s="1"/>
  <c r="K12" i="3"/>
  <c r="L12" i="3" s="1"/>
  <c r="N12" i="3" s="1"/>
  <c r="Q12" i="3" s="1"/>
  <c r="R12" i="3" s="1"/>
  <c r="K74" i="3"/>
  <c r="L74" i="3" s="1"/>
  <c r="N74" i="3" s="1"/>
  <c r="Q74" i="3" s="1"/>
  <c r="R74" i="3" s="1"/>
  <c r="K81" i="3"/>
  <c r="L81" i="3" s="1"/>
  <c r="N81" i="3" s="1"/>
  <c r="Q81" i="3" s="1"/>
  <c r="R81" i="3" s="1"/>
  <c r="L38" i="3"/>
  <c r="N38" i="3" s="1"/>
  <c r="Q38" i="3" s="1"/>
  <c r="R38" i="3" s="1"/>
  <c r="L45" i="3"/>
  <c r="N45" i="3" s="1"/>
  <c r="Q45" i="3" s="1"/>
  <c r="R45" i="3" s="1"/>
  <c r="J17" i="8"/>
  <c r="J16" i="8"/>
  <c r="J94" i="3"/>
  <c r="J88" i="3"/>
  <c r="J15" i="8"/>
  <c r="J165" i="3"/>
  <c r="L165" i="3" s="1"/>
  <c r="N165" i="3" s="1"/>
  <c r="Q165" i="3" s="1"/>
  <c r="D12" i="13"/>
  <c r="C4" i="11"/>
  <c r="J97" i="3"/>
  <c r="J102" i="3"/>
  <c r="L102" i="3" s="1"/>
  <c r="N102" i="3" s="1"/>
  <c r="J23" i="8"/>
  <c r="J24" i="8"/>
  <c r="K10" i="3"/>
  <c r="L10" i="3" s="1"/>
  <c r="N10" i="3" s="1"/>
  <c r="L85" i="3"/>
  <c r="N85" i="3" s="1"/>
  <c r="J99" i="3"/>
  <c r="L99" i="3" s="1"/>
  <c r="N99" i="3" s="1"/>
  <c r="J101" i="3"/>
  <c r="L101" i="3" s="1"/>
  <c r="N101" i="3" s="1"/>
  <c r="K36" i="3"/>
  <c r="K52" i="3"/>
  <c r="L52" i="3" s="1"/>
  <c r="N52" i="3" s="1"/>
  <c r="J171" i="3"/>
  <c r="L171" i="3" s="1"/>
  <c r="N171" i="3" s="1"/>
  <c r="Q171" i="3" s="1"/>
  <c r="J170" i="3"/>
  <c r="L170" i="3" s="1"/>
  <c r="N9" i="9" l="1"/>
  <c r="N170" i="3"/>
  <c r="Q170" i="3" s="1"/>
  <c r="R170" i="3" s="1"/>
  <c r="L36" i="3"/>
  <c r="N36" i="3" s="1"/>
  <c r="Q36" i="3" s="1"/>
  <c r="R36" i="3" s="1"/>
  <c r="K67" i="3"/>
  <c r="L67" i="3" s="1"/>
  <c r="N67" i="3" s="1"/>
  <c r="Q67" i="3" s="1"/>
  <c r="R67" i="3" s="1"/>
  <c r="Q10" i="3"/>
  <c r="R10" i="3" s="1"/>
  <c r="Q85" i="3"/>
  <c r="R85" i="3" s="1"/>
  <c r="R171" i="3"/>
  <c r="Q52" i="3"/>
  <c r="R52" i="3" s="1"/>
  <c r="Q102" i="3"/>
  <c r="R102" i="3" s="1"/>
  <c r="Q101" i="3"/>
  <c r="R101" i="3" s="1"/>
  <c r="Q99" i="3"/>
  <c r="R99" i="3" s="1"/>
  <c r="Q9" i="9" l="1"/>
  <c r="R9" i="9"/>
  <c r="R165" i="3"/>
  <c r="O100" i="3" l="1"/>
  <c r="J13" i="8"/>
  <c r="D16" i="13" s="1"/>
  <c r="J82" i="3"/>
  <c r="D9" i="13" s="1"/>
  <c r="O18" i="8" l="1"/>
  <c r="O19" i="8" s="1"/>
  <c r="O118" i="3" l="1"/>
  <c r="O185" i="3" s="1"/>
  <c r="J106" i="3"/>
  <c r="J95" i="3"/>
  <c r="J93" i="3"/>
  <c r="J90" i="3"/>
  <c r="F30" i="11"/>
  <c r="D22" i="11"/>
  <c r="L84" i="3" l="1"/>
  <c r="N84" i="3" s="1"/>
  <c r="J158" i="3"/>
  <c r="L158" i="3" s="1"/>
  <c r="N158" i="3" s="1"/>
  <c r="Q158" i="3" s="1"/>
  <c r="R158" i="3" s="1"/>
  <c r="J159" i="3"/>
  <c r="L159" i="3" s="1"/>
  <c r="N159" i="3" s="1"/>
  <c r="Q159" i="3" s="1"/>
  <c r="R159" i="3" s="1"/>
  <c r="J160" i="3"/>
  <c r="L160" i="3" s="1"/>
  <c r="N160" i="3" s="1"/>
  <c r="Q160" i="3" s="1"/>
  <c r="R160" i="3" s="1"/>
  <c r="J154" i="3"/>
  <c r="L154" i="3" s="1"/>
  <c r="N154" i="3" s="1"/>
  <c r="Q154" i="3" s="1"/>
  <c r="R154" i="3" s="1"/>
  <c r="J121" i="3"/>
  <c r="L121" i="3" s="1"/>
  <c r="N121" i="3" s="1"/>
  <c r="Q121" i="3" s="1"/>
  <c r="R121" i="3" s="1"/>
  <c r="J161" i="3"/>
  <c r="J157" i="3"/>
  <c r="L157" i="3" s="1"/>
  <c r="N157" i="3" s="1"/>
  <c r="Q157" i="3" s="1"/>
  <c r="R157" i="3" s="1"/>
  <c r="J153" i="3"/>
  <c r="L153" i="3" s="1"/>
  <c r="N153" i="3" s="1"/>
  <c r="Q153" i="3" s="1"/>
  <c r="R153" i="3" s="1"/>
  <c r="J156" i="3"/>
  <c r="L156" i="3" s="1"/>
  <c r="N156" i="3" s="1"/>
  <c r="Q156" i="3" s="1"/>
  <c r="R156" i="3" s="1"/>
  <c r="J151" i="3"/>
  <c r="L151" i="3" s="1"/>
  <c r="N151" i="3" s="1"/>
  <c r="Q151" i="3" s="1"/>
  <c r="R151" i="3" s="1"/>
  <c r="J155" i="3"/>
  <c r="L155" i="3" s="1"/>
  <c r="N155" i="3" s="1"/>
  <c r="Q155" i="3" s="1"/>
  <c r="R155" i="3" s="1"/>
  <c r="J152" i="3"/>
  <c r="L152" i="3" s="1"/>
  <c r="N152" i="3" s="1"/>
  <c r="Q152" i="3" s="1"/>
  <c r="R152" i="3" s="1"/>
  <c r="J150" i="3"/>
  <c r="L150" i="3" s="1"/>
  <c r="N150" i="3" s="1"/>
  <c r="J149" i="3"/>
  <c r="L149" i="3" s="1"/>
  <c r="N149" i="3" s="1"/>
  <c r="J127" i="3"/>
  <c r="L127" i="3" s="1"/>
  <c r="N127" i="3" s="1"/>
  <c r="J132" i="3"/>
  <c r="L132" i="3" s="1"/>
  <c r="N132" i="3" s="1"/>
  <c r="J130" i="3"/>
  <c r="L130" i="3" s="1"/>
  <c r="N130" i="3" s="1"/>
  <c r="J122" i="3"/>
  <c r="L122" i="3" s="1"/>
  <c r="J22" i="8"/>
  <c r="J26" i="8" s="1"/>
  <c r="D18" i="13" s="1"/>
  <c r="J123" i="3"/>
  <c r="J148" i="3"/>
  <c r="J125" i="3"/>
  <c r="L125" i="3" s="1"/>
  <c r="J134" i="3"/>
  <c r="L134" i="3" s="1"/>
  <c r="N134" i="3" s="1"/>
  <c r="J142" i="3"/>
  <c r="L142" i="3" s="1"/>
  <c r="N142" i="3" s="1"/>
  <c r="J139" i="3"/>
  <c r="L139" i="3" s="1"/>
  <c r="N139" i="3" s="1"/>
  <c r="J145" i="3"/>
  <c r="L145" i="3" s="1"/>
  <c r="N145" i="3" s="1"/>
  <c r="J138" i="3"/>
  <c r="L138" i="3" s="1"/>
  <c r="N138" i="3" s="1"/>
  <c r="J136" i="3"/>
  <c r="L136" i="3" s="1"/>
  <c r="N136" i="3" s="1"/>
  <c r="J137" i="3"/>
  <c r="L137" i="3" s="1"/>
  <c r="N137" i="3" s="1"/>
  <c r="J131" i="3"/>
  <c r="L131" i="3" s="1"/>
  <c r="N131" i="3" s="1"/>
  <c r="O180" i="3"/>
  <c r="O187" i="3" s="1"/>
  <c r="N122" i="3" l="1"/>
  <c r="Q122" i="3" s="1"/>
  <c r="Q84" i="3"/>
  <c r="Q145" i="3"/>
  <c r="R145" i="3" s="1"/>
  <c r="Q139" i="3"/>
  <c r="R139" i="3" s="1"/>
  <c r="Q130" i="3"/>
  <c r="R130" i="3" s="1"/>
  <c r="Q142" i="3"/>
  <c r="R142" i="3" s="1"/>
  <c r="Q132" i="3"/>
  <c r="R132" i="3" s="1"/>
  <c r="Q149" i="3"/>
  <c r="R149" i="3" s="1"/>
  <c r="Q134" i="3"/>
  <c r="R134" i="3" s="1"/>
  <c r="Q127" i="3"/>
  <c r="R127" i="3" s="1"/>
  <c r="Q131" i="3"/>
  <c r="R131" i="3" s="1"/>
  <c r="Q136" i="3"/>
  <c r="R136" i="3" s="1"/>
  <c r="Q137" i="3"/>
  <c r="R137" i="3" s="1"/>
  <c r="Q138" i="3"/>
  <c r="R138" i="3" s="1"/>
  <c r="Q150" i="3"/>
  <c r="R150" i="3" s="1"/>
  <c r="O175" i="3"/>
  <c r="O186" i="3" s="1"/>
  <c r="N125" i="3"/>
  <c r="R122" i="3" l="1"/>
  <c r="R84" i="3"/>
  <c r="Q125" i="3"/>
  <c r="L93" i="3"/>
  <c r="N93" i="3" s="1"/>
  <c r="Q93" i="3" l="1"/>
  <c r="R93" i="3" s="1"/>
  <c r="R125" i="3"/>
  <c r="R107" i="3" l="1"/>
  <c r="L106" i="3" l="1"/>
  <c r="N106" i="3" s="1"/>
  <c r="Q106" i="3" l="1"/>
  <c r="R106" i="3" s="1"/>
  <c r="D45" i="11"/>
  <c r="D11" i="13" l="1"/>
  <c r="J117" i="3"/>
  <c r="J105" i="3"/>
  <c r="L148" i="3"/>
  <c r="J18" i="8"/>
  <c r="J98" i="3"/>
  <c r="J86" i="3"/>
  <c r="J128" i="3"/>
  <c r="L128" i="3" s="1"/>
  <c r="N128" i="3" s="1"/>
  <c r="J126" i="3"/>
  <c r="L126" i="3" s="1"/>
  <c r="N126" i="3" s="1"/>
  <c r="J96" i="3"/>
  <c r="J92" i="3"/>
  <c r="J16" i="9"/>
  <c r="D24" i="13" s="1"/>
  <c r="J133" i="3"/>
  <c r="L133" i="3" s="1"/>
  <c r="N133" i="3" s="1"/>
  <c r="J129" i="3"/>
  <c r="L129" i="3" s="1"/>
  <c r="N129" i="3" s="1"/>
  <c r="J124" i="3"/>
  <c r="L124" i="3" s="1"/>
  <c r="N124" i="3" s="1"/>
  <c r="J12" i="9"/>
  <c r="J87" i="3"/>
  <c r="J135" i="3"/>
  <c r="L135" i="3" s="1"/>
  <c r="N135" i="3" s="1"/>
  <c r="L123" i="3"/>
  <c r="J100" i="3"/>
  <c r="J89" i="3"/>
  <c r="J178" i="3"/>
  <c r="D11" i="18" l="1"/>
  <c r="F11" i="18" s="1"/>
  <c r="Q128" i="3"/>
  <c r="R128" i="3" s="1"/>
  <c r="Q124" i="3"/>
  <c r="R124" i="3" s="1"/>
  <c r="Q129" i="3"/>
  <c r="R129" i="3" s="1"/>
  <c r="Q133" i="3"/>
  <c r="R133" i="3" s="1"/>
  <c r="Q135" i="3"/>
  <c r="R135" i="3" s="1"/>
  <c r="Q126" i="3"/>
  <c r="R126" i="3" s="1"/>
  <c r="L12" i="9"/>
  <c r="D23" i="18" s="1"/>
  <c r="F23" i="18" s="1"/>
  <c r="D23" i="13"/>
  <c r="J118" i="3"/>
  <c r="J185" i="3" s="1"/>
  <c r="D10" i="13"/>
  <c r="J19" i="8"/>
  <c r="D17" i="13"/>
  <c r="N148" i="3"/>
  <c r="N123" i="3"/>
  <c r="N161" i="3" s="1"/>
  <c r="L22" i="8"/>
  <c r="F33" i="11"/>
  <c r="T67" i="11"/>
  <c r="Q148" i="3" l="1"/>
  <c r="Q123" i="3"/>
  <c r="M161" i="3"/>
  <c r="G11" i="13" s="1"/>
  <c r="K161" i="3"/>
  <c r="E11" i="13" s="1"/>
  <c r="F11" i="13"/>
  <c r="N12" i="9"/>
  <c r="F23" i="13"/>
  <c r="N22" i="8"/>
  <c r="F44" i="11"/>
  <c r="Q161" i="3" l="1"/>
  <c r="Q12" i="9"/>
  <c r="R12" i="9" s="1"/>
  <c r="Q22" i="8"/>
  <c r="H11" i="13"/>
  <c r="H23" i="13"/>
  <c r="R148" i="3"/>
  <c r="R123" i="3"/>
  <c r="R161" i="3" s="1"/>
  <c r="L98" i="3"/>
  <c r="N98" i="3" s="1"/>
  <c r="Q98" i="3" l="1"/>
  <c r="R98" i="3" s="1"/>
  <c r="R22" i="8"/>
  <c r="L8" i="3" l="1"/>
  <c r="N8" i="3" l="1"/>
  <c r="F46" i="11"/>
  <c r="Q8" i="3" l="1"/>
  <c r="L178" i="3"/>
  <c r="N178" i="3" s="1"/>
  <c r="R8" i="3" l="1"/>
  <c r="Q178" i="3"/>
  <c r="R178" i="3" s="1"/>
  <c r="J19" i="3"/>
  <c r="L19" i="3" s="1"/>
  <c r="N19" i="3" s="1"/>
  <c r="Q19" i="3" l="1"/>
  <c r="R19" i="3" s="1"/>
  <c r="J15" i="3"/>
  <c r="L15" i="3" l="1"/>
  <c r="N15" i="3" s="1"/>
  <c r="Q15" i="3" s="1"/>
  <c r="J10" i="9"/>
  <c r="O23" i="9"/>
  <c r="D22" i="13" l="1"/>
  <c r="J13" i="9"/>
  <c r="J23" i="9" s="1"/>
  <c r="R15" i="3"/>
  <c r="L10" i="9"/>
  <c r="D22" i="18" l="1"/>
  <c r="F22" i="18" s="1"/>
  <c r="L13" i="9"/>
  <c r="F22" i="13"/>
  <c r="N10" i="9"/>
  <c r="N13" i="9" s="1"/>
  <c r="Q10" i="9" l="1"/>
  <c r="H22" i="13"/>
  <c r="L23" i="9"/>
  <c r="K13" i="9"/>
  <c r="K23" i="9" s="1"/>
  <c r="R10" i="9" l="1"/>
  <c r="R13" i="9" s="1"/>
  <c r="R23" i="9" s="1"/>
  <c r="Q13" i="9"/>
  <c r="Q23" i="9" s="1"/>
  <c r="P23" i="9"/>
  <c r="M13" i="9"/>
  <c r="M23" i="9" s="1"/>
  <c r="N23" i="9"/>
  <c r="D47" i="11" l="1"/>
  <c r="D41" i="11" l="1"/>
  <c r="K24" i="8" l="1"/>
  <c r="L24" i="8" s="1"/>
  <c r="N24" i="8" s="1"/>
  <c r="K23" i="8"/>
  <c r="L23" i="8" s="1"/>
  <c r="L105" i="3"/>
  <c r="L26" i="8" l="1"/>
  <c r="Q24" i="8"/>
  <c r="R24" i="8" s="1"/>
  <c r="N23" i="8"/>
  <c r="D18" i="18"/>
  <c r="F18" i="18" s="1"/>
  <c r="N105" i="3"/>
  <c r="F43" i="11"/>
  <c r="F39" i="11"/>
  <c r="F27" i="11"/>
  <c r="F28" i="11"/>
  <c r="F29" i="11"/>
  <c r="F31" i="11"/>
  <c r="F40" i="11"/>
  <c r="F10" i="11"/>
  <c r="F11" i="11"/>
  <c r="F12" i="11"/>
  <c r="F13" i="11"/>
  <c r="F14" i="11"/>
  <c r="F15" i="11"/>
  <c r="F16" i="11"/>
  <c r="F18" i="11"/>
  <c r="F34" i="11"/>
  <c r="F41" i="11"/>
  <c r="L100" i="3"/>
  <c r="N100" i="3" s="1"/>
  <c r="L91" i="3"/>
  <c r="N91" i="3" s="1"/>
  <c r="L89" i="3"/>
  <c r="N89" i="3" s="1"/>
  <c r="F36" i="11"/>
  <c r="L97" i="3"/>
  <c r="N97" i="3" s="1"/>
  <c r="J16" i="3"/>
  <c r="L16" i="3" s="1"/>
  <c r="N16" i="3" s="1"/>
  <c r="Q16" i="3" s="1"/>
  <c r="J51" i="3"/>
  <c r="L51" i="3" s="1"/>
  <c r="N51" i="3" s="1"/>
  <c r="O17" i="9"/>
  <c r="O24" i="9" s="1"/>
  <c r="O25" i="9" s="1"/>
  <c r="H11" i="12" s="1"/>
  <c r="O38" i="8"/>
  <c r="O37" i="8"/>
  <c r="J17" i="3"/>
  <c r="L17" i="3" s="1"/>
  <c r="N17" i="3" s="1"/>
  <c r="Q17" i="3" s="1"/>
  <c r="L16" i="9"/>
  <c r="D24" i="18" s="1"/>
  <c r="F24" i="18" s="1"/>
  <c r="F25" i="18" s="1"/>
  <c r="J37" i="8"/>
  <c r="L13" i="3"/>
  <c r="F47" i="11"/>
  <c r="L15" i="8"/>
  <c r="J9" i="8"/>
  <c r="L9" i="8" s="1"/>
  <c r="L13" i="8" s="1"/>
  <c r="J164" i="3"/>
  <c r="L164" i="3" s="1"/>
  <c r="N164" i="3" s="1"/>
  <c r="Q164" i="3" s="1"/>
  <c r="L90" i="3"/>
  <c r="N90" i="3" s="1"/>
  <c r="L96" i="3"/>
  <c r="N96" i="3" s="1"/>
  <c r="L95" i="3"/>
  <c r="N95" i="3" s="1"/>
  <c r="L94" i="3"/>
  <c r="N94" i="3" s="1"/>
  <c r="L92" i="3"/>
  <c r="J28" i="3"/>
  <c r="K28" i="3" s="1"/>
  <c r="L87" i="3"/>
  <c r="N87" i="3" s="1"/>
  <c r="L86" i="3"/>
  <c r="L58" i="3"/>
  <c r="N58" i="3" s="1"/>
  <c r="L57" i="3"/>
  <c r="N57" i="3" s="1"/>
  <c r="J56" i="3"/>
  <c r="L56" i="3" s="1"/>
  <c r="N56" i="3" s="1"/>
  <c r="J55" i="3"/>
  <c r="L55" i="3" s="1"/>
  <c r="N55" i="3" s="1"/>
  <c r="J54" i="3"/>
  <c r="L54" i="3" s="1"/>
  <c r="N54" i="3" s="1"/>
  <c r="J53" i="3"/>
  <c r="L53" i="3" s="1"/>
  <c r="N53" i="3" s="1"/>
  <c r="J49" i="3"/>
  <c r="L49" i="3" s="1"/>
  <c r="N49" i="3" s="1"/>
  <c r="J35" i="3"/>
  <c r="L35" i="3" s="1"/>
  <c r="N35" i="3" s="1"/>
  <c r="J34" i="3"/>
  <c r="L34" i="3" s="1"/>
  <c r="N34" i="3" s="1"/>
  <c r="J33" i="3"/>
  <c r="L33" i="3" s="1"/>
  <c r="N33" i="3" s="1"/>
  <c r="J32" i="3"/>
  <c r="L32" i="3" s="1"/>
  <c r="N32" i="3" s="1"/>
  <c r="J30" i="3"/>
  <c r="L30" i="3" s="1"/>
  <c r="N30" i="3" s="1"/>
  <c r="J31" i="3"/>
  <c r="K31" i="3" s="1"/>
  <c r="J29" i="3"/>
  <c r="L29" i="3" s="1"/>
  <c r="N29" i="3" s="1"/>
  <c r="J27" i="3"/>
  <c r="K27" i="3" s="1"/>
  <c r="J26" i="3"/>
  <c r="L26" i="3" s="1"/>
  <c r="N26" i="3" s="1"/>
  <c r="J23" i="3"/>
  <c r="L23" i="3" s="1"/>
  <c r="N23" i="3" s="1"/>
  <c r="J22" i="3"/>
  <c r="L22" i="3" s="1"/>
  <c r="N22" i="3" s="1"/>
  <c r="J21" i="3"/>
  <c r="L21" i="3" s="1"/>
  <c r="N21" i="3" s="1"/>
  <c r="J20" i="3"/>
  <c r="L20" i="3" s="1"/>
  <c r="N20" i="3" s="1"/>
  <c r="J18" i="3"/>
  <c r="L18" i="3" s="1"/>
  <c r="N18" i="3" s="1"/>
  <c r="Q18" i="3" s="1"/>
  <c r="K16" i="8"/>
  <c r="K17" i="8"/>
  <c r="Q23" i="8" l="1"/>
  <c r="Q26" i="8" s="1"/>
  <c r="Q23" i="3"/>
  <c r="R23" i="3" s="1"/>
  <c r="Q89" i="3"/>
  <c r="R89" i="3" s="1"/>
  <c r="Q26" i="3"/>
  <c r="R26" i="3" s="1"/>
  <c r="Q56" i="3"/>
  <c r="R56" i="3" s="1"/>
  <c r="Q94" i="3"/>
  <c r="R94" i="3" s="1"/>
  <c r="Q91" i="3"/>
  <c r="R91" i="3" s="1"/>
  <c r="Q34" i="3"/>
  <c r="R34" i="3" s="1"/>
  <c r="Q95" i="3"/>
  <c r="R95" i="3" s="1"/>
  <c r="Q100" i="3"/>
  <c r="R100" i="3" s="1"/>
  <c r="Q29" i="3"/>
  <c r="R29" i="3" s="1"/>
  <c r="Q57" i="3"/>
  <c r="R57" i="3" s="1"/>
  <c r="Q96" i="3"/>
  <c r="R96" i="3" s="1"/>
  <c r="Q51" i="3"/>
  <c r="R51" i="3" s="1"/>
  <c r="Q55" i="3"/>
  <c r="R55" i="3" s="1"/>
  <c r="Q35" i="3"/>
  <c r="R35" i="3" s="1"/>
  <c r="Q58" i="3"/>
  <c r="R58" i="3" s="1"/>
  <c r="Q90" i="3"/>
  <c r="R90" i="3" s="1"/>
  <c r="R16" i="3"/>
  <c r="Q105" i="3"/>
  <c r="R105" i="3" s="1"/>
  <c r="Q30" i="3"/>
  <c r="R30" i="3" s="1"/>
  <c r="Q49" i="3"/>
  <c r="R49" i="3" s="1"/>
  <c r="Q20" i="3"/>
  <c r="R20" i="3" s="1"/>
  <c r="Q32" i="3"/>
  <c r="R32" i="3" s="1"/>
  <c r="Q53" i="3"/>
  <c r="R53" i="3" s="1"/>
  <c r="Q87" i="3"/>
  <c r="R87" i="3" s="1"/>
  <c r="Q97" i="3"/>
  <c r="R97" i="3" s="1"/>
  <c r="Q21" i="3"/>
  <c r="R21" i="3" s="1"/>
  <c r="Q22" i="3"/>
  <c r="R22" i="3" s="1"/>
  <c r="Q33" i="3"/>
  <c r="R33" i="3" s="1"/>
  <c r="Q54" i="3"/>
  <c r="R54" i="3" s="1"/>
  <c r="R17" i="3"/>
  <c r="N16" i="9"/>
  <c r="F24" i="13"/>
  <c r="K26" i="8"/>
  <c r="E18" i="13" s="1"/>
  <c r="F18" i="13"/>
  <c r="N15" i="8"/>
  <c r="N86" i="3"/>
  <c r="O39" i="8"/>
  <c r="H10" i="12" s="1"/>
  <c r="N13" i="3"/>
  <c r="N92" i="3"/>
  <c r="O188" i="3"/>
  <c r="H9" i="12" s="1"/>
  <c r="J177" i="3"/>
  <c r="L177" i="3" s="1"/>
  <c r="N177" i="3" s="1"/>
  <c r="L28" i="3"/>
  <c r="N28" i="3" s="1"/>
  <c r="L88" i="3"/>
  <c r="L117" i="3" s="1"/>
  <c r="L27" i="3"/>
  <c r="N27" i="3" s="1"/>
  <c r="L31" i="3"/>
  <c r="N31" i="3" s="1"/>
  <c r="J17" i="9"/>
  <c r="J180" i="3"/>
  <c r="F45" i="11"/>
  <c r="J179" i="3"/>
  <c r="L179" i="3" s="1"/>
  <c r="N179" i="3" s="1"/>
  <c r="J163" i="3"/>
  <c r="J28" i="8"/>
  <c r="L16" i="8"/>
  <c r="N16" i="8" s="1"/>
  <c r="L17" i="8"/>
  <c r="N17" i="8" s="1"/>
  <c r="L17" i="9"/>
  <c r="N9" i="8"/>
  <c r="N13" i="8" s="1"/>
  <c r="L82" i="3" l="1"/>
  <c r="N82" i="3"/>
  <c r="Q16" i="9"/>
  <c r="Q9" i="8"/>
  <c r="Q13" i="8" s="1"/>
  <c r="Q16" i="8"/>
  <c r="R16" i="8" s="1"/>
  <c r="Q17" i="8"/>
  <c r="R17" i="8" s="1"/>
  <c r="Q15" i="8"/>
  <c r="Q31" i="3"/>
  <c r="R31" i="3" s="1"/>
  <c r="Q86" i="3"/>
  <c r="Q92" i="3"/>
  <c r="R92" i="3" s="1"/>
  <c r="Q27" i="3"/>
  <c r="R27" i="3" s="1"/>
  <c r="Q28" i="3"/>
  <c r="R28" i="3" s="1"/>
  <c r="Q179" i="3"/>
  <c r="R179" i="3" s="1"/>
  <c r="Q13" i="3"/>
  <c r="Q177" i="3"/>
  <c r="R18" i="3"/>
  <c r="F16" i="13"/>
  <c r="D16" i="18"/>
  <c r="F16" i="18" s="1"/>
  <c r="H24" i="13"/>
  <c r="J187" i="3"/>
  <c r="D13" i="13"/>
  <c r="H16" i="13"/>
  <c r="M26" i="8"/>
  <c r="G18" i="13" s="1"/>
  <c r="H18" i="13"/>
  <c r="N88" i="3"/>
  <c r="N117" i="3" s="1"/>
  <c r="L28" i="8"/>
  <c r="D19" i="18" s="1"/>
  <c r="F19" i="18" s="1"/>
  <c r="J30" i="8"/>
  <c r="R23" i="8"/>
  <c r="P26" i="8"/>
  <c r="L163" i="3"/>
  <c r="L174" i="3" s="1"/>
  <c r="K13" i="8"/>
  <c r="E16" i="13" s="1"/>
  <c r="L18" i="8"/>
  <c r="N18" i="8"/>
  <c r="H17" i="13" s="1"/>
  <c r="P17" i="9"/>
  <c r="P24" i="9" s="1"/>
  <c r="P25" i="9" s="1"/>
  <c r="I11" i="12" s="1"/>
  <c r="H12" i="12"/>
  <c r="K17" i="9"/>
  <c r="J24" i="9"/>
  <c r="L24" i="9"/>
  <c r="N180" i="3"/>
  <c r="L180" i="3"/>
  <c r="R164" i="3"/>
  <c r="N17" i="9"/>
  <c r="N24" i="9" s="1"/>
  <c r="R9" i="8" l="1"/>
  <c r="R13" i="8" s="1"/>
  <c r="D7" i="19" s="1"/>
  <c r="Q82" i="3"/>
  <c r="R86" i="3"/>
  <c r="Q18" i="8"/>
  <c r="R15" i="8"/>
  <c r="R18" i="8" s="1"/>
  <c r="D8" i="19" s="1"/>
  <c r="I8" i="19" s="1"/>
  <c r="Q19" i="8"/>
  <c r="Q37" i="8" s="1"/>
  <c r="Q180" i="3"/>
  <c r="Q187" i="3" s="1"/>
  <c r="H10" i="13"/>
  <c r="Q88" i="3"/>
  <c r="Q117" i="3" s="1"/>
  <c r="R26" i="8"/>
  <c r="D11" i="19" s="1"/>
  <c r="F9" i="13"/>
  <c r="D9" i="18"/>
  <c r="F9" i="18" s="1"/>
  <c r="F12" i="13"/>
  <c r="D12" i="18"/>
  <c r="F12" i="18" s="1"/>
  <c r="F17" i="13"/>
  <c r="D17" i="18"/>
  <c r="F17" i="18" s="1"/>
  <c r="F20" i="18" s="1"/>
  <c r="F10" i="13"/>
  <c r="D10" i="18"/>
  <c r="F10" i="18" s="1"/>
  <c r="F13" i="13"/>
  <c r="D13" i="18"/>
  <c r="F13" i="18" s="1"/>
  <c r="H9" i="13"/>
  <c r="R16" i="9"/>
  <c r="Q17" i="9"/>
  <c r="Q24" i="9" s="1"/>
  <c r="Q25" i="9" s="1"/>
  <c r="J11" i="12" s="1"/>
  <c r="J31" i="8"/>
  <c r="J38" i="8" s="1"/>
  <c r="J39" i="8" s="1"/>
  <c r="D20" i="13" s="1"/>
  <c r="D19" i="13"/>
  <c r="L31" i="8"/>
  <c r="L38" i="8" s="1"/>
  <c r="F19" i="13"/>
  <c r="N187" i="3"/>
  <c r="H13" i="13"/>
  <c r="N163" i="3"/>
  <c r="Q163" i="3" s="1"/>
  <c r="Q174" i="3" s="1"/>
  <c r="Q175" i="3" s="1"/>
  <c r="Q186" i="3" s="1"/>
  <c r="K30" i="8"/>
  <c r="E19" i="13" s="1"/>
  <c r="N28" i="8"/>
  <c r="J175" i="3"/>
  <c r="J186" i="3" s="1"/>
  <c r="K117" i="3"/>
  <c r="E10" i="13" s="1"/>
  <c r="K174" i="3"/>
  <c r="E12" i="13" s="1"/>
  <c r="L186" i="3"/>
  <c r="M18" i="8"/>
  <c r="G17" i="13" s="1"/>
  <c r="K18" i="8"/>
  <c r="E17" i="13" s="1"/>
  <c r="P18" i="8"/>
  <c r="L19" i="8"/>
  <c r="K19" i="8" s="1"/>
  <c r="K37" i="8" s="1"/>
  <c r="M13" i="8"/>
  <c r="G16" i="13" s="1"/>
  <c r="N19" i="8"/>
  <c r="N37" i="8" s="1"/>
  <c r="K82" i="3"/>
  <c r="E9" i="13" s="1"/>
  <c r="L118" i="3"/>
  <c r="K118" i="3" s="1"/>
  <c r="M82" i="3"/>
  <c r="G9" i="13" s="1"/>
  <c r="P180" i="3"/>
  <c r="P187" i="3" s="1"/>
  <c r="R13" i="3"/>
  <c r="R82" i="3" s="1"/>
  <c r="N25" i="9"/>
  <c r="L25" i="9"/>
  <c r="J25" i="9"/>
  <c r="K24" i="9"/>
  <c r="L187" i="3"/>
  <c r="K180" i="3"/>
  <c r="R177" i="3"/>
  <c r="M180" i="3"/>
  <c r="M17" i="9"/>
  <c r="M24" i="9" s="1"/>
  <c r="D13" i="19" l="1"/>
  <c r="I11" i="19"/>
  <c r="I13" i="19" s="1"/>
  <c r="I7" i="19"/>
  <c r="I9" i="19" s="1"/>
  <c r="D9" i="19"/>
  <c r="N118" i="3"/>
  <c r="N185" i="3" s="1"/>
  <c r="M117" i="3"/>
  <c r="G10" i="13" s="1"/>
  <c r="Q28" i="8"/>
  <c r="Q30" i="8" s="1"/>
  <c r="Q31" i="8" s="1"/>
  <c r="Q38" i="8" s="1"/>
  <c r="Q39" i="8" s="1"/>
  <c r="J10" i="12" s="1"/>
  <c r="Q118" i="3"/>
  <c r="Q185" i="3" s="1"/>
  <c r="Q188" i="3" s="1"/>
  <c r="J9" i="12" s="1"/>
  <c r="R17" i="9"/>
  <c r="F25" i="13"/>
  <c r="D25" i="18"/>
  <c r="F14" i="18"/>
  <c r="F26" i="18" s="1"/>
  <c r="J11" i="18" s="1"/>
  <c r="K31" i="8"/>
  <c r="K38" i="8" s="1"/>
  <c r="K187" i="3"/>
  <c r="E13" i="13"/>
  <c r="M187" i="3"/>
  <c r="G13" i="13"/>
  <c r="R88" i="3"/>
  <c r="R117" i="3" s="1"/>
  <c r="P118" i="3"/>
  <c r="P185" i="3" s="1"/>
  <c r="N174" i="3"/>
  <c r="C10" i="12"/>
  <c r="P174" i="3"/>
  <c r="L37" i="8"/>
  <c r="L185" i="3"/>
  <c r="K175" i="3"/>
  <c r="K186" i="3" s="1"/>
  <c r="J188" i="3"/>
  <c r="R19" i="8"/>
  <c r="R37" i="8" s="1"/>
  <c r="P19" i="8"/>
  <c r="P37" i="8" s="1"/>
  <c r="M19" i="8"/>
  <c r="M37" i="8" s="1"/>
  <c r="K185" i="3"/>
  <c r="R180" i="3"/>
  <c r="R187" i="3" s="1"/>
  <c r="K25" i="9"/>
  <c r="E25" i="13" s="1"/>
  <c r="G11" i="12"/>
  <c r="H25" i="13"/>
  <c r="M25" i="9"/>
  <c r="E11" i="12"/>
  <c r="C11" i="12"/>
  <c r="D25" i="13"/>
  <c r="R24" i="9"/>
  <c r="R25" i="9" s="1"/>
  <c r="K11" i="12" s="1"/>
  <c r="I18" i="19" l="1"/>
  <c r="I19" i="19" s="1"/>
  <c r="I20" i="19" s="1"/>
  <c r="I22" i="19" s="1"/>
  <c r="D20" i="19"/>
  <c r="D22" i="19" s="1"/>
  <c r="M118" i="3"/>
  <c r="M185" i="3" s="1"/>
  <c r="R28" i="8"/>
  <c r="R30" i="8" s="1"/>
  <c r="R31" i="8" s="1"/>
  <c r="R38" i="8" s="1"/>
  <c r="R39" i="8" s="1"/>
  <c r="K10" i="12" s="1"/>
  <c r="R118" i="3"/>
  <c r="R185" i="3" s="1"/>
  <c r="H19" i="13"/>
  <c r="M31" i="8"/>
  <c r="M38" i="8" s="1"/>
  <c r="M30" i="8"/>
  <c r="G19" i="13" s="1"/>
  <c r="M174" i="3"/>
  <c r="G12" i="13" s="1"/>
  <c r="H12" i="13"/>
  <c r="N175" i="3"/>
  <c r="N186" i="3" s="1"/>
  <c r="R163" i="3"/>
  <c r="P30" i="8"/>
  <c r="P31" i="8" s="1"/>
  <c r="P38" i="8" s="1"/>
  <c r="P39" i="8" s="1"/>
  <c r="I10" i="12" s="1"/>
  <c r="P175" i="3"/>
  <c r="D14" i="13"/>
  <c r="D26" i="13" s="1"/>
  <c r="C9" i="12"/>
  <c r="C12" i="12" s="1"/>
  <c r="J12" i="12"/>
  <c r="D11" i="12"/>
  <c r="F11" i="12"/>
  <c r="G25" i="13"/>
  <c r="P186" i="3" l="1"/>
  <c r="P188" i="3" s="1"/>
  <c r="I9" i="12" s="1"/>
  <c r="I12" i="12" s="1"/>
  <c r="R174" i="3"/>
  <c r="R175" i="3" s="1"/>
  <c r="F20" i="13"/>
  <c r="D20" i="18"/>
  <c r="F14" i="13"/>
  <c r="D14" i="18"/>
  <c r="N38" i="8"/>
  <c r="N39" i="8" s="1"/>
  <c r="N188" i="3"/>
  <c r="H14" i="13" s="1"/>
  <c r="M175" i="3"/>
  <c r="M186" i="3" s="1"/>
  <c r="K39" i="8"/>
  <c r="D10" i="12" s="1"/>
  <c r="E10" i="12"/>
  <c r="E9" i="12"/>
  <c r="K188" i="3"/>
  <c r="D9" i="12" s="1"/>
  <c r="D26" i="18" l="1"/>
  <c r="J12" i="18" s="1"/>
  <c r="F26" i="13"/>
  <c r="E26" i="13" s="1"/>
  <c r="R186" i="3"/>
  <c r="R188" i="3" s="1"/>
  <c r="K9" i="12" s="1"/>
  <c r="K12" i="12" s="1"/>
  <c r="M188" i="3"/>
  <c r="F9" i="12" s="1"/>
  <c r="G9" i="12"/>
  <c r="E20" i="13"/>
  <c r="E12" i="12"/>
  <c r="D12" i="12" s="1"/>
  <c r="H20" i="13"/>
  <c r="M39" i="8"/>
  <c r="G10" i="12"/>
  <c r="E14" i="13"/>
  <c r="H26" i="13" l="1"/>
  <c r="G26" i="13" s="1"/>
  <c r="G12" i="12"/>
  <c r="F12" i="12" s="1"/>
  <c r="G14" i="13"/>
  <c r="G20" i="13"/>
  <c r="F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tc={6C6DC027-8EFD-4989-B5A5-A4FE3698F6EA}</author>
    <author>tc={385F1701-0429-4A4D-999E-D8198E257646}</author>
    <author>tc={B6748D5E-991E-49CE-8823-5E0D746E012C}</author>
    <author>tc={CEA9C768-A85C-4E65-A5C0-FB8B8E04A75D}</author>
    <author>tc={35E70D99-7CF1-4DEF-872A-16F931576448}</author>
    <author>tc={7E0256CD-45D7-4420-8E4A-BDDCAE89D63B}</author>
    <author>tc={605C31BD-2579-4821-AF1F-3A82ABA7411B}</author>
    <author>tc={A64393DC-0257-4B05-AA03-D931609D2C17}</author>
    <author>tc={D796B19A-59CE-4A33-8E58-29E3719AC456}</author>
    <author>tc={0D27372B-C37C-413E-BCFB-6062C137640B}</author>
    <author>tc={834E1017-67BA-4023-B0A7-4570C3DC981B}</author>
    <author>tc={BEAA3FBC-6874-49DC-BB82-3F183D899C00}</author>
    <author>tc={FC26E32C-C0A6-4056-BA69-1C9B7836071C}</author>
    <author>tc={D92C37BA-CEE7-4982-8AB8-83A2C0BB9D9D}</author>
    <author>tc={5BA2C160-A335-4FD2-B2AA-B1DA19DE7372}</author>
    <author>tc={5BEF16A4-15DE-4875-9DD5-FE7B7D92ABA3}</author>
    <author>tc={0D27372B-C37C-413F-BCFB-6062C137640B}</author>
    <author>tc={2A5995BC-BF35-48A7-B5C4-02BB7BDA8C41}</author>
    <author>tc={47B91E52-E573-434F-A424-635BD13076AD}</author>
    <author>tc={9C8C135F-803E-467E-9130-CE1489C6557A}</author>
    <author>tc={ADCB682A-40A5-4EDE-9E85-16333D15ACF2}</author>
    <author>tc={7B8EDE31-8F75-41A4-9434-98BB1C3BA71A}</author>
    <author>tc={2C39D737-3B60-4FDA-9516-F48DAF5EEA8A}</author>
    <author>tc={593F52F8-2809-4F46-80A0-FCECE6DD544C}</author>
    <author>tc={0EE4E1AA-1DEF-4D49-B859-3E6AED86DDE9}</author>
    <author>tc={C104C0E3-7776-42C0-846D-08B856C73E5F}</author>
    <author>tc={AFE4C33D-9065-41E0-AD55-7C70F74E41F0}</author>
    <author>tc={C104C0E3-7776-42C1-846D-08B856C73E5F}</author>
    <author>tc={1188EA2D-CB4B-44DA-A4B6-DD0E82C5F9B0}</author>
    <author>tc={99EEC26A-3A28-4FDC-BF85-7E45EEB990F2}</author>
    <author>tc={2F3512F9-AFDE-4DFC-AA15-47F9DDE9F188}</author>
    <author>tc={6A08FCCC-EFE7-48B0-8912-A395792885DC}</author>
    <author>tc={103456D0-406C-4B13-B548-6A6413E041C1}</author>
    <author>tc={63BCC381-249B-4CAA-BA0F-6E6B49E1D057}</author>
    <author>tc={9154E320-6F49-4644-B885-5FFD651B9EFB}</author>
    <author>tc={F5235CB6-14EB-4828-9E71-3D048022C536}</author>
    <author>tc={617D2DDB-0C53-49E1-BA6D-D3CE1124F8B2}</author>
    <author>tc={86FCC841-0815-47BB-9A55-7BE34FE6CA69}</author>
    <author>tc={45250181-A841-4BDE-9E10-9279C6709C35}</author>
    <author>tc={7673BFDA-96B7-44CD-A10A-4936AACEB029}</author>
    <author>tc={29E4E4E5-BE42-473F-BD40-896DB9D77F67}</author>
    <author>tc={C2C45033-C236-4977-A5D5-90CD55C1143D}</author>
    <author>tc={9EA04705-8E75-49AE-9FE1-3FE957387CB7}</author>
    <author>tc={4D4C1613-3F0D-4B96-82C8-E43CFD86D65E}</author>
    <author>tc={2DCEA17D-AAAE-44B2-AB4D-E806776065EE}</author>
    <author>tc={28E3CFC5-032C-4BE7-8621-C7463B4D0A5A}</author>
    <author>tc={20F926F3-0C29-4500-BB8E-B79BE6676FCA}</author>
    <author>tc={06196694-12CB-4CA4-A361-2D9A981EC57F}</author>
    <author>tc={A9CC1B6E-02E0-4465-8FCA-C2153C64DEA5}</author>
    <author>tc={DDF42CBE-C71B-4365-BBB2-40D16EB0F20B}</author>
    <author>tc={48392310-1CAC-46C6-B97A-77A9BC6367F5}</author>
    <author>tc={BBA347AD-196D-4D84-A3A6-B8CB4FF847B0}</author>
    <author>tc={42C03854-CCF8-4CEC-B916-08DE16F45154}</author>
    <author>tc={9DDFA1FE-EAD6-44D8-9BB2-347EB26AC92C}</author>
    <author>tc={734B945F-4D4D-4792-A150-E2C2BD76D5D1}</author>
    <author>tc={AEB64DEC-0E18-4B8E-B280-10A82B4714AC}</author>
    <author>tc={2D5C79FF-6DDC-4DE0-87D5-6F39E7E95FB9}</author>
    <author>tc={9751B0FD-0EC2-4CD6-A69E-153F2218F7FA}</author>
    <author>tc={693ECF5D-4AEF-438A-992A-FD4DB8BC31E4}</author>
    <author>tc={68364983-D4AF-4E4C-9489-7DD9223840DD}</author>
    <author>tc={77CE12CE-8C0C-44F7-96E3-79890062675C}</author>
    <author>tc={765759F0-F070-46A5-95E6-603BD0E800E7}</author>
    <author>tc={03C4E75E-F14E-4D8C-B496-FA0CE87ADCCB}</author>
    <author>tc={CE4E0E78-C5E2-4BB3-B58A-F936DE1224B6}</author>
    <author>tc={AF1316D6-FF20-42EB-A516-18918235B5D4}</author>
    <author>tc={58FCD074-F69D-4FFB-85D6-5600C9DA3842}</author>
    <author>tc={D8C8A399-10BF-4CCB-9344-0EE071742F6D}</author>
    <author>tc={AC542C87-AA99-4D44-BA2C-68B84A953681}</author>
    <author>tc={FF0220F4-032C-47D7-8421-F3280F5ACC6D}</author>
    <author>tc={470CB5CC-2C0F-4523-B6CB-F04F001AE6BA}</author>
    <author>tc={FD943308-DF48-410E-BD88-364BDFA39939}</author>
    <author>tc={88695CDD-061A-47E4-85E5-A1C8E0EF10A3}</author>
    <author>tc={F4C38077-CCA7-4A1C-97AC-5DDCCD87010C}</author>
    <author>tc={BAAA7D13-A27F-4569-BB29-DF63E77B37FF}</author>
    <author>tc={F42189D6-A6D8-4937-92C6-B3D4B0CD9B24}</author>
    <author>tc={B1A79269-665B-4BBF-825E-9361F2A2CCF3}</author>
    <author>tc={6C3E3676-F93A-4F8A-945E-E9610D28EC5E}</author>
    <author>tc={B9CCE666-8434-4531-95B9-3B52B5484063}</author>
    <author>tc={6BFDA12D-35AC-4463-A4A7-E39427BFF28B}</author>
    <author>tc={B10BB1BA-856C-4640-AEA0-E7BEBA603F38}</author>
    <author>tc={1EFF3C2D-797F-4E0D-AC65-658FE5608B77}</author>
    <author>tc={2F06F7C2-D49C-4444-864F-0743FBD719B9}</author>
    <author>tc={0EC405C3-30FB-4380-AA5C-8ABA8DD3A12A}</author>
    <author>tc={69C285E2-0665-4DE5-A243-AE207BF27578}</author>
    <author>tc={4B30402F-0584-4E39-9E31-ACBEC139B763}</author>
    <author>tc={FD784AF4-C21D-408F-ABA8-F04E249FB706}</author>
    <author>tc={076F887C-8447-43FB-81C9-E530C2D0F5ED}</author>
    <author>tc={C448F924-B360-46E4-95FE-0FAE2E5E700D}</author>
    <author>tc={F31219FD-C59C-45A9-915F-3011D62EC98B}</author>
    <author>tc={33929D39-41CC-4341-81F5-A602C63509B1}</author>
    <author>tc={99DAC8F2-0CB0-4D8E-8BAE-43D6F678541D}</author>
    <author>tc={1C0FE529-C2E1-44EA-9833-B4ADC8931A69}</author>
    <author>tc={8ECB3DBA-625E-4A4E-86C2-FE2E5FF9BAFD}</author>
    <author>tc={A2C99DC0-93AB-487B-A1E8-909DC64EDE13}</author>
    <author>tc={E6C5191D-0609-4CF6-B016-4D70CEBCB399}</author>
    <author>tc={0E9B034C-90CA-41DB-8A5F-4B98C4061962}</author>
    <author>tc={95FF7CE4-5E21-4841-82F0-DF8722F2FA11}</author>
    <author>tc={2FDF6743-9162-49EE-98BC-657236CF563E}</author>
    <author>tc={851C9EBC-FC21-4C50-8C40-A892CA2DC4EE}</author>
    <author>tc={2378B588-BB61-4826-8E1E-259214CF8012}</author>
    <author>tc={0FBC24B8-5DD7-41FD-A6F1-1A52BB912C7A}</author>
    <author>tc={04E6E657-037B-4037-8932-3D21687D846C}</author>
    <author>tc={3B877EA6-1D8E-4B08-85F4-53C9B9047928}</author>
    <author>tc={6FD841F7-B86F-4447-B6D6-F691E4C102BA}</author>
    <author>tc={39177BE3-EC22-4B8B-8FAA-32E8E954442D}</author>
    <author>tc={D78E9D3E-3316-44E2-8B0A-C019FBDFF43D}</author>
    <author>tc={C163EAB6-7388-4527-B3B3-7A175A0F0C20}</author>
    <author>tc={4A1547FA-E7FF-481F-96FA-EDC84DC28128}</author>
    <author>tc={3A4248FC-186D-41B0-8E7D-238155979C4D}</author>
    <author>tc={1A23FC19-35E6-4913-AA2D-D0125FA80F18}</author>
    <author>tc={F4C395AE-BDB9-4FD4-8EAE-FD5621ADEFFC}</author>
    <author>tc={4717847E-ACC7-427E-8C0A-0216EF596DE5}</author>
    <author>tc={F994D638-EF16-4E2E-B434-1708429C039D}</author>
    <author>tc={067BC60B-D3A4-4B48-A231-86B1471A888E}</author>
    <author>tc={F0299A88-871F-44F4-9A72-997013007470}</author>
    <author>tc={0EC405C3-30FB-4381-AA5C-8ABA8DD3A12A}</author>
    <author>tc={A8DF85C6-D35E-4314-ACB4-D7FE3B8B3DB3}</author>
    <author>tc={F4236643-D73E-4597-A8E0-E3CA37F93C82}</author>
    <author>tc={9F5C1D16-C0A8-473A-9A0E-3A08BB636A49}</author>
    <author>tc={076F887C-8447-43FC-81C9-E530C2D0F5ED}</author>
    <author>tc={51BEFD2E-C996-47BC-A2B1-BB31C9107BEF}</author>
    <author>tc={99DAC8F2-0CB0-4D8F-8BAE-43D6F678541D}</author>
    <author>tc={93ADCB6B-90AF-43B9-812F-98F711F3362C}</author>
    <author>tc={72FBC58C-E3B2-47A1-857B-F70BAF2A347F}</author>
    <author>tc={A2C99DC0-93AB-487C-A1E8-909DC64EDE13}</author>
    <author>tc={C76BCD65-504A-48C4-A1FE-F8252299FA82}</author>
    <author>tc={5D37B9C8-B1A1-4194-B47A-B313B060503E}</author>
    <author>tc={0ACE4564-2B57-4D0C-B55E-548BEAB13FB1}</author>
    <author>tc={97BA78E4-7965-4ED5-B082-29E7F94F28EB}</author>
    <author>tc={37ED6543-2DF2-401F-B66D-5DBD3DE2CC58}</author>
    <author>tc={9BA9E05B-E25D-4430-8E7D-CA2CEB54573F}</author>
    <author>tc={2478EB61-76E7-4225-A9EC-1D5607472CA2}</author>
    <author>tc={CFD9345E-F8A0-4158-B196-4888E4BBE095}</author>
    <author>tc={51331494-8366-4AF5-8261-C7100A1A4186}</author>
    <author>tc={9B74E6CF-6337-4DFC-B06C-28681216CAF5}</author>
    <author>tc={E6277517-88A9-405F-903D-72145A558ED9}</author>
    <author>tc={1E1E9AB3-0665-49F9-86CF-DF62D511DE65}</author>
    <author>tc={F2F7D69F-CC41-4BF3-8114-70D709B070A9}</author>
    <author>tc={B49EFD2E-65A7-498B-8066-B1F35266AF7C}</author>
    <author>tc={36438A49-4F7C-4809-A072-3D4FBBB6EDE0}</author>
    <author>tc={9625638D-71F7-40E8-A014-9A7F6D5D9E9C}</author>
    <author>tc={78B65472-079C-42F6-9811-937D6064B150}</author>
    <author>tc={1456AC7E-D0DB-484D-9FB2-E494108BDDE5}</author>
    <author>tc={AB9564E5-8FBB-4ECC-AC67-D119DF165B32}</author>
    <author>tc={3D6D40B1-C16B-4F33-93DD-6645264BA7FC}</author>
    <author>tc={67610750-8E95-49E4-A060-8D6BA05C163A}</author>
    <author>tc={8078AF68-843D-4B8D-8CA2-CF3820119E26}</author>
    <author>tc={DC355DFD-6889-4A50-80B1-3C64A625F6B5}</author>
    <author>tc={1ECA037F-5722-4527-8345-9E1C19254F42}</author>
    <author>tc={E6494CA8-6416-4B29-84E7-818CF0944CA3}</author>
    <author>tc={D1CF01EE-B62A-4B7C-9A3A-1F546E230744}</author>
    <author>tc={016E64C6-E48E-40A2-B320-F2484AA2B818}</author>
    <author>tc={211F5AB5-BDA7-45DB-A519-32EBF096EFC1}</author>
    <author>tc={CB0A274B-36AC-466C-8686-81CB439130A4}</author>
    <author>Roth, Laura - FNS</author>
    <author>tc={CDDF10AB-E94A-4503-8315-6B302360B4E3}</author>
    <author>tc={FA135861-3838-4C4C-A70C-A4C37381E794}</author>
    <author>tc={7D1A25E5-8069-449F-BADE-5B7AAC47B3A8}</author>
  </authors>
  <commentList>
    <comment ref="J8"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FNS assumes that each State agency will revise its written agreement once over the three-year period covered by the ICR.
This number is obtained through the use of a formula.</t>
      </text>
    </comment>
    <comment ref="K8"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In this ICR, this burden is 0 hours because the burden associated with this requirement will be accounted for under the SAE Funds ICR (OMB Control Number 0584-0067), Form FNS-74.</t>
      </text>
    </comment>
    <comment ref="N8" authorId="2"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In this ICR, this burden is 0 hours because the burden associated with this requirement will be accounted for under the SAE Funds ICR (OMB Control Number 0584-0067), Form FNS-74.</t>
      </text>
    </comment>
    <comment ref="G9" authorId="3" shapeId="0" xr:uid="{CEA9C768-A85C-4E65-A5C0-FB8B8E04A75D}">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9" authorId="4"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9" authorId="5" shapeId="0" xr:uid="{00000000-0006-0000-0000-000005000000}">
      <text>
        <t>[Threaded comment]
Your version of Excel allows you to read this threaded comment; however, any edits to it will get removed if the file is opened in a newer version of Excel. Learn more: https://go.microsoft.com/fwlink/?linkid=870924
Comment:
    This is the number of new institutions per State Agency.
This number is obtained through the use of a formula.</t>
      </text>
    </comment>
    <comment ref="G10" authorId="6" shapeId="0" xr:uid="{605C31BD-2579-4821-AF1F-3A82ABA7411B}">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 authorId="7" shapeId="0" xr:uid="{00000000-0006-0000-0000-00000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0" authorId="8" shapeId="0" xr:uid="{00000000-0006-0000-0000-000007000000}">
      <text>
        <t>[Threaded comment]
Your version of Excel allows you to read this threaded comment; however, any edits to it will get removed if the file is opened in a newer version of Excel. Learn more: https://go.microsoft.com/fwlink/?linkid=870924
Comment:
    This is the number of sponsoring organizations (centers and homes) per State Agency.
This number is obtained through the use of a formula.</t>
      </text>
    </comment>
    <comment ref="M13" authorId="9" shapeId="0" xr:uid="{00000000-0006-0000-0000-000008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G14" authorId="10" shapeId="0" xr:uid="{834E1017-67BA-4023-B0A7-4570C3DC981B}">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4" authorId="11" shapeId="0" xr:uid="{00000000-0006-0000-0000-000009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4" authorId="12" shapeId="0" xr:uid="{00000000-0006-0000-0000-00000A000000}">
      <text>
        <t>[Threaded comment]
Your version of Excel allows you to read this threaded comment; however, any edits to it will get removed if the file is opened in a newer version of Excel. Learn more: https://go.microsoft.com/fwlink/?linkid=870924
Comment:
    This is the number of new institutions per State Agency.
This number is obtained through the use of a formula.</t>
      </text>
    </comment>
    <comment ref="F15" authorId="13" shapeId="0" xr:uid="{D92C37BA-CEE7-4982-8AB8-83A2C0BB9D9D}">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H15" authorId="14" shapeId="0" xr:uid="{00000000-0006-0000-0000-00000B00000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
Reply:
    The prior requirements lumped the SD process for new applicants and participating institutions together. The new SD rule keeps new applicants under 226.6 while moving participating institutions to 226.25.</t>
      </text>
    </comment>
    <comment ref="K15" authorId="15" shapeId="0" xr:uid="{5BEF16A4-15DE-4875-9DD5-FE7B7D92ABA3}">
      <text>
        <t>[Threaded comment]
Your version of Excel allows you to read this threaded comment; however, any edits to it will get removed if the file is opened in a newer version of Excel. Learn more: https://go.microsoft.com/fwlink/?linkid=870924
Comment:
    Original citation had 10 annual responses per respondent. Changed to 5 responses per respondent to match the number of new applicants FNS expects from citation 226.6(b)(4).</t>
      </text>
    </comment>
    <comment ref="M15" authorId="16" shapeId="0" xr:uid="{00000000-0006-0000-0000-00000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G16" authorId="17" shapeId="0" xr:uid="{2A5995BC-BF35-48A7-B5C4-02BB7BDA8C41}">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6" authorId="18" shapeId="0" xr:uid="{00000000-0006-0000-0000-00000E000000}">
      <text>
        <t>[Threaded comment]
Your version of Excel allows you to read this threaded comment; however, any edits to it will get removed if the file is opened in a newer version of Excel. Learn more: https://go.microsoft.com/fwlink/?linkid=870924
Comment:
    FNS assumes that 7 out of the 10 institutions with seriuosly deficient notices received this type of notification.</t>
      </text>
    </comment>
    <comment ref="M16" authorId="19" shapeId="0" xr:uid="{00000000-0006-0000-0000-00000F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G17" authorId="20" shapeId="0" xr:uid="{ADCB682A-40A5-4EDE-9E85-16333D15ACF2}">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7" authorId="21" shapeId="0" xr:uid="{00000000-0006-0000-0000-000011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t>
      </text>
    </comment>
    <comment ref="M17" authorId="22" shapeId="0" xr:uid="{00000000-0006-0000-0000-000012000000}">
      <text>
        <t>[Threaded comment]
Your version of Excel allows you to read this threaded comment; however, any edits to it will get removed if the file is opened in a newer version of Excel. Learn more: https://go.microsoft.com/fwlink/?linkid=870924
Comment:
    Assumed same burden as the notice of agreement termination (if applicable) and disqualification.</t>
      </text>
    </comment>
    <comment ref="F18" authorId="23" shapeId="0" xr:uid="{593F52F8-2809-4F46-80A0-FCECE6DD544C}">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K18" authorId="24" shapeId="0" xr:uid="{00000000-0006-0000-0000-000014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10 to 3.</t>
      </text>
    </comment>
    <comment ref="M18" authorId="25" shapeId="0" xr:uid="{00000000-0006-0000-0000-000015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K19" authorId="26" shapeId="0" xr:uid="{00000000-0006-0000-0000-000016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
      </text>
    </comment>
    <comment ref="M19" authorId="27" shapeId="0" xr:uid="{00000000-0006-0000-0000-000017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F20" authorId="28" shapeId="0" xr:uid="{1188EA2D-CB4B-44DA-A4B6-DD0E82C5F9B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H20" authorId="29"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K20" authorId="30"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
      </text>
    </comment>
    <comment ref="M20" authorId="31"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J22" authorId="32" shapeId="0" xr:uid="{00000000-0006-0000-0000-00001F000000}">
      <text>
        <t>[Threaded comment]
Your version of Excel allows you to read this threaded comment; however, any edits to it will get removed if the file is opened in a newer version of Excel. Learn more: https://go.microsoft.com/fwlink/?linkid=870924
Comment:
    Most State agencies already have this procedure due to implementation of published guidance.</t>
      </text>
    </comment>
    <comment ref="J23" authorId="33" shapeId="0" xr:uid="{00000000-0006-0000-0000-000020000000}">
      <text>
        <t>[Threaded comment]
Your version of Excel allows you to read this threaded comment; however, any edits to it will get removed if the file is opened in a newer version of Excel. Learn more: https://go.microsoft.com/fwlink/?linkid=870924
Comment:
    Most State agencies already have this procedure due to implementation of published guidance.</t>
      </text>
    </comment>
    <comment ref="G24" authorId="34" shapeId="0" xr:uid="{9154E320-6F49-4644-B885-5FFD651B9EFB}">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24" authorId="35" shapeId="0" xr:uid="{00000000-0006-0000-0000-00002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25" authorId="36" shapeId="0" xr:uid="{617D2DDB-0C53-49E1-BA6D-D3CE1124F8B2}">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25" authorId="37" shapeId="0" xr:uid="{00000000-0006-0000-0000-000022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26" authorId="38" shapeId="0" xr:uid="{00000000-0006-0000-0000-000023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K27" authorId="39" shapeId="0" xr:uid="{00000000-0006-0000-0000-000024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decreased from 15 to 11.</t>
      </text>
    </comment>
    <comment ref="M27" authorId="40" shapeId="0" xr:uid="{00000000-0006-0000-0000-000025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K28" authorId="41" shapeId="0" xr:uid="{00000000-0006-0000-0000-000026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drecreased from 15 to 11.</t>
      </text>
    </comment>
    <comment ref="M28" authorId="42" shapeId="0" xr:uid="{00000000-0006-0000-0000-000027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M30" authorId="43" shapeId="0" xr:uid="{00000000-0006-0000-0000-000028000000}">
      <text>
        <t>[Threaded comment]
Your version of Excel allows you to read this threaded comment; however, any edits to it will get removed if the file is opened in a newer version of Excel. Learn more: https://go.microsoft.com/fwlink/?linkid=870924
Comment:
    Revised hourly burden from 0.25 hours to 2 hours based on public comments received in response to 60-day Federal Register Notice.</t>
      </text>
    </comment>
    <comment ref="K31" authorId="44" shapeId="0" xr:uid="{00000000-0006-0000-0000-000029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decreased from 15 to 11.</t>
      </text>
    </comment>
    <comment ref="M31" authorId="45" shapeId="0" xr:uid="{00000000-0006-0000-0000-00002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J32" authorId="46" shapeId="0" xr:uid="{00000000-0006-0000-0000-00002B000000}">
      <text>
        <t>[Threaded comment]
Your version of Excel allows you to read this threaded comment; however, any edits to it will get removed if the file is opened in a newer version of Excel. Learn more: https://go.microsoft.com/fwlink/?linkid=870924
Comment:
    CND estimates that only 15 State Agencies distribute commodities to CACFP institutions; the majority provide cash-in-lieu of commodities.</t>
      </text>
    </comment>
    <comment ref="M32" authorId="47" shapeId="0" xr:uid="{00000000-0006-0000-0000-00002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M33" authorId="48" shapeId="0" xr:uid="{00000000-0006-0000-0000-00002D000000}">
      <text>
        <t>[Threaded comment]
Your version of Excel allows you to read this threaded comment; however, any edits to it will get removed if the file is opened in a newer version of Excel. Learn more: https://go.microsoft.com/fwlink/?linkid=870924
Comment:
    Revised hourly burden from 0.25 hours to 1 hour based on public comments received in response to 60-day Federal Register Notice.</t>
      </text>
    </comment>
    <comment ref="M34" authorId="49" shapeId="0" xr:uid="{00000000-0006-0000-0000-00003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M35" authorId="50" shapeId="0" xr:uid="{00000000-0006-0000-0000-00003B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G36" authorId="51" shapeId="0" xr:uid="{BBA347AD-196D-4D84-A3A6-B8CB4FF847B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36" authorId="52" shapeId="0" xr:uid="{00000000-0006-0000-0000-00003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36" authorId="53" shapeId="0" xr:uid="{00000000-0006-0000-0000-00003D000000}">
      <text>
        <t>[Threaded comment]
Your version of Excel allows you to read this threaded comment; however, any edits to it will get removed if the file is opened in a newer version of Excel. Learn more: https://go.microsoft.com/fwlink/?linkid=870924
Comment:
    [Sponsoring organizations (centers and homes)] / [Number of State Agencies]; rounded</t>
      </text>
    </comment>
    <comment ref="J49" authorId="54" shapeId="0" xr:uid="{00000000-0006-0000-0000-000041000000}">
      <text>
        <t>[Threaded comment]
Your version of Excel allows you to read this threaded comment; however, any edits to it will get removed if the file is opened in a newer version of Excel. Learn more: https://go.microsoft.com/fwlink/?linkid=870924
Comment:
    Management Evaluations/Audits are on a 2-year cycle.</t>
      </text>
    </comment>
    <comment ref="M49" authorId="55" shapeId="0" xr:uid="{00000000-0006-0000-0000-000042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N50" authorId="56" shapeId="0" xr:uid="{2D5C79FF-6DDC-4DE0-87D5-6F39E7E95FB9}">
      <text>
        <t>[Threaded comment]
Your version of Excel allows you to read this threaded comment; however, any edits to it will get removed if the file is opened in a newer version of Excel. Learn more: https://go.microsoft.com/fwlink/?linkid=870924
Comment:
    The burden is 0 hours because the burden is already captured in the Food Programs Reporting System (FPRS) ICR, information collection with OMB Control Number 0584 0594, Form FNS-44.</t>
      </text>
    </comment>
    <comment ref="G51" authorId="57" shapeId="0" xr:uid="{9751B0FD-0EC2-4CD6-A69E-153F2218F7FA}">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51" authorId="58" shapeId="0" xr:uid="{00000000-0006-0000-0000-000044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51" authorId="59" shapeId="0" xr:uid="{00000000-0006-0000-0000-000045000000}">
      <text>
        <t>[Threaded comment]
Your version of Excel allows you to read this threaded comment; however, any edits to it will get removed if the file is opened in a newer version of Excel. Learn more: https://go.microsoft.com/fwlink/?linkid=870924
Comment:
    Annual activity</t>
      </text>
    </comment>
    <comment ref="G52" authorId="60" shapeId="0" xr:uid="{77CE12CE-8C0C-44F7-96E3-79890062675C}">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52" authorId="61" shapeId="0" xr:uid="{00000000-0006-0000-0000-00004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52" authorId="62" shapeId="0" xr:uid="{00000000-0006-0000-0000-000047000000}">
      <text>
        <t>[Threaded comment]
Your version of Excel allows you to read this threaded comment; however, any edits to it will get removed if the file is opened in a newer version of Excel. Learn more: https://go.microsoft.com/fwlink/?linkid=870924
Comment:
    [Sponsoring organizations (centers and homes)] / [Number of State Agencies]; rounded
This number is obtained through the use of a formula.</t>
      </text>
    </comment>
    <comment ref="K54" authorId="63" shapeId="0" xr:uid="{00000000-0006-0000-0000-000048000000}">
      <text>
        <t>[Threaded comment]
Your version of Excel allows you to read this threaded comment; however, any edits to it will get removed if the file is opened in a newer version of Excel. Learn more: https://go.microsoft.com/fwlink/?linkid=870924
Comment:
    Each State Agency must process claims once a month.</t>
      </text>
    </comment>
    <comment ref="M54" authorId="64" shapeId="0" xr:uid="{00000000-0006-0000-0000-000049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M56" authorId="65" shapeId="0" xr:uid="{00000000-0006-0000-0000-00004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N57" authorId="66" shapeId="0" xr:uid="{D8C8A399-10BF-4CCB-9344-0EE071742F6D}">
      <text>
        <t>[Threaded comment]
Your version of Excel allows you to read this threaded comment; however, any edits to it will get removed if the file is opened in a newer version of Excel. Learn more: https://go.microsoft.com/fwlink/?linkid=870924
Comment:
    FNS estimates that none of the 56 SAs plan to use or disclose information about children eligible for free/reduced-price meals in ways not specified in the regulations. Therefore, the total burden hours associated with this requirement is 0.</t>
      </text>
    </comment>
    <comment ref="N58" authorId="67" shapeId="0" xr:uid="{AC542C87-AA99-4D44-BA2C-68B84A953681}">
      <text>
        <t>[Threaded comment]
Your version of Excel allows you to read this threaded comment; however, any edits to it will get removed if the file is opened in a newer version of Excel. Learn more: https://go.microsoft.com/fwlink/?linkid=870924
Comment:
    FNS estimates that all 56 SAs already have entered into written agreements with the parties requesting children’s free/reduced-price eligibility information. Therefore, the total burden hours associated with this requirement is 0.</t>
      </text>
    </comment>
    <comment ref="N59" authorId="68" shapeId="0" xr:uid="{FF0220F4-032C-47D7-8421-F3280F5ACC6D}">
      <text>
        <t>[Threaded comment]
Your version of Excel allows you to read this threaded comment; however, any edits to it will get removed if the file is opened in a newer version of Excel. Learn more: https://go.microsoft.com/fwlink/?linkid=870924
Comment:
    FNS believes that all administering agencies have already established the policies and procedures governing the use, title, and disposition of equipment. Therefore, the total burden hours associated with this requirement is 0.</t>
      </text>
    </comment>
    <comment ref="F61" authorId="69" shapeId="0" xr:uid="{470CB5CC-2C0F-4523-B6CB-F04F001AE6BA}">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K61" authorId="70" shapeId="0" xr:uid="{FD943308-DF48-410E-BD88-364BDFA39939}">
      <text>
        <t>[Threaded comment]
Your version of Excel allows you to read this threaded comment; however, any edits to it will get removed if the file is opened in a newer version of Excel. Learn more: https://go.microsoft.com/fwlink/?linkid=870924
Comment:
    Number of responses adjusted from 10 to 5 by removing the 5 responses that would have been associated with serious management problems from new applicants.</t>
      </text>
    </comment>
    <comment ref="S61" authorId="71" shapeId="0" xr:uid="{88695CDD-061A-47E4-85E5-A1C8E0EF10A3}">
      <text>
        <t>[Threaded comment]
Your version of Excel allows you to read this threaded comment; however, any edits to it will get removed if the file is opened in a newer version of Excel. Learn more: https://go.microsoft.com/fwlink/?linkid=870924
Comment:
    Relocated 226.25 citations add back the burden taken from the original 226.6 burden items in rows 15-18 that now serve as the SD process for new applicants.</t>
      </text>
    </comment>
    <comment ref="G62" authorId="72" shapeId="0" xr:uid="{F4C38077-CCA7-4A1C-97AC-5DDCCD87010C}">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63" authorId="73" shapeId="0" xr:uid="{BAAA7D13-A27F-4569-BB29-DF63E77B37FF}">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64" authorId="74" shapeId="0" xr:uid="{F42189D6-A6D8-4937-92C6-B3D4B0CD9B24}">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K65" authorId="75" shapeId="0" xr:uid="{B1A79269-665B-4BBF-825E-9361F2A2CCF3}">
      <text>
        <t>[Threaded comment]
Your version of Excel allows you to read this threaded comment; however, any edits to it will get removed if the file is opened in a newer version of Excel. Learn more: https://go.microsoft.com/fwlink/?linkid=870924
Comment:
    Number is the Sum of Institutions, Day Care Homes, and Unaffiliated Centers Divided by the Number of SAs operating CACFP &amp; Multiplied by the 5 Steps of the Serious Deficiency Process.</t>
      </text>
    </comment>
    <comment ref="G73" authorId="76" shapeId="0" xr:uid="{6C3E3676-F93A-4F8A-945E-E9610D28EC5E}">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85" authorId="77" shapeId="0" xr:uid="{B9CCE666-8434-4531-95B9-3B52B5484063}">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85" authorId="78" shapeId="0" xr:uid="{00000000-0006-0000-0000-00004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87" authorId="79" shapeId="0" xr:uid="{00000000-0006-0000-0000-00004D000000}">
      <text>
        <t>[Threaded comment]
Your version of Excel allows you to read this threaded comment; however, any edits to it will get removed if the file is opened in a newer version of Excel. Learn more: https://go.microsoft.com/fwlink/?linkid=870924
Comment:
    Even though this is an annual requirement, institutions submit information on a monthly basis.</t>
      </text>
    </comment>
    <comment ref="J88" authorId="80" shapeId="0" xr:uid="{00000000-0006-0000-0000-00004E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G89" authorId="81" shapeId="0" xr:uid="{2F06F7C2-D49C-4444-864F-0743FBD719B9}">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89" authorId="82" shapeId="0" xr:uid="{00000000-0006-0000-0000-00004F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89" authorId="83" shapeId="0" xr:uid="{00000000-0006-0000-0000-000050000000}">
      <text>
        <t>[Threaded comment]
Your version of Excel allows you to read this threaded comment; however, any edits to it will get removed if the file is opened in a newer version of Excel. Learn more: https://go.microsoft.com/fwlink/?linkid=870924
Comment:
    Assumed to be an annual requirement.</t>
      </text>
    </comment>
    <comment ref="G91" authorId="84" shapeId="0" xr:uid="{4B30402F-0584-4E39-9E31-ACBEC139B763}">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91" authorId="85" shapeId="0" xr:uid="{00000000-0006-0000-0000-00005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92" authorId="86" shapeId="0" xr:uid="{00000000-0006-0000-0000-000052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electronic transmission.</t>
      </text>
    </comment>
    <comment ref="G93" authorId="87" shapeId="0" xr:uid="{C448F924-B360-46E4-95FE-0FAE2E5E700D}">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93" authorId="88" shapeId="0" xr:uid="{00000000-0006-0000-0000-00005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94" authorId="89" shapeId="0" xr:uid="{00000000-0006-0000-0000-000054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M96" authorId="90" shapeId="0" xr:uid="{00000000-0006-0000-0000-000055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use of advanced technology/automation.</t>
      </text>
    </comment>
    <comment ref="G97" authorId="91" shapeId="0" xr:uid="{1C0FE529-C2E1-44EA-9833-B4ADC8931A69}">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97" authorId="92" shapeId="0" xr:uid="{00000000-0006-0000-0000-00005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97" authorId="93" shapeId="0" xr:uid="{00000000-0006-0000-0000-000057000000}">
      <text>
        <t>[Threaded comment]
Your version of Excel allows you to read this threaded comment; however, any edits to it will get removed if the file is opened in a newer version of Excel. Learn more: https://go.microsoft.com/fwlink/?linkid=870924
Comment:
    Based on estimates for other requirements in the currently approved ICR. 
Burden assumption takes into account use of advanced technology.</t>
      </text>
    </comment>
    <comment ref="G98" authorId="94" shapeId="0" xr:uid="{E6C5191D-0609-4CF6-B016-4D70CEBCB399}">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98" authorId="95" shapeId="0" xr:uid="{00000000-0006-0000-0000-000058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98" authorId="96" shapeId="0" xr:uid="{00000000-0006-0000-0000-000059000000}">
      <text>
        <t>[Threaded comment]
Your version of Excel allows you to read this threaded comment; however, any edits to it will get removed if the file is opened in a newer version of Excel. Learn more: https://go.microsoft.com/fwlink/?linkid=870924
Comment:
    Assumes that institutions spend 3 hours a month reviewing materials. Thus, in a year, institutions spend 36 hours reviewing FNS materials.</t>
      </text>
    </comment>
    <comment ref="G99" authorId="97" shapeId="0" xr:uid="{2FDF6743-9162-49EE-98BC-657236CF563E}">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99" authorId="98" shapeId="0" xr:uid="{00000000-0006-0000-0000-00005A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00" authorId="99" shapeId="0" xr:uid="{2378B588-BB61-4826-8E1E-259214CF8012}">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0" authorId="100" shapeId="0" xr:uid="{00000000-0006-0000-0000-00005B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01" authorId="101" shapeId="0" xr:uid="{04E6E657-037B-4037-8932-3D21687D846C}">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1" authorId="102" shapeId="0" xr:uid="{00000000-0006-0000-0000-00005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02" authorId="103" shapeId="0" xr:uid="{6FD841F7-B86F-4447-B6D6-F691E4C102BA}">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2" authorId="104" shapeId="0" xr:uid="{00000000-0006-0000-0000-00006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02" authorId="105" shapeId="0" xr:uid="{00000000-0006-0000-0000-000061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
Imminent threat to health or safety does not occur often. FNS assumes that ¼ (25%) of Sponsoring organizations of day care homes may need to take action due to health or safety violations at day care homes.</t>
      </text>
    </comment>
    <comment ref="G103" authorId="106" shapeId="0" xr:uid="{C163EAB6-7388-4527-B3B3-7A175A0F0C2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3" authorId="107" shapeId="0" xr:uid="{00000000-0006-0000-0000-000062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04" authorId="108" shapeId="0" xr:uid="{3A4248FC-186D-41B0-8E7D-238155979C4D}">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4" authorId="109" shapeId="0" xr:uid="{00000000-0006-0000-0000-00006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16" authorId="110" shapeId="0" xr:uid="{F4C395AE-BDB9-4FD4-8EAE-FD5621ADEFFC}">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22" authorId="111" shapeId="0" xr:uid="{4717847E-ACC7-427E-8C0A-0216EF596DE5}">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22" authorId="112" shapeId="0" xr:uid="{00000000-0006-0000-0000-000064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24" authorId="113" shapeId="0" xr:uid="{00000000-0006-0000-0000-000065000000}">
      <text>
        <t>[Threaded comment]
Your version of Excel allows you to read this threaded comment; however, any edits to it will get removed if the file is opened in a newer version of Excel. Learn more: https://go.microsoft.com/fwlink/?linkid=870924
Comment:
    Even though this is an annual requirement, institutions submit information on a monthly basis.</t>
      </text>
    </comment>
    <comment ref="G126" authorId="114" shapeId="0" xr:uid="{F0299A88-871F-44F4-9A72-99701300747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26" authorId="115" shapeId="0" xr:uid="{00000000-0006-0000-0000-00006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26" authorId="116" shapeId="0" xr:uid="{00000000-0006-0000-0000-000067000000}">
      <text>
        <t>[Threaded comment]
Your version of Excel allows you to read this threaded comment; however, any edits to it will get removed if the file is opened in a newer version of Excel. Learn more: https://go.microsoft.com/fwlink/?linkid=870924
Comment:
    Assumed to be an annual requirement</t>
      </text>
    </comment>
    <comment ref="G128" authorId="117" shapeId="0" xr:uid="{F4236643-D73E-4597-A8E0-E3CA37F93C82}">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28" authorId="118" shapeId="0" xr:uid="{00000000-0006-0000-0000-000068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129" authorId="119" shapeId="0" xr:uid="{00000000-0006-0000-0000-000069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electronic transmission.</t>
      </text>
    </comment>
    <comment ref="G130" authorId="120" shapeId="0" xr:uid="{51BEFD2E-C996-47BC-A2B1-BB31C9107BEF}">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133" authorId="121" shapeId="0" xr:uid="{00000000-0006-0000-0000-00006B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use of advanced technology/automation.</t>
      </text>
    </comment>
    <comment ref="G134" authorId="122" shapeId="0" xr:uid="{93ADCB6B-90AF-43B9-812F-98F711F3362C}">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34" authorId="123" shapeId="0" xr:uid="{00000000-0006-0000-0000-00006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134" authorId="124" shapeId="0" xr:uid="{00000000-0006-0000-0000-00006D000000}">
      <text>
        <t>[Threaded comment]
Your version of Excel allows you to read this threaded comment; however, any edits to it will get removed if the file is opened in a newer version of Excel. Learn more: https://go.microsoft.com/fwlink/?linkid=870924
Comment:
    Based on estimates for other requirements in the currently approved ICR. 
Burden assumption takes into account use of advanced technology.</t>
      </text>
    </comment>
    <comment ref="G135" authorId="125" shapeId="0" xr:uid="{C76BCD65-504A-48C4-A1FE-F8252299FA82}">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35" authorId="126" shapeId="0" xr:uid="{00000000-0006-0000-0000-00006E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135" authorId="127" shapeId="0" xr:uid="{00000000-0006-0000-0000-00006F000000}">
      <text>
        <t>[Threaded comment]
Your version of Excel allows you to read this threaded comment; however, any edits to it will get removed if the file is opened in a newer version of Excel. Learn more: https://go.microsoft.com/fwlink/?linkid=870924
Comment:
    Assumes that institutions spend 3 hours a month reviewing materials. Thus, in a year, institutions spend 36 hours reviewing FNS materials.</t>
      </text>
    </comment>
    <comment ref="G136" authorId="128" shapeId="0" xr:uid="{97BA78E4-7965-4ED5-B082-29E7F94F28EB}">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36" authorId="129" shapeId="0" xr:uid="{00000000-0006-0000-0000-00007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37" authorId="130" shapeId="0" xr:uid="{9BA9E05B-E25D-4430-8E7D-CA2CEB54573F}">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37" authorId="131" shapeId="0" xr:uid="{00000000-0006-0000-0000-00007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38" authorId="132" shapeId="0" xr:uid="{CFD9345E-F8A0-4158-B196-4888E4BBE095}">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38" authorId="133" shapeId="0" xr:uid="{00000000-0006-0000-0000-000072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39" authorId="134" shapeId="0" xr:uid="{9B74E6CF-6337-4DFC-B06C-28681216CAF5}">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39" authorId="135" shapeId="0" xr:uid="{00000000-0006-0000-0000-00007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39" authorId="136" shapeId="0" xr:uid="{00000000-0006-0000-0000-000077000000}">
      <text>
        <t>[Threaded comment]
Your version of Excel allows you to read this threaded comment; however, any edits to it will get removed if the file is opened in a newer version of Excel. Learn more: https://go.microsoft.com/fwlink/?linkid=870924
Comment:
    Imminent threat to health or safety does not occur often. FNS assumes that ¼ (25%) of Sponsoring organizations of day care homes may need to take action due to health or safety violations at day care homes.</t>
      </text>
    </comment>
    <comment ref="G142" authorId="137" shapeId="0" xr:uid="{F2F7D69F-CC41-4BF3-8114-70D709B070A9}">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42" authorId="138" shapeId="0" xr:uid="{00000000-0006-0000-0000-000078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45" authorId="139" shapeId="0" xr:uid="{36438A49-4F7C-4809-A072-3D4FBBB6EDE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45" authorId="140" shapeId="0" xr:uid="{00000000-0006-0000-0000-000079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61" authorId="141" shapeId="0" xr:uid="{78B65472-079C-42F6-9811-937D6064B150}">
      <text>
        <t>[Threaded comment]
Your version of Excel allows you to read this threaded comment; however, any edits to it will get removed if the file is opened in a newer version of Excel. Learn more: https://go.microsoft.com/fwlink/?linkid=870924
Comment:
    Sum is the Est. Total # of Sponsoring Institutions + Est. Total # of Unaffiliated Centers + Est. Total # of Independent Child Care Centers.</t>
      </text>
    </comment>
    <comment ref="F163" authorId="142" shapeId="0" xr:uid="{1456AC7E-D0DB-484D-9FB2-E494108BDDE5}">
      <text>
        <t>[Threaded comment]
Your version of Excel allows you to read this threaded comment; however, any edits to it will get removed if the file is opened in a newer version of Excel. Learn more: https://go.microsoft.com/fwlink/?linkid=870924
Comment:
    226.17(b)(9) was not included in the list of requirements because it is a recordkeeping requirement.</t>
      </text>
    </comment>
    <comment ref="H163" authorId="143" shapeId="0" xr:uid="{00000000-0006-0000-0000-00007A000000}">
      <text>
        <t>[Threaded comment]
Your version of Excel allows you to read this threaded comment; however, any edits to it will get removed if the file is opened in a newer version of Excel. Learn more: https://go.microsoft.com/fwlink/?linkid=870924
Comment:
    226.17(b)(9) was not included in the list of requirements because it is a recordkeeping requirement.</t>
      </text>
    </comment>
    <comment ref="J163" authorId="144" shapeId="0" xr:uid="{00000000-0006-0000-0000-00007B000000}">
      <text>
        <t>[Threaded comment]
Your version of Excel allows you to read this threaded comment; however, any edits to it will get removed if the file is opened in a newer version of Excel. Learn more: https://go.microsoft.com/fwlink/?linkid=870924
Comment:
    Calculation:  [National Database, “Outlets All Child Care Centers” data field] + [National Database, “Outlets Adult Care Centers” data field].</t>
      </text>
    </comment>
    <comment ref="M163" authorId="145" shapeId="0" xr:uid="{00000000-0006-0000-0000-00007C000000}">
      <text>
        <t>[Threaded comment]
Your version of Excel allows you to read this threaded comment; however, any edits to it will get removed if the file is opened in a newer version of Excel. Learn more: https://go.microsoft.com/fwlink/?linkid=870924
Comment:
    Estimate used in previously approved ICR. 
Burden assumption takes into account use of advanced technology/automation.</t>
      </text>
    </comment>
    <comment ref="J164" authorId="146" shapeId="0" xr:uid="{00000000-0006-0000-0000-00007D000000}">
      <text>
        <t>[Threaded comment]
Your version of Excel allows you to read this threaded comment; however, any edits to it will get removed if the file is opened in a newer version of Excel. Learn more: https://go.microsoft.com/fwlink/?linkid=870924
Comment:
    National Database, “Calc: CACFP Total Number of Homes” data field.</t>
      </text>
    </comment>
    <comment ref="G165" authorId="147" shapeId="0" xr:uid="{DC355DFD-6889-4A50-80B1-3C64A625F6B5}">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65" authorId="148" shapeId="0" xr:uid="{00000000-0006-0000-0000-00007E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70" authorId="149" shapeId="0" xr:uid="{E6494CA8-6416-4B29-84E7-818CF0944CA3}">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70" authorId="150" shapeId="0" xr:uid="{00000000-0006-0000-0000-00007F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G171" authorId="151" shapeId="0" xr:uid="{016E64C6-E48E-40A2-B320-F2484AA2B818}">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71" authorId="152" shapeId="0" xr:uid="{00000000-0006-0000-0000-00008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77" authorId="153" shapeId="0" xr:uid="{00000000-0006-0000-0000-000081000000}">
      <text>
        <t>[Threaded comment]
Your version of Excel allows you to read this threaded comment; however, any edits to it will get removed if the file is opened in a newer version of Excel. Learn more: https://go.microsoft.com/fwlink/?linkid=870924
Comment:
    Calculation: [National Database, “Calc: CACFP Total Avg. Daily Attendance” data field] * 0.70</t>
      </text>
    </comment>
    <comment ref="K177" authorId="154" shapeId="0" xr:uid="{00000000-0006-0000-0000-000082000000}">
      <text>
        <r>
          <rPr>
            <b/>
            <sz val="9"/>
            <color indexed="81"/>
            <rFont val="Tahoma"/>
            <family val="2"/>
          </rPr>
          <t>Roth, Laura - FNS:</t>
        </r>
        <r>
          <rPr>
            <sz val="9"/>
            <color indexed="81"/>
            <rFont val="Tahoma"/>
            <family val="2"/>
          </rPr>
          <t xml:space="preserve">
From previously approved ICR dated 092819: This estimate is 1.59 because parents have to fill out/sign a form for EACH child, same as with the enrollment forms. The number of parents was calculated from the # of children, and this was adjusted up by the same amount.</t>
        </r>
      </text>
    </comment>
    <comment ref="G178" authorId="155" shapeId="0" xr:uid="{CDDF10AB-E94A-4503-8315-6B302360B4E3}">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78" authorId="156" shapeId="0" xr:uid="{00000000-0006-0000-0000-00008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78" authorId="154" shapeId="0" xr:uid="{00000000-0006-0000-0000-000084000000}">
      <text>
        <r>
          <rPr>
            <b/>
            <sz val="9"/>
            <color indexed="81"/>
            <rFont val="Tahoma"/>
            <family val="2"/>
          </rPr>
          <t>Roth, Laura - FNS:</t>
        </r>
        <r>
          <rPr>
            <sz val="9"/>
            <color indexed="81"/>
            <rFont val="Tahoma"/>
            <family val="2"/>
          </rPr>
          <t xml:space="preserve">
This estimate is 1.59 because parents have to fill out/sign a form for EACH child, same as with the enrollment forms. From the previously approved ICR dated 092816, The number of parents was calculated from the # of children, and this was adjusted up by the same amount.</t>
        </r>
      </text>
    </comment>
    <comment ref="J179" authorId="157" shapeId="0" xr:uid="{00000000-0006-0000-0000-000085000000}">
      <text>
        <t>[Threaded comment]
Your version of Excel allows you to read this threaded comment; however, any edits to it will get removed if the file is opened in a newer version of Excel. Learn more: https://go.microsoft.com/fwlink/?linkid=870924
Comment:
    Calculation: [National Database, “Calc: CACFP Total Avg. Daily Attendance” data field] * [% near poor participants (ages 0 to 17) with food allergies]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tc={3DC85FF4-3D9F-436F-861B-CA8D518A114F}</author>
    <author>tc={994786C4-BE22-411F-910B-F2DAF69DD35C}</author>
    <author>tc={AAD57113-FA12-41D7-95C4-F3445EEA7F2B}</author>
    <author>tc={51F59D29-C1CE-4069-9C89-4712901E9ACF}</author>
    <author>tc={3048B1D7-8259-4758-85A2-F13EDF18E9A8}</author>
    <author>tc={00C2C7CD-7E50-4088-8D66-05A82EC94FE8}</author>
    <author>tc={31E2EEE8-F936-472F-B3E9-59FF6A8A1D35}</author>
    <author>tc={E6D16EE3-75A3-479B-A533-C0A5822CD100}</author>
    <author>tc={AB53B450-085C-408A-B0DC-BCF770712B91}</author>
    <author>tc={72AF157E-2B4B-4320-88DE-749A6C36E92F}</author>
    <author>tc={8E8D60CC-07C4-4045-BF92-0B400D841C75}</author>
    <author>tc={5CC42833-AAA8-42BA-B858-576B424C0549}</author>
    <author>tc={79D3D5BC-4BD4-4D18-BD7D-1FB31A616001}</author>
    <author>tc={AB53B450-085C-408B-B0DC-BCF770712B91}</author>
    <author>tc={8E8D60CC-07C4-4046-BF92-0B400D841C75}</author>
    <author>tc={F0B4A813-2C68-4824-A269-6C67389DE672}</author>
    <author>tc={136B6A19-B6CE-432E-91DE-2B26F2C1F999}</author>
  </authors>
  <commentList>
    <comment ref="G8" authorId="0" shapeId="0" xr:uid="{3DC85FF4-3D9F-436F-861B-CA8D518A114F}">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8" authorId="1"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9" authorId="2"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G10" authorId="3" shapeId="0" xr:uid="{51F59D29-C1CE-4069-9C89-4712901E9ACF}">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 authorId="4" shapeId="0" xr:uid="{00000000-0006-0000-0100-00000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F15" authorId="5" shapeId="0" xr:uid="{00C2C7CD-7E50-4088-8D66-05A82EC94FE8}">
      <text>
        <t>[Threaded comment]
Your version of Excel allows you to read this threaded comment; however, any edits to it will get removed if the file is opened in a newer version of Excel. Learn more: https://go.microsoft.com/fwlink/?linkid=870924
Comment:
    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
      </text>
    </comment>
    <comment ref="H15" authorId="6" shapeId="0" xr:uid="{00000000-0006-0000-0100-000004000000}">
      <text>
        <t>[Threaded comment]
Your version of Excel allows you to read this threaded comment; however, any edits to it will get removed if the file is opened in a newer version of Excel. Learn more: https://go.microsoft.com/fwlink/?linkid=870924
Comment:
    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
      </text>
    </comment>
    <comment ref="J16" authorId="7" shapeId="0" xr:uid="{00000000-0006-0000-0100-000005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K16" authorId="8" shapeId="0" xr:uid="{00000000-0006-0000-0100-000006000000}">
      <text>
        <t>[Threaded comment]
Your version of Excel allows you to read this threaded comment; however, any edits to it will get removed if the file is opened in a newer version of Excel. Learn more: https://go.microsoft.com/fwlink/?linkid=870924
Comment:
    This is the number of Tier I providers per sponsoring organization.</t>
      </text>
    </comment>
    <comment ref="J17" authorId="9" shapeId="0" xr:uid="{00000000-0006-0000-0100-000007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K17" authorId="10" shapeId="0" xr:uid="{00000000-0006-0000-0100-000008000000}">
      <text>
        <t>[Threaded comment]
Your version of Excel allows you to read this threaded comment; however, any edits to it will get removed if the file is opened in a newer version of Excel. Learn more: https://go.microsoft.com/fwlink/?linkid=870924
Comment:
    This is 1/3 of the number of Tier I providers per sponsoring organization.
This number is obtained through the use of a formula.</t>
      </text>
    </comment>
    <comment ref="F22" authorId="11" shapeId="0" xr:uid="{5CC42833-AAA8-42BA-B858-576B424C0549}">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H22" authorId="12" shapeId="0" xr:uid="{00000000-0006-0000-0100-00000900000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K23" authorId="13" shapeId="0" xr:uid="{00000000-0006-0000-0100-00000A000000}">
      <text>
        <t>[Threaded comment]
Your version of Excel allows you to read this threaded comment; however, any edits to it will get removed if the file is opened in a newer version of Excel. Learn more: https://go.microsoft.com/fwlink/?linkid=870924
Comment:
    This is the number of Tier I providers per sponsoring organization.</t>
      </text>
    </comment>
    <comment ref="K24" authorId="14" shapeId="0" xr:uid="{00000000-0006-0000-0100-00000B000000}">
      <text>
        <t>[Threaded comment]
Your version of Excel allows you to read this threaded comment; however, any edits to it will get removed if the file is opened in a newer version of Excel. Learn more: https://go.microsoft.com/fwlink/?linkid=870924
Comment:
    This is 1/3 of the number of Tier I providers per sponsoring organization.
This number is obtained through the use of a formula.</t>
      </text>
    </comment>
    <comment ref="F28" authorId="15" shapeId="0" xr:uid="{F0B4A813-2C68-4824-A269-6C67389DE672}">
      <text>
        <t>[Threaded comment]
Your version of Excel allows you to read this threaded comment; however, any edits to it will get removed if the file is opened in a newer version of Excel. Learn more: https://go.microsoft.com/fwlink/?linkid=870924
Comment:
    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
      </text>
    </comment>
    <comment ref="H28" authorId="16" shapeId="0" xr:uid="{00000000-0006-0000-0100-00000C000000}">
      <text>
        <t>[Threaded comment]
Your version of Excel allows you to read this threaded comment; however, any edits to it will get removed if the file is opened in a newer version of Excel. Learn more: https://go.microsoft.com/fwlink/?linkid=870924
Comment:
    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tc={3A44D2E7-4655-4A1C-B1F5-FA7B1744A6D8}</author>
    <author>tc={2D20FDD5-A7F2-4DEC-84C1-5B692E54FF3B}</author>
    <author>tc={32919CF0-1B6F-45E0-B31C-6405044854BC}</author>
    <author>tc={F55BF6F2-60C8-4FBE-8EAB-98BCBE5E8E45}</author>
    <author>tc={F8FF9605-C4DF-43CB-BF16-ABCB352C27C1}</author>
    <author>tc={DF8E64A2-DBB4-4C86-BADF-55324B06F8D0}</author>
    <author>tc={2D20FDD5-A7F2-4DED-84C1-5B692E54FF3B}</author>
    <author>tc={41343DFF-750E-409E-88BE-B359579B4855}</author>
    <author>tc={F55BF6F2-60C8-4FBF-8EAB-98BCBE5E8E45}</author>
    <author>tc={F8FF9605-C4DF-43CC-BF16-ABCB352C27C1}</author>
    <author>tc={9E9FE761-972B-4712-8125-8DCFBC3C88DE}</author>
    <author>tc={708D940B-6957-4678-A5C5-59E916F50E4C}</author>
    <author>tc={D0F8695C-CC6A-4135-A0AA-74F3DC7D2F97}</author>
    <author>tc={F55BF6F2-60C8-4FC0-8EAB-98BCBE5E8E45}</author>
    <author>tc={F8FF9605-C4DF-43CD-BF16-ABCB352C27C1}</author>
  </authors>
  <commentList>
    <comment ref="G10" authorId="0" shapeId="0" xr:uid="{3A44D2E7-4655-4A1C-B1F5-FA7B1744A6D8}">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 authorId="1"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0" authorId="2"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It is assumed that 50% of State agencies do this media release.</t>
      </text>
    </comment>
    <comment ref="K10" authorId="3"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This is an annual requirement.</t>
      </text>
    </comment>
    <comment ref="M10" authorId="4"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G12" authorId="5" shapeId="0" xr:uid="{DF8E64A2-DBB4-4C86-BADF-55324B06F8D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2" authorId="6" shapeId="0" xr:uid="{00000000-0006-0000-0200-000005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2" authorId="7" shapeId="0" xr:uid="{00000000-0006-0000-0200-000006000000}">
      <text>
        <t>[Threaded comment]
Your version of Excel allows you to read this threaded comment; however, any edits to it will get removed if the file is opened in a newer version of Excel. Learn more: https://go.microsoft.com/fwlink/?linkid=870924
Comment:
    It is assumed that 50% of local government agencies do this media release.</t>
      </text>
    </comment>
    <comment ref="K12" authorId="8" shapeId="0" xr:uid="{00000000-0006-0000-0200-000007000000}">
      <text>
        <t>[Threaded comment]
Your version of Excel allows you to read this threaded comment; however, any edits to it will get removed if the file is opened in a newer version of Excel. Learn more: https://go.microsoft.com/fwlink/?linkid=870924
Comment:
    This is an annual requirement.</t>
      </text>
    </comment>
    <comment ref="M12" authorId="9" shapeId="0" xr:uid="{00000000-0006-0000-0200-000008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G16" authorId="10" shapeId="0" xr:uid="{9E9FE761-972B-4712-8125-8DCFBC3C88DE}">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6" authorId="11" shapeId="0" xr:uid="{708D940B-6957-4678-A5C5-59E916F50E4C}">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6" authorId="12" shapeId="0" xr:uid="{00000000-0006-0000-0200-00000A000000}">
      <text>
        <t>[Threaded comment]
Your version of Excel allows you to read this threaded comment; however, any edits to it will get removed if the file is opened in a newer version of Excel. Learn more: https://go.microsoft.com/fwlink/?linkid=870924
Comment:
    It is assumed that 50% of institutions do this media release.</t>
      </text>
    </comment>
    <comment ref="K16" authorId="13" shapeId="0" xr:uid="{00000000-0006-0000-0200-00000B000000}">
      <text>
        <t>[Threaded comment]
Your version of Excel allows you to read this threaded comment; however, any edits to it will get removed if the file is opened in a newer version of Excel. Learn more: https://go.microsoft.com/fwlink/?linkid=870924
Comment:
    This is an annual requirement.</t>
      </text>
    </comment>
    <comment ref="M16" authorId="14" shapeId="0" xr:uid="{00000000-0006-0000-0200-00000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tc={ABCACEF9-C39D-457C-8BFA-8CB3FD3665A4}</author>
    <author>tc={8FE09178-4B70-4E53-90CD-81EC81D7F574}</author>
    <author>tc={2BF8C597-BC23-44C0-AC67-B714E03A49D6}</author>
  </authors>
  <commentList>
    <comment ref="C12"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This estimate is the total number of respondents. If there are respondents that conduct both reporting and recordkeeping activities, the respondent is counted once.</t>
      </text>
    </comment>
    <comment ref="D12"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This estimate is obtained using the following calculation: [Total Annual Responses] / [Estimated Number of Respondents]. The values used in the calculation are the values in the "TOTAL BURDEN FOR #054-0055" row.</t>
      </text>
    </comment>
    <comment ref="F12" authorId="2" shapeId="0" xr:uid="{00000000-0006-0000-0300-000003000000}">
      <text>
        <t>[Threaded comment]
Your version of Excel allows you to read this threaded comment; however, any edits to it will get removed if the file is opened in a newer version of Excel. Learn more: https://go.microsoft.com/fwlink/?linkid=870924
Comment:
    This estimate is obtained using the following calculation: [Estimated Total Hours] / [Total Annual Responses]. The values used in the calculation are the values in the "TOTAL BURDEN FOR #054-0055" row.</t>
      </text>
    </comment>
  </commentList>
</comments>
</file>

<file path=xl/sharedStrings.xml><?xml version="1.0" encoding="utf-8"?>
<sst xmlns="http://schemas.openxmlformats.org/spreadsheetml/2006/main" count="1442" uniqueCount="550">
  <si>
    <t>Legend</t>
  </si>
  <si>
    <t>Not included in previously approved ICR</t>
  </si>
  <si>
    <t>NOTE:  Unless otherwise noted in comments, burden assumptions are the same assumptions used in the previously approved ICR dated 092816.
              Comments also provide clarification or additional information on burden assumptions even if the assumptions are the same assumptions used in the previously approved ICR.</t>
  </si>
  <si>
    <t>Previously Approved ICR</t>
  </si>
  <si>
    <t>Review of Regulations</t>
  </si>
  <si>
    <t>Comparison with Current OMB Inventory</t>
  </si>
  <si>
    <t>Item in Burden Narrative</t>
  </si>
  <si>
    <t>Requirement in Previously Approved ICR</t>
  </si>
  <si>
    <t>Section of Regulation/Form</t>
  </si>
  <si>
    <t>Title</t>
  </si>
  <si>
    <t>Estimated Number of Respondents</t>
  </si>
  <si>
    <t>Responses Per Respondent</t>
  </si>
  <si>
    <t>Total Annual Responses</t>
  </si>
  <si>
    <t>Estimated Average Number of Hours Per Response</t>
  </si>
  <si>
    <t>Estimated Total Burden Hours</t>
  </si>
  <si>
    <t>Previously Approved Burden Hours</t>
  </si>
  <si>
    <t>Change in Burden Hours Due to an Adjustment</t>
  </si>
  <si>
    <t>Change in Burden Hours Due to Program Change</t>
  </si>
  <si>
    <t>Total Difference in Burden Hours</t>
  </si>
  <si>
    <t>Notes</t>
  </si>
  <si>
    <t>A</t>
  </si>
  <si>
    <t>B</t>
  </si>
  <si>
    <t>C</t>
  </si>
  <si>
    <t>D</t>
  </si>
  <si>
    <t>E = C x D</t>
  </si>
  <si>
    <t>F</t>
  </si>
  <si>
    <t>G = E x F</t>
  </si>
  <si>
    <t>H</t>
  </si>
  <si>
    <t>I = G - H</t>
  </si>
  <si>
    <t>J</t>
  </si>
  <si>
    <t>K</t>
  </si>
  <si>
    <t>STATE/LOCAL/TRIBAL GOVERNMENT LEVEL</t>
  </si>
  <si>
    <t>State Agencies</t>
  </si>
  <si>
    <t>Yes</t>
  </si>
  <si>
    <t>226.3(c)</t>
  </si>
  <si>
    <t>SAs that have been approved to administer the Program must enter into written agreement with FNS for the administration of the Program in the State (Federal/State agreement).</t>
  </si>
  <si>
    <t>In this ICR, this burden is 0 hours because the burden for completing the FNS-74 form will be captured under the upcoming renewal of the SAE Funds ICR, OMB #0584-0067.</t>
  </si>
  <si>
    <t>226.6(b)(1)</t>
  </si>
  <si>
    <t>SAs must review applications submitted by new institutions.</t>
  </si>
  <si>
    <t>Burden of the State agency to review the application of new institutions.</t>
  </si>
  <si>
    <t>226.6(b)(2)</t>
  </si>
  <si>
    <t xml:space="preserve">SAs must review updated documentation submitted by renewing institutions.  </t>
  </si>
  <si>
    <t xml:space="preserve">Burden of the State agency to review updated documentation from renewing institutions. </t>
  </si>
  <si>
    <t>No</t>
  </si>
  <si>
    <t>226.6(b)(2)(iii)(D)(2)</t>
  </si>
  <si>
    <t>SAs must develop a process to share information on any institution, facility, or RPIs not approved to administer or participate in the programs as described under paragraph (b)(2)(iii)(A)(1) of this section. The SA must work closely with any other Child Nutrition Program SA within the State to ensure information is shared for program purposes and on a timely basis. The process must be approved by FNS.</t>
  </si>
  <si>
    <t>226.6(b)(2)(iii)(L)</t>
  </si>
  <si>
    <t>SA must ensure that the MSSOs operations, as described in paragraph (b)(1)(xviii), are up-to-date. If the MSSO has facilities not previously reported to the SA, as described in paragraph (b)(1)(xviii), the MSSO must update the information.</t>
  </si>
  <si>
    <t>226.6(b)(3)</t>
  </si>
  <si>
    <t>SAs must notify an institution of approval or disapproval of its application within 30 calendar days of receipt of a complete application. The agreement shall contain an assurance that the State agency will comply with policy, instructions, guidance, and handbooks issued by FNS.</t>
  </si>
  <si>
    <t>226.6(b)(4)</t>
  </si>
  <si>
    <t>SAs must enter into written agreement with an institution that has been approved for participation in the Program (State/Institution agreement).</t>
  </si>
  <si>
    <t>226.6(c)(1)(iii)(A)
226.6(c)(2)(iii)(A)
226.6(c)(3)(iii)(A)
226.6(c)(6)(ii)(A)</t>
  </si>
  <si>
    <t>SAs must notify an institution’s executive director and chairman of the board of directors that the institution has been determined to be seriously deficient. At the same time the notice is issued, the SAs must add the institution to the SA list, along with the basis for the serious deficiency determination, and provide a copy of the notice to the appropriate FNS Regional Office (FNSRO).</t>
  </si>
  <si>
    <t>The prior requirements lumped the SD process for new applicants and participating institutions together. The new SD rule keeps new applicants under 226.6 while moving participating institutions to 226.25.</t>
  </si>
  <si>
    <t>226.6(c)(1)(iii)(B)
226.6(c)(2)(iii)(B)
226.6(c)(3)(iii)(B)
226.6(c)(6)(ii)(C)</t>
  </si>
  <si>
    <t>SAs must submit a copy of successful corrective action (temporary deferment or serious deficiency determination) notices to FNSRO for new, renewing, and participating institutions.</t>
  </si>
  <si>
    <t>226.6(c)(1)(iii)(C)
226.6(c)(2)(iii)(C)
226.6(c)(3)(iii)(C)
226.6(c)(6)(ii)(D)</t>
  </si>
  <si>
    <t>SAs must submit a copy of application denial and proposed disqualification notice to FNSRO.</t>
  </si>
  <si>
    <t>226.6(c)(1)(iii)(E)
226.6(c)(2)(iii)(D)
226.6(c)(3)(iii)(E)
226.6(c)(5)(i)(C)</t>
  </si>
  <si>
    <t>SAs must submit copies of disqualification notices to the FNSRO for new, renewing, and participating institutions.</t>
  </si>
  <si>
    <t>226.6(c)(3)(i)</t>
  </si>
  <si>
    <t xml:space="preserve">If a SA holds an agreement with an institution operating in more than one State that has been disqualified from the Program by another SA and has been placed on the National Disqualified List, the SA must terminate the institution’s agreement effective no later than 45 days from the date of the institution’s disqualification by the other SA. </t>
  </si>
  <si>
    <t>226.6(c)(1)(iii)(E)
226.6(c)(2)(iii)(D)
226.6(c)(3)(i)
226.6(c)(3)(iii)(E)
226.6(c)(5)(i)(C)
226.6(c)(6)(ii)(E)</t>
  </si>
  <si>
    <t>SAs must submit copies of disqualification notices and supportive documentation to the FNSRO.</t>
  </si>
  <si>
    <t>226.6(c)(8)(C)(ii)</t>
  </si>
  <si>
    <t>SA must provide the appropriate FNSRO the name, mailing address, and date of birth of each day care home provider whose agreement is terminated for cause, within 10 days of receiving a notice of termination and disqualification from a sponsoring organization.</t>
  </si>
  <si>
    <t>226.6(d)(1)
226.6(e)</t>
  </si>
  <si>
    <t>SAs must establish licensing/compliance review procedures for child care centers, at-risk afterschool care centers, day care homes, outside-school hours care centers, and adult day centers. Because SAs currently administer the Program in accordance with licensing/compliance review procedures, now the burden associated with this requirement is to revise/update the established procedures, as necessary.</t>
  </si>
  <si>
    <t xml:space="preserve">226.6(d)(3) </t>
  </si>
  <si>
    <t>SAs must establish alternate procedures for review of institutions for which licensing or approval is not available.</t>
  </si>
  <si>
    <t>2226.6(e)(1)(ix)(A)</t>
  </si>
  <si>
    <t>SAs must coordinate with the NSLP State agency to ensure the receipt of a list of schools in the State in which at least one-half of the children enrolled are certified eligible to receive free or reduced-price meals.</t>
  </si>
  <si>
    <t>226.6(f)(1)(i)</t>
  </si>
  <si>
    <t xml:space="preserve">SAs must annually inform institutions that are pricing programs of their responsibility to ensure that free and reduced-price meals are served to participants unable to pay the full price. </t>
  </si>
  <si>
    <t>226.6(f)(1)(ii)</t>
  </si>
  <si>
    <t>SAs must annually provide all institutions a copy of the income standards to be used by institutions for determining the eligibility of participants for free and reduced-price meals under the Program. These standards are provided in Appendix E5. Child Nutrition Programs Income Eligibility Guidelines.</t>
  </si>
  <si>
    <t>226.6(f)(1)(viii)(A)</t>
  </si>
  <si>
    <t>SAs must provide day care home sponsoring organizations a list of elementary schools in which at least one-half of the children enrolled receive free/reduced-price meals on an annual basis.</t>
  </si>
  <si>
    <t>226.6(f)(1)(viii)(D)</t>
  </si>
  <si>
    <t>SAs must provide day care home sponsors a listing of State-funded programs, participation in which a parent or child will qualify for a meal served to a child in a tier II home for the tier I rate of reimbursement on an annual basis.</t>
  </si>
  <si>
    <t>226.6(f)(1)(viii)(E)</t>
  </si>
  <si>
    <t>SAs must submit to the SNAP SA a list of family day care home providers receiving Tier I benefits on an annual basis.</t>
  </si>
  <si>
    <t>226.6(f)(1)(ix)(A)</t>
  </si>
  <si>
    <t>SAs must provide at-risk-afterschool care centers and sponsoring organizations the list of schools in which one-half of children enrolled are eligible for free/reduced-price meals on an annual basis.</t>
  </si>
  <si>
    <t>226.6(f)(3)(iii)</t>
  </si>
  <si>
    <t>SAs must provide census data to day care home sponsoring organizations.</t>
  </si>
  <si>
    <t>226.6(h)</t>
  </si>
  <si>
    <t>SAs must submit, to the State commodity distribution agency, a list of institutions receiving commodities, by June 1 of each year.</t>
  </si>
  <si>
    <t>226.6(i)</t>
  </si>
  <si>
    <t>SAs must develop a standard contract in accordance with section 226.21 for use between institutions and food service management companies. The contract must stipulate the requirements under 226.6(i), as well as adherence to procurement provisions.</t>
  </si>
  <si>
    <t>226.6(l)</t>
  </si>
  <si>
    <t xml:space="preserve">The SA must establish/revise administrative review (appeal) procedures for day care home providers AND notify the appropriate FNSRO of any change to the procedures or the selected option for offering an administrative review (appeal) to day care home providers. </t>
  </si>
  <si>
    <t>226.6(m)(5)</t>
  </si>
  <si>
    <t>SAs must submit to FNSROs, no later than April 1, 2005, the policies and procedures they have developed governing household contacts. Because SAs have already submitted these policies and procedures, now the burden associated with this requirement is to revise/update the established procedures, as necessary.</t>
  </si>
  <si>
    <t>226.6(m)(6)</t>
  </si>
  <si>
    <t>SAs must annually review at least 33.3 percent of all institutions. As part of its conduct of reviews, the SA must assess each institution's compliance with the requirements of 7 CFR 226 pertaining to: recordkeeping; meal counts; administrative costs; FNS instructions and handbooks; facility licensing and approval (if sponsoring organization); participant enrollment and eligibility; Civil Rights requirements; meal service; training and monitoring of facilities (if sponsoring organization); serious deficiency and termination procedures (if sponsoring organization); classification of Tier I and Tier II day care homes (if sponsoring organization); agreements; procurement standards, policies and actions; and all other Program requirements.</t>
  </si>
  <si>
    <t>226.6(p)</t>
  </si>
  <si>
    <t>SAs must develop/revise and provide sponsoring organization agreement between sponsor and facilities.</t>
  </si>
  <si>
    <t>226.6(n)(1)</t>
  </si>
  <si>
    <t>Citation moved to 226.6(n)(1). No change in burden.</t>
  </si>
  <si>
    <t>SAs must determine if a sponsoring organization is an MSSO, as described in paragraphs (b)(1)(xv) and (b)(2)(iii)(L). SAs must assume the role of the CSA, if the MSSOs center of operations is located within the State. Each SA that approves an MSSO must follow the requirements described in paragraph (i).</t>
  </si>
  <si>
    <t>SAs must enter into a permanent written agreement with the MSSO, as described in paragraph (b)(4).</t>
  </si>
  <si>
    <t>SAs must approve the MSSOs administrative budget.</t>
  </si>
  <si>
    <t>SAs must provide summaries of the MSSO reviews that are conducted to the CSA. If the SA chooses to conduct a full review, the SA should request the necessary records from the CSA.</t>
  </si>
  <si>
    <t>SAs must notify all other State agencies that have agreements with the MSSO of termination and disqualification actions, as described in paragraph (c)(2)(i).</t>
  </si>
  <si>
    <t>If it determines that an MSSOs center of operations is located within the State, the SA must assume the role of the CSA.</t>
  </si>
  <si>
    <t>If an MSSO has for-profit status, the cognizant agency must establish audit thresholds and requirements.</t>
  </si>
  <si>
    <t xml:space="preserve">226.6(r) </t>
  </si>
  <si>
    <t xml:space="preserve">SAs must provide information on the importance and benefits of the Special Supplemental Nutrition Program for Women, Infants, and Children (WIC) and WIC income eligibility guidelines to participating institutions. </t>
  </si>
  <si>
    <t>Citation moved to 226.6(p). No change in burden.</t>
  </si>
  <si>
    <t xml:space="preserve">226.7(c) </t>
  </si>
  <si>
    <t xml:space="preserve">Each SA must submit to the FNSRO a written plan for correcting serious deficiencies noted in Management Evaluations/Audits. </t>
  </si>
  <si>
    <t>226.7(d) 
(Form FNS-44)</t>
  </si>
  <si>
    <t xml:space="preserve">SAs must submit CACFP Report to FNS 30 and 90 days following the month being reported. </t>
  </si>
  <si>
    <t>The burden is 0 hours because the burden is already captured in the Food Programs Reporting System (FPRS) ICR, information collection with OMB Control Number 0584 0594, Form FNS-44.</t>
  </si>
  <si>
    <t xml:space="preserve">226.7(e) </t>
  </si>
  <si>
    <t>SAs must submit an annual plan for the use of State administrative expense funds.</t>
  </si>
  <si>
    <t xml:space="preserve">226.7(g) </t>
  </si>
  <si>
    <t xml:space="preserve">SAs must review institutions’ budgets on an annual basis. </t>
  </si>
  <si>
    <t>226.7(h)
226.7(i) 
226.7(j)</t>
  </si>
  <si>
    <t>SAs must establish procedures for start-ups, advances, and recovery of over-payments. Annually, SAs revise/edit these policies, as necessary.</t>
  </si>
  <si>
    <t>226.7(k)</t>
  </si>
  <si>
    <t xml:space="preserve">Each SA must process claims for reimbursement to institutions on a monthly basis. </t>
  </si>
  <si>
    <t>226.9(a)</t>
  </si>
  <si>
    <t xml:space="preserve">Each SA must annually assign rates of reimbursement to institutions on the basis of family-size and income information, and national average payment rates.
</t>
  </si>
  <si>
    <t>226.10(e)</t>
  </si>
  <si>
    <t>SAs must make adjustments to a final Claim for Reimbursement postmarked and/or submitted to the SA no later than 60 days following the last day of the full month covered by the claim.</t>
  </si>
  <si>
    <t>226.23(l)</t>
  </si>
  <si>
    <t>SAs must obtain written consent from children’s parents or guardians prior to the use or disclosure of information, if the SA plans to use or disclose information about children eligible for free/reduced-price meals in ways not specified in the regulations.</t>
  </si>
  <si>
    <t>226.23(m)(1)
226.23(m)(2)</t>
  </si>
  <si>
    <t>SAs should enter into a written agreement with the party requesting children’s free/reduced-price eligibility information.</t>
  </si>
  <si>
    <t>Follow the policies and procedures governing title, use, and disposition of equipment obtained by purchase, whose cost was acquired in whole or part with food service equipment assistance funds.</t>
  </si>
  <si>
    <t>226.25(a)(2)(i) and 226.25(a)(3)</t>
  </si>
  <si>
    <t>SAs must identify serious management problems and define a set of standands to help measure the severity of a problem to determine what rises to the level of a serious management problem and how it affects the institution or facility's ability to meet Program requirements.</t>
  </si>
  <si>
    <t>226.25(a)(2)(ii), 226.25(a)(5), and 226.25(a)(6)(i)</t>
  </si>
  <si>
    <t>226.25(a)(2)(ii), 226.25(a)(5), and 226.25(a)(6)(ii)(A)</t>
  </si>
  <si>
    <t>226.25(a)(2)(ii), 226.25(a)(5), and 226.25(a)(6)(ii)(B)</t>
  </si>
  <si>
    <t xml:space="preserve">226.25(a)(2)(ii), 226.25(a)(5), and 226.25(a)(6)(iii)(A)-(B)                           </t>
  </si>
  <si>
    <t>If appeal is upheld, SAs must notify the institution and facility that confirms the serious management problem is vacated and advise the institution and facility that procedures and policies must be implemented to fully correct the serious management problem.If the fair hearing is denied, SAs must notify the institution's executive director and chairman of the board of directors, and RPIs, that the agreement is terminated and declare the institution or facility seriously deficient. SAs must issue a serious deficiency notice that informs the institution, facility, and RPIs of their disqualification from Program participation. At the same time, the SA must update the SA list and provide a copy of the notice to the appropriate FNSRO.</t>
  </si>
  <si>
    <t>226.25(b)</t>
  </si>
  <si>
    <t>226.25(c)(2)(iv)(C)</t>
  </si>
  <si>
    <t>SAs must receive and approve the corrective action plan within 90 days from the date the institution received the notice and monitor the full implementation of the corrective action plan.</t>
  </si>
  <si>
    <t>226.25(c)(3)(i) and 226.6(k)(2)</t>
  </si>
  <si>
    <t>226.6(c)(6)(ii)(G)</t>
  </si>
  <si>
    <t>SAs must terminate an institution's agreement no later than 45 days after the date of the institution’s disqualification if FNS determines that institution to be seriously deficient and subsequently disqualifies the institution. At the same time the notice of termination is issued, the SA must add the institution to the State agency list and provide a copy of the notice to the appropriate FNSRO.</t>
  </si>
  <si>
    <t>226.25(d)(1)</t>
  </si>
  <si>
    <t>SAs must terminate for cause the Program agreement upon declaration of the institution or facility to be seriously deficient.</t>
  </si>
  <si>
    <t>226.25(d)(2)</t>
  </si>
  <si>
    <t>If all serious management problems have been corrected and all debts have been repaid, SAs may elect to remove an institution and RPIs from the National Disqualified List, and must submit all requests for early removals to the appropriate FNSRO.</t>
  </si>
  <si>
    <t>226.25(e)(3)(ii)</t>
  </si>
  <si>
    <t>SAs must enter into written agreements with FNS, consistent with 5 U.S.C. 552a(o) of the CMA, in order to participate in a matching program involving a FNS Federal system of records.</t>
  </si>
  <si>
    <t>226.6(c)(5)(i)(A)-(B)
226.6(c)(5)(ii)(A)-(B)
226.6(c)(5)(ii)(B)
226.6(c)(5)(ii)(D)
226.6(c)(6)(ii)(B)</t>
  </si>
  <si>
    <t>SAs must submit copies of proposed suspension of participation notices to the FNSRO.</t>
  </si>
  <si>
    <t>226.25(f)(1)(i)(A) &amp;                 226.25(f)(2)(i)(A)</t>
  </si>
  <si>
    <t>Pre-existing requirement moved to 226.25. No change in burden.</t>
  </si>
  <si>
    <t>226.6(k)(4)(i)</t>
  </si>
  <si>
    <t>Annually submit admin review (appeal) procedures to all institutions</t>
  </si>
  <si>
    <t>226.25(g)</t>
  </si>
  <si>
    <t>SAs must annually submit administrative review (appeal) procedures to all institutions.</t>
  </si>
  <si>
    <t>226.6(k)(4)(ii)</t>
  </si>
  <si>
    <t>Submit admin review procedures when applicable action taken</t>
  </si>
  <si>
    <t>Each SA must submit administrative review (appeal) procedures when applicable action is taken.</t>
  </si>
  <si>
    <t>226.6(k)(5)(i)</t>
  </si>
  <si>
    <t>Notify the institution's executive director and chairman of the board of directors, and the responsible principals and responsible individuals, of the action being taken or proposed, the basis for the action, and the procedures under which the institution and the responsible principals or responsible individuals may request an administrative review (appeal) of the action.</t>
  </si>
  <si>
    <t>SAs must notify the institution's executive director and chairman of the board of directors, and the responsible principals and responsible individuals, of the action being taken or proposed, the basis for the action, and the procedures under which the institution and the responsible principals or responsible individuals may request an administrative review (appeal) of the action.</t>
  </si>
  <si>
    <t>226.6(k)(5)(v)</t>
  </si>
  <si>
    <t xml:space="preserve">The Administrative Review Official must review documentation submitted to refute the findings contained in the notice of action. </t>
  </si>
  <si>
    <t>226.25(g)(1)(iv)(E)</t>
  </si>
  <si>
    <t>SAs must submit written documentation to the hearing offical prior to the beginning of the hearing, within 30 days after receiving the notice of action.</t>
  </si>
  <si>
    <t>226.6(k)(5)(ii)</t>
  </si>
  <si>
    <t xml:space="preserve">Acknowledge the receipt of the request for an administrative review (appeal) within 10 days of its receipt of the request. </t>
  </si>
  <si>
    <t>226.25(g)(2)</t>
  </si>
  <si>
    <t>If a hearing is requested, the sponsor, the responsible principals, and responsible individuals must be provided with at least 5 days advance notice of the time and place of the hearing.</t>
  </si>
  <si>
    <t>226.6(k)(5)(vi)</t>
  </si>
  <si>
    <t xml:space="preserve">The Administrative Review Official must hold a hearing if requested in the written request for an administrative review (appeal). </t>
  </si>
  <si>
    <t>Hearing official must hold hearing to determine that the SA followed Program requirements in taking action under appeal.</t>
  </si>
  <si>
    <t>226.6(k)(5)(ix)
226.6(k)(9)</t>
  </si>
  <si>
    <t xml:space="preserve">Inform the SA, the institution's executive director, and chairman of the board of directors, and the responsible principals and responsible individuals, of the administrative review's outcome within 60 days of the State agency's receipt of the request for an administrative review. </t>
  </si>
  <si>
    <t>226.25(g)(5)(i)-(ii)</t>
  </si>
  <si>
    <t>Hearing official must inform the SA, sponsor, responsible principals, and responsible individuals of the decision within 60 days of the date the SA received the appeal request</t>
  </si>
  <si>
    <t>226.14 (a)</t>
  </si>
  <si>
    <t>Notify institution of disallowed claim and demand repayment</t>
  </si>
  <si>
    <t>Subtotal</t>
  </si>
  <si>
    <t>Local Government Agencies</t>
  </si>
  <si>
    <t>An institution that has been approved for participation in the Program must enter into written agreement with the SA (State/Institution agreement).</t>
  </si>
  <si>
    <t>226.6(d)
226.6(e)
226.6(f)(1)(vi)</t>
  </si>
  <si>
    <t>Sponsors and institutions must submit documentation to SAs to demonstrate that facilities are in compliance with licensing/approval criteria.</t>
  </si>
  <si>
    <t>226.6(f)(1)(iii)</t>
  </si>
  <si>
    <t>Centers must submit current eligibility information on enrolled participants, in order to calculate a blended rate or claiming percentage in accordance with section 226.9(b).</t>
  </si>
  <si>
    <t>Sponsoring organizations of day care homes must submit annually to the State agency a list of family daycare home providers receiving Tier I benefits based on SNAP participation.</t>
  </si>
  <si>
    <t>226.6(f)(2)(i)</t>
  </si>
  <si>
    <t>Each participating institution must re-apply to continue its participation at intervals that cannot exceed 36 months.</t>
  </si>
  <si>
    <t>226.6(n)</t>
  </si>
  <si>
    <t>Sponsoring organizations must participate and provide necessary documentation requested as part of investigations.</t>
  </si>
  <si>
    <t>226.7(g)</t>
  </si>
  <si>
    <t xml:space="preserve">Sponsoring organizations must submit an administrative budget to the State agency annually, and independent centers must submit budgets as frequently as required by the State agency. </t>
  </si>
  <si>
    <r>
      <t>226.10</t>
    </r>
    <r>
      <rPr>
        <sz val="11"/>
        <color theme="1"/>
        <rFont val="Calibri"/>
        <family val="2"/>
        <scheme val="minor"/>
      </rPr>
      <t xml:space="preserve">
226.13(b)
226.15(i)</t>
    </r>
  </si>
  <si>
    <t>Sponsors/institutions must report the number of meals claimed for reimbursement to the SA.</t>
  </si>
  <si>
    <t>226.10(c)</t>
  </si>
  <si>
    <t xml:space="preserve">Sponsoring organizations must submit documentation to verify for profit center eligibility. 
</t>
  </si>
  <si>
    <t>226.13(d)(3)(i)-(iii)</t>
  </si>
  <si>
    <t>Sponsoring organizations of family day care homes must establish and provide reimbursement rates for Tier 2 providers with income-eligible children.</t>
  </si>
  <si>
    <t>226.15(b)</t>
  </si>
  <si>
    <t>New and participating institutions must submit to the SA, with its application, all information required for its approval. The application must demonstrate that the institution has the administrative and financial capability to operate the Program in accordance with the Program regulations.</t>
  </si>
  <si>
    <t>Participating institutions must submit documentation required for renewal to the SA.</t>
  </si>
  <si>
    <t>226.15(g)</t>
  </si>
  <si>
    <t>Sponsoring organizations of at-risk afterschool care centers must provide information that permits SA to determine eligibility of at-risk afterschool care centers.</t>
  </si>
  <si>
    <t>226.15(n)</t>
  </si>
  <si>
    <t>Each institution must comply with all regulations issued by FNS and the Department, all instructions and handbooks issued by FNS and the Department to clarify or explain existing regulations, and all regulations, instructions and handbooks issued by the SA that are consistent with the provisions established in Program regulations.</t>
  </si>
  <si>
    <t xml:space="preserve"> Handbooks are provided as a reference in Appendix E and include: Appendix E1. 2017 Edition of the Eligibility Manual for School Meals; Appendix E2. At-Risk Handbook; Appendix E3. CACFP Adult Day Care Handbook; Appendix E4. CACFP Duration of Income Eligibility Determinations; Appendix E6. Independent Child Care Centers Handbook; Appendix E8. Crediting Handbook for the CACFP; Appendix E9. Guidance for Management Plans and Budgets – A CACFP Handbook; Appendix E10. Monitoring Handbook for State Agencies – A CACFP Handbook; Appendix E11. Serious Deficiency, Suspension, &amp; Appeals for State Agencies &amp; Sponsoring Organizations – A CACFP Handbook; Appendix E12. Family Day Care Homes Monitor Handbook; and Appendix E13. Collection of Race and Ethnicity Data by Visual Observation and Identification in the CACFP and Summer Food Service Program – Policy Rescission.</t>
  </si>
  <si>
    <t>226.15(o)</t>
  </si>
  <si>
    <t xml:space="preserve">Institutions must ensure that parents of enrolled children are provided with current information on the benefits and importance of the Special Supplemental Nutrition Program for Women, Infants, and Children (WIC) and the eligibility requirements for WIC participation. (Each institution other than outside-school-hours care centers, at-risk afterschool care centers, emergency shelters, and adult day care centers.) </t>
  </si>
  <si>
    <t>226.16(b)</t>
  </si>
  <si>
    <t>Each sponsoring organization must submit to the SA, with its application, all information required for its approval, and the approval of the facilities under its jurisdiction. The application must demonstrate that the institution has the administrative and financial capability to operate the Program in accordance with the Program regulations.</t>
  </si>
  <si>
    <t>226.16(d)(4)(vi)</t>
  </si>
  <si>
    <t>Sponsoring organizations must provide each center with written notification of the right of the sponsoring organizations, the SA, the Department, and other State and Federal officials to make announced or unannounced reviews of its operations during the center's normal hours of operation, and must also notify sponsored centers that anyone making such reviews must show photo identification that demonstrates that they are employees of one of these entities.</t>
  </si>
  <si>
    <t>226.16(l)(4)</t>
  </si>
  <si>
    <t xml:space="preserve">Sponsoring organizations must conduct the following activities if State or local health or licensing officials have cited a day care home for serious health or safety violations: (1) immediately suspend the home's CACFP participation prior to any formal action to revoke the home's licensure or approval; (2) notify the day care home that its participation has been suspended, that the day care home has been determined seriously deficient, and that the sponsoring organization proposes to terminate the day care home's agreement for cause; (3) provide a copy of the notice to the State agency.   </t>
  </si>
  <si>
    <t xml:space="preserve">226.17a(e) </t>
  </si>
  <si>
    <t>Sponsoring organizations must make written application to the SA for any afterschool care program that it wants to operate as an at-risk afterschool care center.</t>
  </si>
  <si>
    <t>226.17a(h)</t>
  </si>
  <si>
    <t>Independent at-risk afterschool care centers or sponsors of at-risk afterschool care centers must advise the SA of any substantive changes to the afterschool care program. Sponsoring organizations that want to add new at-risk afterschool care centers must provide the SA with the information sufficient to demonstrate that the new centers meet the requirements of this section.</t>
  </si>
  <si>
    <t>Free/reduced-price meal requirements applicable to independent centers and sponsoring organizations.</t>
  </si>
  <si>
    <t>The respondents for this section should only include: 1) independent child care centers, 2) sponsors of centers affiliated and unaffiliated, and 3) Sponsors of tier II day care homes. 226.23: The State agency must not enter into a Program agreement with a new institution until the institution has submitted, and the State agency has approved, a written policy statement concerning free and reduced-price meals to be used in all child and adult day care facilities under its jurisdiction.</t>
  </si>
  <si>
    <t>Child care institutions that plan to use or disclose information about children eligible for free/reduced-price meals in ways not specified in the regulations must obtain written consent from children’s parents or guardians prior to the use or disclosure.</t>
  </si>
  <si>
    <t>226.23(m)</t>
  </si>
  <si>
    <t>A child care institution should have a written agreement or Memorandum of Understanding (MOU) with programs or individuals receiving eligibility information, prior to disclosing children’s free and reduced-price meal eligibility information.</t>
  </si>
  <si>
    <t>Sponsoring organizations must identify serious management problems and define a set of standands to help measure the severity of a problem to determine what rises to the level of a serious management problem and how it affects the institution or facility's ability to meet Program requirements.</t>
  </si>
  <si>
    <t>226.16(l)(3)(i)</t>
  </si>
  <si>
    <t xml:space="preserve">Sponsoring organizations must notify the day care home that it has been found to be seriously deficient. </t>
  </si>
  <si>
    <t>226.25(a)(2)(ii), 226.25(a)(5), and 226.25(a)(7)(i)</t>
  </si>
  <si>
    <t>Citation moved from 226.16 to 226.25 due to SD rule. Underlying assumptions did not change resulting in no change in burden.</t>
  </si>
  <si>
    <t>226.25(a)(2)(ii), 226.25(a)(5), and 226.25(a)(7)(ii)(A)</t>
  </si>
  <si>
    <t xml:space="preserve">If corrective action has been taken to fully correct each serious management problem, sponsoring organizations must notify an institution's executive director and chairman of the board of directors, and RPIs, that the serious management problem has been vacated. </t>
  </si>
  <si>
    <t>226.25(a)(2)(ii), 226.25(a)(5), and 226.25(a)(7)(ii)(B)</t>
  </si>
  <si>
    <t>226.25(a)(2)(ii), 226.25(a)(5), and 226.25(a)(7)(iii)(A)-(B)</t>
  </si>
  <si>
    <t>226.25(c)(1)</t>
  </si>
  <si>
    <t>226.25(c)(3)(ii)</t>
  </si>
  <si>
    <t>Sponsoring organizations must terminate for cause the Program agreement upon declaration of the institution or facility to be seriously deficient.</t>
  </si>
  <si>
    <t>226.16(d)(4)(viii)</t>
  </si>
  <si>
    <t>226.25(f)(1)(ii)(A) &amp; 226.25(f)(2)(ii)(A)</t>
  </si>
  <si>
    <t>STATE/LOCAL/TRIBAL GOVERNMENT LEVEL TOTAL</t>
  </si>
  <si>
    <t>BUSINESS LEVEL</t>
  </si>
  <si>
    <t>Institutions</t>
  </si>
  <si>
    <t>SA must enter into written agreement with an institution that has been approved for participation in the Program (State/Institution agreement).</t>
  </si>
  <si>
    <t>Sponsoring organizations and institutions must submit documentation to SAs in order to demonstrate that facilities are in compliance with licensing/approval criteria.</t>
  </si>
  <si>
    <t xml:space="preserve">Sponsoring organizations of day care homes must submit annually a list of family day care home providers receiving tier I benefits based on SNAP participation. </t>
  </si>
  <si>
    <t>Sponsoring organizations must submit an administrative budget to the SA annually, and independent centers must submit budgets as frequently as required by the SA.</t>
  </si>
  <si>
    <t>Sponsoring organizations and institutions must report to the SA the number of meals claimed for reimbursement.</t>
  </si>
  <si>
    <t xml:space="preserve">Sponsoring organizations must submit documentation to verify for profit center eligibility. </t>
  </si>
  <si>
    <t>Sponsoring organizations of family day care homes must establish reimbursement rates for Tier 2 providers with income-eligible children.</t>
  </si>
  <si>
    <t xml:space="preserve">Participating institutions must submit documentation required for renewal to the SA. </t>
  </si>
  <si>
    <t>Sponsoring organizations of centers must provide each center with written notification of the right of the sponsoring organization, the State agency, the Department, and other State and Federal officials to make announced or unannounced reviews of its operations during the center's normal hours of operation, and must also notify sponsored centers that anyone making such reviews must show photo identification that demonstrates that they are employees of one of these entities.</t>
  </si>
  <si>
    <t>Sponsoring organizations must conduct the following activities if State or local health or licensing officials have cited a day care home for serious health or safety violations: (1) immediately suspend the home's CACFP participation prior to any formal action to revoke the home's licensure or approval; (2) notify the day care home that its participation has been suspended, that the day care home has been determined seriously deficient, and that the sponsoring organization proposes to terminate the day care home's agreement for cause; (3) provide a copy of the notice to the State agency.</t>
  </si>
  <si>
    <t>226.17(e)</t>
  </si>
  <si>
    <t>Unaffiliated sponsored child care centers must enter into a written permanent agreement with the sponsoring organization. The agreement must specify the rights and responsibilities of both parties. At a minimum, the agreement must include the provisions set forth in paragraph (b) of this section. The sponsoring organization may terminate this agreement for cause as described in 226.25(a).</t>
  </si>
  <si>
    <t>226.17(f)</t>
  </si>
  <si>
    <t>Independent child care centers must enter into a written permanent agreement with the State agency. The agreement must specify the rights and responsibilities of both parties as required by 226.6(b)(4). At a minimum, the agreement must include the provisions set forth in paragraph (b) of this section. The SA may terminate this agreement for cause as described in 226.25(a).</t>
  </si>
  <si>
    <t>Sponsoring organizations must make a written application to the SA for any afterschool care program that it wants to operate as an at-risk afterschool care center.</t>
  </si>
  <si>
    <t>226.17a(f)(2)(i)</t>
  </si>
  <si>
    <t>Unaffiliated sponsored afterschool care centers must enter into a written permanent agreement with the sponsoring organization. The agreement must specify the rights and responsibilities of both parties. At a minimum, the agreement must include the applicable provisions set forth in this section. The sponsoring organization may terminate this agreement for cause as described in 226.25(a).</t>
  </si>
  <si>
    <t>226.17a(f)(2)(ii)</t>
  </si>
  <si>
    <t>Independent afterschool child care centers must enter into a written permanent agreement with the SA. The agreement must specify the rights and responsibilities of both parties as required by 226.6(b)(4). At a minimum, the agreement must include the applicable provisions set forth in this section. The SA may terminate this agreement for cause as described in 226.25(a).</t>
  </si>
  <si>
    <t>Independent at-risk afterschool care centers or sponsoring organizations of at-risk afterschool care centers must advise the SA of any substantive changes to the afterschool care program. Sponsoring organizations that want to add new at-risk afterschool care centers must provide the SA with the information sufficient to demonstrate that the new centers meet the requirements of this section.</t>
  </si>
  <si>
    <t>226.19(d)</t>
  </si>
  <si>
    <t>Unaffiliated sponsored outside-school-hours care centers must enter into a written permanent agreement with the sponsoring organization. The agreement must specify the rights and responsibilities of both parties. At a minimum, the agreement must include the provisions set forth in paragraph (b) of this section. The sponsoring organization may terminate this agreement for cause as described in 226.25(a).</t>
  </si>
  <si>
    <t>226.19a(d)</t>
  </si>
  <si>
    <t>Unaffiliated sponsored adult day care centers must enter into a written permanent agreement with the sponsoring organization. The agreement must specify the rights and responsibilities of both parties. At a minimum, the agreement must address the provisions set forth in paragraph (b) of this section. The sponsoring organization may terminate this agreement for cause as described in 226.25(a).</t>
  </si>
  <si>
    <t xml:space="preserve">If corrective action has been taken to fully correct each serious management problem, sponsoring organizations must notify the day care home or unaffiliated center that the serious management problem has been vacated. </t>
  </si>
  <si>
    <t>If corrective action has not fully corrected each serious management problem, sponsoring organizations must notify the day care home or unaffiliated center that the sponsoring organizations proposes to terminate the institution's agreement and disqualify the institution and RPIs.  SA must notify the institution of the procedures for seeking a fair hearing in accordance with paragraph XX of the proposed termination and proposed disqualifications.</t>
  </si>
  <si>
    <t>226.25(a)(2)(ii), 226.25(a)(5), and 226.25(a)(7)(iii)(A)</t>
  </si>
  <si>
    <t>226.25(a)(2)(ii), 226.25(a)(5), and 226.25(a)(7)(iii)(B)</t>
  </si>
  <si>
    <t>If the fair hearing is denied, sponsoring organizations must notify the day care home or unaffiliated center that the agreement is terminated and declare the institution or facility seriously deficient. Sponsoring organizations must issue a serious deficiency notice that informs the institution, facility, and RPIs of their disqualification from Program participation.</t>
  </si>
  <si>
    <t>Sponsoring organizations that discover in a facility conduct or conditions that pose an imminent threat to the health or safety of participating children or the public must immediately notify the appropriate State or local licensing or health authorities and take action that is consistent with the recommendations and requirements of those authorities.</t>
  </si>
  <si>
    <t>Facilities</t>
  </si>
  <si>
    <t>226.11(b)(2)
226.17a(p)</t>
  </si>
  <si>
    <t>Centers must report each month to the SA the total number of Program meals.</t>
  </si>
  <si>
    <t>226.13(d)(1)
226.13(d)(2)
226.13(d)(3)
226.18(e )</t>
  </si>
  <si>
    <t>Day care home providers must submit daily meal counts to sponsors monthly.</t>
  </si>
  <si>
    <t>226.17(d)</t>
  </si>
  <si>
    <t>A sponsored center must distribute to parents a copy of the sponsoring organization's notice to parents, if so instructed by its sponsoring organization.</t>
  </si>
  <si>
    <t>Unaffiliated sponsored afterschool child care centers must enter into a written permanent agreement with the sponsoring organization. The agreement must specify the rights and responsibilities of both parties. At a minimum, the agreement must include the applicable provisions set forth in this section. The sponsoring organization may terminate this agreement for cause as described in 226.25(a).</t>
  </si>
  <si>
    <t>226.18(a)(5)</t>
  </si>
  <si>
    <t>A day care home must promptly inform the sponsoring organization about any change in the number of children enrolled for care or in its licensing or approval status.</t>
  </si>
  <si>
    <t>226.18(a)(14)</t>
  </si>
  <si>
    <t>A day care home must notify their sponsoring organization in advance whenever they are planning to be out of their home during the meal service period.</t>
  </si>
  <si>
    <t>BUSINESS LEVEL TOTAL</t>
  </si>
  <si>
    <t>HOUSEHOLD LEVEL</t>
  </si>
  <si>
    <t>226.15(e)(2)
226.17(b)(8)
226.18(e)</t>
  </si>
  <si>
    <t xml:space="preserve">Households must annually update enrollment documentation, signed by a parent or legal guardian, and include information on enrolled children’s normal days and hours of care and the meals normally received while in care. </t>
  </si>
  <si>
    <t xml:space="preserve">Enrollment forms and free and reduced price documentation are different. This number does not include at-risk and emergency shelters. Those centers don't need enrollment forms. 
</t>
  </si>
  <si>
    <t>226.23(e)(1)</t>
  </si>
  <si>
    <t xml:space="preserve">Households of participants enrolled in institutions, day care home providers  who wish to enroll their own eligible children in the Program, and households of all children enrolled in the day care home, as applicable, must apply for free/reduced-price meals. The application must include information on household income </t>
  </si>
  <si>
    <t>Appendix D includes a Household Income Statement Template.</t>
  </si>
  <si>
    <t>226.20(g)</t>
  </si>
  <si>
    <t xml:space="preserve">Households must provide a written statement to support the need for substitutions, on a case-by-case basis, for foods and meals for individual participants. </t>
  </si>
  <si>
    <t>A memorandum that explains the nutrition requirements for fluid milk and fluid milk substitutes in the Program is included in Appendix E7. Nutrition Requirements for Fluid Milk and Milk Substitutions.</t>
  </si>
  <si>
    <t>HOUSEHOLD LEVEL TOTAL</t>
  </si>
  <si>
    <t xml:space="preserve"> SUMMARY OF REPORTING BURDEN</t>
  </si>
  <si>
    <t>C =  A x B</t>
  </si>
  <si>
    <t>G = E - F</t>
  </si>
  <si>
    <t>H = E - F</t>
  </si>
  <si>
    <t>I = G + H</t>
  </si>
  <si>
    <t>State/Local/Tribal Government Burden</t>
  </si>
  <si>
    <t>Business Burden</t>
  </si>
  <si>
    <t>Household Burden</t>
  </si>
  <si>
    <t>Total Reporting Burden</t>
  </si>
  <si>
    <t>Section of Regulation / Form</t>
  </si>
  <si>
    <t>J = G - H</t>
  </si>
  <si>
    <t>K = I + J</t>
  </si>
  <si>
    <t>226.6(b)
226.6(d)
226.6(m)(5)
226.7(h)
226.7(i), 226.7(j)
226.7(k)
226.7(l) 
226.8</t>
  </si>
  <si>
    <t>SAs must establish and maintain Program procedures, such as procedures to determine the eligibility of institutions, including to conduct pre-approval visits; for monitoring institutions and conduction household contacts; for bid and contracts; to annually review information submitted by institutions; for claims processing and payments; for serious deficiencies; for administrative reviews; and to audit institutions.</t>
  </si>
  <si>
    <t>Each SA must maintain on file evidence of complaints received or irregularities noted in connection with the operation of the program.</t>
  </si>
  <si>
    <t>226.7(b)
226.7(m)</t>
  </si>
  <si>
    <t>SAs must establish and maintain an acceptable financial management system, adhere to financial management standards and otherwise carry out financial management policies in accordance with 2 CFR part 200, subpart D and USDA implementing regulations 2 CFR part 400, part 415, and part 416, as applicable; and FNS guidance to identify allowable Program costs and set standards for institutional recordkeeping and reporting.</t>
  </si>
  <si>
    <t>SAs must collect and maintain on file CACFP agreements (Federal/State and State/Institutions), records received from applicant and participating institutions, National Disqualified List/State Agency Lists, and documentation of administrative review (appeals) and Program assistance activities, results, and corrective actions.</t>
  </si>
  <si>
    <t>Moved citation for pre-approved burden item to new location in 226.25 for SD rule. No new burden added.</t>
  </si>
  <si>
    <t>226.25(c)</t>
  </si>
  <si>
    <t xml:space="preserve">226.10(d)
226.11(e)
226.15(e),226.15(e)(1), 226.15(e)(2)
226.17(b)(8)
226.18(e)
226.22(d)
226.22(k)
</t>
  </si>
  <si>
    <t xml:space="preserve">Sponsors/institutions must collect and maintain for a period of 3 years and the current year Program applications, enrollment documents, income eligibility forms, attendance records, menus, meal counts, invoices and receipts, all accounts and records to support the claims, licenses, administrative and operating costs records, training documentation, financial management systems records, written code of standards of conduct, procurement history, and any other records required by the SA. All copies of documents and supporting documents submitted to the State must be maintained.  </t>
  </si>
  <si>
    <t>226.15(e)(3)</t>
  </si>
  <si>
    <t>Sponsoring organizations must maintain documentation used to classify homes as Tier 1.</t>
  </si>
  <si>
    <t>226.23(h)(6)</t>
  </si>
  <si>
    <t>Sponsoring organizations must maintain information to verify homes that qualify as Tier 1 based on provider’s income.</t>
  </si>
  <si>
    <t xml:space="preserve">Sponsors/institutions must collect and maintain for a period of 3 years and the current year Program applications, enrollment documents, income eligibility forms, attendance records, menus, meal counts, invoices and receipts, all accounts and records to support the claim, licenses, administrative and operating costs records, training documentation, financial management systems records, written code of standards of conduct, procurement history, and any other records required by the SA.  All copies of documents and supporting documents submitted to the State must be maintained.  </t>
  </si>
  <si>
    <t>226.10(d), 226.11(b)(2), 226.15(e), 226.17(b)(8), 226.17(b)(9), 226.17a(o), 226.17a(p), 226.18(b)(4), 226.18(e), 226.18(g), 226.19a(b)(8), 226.19a(b)(9), and 226.19a(b)(10)</t>
  </si>
  <si>
    <t>Facilities must collect and maintain for a period of 3 years and the current year Program applications, enrollment documents, income eligibility forms, attendance records, menu planning records, time of service, snacks and meal counts invoices and receipts, claims for reimbursement, licenses, administrative and operating costs records, training documentation, and any other records required by the SA. Adult day care centers must maintain records on the age of each enrolled person, functional impairment eligibilities are meant if under 60, and that qualified participants resides in their homes.</t>
  </si>
  <si>
    <t>SUMMARY OF RECORDKEEPING BURDEN</t>
  </si>
  <si>
    <t>C = A x B</t>
  </si>
  <si>
    <t>I</t>
  </si>
  <si>
    <t>Total Recordkeeping Burden</t>
  </si>
  <si>
    <t>226.23(d)</t>
  </si>
  <si>
    <t>Institutions must annually provide the information media serving the area from which the institution draws its attendance with a public release, unless the SA has issued a Statewide media release on behalf of all institutions. The public release includes information about the availability of free and reduced-price meals or free milk.</t>
  </si>
  <si>
    <t xml:space="preserve">Institutions must annually provide the information media serving the area from which the institution draws its attendance with a public release, unless, the SA has issued a Statewide media release on behalf of all institutions. The public release includes information about the availability of free and reduced-price meals or free milk.
</t>
  </si>
  <si>
    <t>SUMMARY OF PUBLIC DISCLOSURE BURDEN</t>
  </si>
  <si>
    <t>Total Public Disclosure Burden</t>
  </si>
  <si>
    <t>Child and Adult Food Care Program (CAFCP) ICR  (OMB Control No. 0584-0055)</t>
  </si>
  <si>
    <t xml:space="preserve"> </t>
  </si>
  <si>
    <t>TOTAL BURDEN FOR #0584-0055</t>
  </si>
  <si>
    <t>State and Local Government Level</t>
  </si>
  <si>
    <t>State Government Agencies</t>
  </si>
  <si>
    <t>=</t>
  </si>
  <si>
    <t>hours</t>
  </si>
  <si>
    <t>x</t>
  </si>
  <si>
    <t>Business Level</t>
  </si>
  <si>
    <t>Household Level</t>
  </si>
  <si>
    <t>Households</t>
  </si>
  <si>
    <t>Subtotal All Respondents</t>
  </si>
  <si>
    <t>Fringe/overhead (0.33)</t>
  </si>
  <si>
    <t>Total cost to public:</t>
  </si>
  <si>
    <t>NOTE:  Some of the values in the "Total of Reporting, Recordkeeping, and Public Disclosure" row in the table below are different to the values in the "TOTAL BURDEN FOR #0584-0055" row in the "Burden Summary" worksheet.</t>
  </si>
  <si>
    <t>Child and Adult Food Care Program (CAFCP) ICR (OMB Control No. 0584-0055)</t>
  </si>
  <si>
    <t>Respondent</t>
  </si>
  <si>
    <t>Estimated Number of Respondent</t>
  </si>
  <si>
    <t>Responses Annually per Respondent</t>
  </si>
  <si>
    <t xml:space="preserve">Total Annual Responses </t>
  </si>
  <si>
    <t xml:space="preserve">Estimated Total Hours </t>
  </si>
  <si>
    <t>Reporting Burden</t>
  </si>
  <si>
    <t>State/Local/Tribal Government Level</t>
  </si>
  <si>
    <t>State agencies</t>
  </si>
  <si>
    <t>Local government agencies</t>
  </si>
  <si>
    <t> Total Estimated Reporting Burden</t>
  </si>
  <si>
    <t>Recordkeeping Burden</t>
  </si>
  <si>
    <t> Total Estimated Recordkeeping Burden</t>
  </si>
  <si>
    <t>Public Disclosure Burden </t>
  </si>
  <si>
    <t>Total Estimated Public Disclosure Burden</t>
  </si>
  <si>
    <t xml:space="preserve">Total of Reporting, Recordkeeping, and Public Disclosure  </t>
  </si>
  <si>
    <t>Percent Electronic Responses</t>
  </si>
  <si>
    <t>Total Number of Electronic Responsees</t>
  </si>
  <si>
    <t>Reporting</t>
  </si>
  <si>
    <t>Responses That Will Be Collected Electronically</t>
  </si>
  <si>
    <t>Total number</t>
  </si>
  <si>
    <t>Percentage</t>
  </si>
  <si>
    <t>Recordkeeping</t>
  </si>
  <si>
    <t>Public Disclosure</t>
  </si>
  <si>
    <t>Child and Adult Food Care Program (CAFCP) ICR Labor Rates (OMB Control No. 0584-0055)</t>
  </si>
  <si>
    <t>Enter Data</t>
  </si>
  <si>
    <t>Calculation; Do not enter data</t>
  </si>
  <si>
    <t>Item</t>
  </si>
  <si>
    <t>Estimate in Previously Approved ICR</t>
  </si>
  <si>
    <t>Updated Estimate</t>
  </si>
  <si>
    <t>Difference in Estimate</t>
  </si>
  <si>
    <t>Number</t>
  </si>
  <si>
    <t>Data Source</t>
  </si>
  <si>
    <t>State Agencies that currently administer the Program in their State</t>
  </si>
  <si>
    <t>Previously approved ICR, dated 092816</t>
  </si>
  <si>
    <t>All 50 States, District of Columbia, Guam, Puerto Rico, and the U.S. Virgin Islands administer the CACFP. The child and adult components of CACFP are administered by two separate SAs in Florida and Illinois.</t>
  </si>
  <si>
    <t>Number of State Agencies that will establish licensing/compliance review procedures for child care centers, at-risk afterschool care centers, outside-school-hours care centers, day care homes, and adult day care centers</t>
  </si>
  <si>
    <t>Number of State Agencies that will establish alternate procedures for review of institutions for which licensing or approval is not available</t>
  </si>
  <si>
    <t>Number of State Agencies that will submit to State commodity distribution agency list of institutions receiving commodities by June 1</t>
  </si>
  <si>
    <t>Number of State Agencies that will establish/revise administrative review (appeal) procedures for day care home providers AND notify the appropriate FNSRO of any change to the procedures or the selected option for offering an administrative review (appeal) to day care home providers</t>
  </si>
  <si>
    <t>Number of State Agencies that will revise/edit household contact procedures and submit changes to FNSRO</t>
  </si>
  <si>
    <t>Number of State Agencies that will develop/revise and provide sponsoring organization agreement between sponsor and facilities</t>
  </si>
  <si>
    <t>Number of State Agencies that will receive a request from a sponsoring organization for an administrative costs limit waiver</t>
  </si>
  <si>
    <t>Assumption</t>
  </si>
  <si>
    <t>Number of State Agencies that will establish procedures for start ups, advances, and recovery of over-payments</t>
  </si>
  <si>
    <r>
      <t xml:space="preserve">Institutions (includes local government and business entities)
</t>
    </r>
    <r>
      <rPr>
        <sz val="12"/>
        <color theme="1"/>
        <rFont val="Calibri"/>
        <family val="2"/>
        <scheme val="minor"/>
      </rPr>
      <t>(An institution is either a sponsoring organization or an independent child care center.)</t>
    </r>
  </si>
  <si>
    <t>Sponsoring organizations that are local governments</t>
  </si>
  <si>
    <r>
      <t xml:space="preserve">Data provided in August 31, 2020 email from Laura Roth, FNS. Based on data collected in </t>
    </r>
    <r>
      <rPr>
        <i/>
        <sz val="11"/>
        <color theme="1"/>
        <rFont val="Calibri"/>
        <family val="2"/>
        <scheme val="minor"/>
      </rPr>
      <t>CACFP Sponsor and Provider Characteristics Study (https://www.fns.usda.gov/child-and-adult-care-food-program-cacfp-sponsor-and-provider-characteristics-study#:~:text=The%20CACFP%20Sponsor%20and%20Provider,afterschool%20care%20programs%2C%20emergency%20shelters%2C). For reference, Exhibit 1.6 in Volume II of the report details the distribution of CACFP sponsors by private non-profit, private for-profit, or public agency.</t>
    </r>
  </si>
  <si>
    <t>Sponsoring organizations that are businesses</t>
  </si>
  <si>
    <r>
      <t xml:space="preserve">Sponsoring organizations that are local governments - </t>
    </r>
    <r>
      <rPr>
        <sz val="11"/>
        <color rgb="FFFF0000"/>
        <rFont val="Calibri"/>
        <family val="2"/>
        <scheme val="minor"/>
      </rPr>
      <t>Requirements specific to sponsors of family day care homes</t>
    </r>
  </si>
  <si>
    <r>
      <t xml:space="preserve">Sponsoring organizations that are businesses - </t>
    </r>
    <r>
      <rPr>
        <sz val="11"/>
        <color rgb="FFFF0000"/>
        <rFont val="Calibri"/>
        <family val="2"/>
        <scheme val="minor"/>
      </rPr>
      <t>Requirements specific to sponsors of family day care homes</t>
    </r>
  </si>
  <si>
    <t>Sponsoring organizations that are for-profit</t>
  </si>
  <si>
    <t>Not applicable</t>
  </si>
  <si>
    <t>Not Applicable</t>
  </si>
  <si>
    <t>Sponsoring organizations that operate in more than one state</t>
  </si>
  <si>
    <r>
      <t xml:space="preserve">Data provided in August 31, 2020 email from Laura Roth, FNS. Based on data collected in </t>
    </r>
    <r>
      <rPr>
        <i/>
        <sz val="11"/>
        <color theme="1"/>
        <rFont val="Calibri"/>
        <family val="2"/>
        <scheme val="minor"/>
      </rPr>
      <t>CACFP Sponsor and Provider Characteristics Study (https://www.fns.usda.gov/child-and-adult-care-food-program-cacfp-sponsor-and-provider-characteristics-study#:~:text=The%20CACFP%20Sponsor%20and%20Provider,afterschool%20care%20programs%2C%20emergency%20shelters%2C). For reference, Exhibit 1.14 in Volume II of the report details the distribution of CACFP sponsors by geographic service area.</t>
    </r>
  </si>
  <si>
    <t>Sponsoring organizations (centers and homes)</t>
  </si>
  <si>
    <t>National Database, “Calc: CACFP Total Sponsors (CENTERS+HOMES)” data field, FY2019. Data current as of August 12, 2020. (Refer to "National DB Data_20200812_2" worksheet in this file.)</t>
  </si>
  <si>
    <t>Sponsoring organizations (all homes)</t>
  </si>
  <si>
    <t>National Database, “Calc: CACFP Total Sponsors of All Homes” data field, FY2019.  Data current as of August 12, 2020. (Refer to "National DB Data_20200812_2" worksheet in this file.) worksheet in this file.)</t>
  </si>
  <si>
    <t>Annual number of investigations conducted by the State or by the Food and Nutrition Service (FNS) and the Office of the Inspector General (OIG) on irregularities noted in connection with the operation of the Program</t>
  </si>
  <si>
    <t xml:space="preserve">Annual number of institutions that submit documentation to verify for profit center eligibility. </t>
  </si>
  <si>
    <t>Data provided by FNS.</t>
  </si>
  <si>
    <t>Annual number of new institutions that submit an application for participation in the Program</t>
  </si>
  <si>
    <t>Based on program data, on average, 5 new institutions per State would submit an application (i.e., 56 x 5= 280).</t>
  </si>
  <si>
    <t>Number of at-risk after school centers</t>
  </si>
  <si>
    <t>[National Database, “At-Risk After School Centers” data field, FY2019]. Data current as of August 12, 2020. (Refer to "National DB Data_20200812_2" worksheet in this file.)</t>
  </si>
  <si>
    <t>Not Available</t>
  </si>
  <si>
    <t xml:space="preserve">Number of institutions that will offer free and reduced-price meals. </t>
  </si>
  <si>
    <t>Calculation:  [National Database, “Calc: CACFP Total Sponsors (CENTERS+HOMES)” data field, FY2019] + [National Database, “Proprietary Title XX Centers” data field, FY2019] + [National Database, “Outside Sch Hr Centers” data field, FY2019] - [National Database, “At-Risk After School Centers” data field, FY2019] - [National Database, “Headstart Centers” data field, FY2019] - [National Database, “Homeless Centers” data field, FY2019]. Data current as of August 12, 2020. (Refer to "National DB Data_20200812_2" worksheet in this file.)</t>
  </si>
  <si>
    <t xml:space="preserve">FNS calculated this by taking the total number of all CACFP sponsors/all homes and centers adding Proprietary Total XX centers and adding outside school hour centers, then subtracting out at risk sponsors, and head start, homeless centers because these homes are automatically eligible and no forms are necessary. </t>
  </si>
  <si>
    <t xml:space="preserve">Number of institutions that will obtain written consent from the child's parents or guardians prior to use or disclose </t>
  </si>
  <si>
    <r>
      <t xml:space="preserve">Facilities
</t>
    </r>
    <r>
      <rPr>
        <sz val="12"/>
        <color theme="1"/>
        <rFont val="Calibri"/>
        <family val="2"/>
        <scheme val="minor"/>
      </rPr>
      <t>(Facilities means a sponsored center or a day care home provider.)</t>
    </r>
  </si>
  <si>
    <t>Sponsored center facilities</t>
  </si>
  <si>
    <t>Calculation:  [National Database, “Outlets All Child Care Centers” data field, FY2019] + [National Database, “Outlets Adult Care Centers” data field, FY2019].  Data current as of August 12, 2020. (Refer to "National DB Data_20200812_2" worksheet in this file.)</t>
  </si>
  <si>
    <t>Unaffiliated Centers</t>
  </si>
  <si>
    <r>
      <t xml:space="preserve">Calculation: [National Database, "Outlets All Child Care Centers" data field, FY2022] * 0.357. Based on data collected in </t>
    </r>
    <r>
      <rPr>
        <i/>
        <sz val="11"/>
        <color theme="1"/>
        <rFont val="Calibri"/>
        <family val="2"/>
        <scheme val="minor"/>
      </rPr>
      <t xml:space="preserve">Erroneous Payments in Child Care Centers Study (EPICCS). </t>
    </r>
    <r>
      <rPr>
        <sz val="11"/>
        <color theme="1"/>
        <rFont val="Calibri"/>
        <family val="2"/>
        <scheme val="minor"/>
      </rPr>
      <t>For referrence, Table J-1 in Appendix J of the report details Center Characteristics by Affiliation Status.</t>
    </r>
  </si>
  <si>
    <t>Data from EPICCS is not publicly available as of April 18, 2023.</t>
  </si>
  <si>
    <t>Child Care Centers that are Independent Child Care Centers (ICCCs)</t>
  </si>
  <si>
    <r>
      <t xml:space="preserve">Calculation: [National Database, "Outlets All Child Care Centers" data field, FY2022] * 0.106. Data provided in August 31, 2020 email from Laura Roth, FNS. Based on data collected in </t>
    </r>
    <r>
      <rPr>
        <i/>
        <sz val="11"/>
        <color theme="1"/>
        <rFont val="Calibri"/>
        <family val="2"/>
        <scheme val="minor"/>
      </rPr>
      <t>CACFP Sponsor and Provider Characteristics Study (https://www.fns.usda.gov/child-and-adult-care-food-program-cacfp-sponsor-and-provider-characteristics-study#:~:text=The%20CACFP%20Sponsor%20and%20Provider,afterschool%20care%20programs%2C%20emergency%20shelters%2C). For reference, Exhibit 5.1 in Volume I of the report details the distribution of CACFP providers by Child Care Centers and Family Day Care Homes (FDCHs).</t>
    </r>
  </si>
  <si>
    <t>Family day care homes</t>
  </si>
  <si>
    <t>National Database, “Calc: CACFP Total Number of Homes” data field, FY2019.  Data current as of August 12, 2020. (Refer to "National DB Data_20200812_1" worksheet in this file.)</t>
  </si>
  <si>
    <t>Total Homes Tier 1</t>
  </si>
  <si>
    <t>National Database, “Calc: CACFP Total Homes Tier I” data field, FY2019.  Data current as of August 12, 2020. (Refer to "National DB Data_20200812_2" worksheet in this file.)</t>
  </si>
  <si>
    <t>Average Number of Tier 1 providers</t>
  </si>
  <si>
    <t>Calculation:  [“Calc: CACFP Total Homes Tier I” data field, FY2019] / ["Calc: CACFP Total Sponsors of All Homes” data field, FY2019].  Data current as of August 12, 2020. (Refer to "National DB Data_20200812_2" worksheet in this file.)</t>
  </si>
  <si>
    <t>Number of participants</t>
  </si>
  <si>
    <t>National Database, “Calc: CACFP Total Avg. Daily Attendance” data field, FY2019.  Data current as of August 12, 2020. (Refer to "National DB Data_20200812_1" worksheet in this file.)</t>
  </si>
  <si>
    <t>Percent of free meals served at CACFP child care centers</t>
  </si>
  <si>
    <t>Based on program data, around 69.31% of meals served at CACFP child care centers are free meals. Percentage rounded to 70 %.</t>
  </si>
  <si>
    <t xml:space="preserve">Around 70% of meals served at CACFP child care centers are free meals. </t>
  </si>
  <si>
    <t>Calculation: [National Database, “Calc: CACFP Total Avg. Daily Attendance” data field, FY2019.  Data current as of August 12, 2020. (Refer to "National DB Data_20200812_1" worksheet in this file.)] * [Percent of free meals served at CACFP child care centers]</t>
  </si>
  <si>
    <t>% poor participants (ages 0 to 17) with food allergies</t>
  </si>
  <si>
    <t>"Poor" children live in families defined as below the poverty threshold. 
Source: CDC. "Table C-2a. Age-adjusted percentages (with standard errors) of hay fever, respiratory allergies, food allergies, and skin allergies in the past 12 months for children under age 18 years, by selected characteristics: United States, 2018." Food Allergies. Available at https://ftp.cdc.gov/pub/Health_Statistics/NCHS/NHIS/SHS/2018_SHS_Table_C-2.pdf, last accessed on August 16, 2020.</t>
  </si>
  <si>
    <t>Number participants with food allergies</t>
  </si>
  <si>
    <t>Calculation: [National Database, “Calc: CACFP Total Avg. Daily Attendance” data field, FY2019] * [% poor participants (ages 0 to 17) with food allergies].  National Database data current as of August 12, 2020. (Refer to "National DB Data_20200812_1" worksheet in this file.)</t>
  </si>
  <si>
    <t>Type of Respondent</t>
  </si>
  <si>
    <t>UNLOADED Loaded Hourly Wage Rate</t>
  </si>
  <si>
    <t>Local agencies</t>
  </si>
  <si>
    <t>U.S. Department of Labor. Available at http://www.dol.gov/whd/minimumwage.htm, last accessed on July 21, 2023.</t>
  </si>
  <si>
    <t>NATIONAL DATA BANK VERSION 8.2 PRELOAD</t>
  </si>
  <si>
    <t/>
  </si>
  <si>
    <t>Value used in "Assumptions" Worksheet</t>
  </si>
  <si>
    <t>SC2s - UP TO 50 VARIABLES - MONTHLY/ANNUAL DATA</t>
  </si>
  <si>
    <t>U.S. SUMMARY</t>
  </si>
  <si>
    <t>Calc: CACFP Total Avg. Daily Attendance</t>
  </si>
  <si>
    <t>Calc: CACFP Total Sponsors (CENTERS+HOMES)</t>
  </si>
  <si>
    <t>Calc: CACFP Total Outlets (CENTERS+HOMES)</t>
  </si>
  <si>
    <t>Calc: CACFP Total Sponsors of All Homes</t>
  </si>
  <si>
    <t>Calc: CACFP Total Number of Homes</t>
  </si>
  <si>
    <t>Calc: CACFP Total Homes Tier I</t>
  </si>
  <si>
    <t>Outlets All Child Care Centers</t>
  </si>
  <si>
    <t>Outlets Adult Care Centers</t>
  </si>
  <si>
    <t>Value used in Burden Calculations</t>
  </si>
  <si>
    <t>FY 2020</t>
  </si>
  <si>
    <t>FY 2019</t>
  </si>
  <si>
    <t>FY 2018</t>
  </si>
  <si>
    <t>NATIONAL DATA BANK VERSION 8.2 PUBLIC USE</t>
  </si>
  <si>
    <t>SC2 - UP TO 99 VARIABLES - MONTHLY/ANNUAL DATA</t>
  </si>
  <si>
    <t>Sponsors/Instit of Child Care Centers Only</t>
  </si>
  <si>
    <t>Sponsors Child Care &amp; Day Care</t>
  </si>
  <si>
    <t>Proprietary Title XX Centers</t>
  </si>
  <si>
    <t>Outside Sch Hr Centers</t>
  </si>
  <si>
    <t>Headstart Centers</t>
  </si>
  <si>
    <t>Homeless Centers</t>
  </si>
  <si>
    <t>At-Risk After School Centers</t>
  </si>
  <si>
    <t>Outlets Outside Sch Hour Centers</t>
  </si>
  <si>
    <t>Outlets Headstart Centers</t>
  </si>
  <si>
    <t>Outlets Homeless</t>
  </si>
  <si>
    <t>Outlets After Sch At-Risk</t>
  </si>
  <si>
    <t>Calc: CACFP Sponsors Centers Only</t>
  </si>
  <si>
    <t>Tier II High Homes</t>
  </si>
  <si>
    <t>Tier II Lower Homes</t>
  </si>
  <si>
    <t>Tier II Mixed Homes</t>
  </si>
  <si>
    <t>226.25(e)(3)(iii)(B)</t>
  </si>
  <si>
    <t>SAs may request FNS to waive the two-step independent verification and notice requirement of the CMA.</t>
  </si>
  <si>
    <t xml:space="preserve">226.25(b) </t>
  </si>
  <si>
    <t>In response to the notice of serious management problems, the institution, unaffiliated center, or day care home must submit, in writing, what corrective actions it has taken to correct each serious management problem. The corrective action plan must address the root cause of each serious management problem, describe and document the action taken to correct serious management problems, and describe the action's outcome.</t>
  </si>
  <si>
    <t>If appeal is upheld, sponsoring organizations must notify the institution and facility that confirms the serious management problem is vacated and advise the institution and facility that procedures and policies must be implemented to fully correct the serious management problem. If the fair hearing is denied, sponsoring organizations must notify the institution's executive director and chairman of the board of directors, and RPIs, that the agreement is terminated and declare the institution or facility seriously deficient. Sponsoring organizations must issue a serious deficiency notice that informs the institution, facility, and RPIs of their disqualification from Program participation.</t>
  </si>
  <si>
    <t>If appeal is upheld, sponsoring organizations must notify the day care home or unaffiliated center that confirms the serious management problem is vacated and advise the institution and facility that procedures and policies must be implemented to fully correct the serious management problem.</t>
  </si>
  <si>
    <t>226.25(e)(2)(iii)</t>
  </si>
  <si>
    <t>SAs must notify an institution's executive director and chairman of the board of directors, and RPIs, that serious management problems have been identified, must be addressed, and corrected. The notice must include all of the required information and the SA must add the institution and RPIs to the SA list and provide a copy of the notice to the appropriate FNSRO.</t>
  </si>
  <si>
    <t>If corrective action has been taken to fully correct each serious management problem, SAs must notify an institution's executive director and chairman of the board of directors, and RPIs, that the serious management problem has been vacated and the SA must update the SA list and provide a copy of the notice to the appropriate FNSRO.</t>
  </si>
  <si>
    <t xml:space="preserve">The State agency must maintain a State agency list, made available to FNS upon request, and must include the required information.  Within 10 days of receiving a notice of termination and disqualification from a sponsoring organization, the State agency must provide FNS with the information as described in paragraph (b)(i)(A) and (B) of this section. </t>
  </si>
  <si>
    <t>SAs must develop a contingency plan for the transfer of facilities if a sponsoring organization is terminated or disqualified to ensure that eligible participants continue to have access to meal service.</t>
  </si>
  <si>
    <t>If the SA or sponsoring organization determines that there is an imminent threat to the health or safety of participants, or that there is a threat to public health or safety, the appropriate State or local licensing and health authorities must immediately be notified and take action that is consistent with the recommendations and requirements of those authorities. The SA or sponsoring organization must initiate action for termination and disqualification. The SA must notify the institution's executive director and chairman of the board of directors that the institution's participation has been suspended and that the SA proposes to terminate the institution''s agreement and to disqualify the institution and the RPIs. The notice must identify the RPIs and must be sent to those persons as well. If the SA determines that an institution has knowingly submitted a false or fraudulent claim, the SA must initiate action to suspend the institution's participation and must initiate action to terminate the institution's agreement and initiate action to disqualify the institution and the RPIs. At the same time this notice is sent, the SA must add the institution and the RPIs to the State agency list, along with the basis for the suspension and provide a copy of the notice to the appropriate FNSRO.</t>
  </si>
  <si>
    <t>SAs must send a necessary demand letter for the collection of unearned payments, including any assessment of interest, as described in 226.14(a), and refer the claim to the appropriate State authority for pursuit of the debt payment. SAs must assess interest on institutions' debts established on or after July 29, 2002, based on the Current Value of Funds Rate and notify the institution that interest will be charged on debts not paid in full within 30 days of the inital demand for remittance up to the date of payment.</t>
  </si>
  <si>
    <t xml:space="preserve">Sponsoring organizations must notify the day care home or unaffiliated center that serious management problems have been identified, must be addressed, and corrected. The notice must include the required information. </t>
  </si>
  <si>
    <t xml:space="preserve">If corrective action has not fully corrected each serious management problem, sponsoring organizations must notify an institution's executive director and chairman of the board of directors, and RPIs, that the sponsoring organizations proposes to terminate the institution's agreement and disqualify the institution and RPIs.  </t>
  </si>
  <si>
    <t xml:space="preserve">Sponsoring organizations must conduct reviews, as described in 226.16(d)(4) to confirm that the serious management problem(s) is corrected. A follow-up review must be conducted to confirm that the serious management problem is corrected. </t>
  </si>
  <si>
    <t>If the sponsoring organization determines that there is an imminent threat to the health or safety of participants, or that there is a threat to public health or safety, the appropriate State or local licensing and health authorities must immediately be notified and take action that is consistent with the recommendations and requirements of those authorities. The sponsoring organization must initiate action for termination and disqualification and must  submit a combined notice of suspension, proposed termination, and proposed disqualification to the day care home provider or unaffiliated center and the RPIs. The notice must identify the RPIs and must be sent to those persons as well. If the sponsoring organization determines that an day care home or unaffiliated center has knowingly submitted a false or fraudulent claim, the sponsoring organization must initiate action to suspend the day care home or unaffiliated center's participation and must initiate action to terminate the day care home or unaffiliated center's agreement and initiate action to disqualify the institution and the RPIs. At the same time this notice is sent, the SA must add the day care home or unaffiliated center and the RPIs to the State agency list, along with the basis for the suspension and provide a copy of the notice to the appropriate FNSRO.</t>
  </si>
  <si>
    <t xml:space="preserve">Sponsoring organizations approved to participate in the Program in more than one State must provide the required information for the affiliated and unaffiliated centers and day care homes and the required contact information.  </t>
  </si>
  <si>
    <t xml:space="preserve">Sponsoring organizations must notify an day care home or unaffiliated center that serious management problems have been identified, must be addressed, and corrected. The notice must include the required information.   </t>
  </si>
  <si>
    <t xml:space="preserve">Sponsoring organizations must conduct reviews that assess whether the facility has corrected the serious management problems, as described in 226.16(d)(4). Follow-up reviews must be conducted to confirm that the serious management problem is corrected. </t>
  </si>
  <si>
    <t>If the sponsoring organization determines that there is an imminent threat to the health or safety of participants, or that there is a threat to public health or safety, the appropriate State or local licensing and health authorities must immediately be notified and take action that is consistent with the recommendations and requirements of those authorities. The sponsoring organization must initiate action for termination and disqualification. The sponsoring organization must notify the day care home provider or unaffiliated center's principals that the day care home or unaffiliated center's participation has been suspended and that the SA proposes to terminate the day care home or unaffiliated center's agreement and to disqualify the day care home or unaffiliated center and the RPIs. The notice must identify the RPIs and must be sent to those persons as well. If the sponsoring organization determines that an day care home or unaffiliated center has knowingly submitted a false or fraudulent claim, the sponsoring organization must initiate action to suspend the day care home or unaffiliated center's participation and must initiate action to terminate the day care home or unaffiliated center's agreement and initiate action to disqualify the institution and the RPIs.  At the same time this notice is sent, the SA must add the day care home or unaffiliated center and the RPIs to the State agency list, along with the basis for the suspension and provide a copy of the notice to the appropriate FNSRO.</t>
  </si>
  <si>
    <t>226.6(c)(4)</t>
  </si>
  <si>
    <t>226.6(c)(5)(i)(A)</t>
  </si>
  <si>
    <t>226.6(c)(6)</t>
  </si>
  <si>
    <t>226.6(c)(8)</t>
  </si>
  <si>
    <t>226.6(q)</t>
  </si>
  <si>
    <t>226.6(q)(1)(i)</t>
  </si>
  <si>
    <t>226.6(q)(1)(ii)</t>
  </si>
  <si>
    <t xml:space="preserve">SAs must conduct monitoring of MSSO Program operations within the State, as described in paragraph (k)(4). The SA should coordinate monitoring with the CSA to streamline reviews and minimize duplication of the review content.  The SA may base the review cycle on the number of facilities operating within the State. </t>
  </si>
  <si>
    <t>226.6(q)(1)(iii)</t>
  </si>
  <si>
    <t>226.6(q)(1)(iv)</t>
  </si>
  <si>
    <t>226.6(q)(1)(v)</t>
  </si>
  <si>
    <t>226.6(q)(2)</t>
  </si>
  <si>
    <t>226.6(q)(2)(iii)</t>
  </si>
  <si>
    <t>The CSA must conduct a full review at the MSSO headdquarters and financial records center. The CSA must coordinate the timing of the reviews and make copies of monitoring reports and findings available to all other State agencies that have agreements with the MSSO.</t>
  </si>
  <si>
    <t>226.6(q)(2)(iv)</t>
  </si>
  <si>
    <t>226.25(g)(1)(i)</t>
  </si>
  <si>
    <t>226.25(g)(1)(iii)</t>
  </si>
  <si>
    <t>226.25(h)(3)(i)</t>
  </si>
  <si>
    <t>226.6(b)(1)(xix)</t>
  </si>
  <si>
    <t>The CSA must conduct a full review at the MSSO headquarters and financial records center. The CSA must coordinate the timing of the reviews and make copies of monitoring reports and findings available to all other State agencies that have agreements with the MSSO.</t>
  </si>
  <si>
    <t>SAs must conduct audit resolution activities of MSSOs. The SA must review audit reports, address audit findings, and implement corrective actions, as required under 2 CFR part 200, subpart D, and USDA implementing regulations 2 CFR 400 and 415.</t>
  </si>
  <si>
    <t>Appendix G: CACFP ICR Burden Estimates</t>
  </si>
  <si>
    <t xml:space="preserve">SAs must conduct and prioritize follow-up reviews and more frequent full reviews of institutions with serious management problems, as described in 7 CFR 226.6(k)(6)(ii).    </t>
  </si>
  <si>
    <t xml:space="preserve">Sponsoring organizations approved to participate in the Program in more than one State must provide the required information for the affiliated and unaffiliated centers and day care homes, in addition to contact information.    </t>
  </si>
  <si>
    <t>If corrective action has not fully corrected each serious management problem, SAs must notify an institution's executive director and chairman of the board of directors, and RPIs, that the SA proposes to terminate the institution's agreement and disqualify the institution and RPIs. SA must notify the institution of the procedures for seeking a fair hearing in accordance with paragraph f of the proposed termination and proposed disqualifications. At the same time, the SA must update the SA list and provide a copy of the notice to the appropriate FNSRO.</t>
  </si>
  <si>
    <t>Currently approved costs for OMB # 0584-0055:</t>
  </si>
  <si>
    <t>Total cost of proposed rule:</t>
  </si>
  <si>
    <t>Bureau of Labor Statistics (BLS) Occupational Employment and Wages Statistics data from May 2022; Occupation Code 11-9031 Education and Childcare Administrators, Preschool and Daycare; Mean Hourly Wage Rate for State Government = $50.16. Available at https://www.bls.gov/oes/current/naics4_999200.htm#11-0000, last accessed on May 17,2024.</t>
  </si>
  <si>
    <t>Bureau of Labor Statistics (BLS) Occupational Employment and Wages Statistics data from May 2022; Occupation Code 11-9031 Education and Childcare Administrators, Preschool and Daycare; Mean Hourly Wage Rate for Local Government = $37.84. Available at https://www.bls.gov/oes/current/naics4_999300.htm#11-0000, last accessed on May 17, 2024.</t>
  </si>
  <si>
    <t>Bureau of Labor Statistics (BLS) Occupational Employment and Wages Statistics data from May 2022; Occupation Code 11-9031 Education and Childcare Administrators, Preschool and Daycare; Mean Hourly Wage Rate = $28.44. Available at https://www.bls.gov/oes/current/naics4_624400.htm#11-0000, last accessed on May 17, 2024.</t>
  </si>
  <si>
    <t>Bureau of Labor Statistics (BLS) Occupational Employment and Wages Statistics data from May 2022; Occupation Code 39-9011 Childcare Workers; Mean Hourly Wage Rate = $15.42. Available at https://www.bls.gov/oes/current/oes_nat.htm#00-0000, last accessed on May 17, 2024.</t>
  </si>
  <si>
    <t>SAs must enter into a permanent written agreement with an institution that has been approved for participation in the Program (State/Institution agreement).</t>
  </si>
  <si>
    <t>226.6(e)(1)(ix)(A)</t>
  </si>
  <si>
    <t>SAs must establish and maintain Program procedures, such as procedures to determine the eligibility of institutions, including to conduct pre-approval visits; for monitoring institutions and conducting household contacts; for bid and contracts; to annually review information submitted by institutions; for claims processing and payments; for serious deficiencies; for administrative reviews; and to audit institutions.</t>
  </si>
  <si>
    <t>226.20(f)</t>
  </si>
  <si>
    <t>Child and Adult Care Food Program Operators (institutions) maintain documentation demonstrating that service sites qualify for the menu planning option to serve vegetables to meet the grains requirement by serving primarily American Indian and Alaska Native children.</t>
  </si>
  <si>
    <t>Child and Adult Care Food Program Operators (institutions) maintain documentation demonstrating that service sites qualify for the menu planning option to servie vegetables to meet the grains requirement by serving primarily American Indian and Alaska Native Children.</t>
  </si>
  <si>
    <t>Child and Adult Care Food Program Operators (facilities) maintain documentation demonstrating that service sites qualify for the menu planning option to serve vegetables to meet the grains requirement by serving primarily American Indian and Alaska Native children.</t>
  </si>
  <si>
    <t>Child and Adult Care Food Program Operators (facilities) maintain documentation demonstrating that service sites qualify for the menu planning option to serve vegetables to meet the grains requirement by serving primarily American Indian and Alaska Native Children.</t>
  </si>
  <si>
    <t>SAs must collect and maintain on file CACFP agreements (Federal/State and State/Institutions), records received from applicant and participating institutions, National Disqualified Lists/State Agency Lists, and documentation of administrative review (appeals) and Program assistance activities, results, and corrective actions.  (Forms FNS-843 and FNS-844.)</t>
  </si>
  <si>
    <t>SAs must collect and maintain on file corrective action plans submitted by institutions, unaffiliated centers, or day care homes, in writing, which must discuss what corrective actions have been taken to correct each serious management problem.</t>
  </si>
  <si>
    <t>SAs must develop/revise and provide for the use of a standard form of written permanent agreement between each sponsoring organization and day care home or unaffiliated centers, outside-school-hours-care centers, at-risk afterschool care centers, emergency shelters, or adult day care centers for which it has the responsibility for Program operations. The agreement must specify the rights and responsibilities of both parties.</t>
  </si>
  <si>
    <t>226.6(q)(1)(iii)(c)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</si>
</sst>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3" formatCode="_(* #,##0.00_);_(* \(#,##0.00\);_(* &quot;-&quot;??_);_(@_)"/>
    <numFmt numFmtId="164" formatCode="#,##0.00\ [$€-1];[Red]\-#,##0.00\ [$€-1]"/>
    <numFmt numFmtId="165" formatCode="#,##0.000"/>
    <numFmt numFmtId="166" formatCode="#,##0.0000"/>
    <numFmt numFmtId="167" formatCode="0.000"/>
    <numFmt numFmtId="168" formatCode="0.0%"/>
    <numFmt numFmtId="169" formatCode="0.0000%"/>
    <numFmt numFmtId="170" formatCode="&quot;$&quot;#,##0.00"/>
    <numFmt numFmtId="171" formatCode="&quot;$&quot;#,##0"/>
    <numFmt numFmtId="172" formatCode="#,##0.000000"/>
    <numFmt numFmtId="173" formatCode="#,##0.0"/>
  </numFmts>
  <fonts count="32"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1"/>
      <color rgb="FFFF0000"/>
      <name val="Calibri"/>
      <family val="2"/>
      <scheme val="minor"/>
    </font>
    <font>
      <b/>
      <sz val="14"/>
      <color theme="1"/>
      <name val="Calibri"/>
      <family val="2"/>
      <scheme val="minor"/>
    </font>
    <font>
      <b/>
      <sz val="14"/>
      <name val="Calibri"/>
      <family val="2"/>
      <scheme val="minor"/>
    </font>
    <font>
      <sz val="11"/>
      <color theme="1"/>
      <name val="Calibri"/>
      <family val="2"/>
      <scheme val="minor"/>
    </font>
    <font>
      <sz val="12"/>
      <color theme="1"/>
      <name val="Calibri"/>
      <family val="2"/>
      <scheme val="minor"/>
    </font>
    <font>
      <b/>
      <sz val="8"/>
      <name val="Arial"/>
      <family val="2"/>
    </font>
    <font>
      <sz val="8"/>
      <name val="Arial"/>
      <family val="2"/>
    </font>
    <font>
      <vertAlign val="superscript"/>
      <sz val="10"/>
      <name val="Arial"/>
      <family val="2"/>
    </font>
    <font>
      <sz val="10"/>
      <name val="Arial"/>
      <family val="2"/>
    </font>
    <font>
      <b/>
      <vertAlign val="superscript"/>
      <sz val="8"/>
      <name val="Arial"/>
      <family val="2"/>
    </font>
    <font>
      <sz val="11"/>
      <color rgb="FF000000"/>
      <name val="Calibri"/>
      <family val="2"/>
      <scheme val="minor"/>
    </font>
    <font>
      <b/>
      <sz val="11"/>
      <color rgb="FF0070C0"/>
      <name val="Calibri"/>
      <family val="2"/>
      <scheme val="minor"/>
    </font>
    <font>
      <b/>
      <sz val="18"/>
      <color theme="1"/>
      <name val="Calibri"/>
      <family val="2"/>
      <scheme val="minor"/>
    </font>
    <font>
      <i/>
      <sz val="11"/>
      <color theme="1"/>
      <name val="Calibri"/>
      <family val="2"/>
      <scheme val="minor"/>
    </font>
    <font>
      <b/>
      <sz val="14"/>
      <color rgb="FFFF0000"/>
      <name val="Calibri"/>
      <family val="2"/>
      <scheme val="minor"/>
    </font>
    <font>
      <sz val="11"/>
      <color rgb="FFFF0000"/>
      <name val="Calibri"/>
      <family val="2"/>
      <scheme val="minor"/>
    </font>
    <font>
      <sz val="12"/>
      <color rgb="FF000000"/>
      <name val="Times New Roman"/>
      <family val="1"/>
    </font>
    <font>
      <b/>
      <i/>
      <sz val="12"/>
      <color theme="1"/>
      <name val="Calibri"/>
      <family val="2"/>
      <scheme val="minor"/>
    </font>
    <font>
      <b/>
      <sz val="14"/>
      <color rgb="FF0070C0"/>
      <name val="Calibri"/>
      <family val="2"/>
      <scheme val="minor"/>
    </font>
    <font>
      <b/>
      <sz val="12"/>
      <name val="Calibri"/>
      <family val="2"/>
      <scheme val="minor"/>
    </font>
    <font>
      <sz val="9"/>
      <color indexed="81"/>
      <name val="Tahoma"/>
      <family val="2"/>
    </font>
    <font>
      <b/>
      <sz val="9"/>
      <color indexed="81"/>
      <name val="Tahoma"/>
      <family val="2"/>
    </font>
    <font>
      <sz val="11"/>
      <color rgb="FF000000"/>
      <name val="Calibri"/>
      <family val="2"/>
    </font>
    <font>
      <sz val="11"/>
      <color rgb="FF006100"/>
      <name val="Calibri"/>
      <family val="2"/>
      <scheme val="minor"/>
    </font>
    <font>
      <b/>
      <sz val="11"/>
      <color rgb="FF0061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D9D9D9"/>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rgb="FFC6EFCE"/>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22"/>
      </bottom>
      <diagonal/>
    </border>
    <border>
      <left/>
      <right/>
      <top style="medium">
        <color indexed="22"/>
      </top>
      <bottom style="medium">
        <color indexed="2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s>
  <cellStyleXfs count="4">
    <xf numFmtId="0" fontId="0" fillId="0" borderId="0"/>
    <xf numFmtId="9" fontId="10" fillId="0" borderId="0" applyFont="0" applyFill="0" applyBorder="0" applyAlignment="0" applyProtection="0"/>
    <xf numFmtId="43" fontId="10" fillId="0" borderId="0" applyFont="0" applyFill="0" applyBorder="0" applyAlignment="0" applyProtection="0"/>
    <xf numFmtId="0" fontId="30" fillId="11" borderId="0" applyNumberFormat="0" applyBorder="0" applyAlignment="0" applyProtection="0"/>
  </cellStyleXfs>
  <cellXfs count="349">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center" vertical="center" wrapText="1"/>
    </xf>
    <xf numFmtId="3" fontId="0" fillId="0" borderId="0" xfId="0" applyNumberFormat="1" applyAlignment="1">
      <alignment horizontal="center" vertical="center"/>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5" fillId="0" borderId="1" xfId="0" applyFont="1" applyBorder="1" applyAlignment="1">
      <alignment horizontal="right" vertical="top"/>
    </xf>
    <xf numFmtId="3" fontId="1" fillId="4" borderId="1" xfId="0" applyNumberFormat="1" applyFont="1" applyFill="1" applyBorder="1" applyAlignment="1">
      <alignment horizontal="center" vertical="center"/>
    </xf>
    <xf numFmtId="0" fontId="1" fillId="4" borderId="1" xfId="0" applyFont="1" applyFill="1" applyBorder="1"/>
    <xf numFmtId="0" fontId="1" fillId="0" borderId="0" xfId="0" applyFont="1" applyAlignment="1">
      <alignment horizontal="center" vertical="center"/>
    </xf>
    <xf numFmtId="165" fontId="1" fillId="4" borderId="1" xfId="0" applyNumberFormat="1" applyFont="1" applyFill="1" applyBorder="1" applyAlignment="1">
      <alignment horizontal="center" vertical="center"/>
    </xf>
    <xf numFmtId="165" fontId="3" fillId="0" borderId="1" xfId="0" applyNumberFormat="1" applyFont="1" applyBorder="1" applyAlignment="1">
      <alignment horizontal="center"/>
    </xf>
    <xf numFmtId="165" fontId="5" fillId="0" borderId="1" xfId="0" applyNumberFormat="1" applyFont="1" applyBorder="1" applyAlignment="1">
      <alignment horizontal="center"/>
    </xf>
    <xf numFmtId="4" fontId="0" fillId="0" borderId="0" xfId="0" applyNumberFormat="1" applyAlignment="1">
      <alignment horizontal="center" vertical="center"/>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3" fontId="5" fillId="0" borderId="1" xfId="0" applyNumberFormat="1" applyFont="1" applyBorder="1" applyAlignment="1">
      <alignment horizontal="center"/>
    </xf>
    <xf numFmtId="3" fontId="4" fillId="0" borderId="1" xfId="0" applyNumberFormat="1" applyFont="1" applyBorder="1" applyAlignment="1">
      <alignment horizontal="center"/>
    </xf>
    <xf numFmtId="165" fontId="6" fillId="0" borderId="1" xfId="0" applyNumberFormat="1" applyFont="1" applyBorder="1" applyAlignment="1">
      <alignment horizontal="center"/>
    </xf>
    <xf numFmtId="0" fontId="1" fillId="0" borderId="1" xfId="0" applyFont="1" applyBorder="1" applyAlignment="1">
      <alignment vertical="center" wrapText="1"/>
    </xf>
    <xf numFmtId="0" fontId="1" fillId="0" borderId="3" xfId="0" applyFont="1" applyBorder="1" applyAlignment="1">
      <alignment horizontal="center" vertical="center"/>
    </xf>
    <xf numFmtId="165" fontId="4" fillId="0" borderId="1" xfId="0" applyNumberFormat="1" applyFont="1" applyBorder="1" applyAlignment="1">
      <alignment horizontal="center"/>
    </xf>
    <xf numFmtId="0" fontId="13" fillId="0" borderId="0" xfId="0" applyFont="1" applyAlignment="1">
      <alignment horizontal="right"/>
    </xf>
    <xf numFmtId="0" fontId="14" fillId="0" borderId="0" xfId="0" applyFont="1" applyAlignment="1">
      <alignment horizontal="left"/>
    </xf>
    <xf numFmtId="0" fontId="12" fillId="0" borderId="0" xfId="0" applyFont="1"/>
    <xf numFmtId="0" fontId="12" fillId="0" borderId="10" xfId="0" applyFont="1" applyBorder="1"/>
    <xf numFmtId="0" fontId="15" fillId="0" borderId="0" xfId="0" applyFont="1"/>
    <xf numFmtId="0" fontId="12"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3" fillId="0" borderId="0" xfId="0" applyFont="1" applyAlignment="1">
      <alignment horizontal="left"/>
    </xf>
    <xf numFmtId="3" fontId="13" fillId="0" borderId="0" xfId="0" applyNumberFormat="1" applyFont="1" applyAlignment="1">
      <alignment horizontal="right"/>
    </xf>
    <xf numFmtId="3" fontId="14" fillId="0" borderId="0" xfId="0" applyNumberFormat="1" applyFont="1" applyAlignment="1">
      <alignment horizontal="left"/>
    </xf>
    <xf numFmtId="3" fontId="13" fillId="6" borderId="0" xfId="0" applyNumberFormat="1" applyFont="1" applyFill="1" applyAlignment="1">
      <alignment horizontal="right"/>
    </xf>
    <xf numFmtId="10" fontId="0" fillId="0" borderId="1" xfId="1" applyNumberFormat="1" applyFont="1"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vertical="center" wrapText="1"/>
    </xf>
    <xf numFmtId="0" fontId="1" fillId="7" borderId="1" xfId="0" applyFont="1" applyFill="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vertical="center"/>
    </xf>
    <xf numFmtId="168" fontId="0" fillId="7" borderId="1" xfId="1" applyNumberFormat="1" applyFont="1" applyFill="1" applyBorder="1" applyAlignment="1">
      <alignment horizontal="center" vertical="center"/>
    </xf>
    <xf numFmtId="3"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0" fillId="0" borderId="1" xfId="0" applyBorder="1" applyAlignment="1">
      <alignment vertical="top" wrapText="1"/>
    </xf>
    <xf numFmtId="0" fontId="0" fillId="0" borderId="0" xfId="0" applyAlignment="1">
      <alignment vertical="center" wrapText="1"/>
    </xf>
    <xf numFmtId="0" fontId="0" fillId="0" borderId="1" xfId="0" applyBorder="1" applyAlignment="1">
      <alignment horizontal="center" vertical="center" wrapText="1"/>
    </xf>
    <xf numFmtId="169" fontId="0" fillId="0" borderId="1" xfId="1" applyNumberFormat="1" applyFont="1" applyBorder="1" applyAlignment="1">
      <alignment horizontal="center" vertical="center"/>
    </xf>
    <xf numFmtId="168" fontId="0" fillId="0" borderId="1" xfId="1" applyNumberFormat="1" applyFont="1" applyBorder="1" applyAlignment="1">
      <alignment horizontal="center" vertical="center"/>
    </xf>
    <xf numFmtId="0" fontId="0" fillId="7" borderId="1" xfId="0" applyFill="1" applyBorder="1" applyAlignment="1">
      <alignment horizontal="center" vertical="center"/>
    </xf>
    <xf numFmtId="3" fontId="0" fillId="7" borderId="1" xfId="0" applyNumberFormat="1" applyFill="1" applyBorder="1" applyAlignment="1">
      <alignment horizontal="center" vertical="center"/>
    </xf>
    <xf numFmtId="3" fontId="0" fillId="0" borderId="1" xfId="0" applyNumberFormat="1" applyBorder="1" applyAlignment="1">
      <alignment horizontal="center" vertical="center" wrapText="1"/>
    </xf>
    <xf numFmtId="0" fontId="1" fillId="0" borderId="2" xfId="0" applyFont="1" applyBorder="1" applyAlignment="1">
      <alignment horizontal="center" vertic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165" fontId="4"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167" fontId="1" fillId="4" borderId="1" xfId="0" applyNumberFormat="1" applyFont="1" applyFill="1" applyBorder="1" applyAlignment="1">
      <alignment horizontal="center" vertical="center"/>
    </xf>
    <xf numFmtId="0" fontId="1" fillId="4" borderId="1" xfId="0" applyFont="1" applyFill="1" applyBorder="1" applyAlignment="1">
      <alignment vertical="center"/>
    </xf>
    <xf numFmtId="0" fontId="4" fillId="0" borderId="1" xfId="0" applyFont="1" applyBorder="1" applyAlignment="1">
      <alignment vertical="top" wrapText="1"/>
    </xf>
    <xf numFmtId="164" fontId="0" fillId="0" borderId="1" xfId="0" applyNumberFormat="1" applyBorder="1" applyAlignment="1">
      <alignment horizontal="left" vertical="top" wrapText="1"/>
    </xf>
    <xf numFmtId="0" fontId="1" fillId="0" borderId="1" xfId="0" applyFont="1" applyBorder="1" applyAlignment="1">
      <alignment vertical="center"/>
    </xf>
    <xf numFmtId="0" fontId="1" fillId="0" borderId="1" xfId="0" applyFont="1" applyBorder="1" applyAlignment="1">
      <alignment vertical="top" wrapText="1"/>
    </xf>
    <xf numFmtId="0" fontId="5" fillId="0" borderId="0" xfId="0" applyFont="1"/>
    <xf numFmtId="165" fontId="5" fillId="0" borderId="3" xfId="0" applyNumberFormat="1" applyFont="1" applyBorder="1" applyAlignment="1">
      <alignment horizontal="center" vertical="center" wrapText="1"/>
    </xf>
    <xf numFmtId="0" fontId="5" fillId="0" borderId="1" xfId="0" applyFont="1" applyBorder="1" applyAlignment="1">
      <alignment horizontal="right" vertical="center"/>
    </xf>
    <xf numFmtId="3" fontId="4"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0" fillId="0" borderId="0" xfId="0" applyAlignment="1">
      <alignment horizontal="center" wrapText="1"/>
    </xf>
    <xf numFmtId="4" fontId="0" fillId="0" borderId="0" xfId="0" applyNumberFormat="1"/>
    <xf numFmtId="0" fontId="1" fillId="0" borderId="16" xfId="0" applyFont="1" applyBorder="1" applyAlignment="1">
      <alignment horizontal="center" vertical="center"/>
    </xf>
    <xf numFmtId="0" fontId="0" fillId="0" borderId="17" xfId="0" applyBorder="1" applyAlignment="1">
      <alignment horizontal="left" vertical="center"/>
    </xf>
    <xf numFmtId="0" fontId="0" fillId="0" borderId="19" xfId="0" applyBorder="1" applyAlignment="1">
      <alignment horizontal="left" vertical="center" wrapText="1"/>
    </xf>
    <xf numFmtId="0" fontId="0" fillId="0" borderId="15" xfId="0" applyBorder="1" applyAlignment="1">
      <alignment horizontal="left" vertical="center"/>
    </xf>
    <xf numFmtId="0" fontId="0" fillId="0" borderId="16" xfId="0" applyBorder="1" applyAlignment="1">
      <alignment horizontal="left" vertical="center" wrapText="1"/>
    </xf>
    <xf numFmtId="170" fontId="0" fillId="0" borderId="4" xfId="0" applyNumberFormat="1" applyBorder="1" applyAlignment="1">
      <alignment horizontal="center" vertical="center"/>
    </xf>
    <xf numFmtId="170" fontId="0" fillId="0" borderId="21" xfId="0" applyNumberFormat="1" applyBorder="1" applyAlignment="1">
      <alignment horizontal="center" vertical="center"/>
    </xf>
    <xf numFmtId="0" fontId="5" fillId="0" borderId="15" xfId="0" applyFont="1" applyBorder="1" applyAlignment="1">
      <alignment horizontal="right" vertical="center" indent="1"/>
    </xf>
    <xf numFmtId="165" fontId="4" fillId="0" borderId="16" xfId="0" applyNumberFormat="1" applyFont="1" applyBorder="1" applyAlignment="1">
      <alignment horizontal="center" vertical="center"/>
    </xf>
    <xf numFmtId="0" fontId="6" fillId="0" borderId="17" xfId="0" applyFont="1" applyBorder="1" applyAlignment="1">
      <alignment horizontal="right" vertical="center" indent="1"/>
    </xf>
    <xf numFmtId="3" fontId="6" fillId="0" borderId="18" xfId="0" applyNumberFormat="1" applyFont="1" applyBorder="1" applyAlignment="1">
      <alignment horizontal="center" vertical="center"/>
    </xf>
    <xf numFmtId="165" fontId="6" fillId="0" borderId="18" xfId="0" applyNumberFormat="1" applyFont="1" applyBorder="1" applyAlignment="1">
      <alignment horizontal="center" vertical="center"/>
    </xf>
    <xf numFmtId="165" fontId="6" fillId="0" borderId="19" xfId="0" applyNumberFormat="1" applyFont="1" applyBorder="1" applyAlignment="1">
      <alignment horizontal="center" vertical="center"/>
    </xf>
    <xf numFmtId="3" fontId="0" fillId="0" borderId="0" xfId="0" applyNumberFormat="1"/>
    <xf numFmtId="10" fontId="0" fillId="0" borderId="0" xfId="0" applyNumberFormat="1" applyAlignment="1">
      <alignment vertical="center"/>
    </xf>
    <xf numFmtId="3" fontId="0" fillId="0" borderId="0" xfId="0" applyNumberFormat="1" applyAlignment="1">
      <alignment vertical="center"/>
    </xf>
    <xf numFmtId="0" fontId="1" fillId="0" borderId="29" xfId="0" applyFont="1" applyBorder="1"/>
    <xf numFmtId="0" fontId="0" fillId="0" borderId="22" xfId="0"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vertical="center" wrapText="1"/>
    </xf>
    <xf numFmtId="0" fontId="6" fillId="0" borderId="41" xfId="0" applyFont="1" applyBorder="1" applyAlignment="1">
      <alignment horizontal="center" vertical="center" wrapText="1"/>
    </xf>
    <xf numFmtId="0" fontId="5" fillId="0" borderId="40" xfId="0" applyFont="1" applyBorder="1" applyAlignment="1">
      <alignment horizontal="center" vertical="center" wrapText="1"/>
    </xf>
    <xf numFmtId="165" fontId="5" fillId="0" borderId="42" xfId="0" applyNumberFormat="1" applyFont="1" applyBorder="1" applyAlignment="1">
      <alignment horizontal="center" vertical="center" wrapText="1"/>
    </xf>
    <xf numFmtId="170" fontId="0" fillId="0" borderId="0" xfId="0" applyNumberFormat="1" applyAlignment="1">
      <alignment horizontal="center" vertical="center"/>
    </xf>
    <xf numFmtId="0" fontId="20" fillId="0" borderId="1" xfId="0" applyFont="1" applyBorder="1" applyAlignment="1">
      <alignment horizontal="center" vertical="top" wrapText="1"/>
    </xf>
    <xf numFmtId="0" fontId="20" fillId="0" borderId="1" xfId="0" applyFont="1" applyBorder="1" applyAlignment="1">
      <alignment horizontal="center" vertical="center"/>
    </xf>
    <xf numFmtId="3" fontId="20" fillId="0" borderId="1" xfId="0" applyNumberFormat="1" applyFont="1" applyBorder="1" applyAlignment="1">
      <alignment horizontal="center" vertical="center"/>
    </xf>
    <xf numFmtId="165" fontId="20" fillId="0" borderId="1" xfId="0" applyNumberFormat="1" applyFont="1" applyBorder="1" applyAlignment="1">
      <alignment horizontal="center" vertical="center"/>
    </xf>
    <xf numFmtId="3" fontId="20" fillId="0" borderId="1" xfId="0" applyNumberFormat="1" applyFont="1" applyBorder="1" applyAlignment="1">
      <alignment horizontal="center" vertical="top" wrapText="1"/>
    </xf>
    <xf numFmtId="4" fontId="20" fillId="0" borderId="1" xfId="0" applyNumberFormat="1" applyFont="1" applyBorder="1" applyAlignment="1">
      <alignment horizontal="center" vertical="center"/>
    </xf>
    <xf numFmtId="43" fontId="0" fillId="0" borderId="0" xfId="2" applyFont="1" applyBorder="1"/>
    <xf numFmtId="43" fontId="0" fillId="0" borderId="0" xfId="0" applyNumberFormat="1"/>
    <xf numFmtId="14" fontId="13" fillId="0" borderId="0" xfId="0" applyNumberFormat="1" applyFont="1" applyAlignment="1">
      <alignment horizontal="right"/>
    </xf>
    <xf numFmtId="14" fontId="13" fillId="0" borderId="0" xfId="0" applyNumberFormat="1" applyFont="1"/>
    <xf numFmtId="0" fontId="13" fillId="0" borderId="0" xfId="0" applyFont="1"/>
    <xf numFmtId="3" fontId="13" fillId="8" borderId="0" xfId="0" applyNumberFormat="1" applyFont="1" applyFill="1" applyAlignment="1">
      <alignment horizontal="right"/>
    </xf>
    <xf numFmtId="0" fontId="12" fillId="0" borderId="0" xfId="0" applyFont="1" applyAlignment="1">
      <alignment vertical="center" wrapText="1"/>
    </xf>
    <xf numFmtId="0" fontId="21" fillId="0" borderId="0" xfId="0" applyFont="1" applyAlignment="1">
      <alignment vertical="center" wrapText="1"/>
    </xf>
    <xf numFmtId="0" fontId="0" fillId="0" borderId="0" xfId="0" applyAlignment="1">
      <alignment horizontal="left" vertical="top"/>
    </xf>
    <xf numFmtId="0" fontId="0" fillId="2" borderId="1" xfId="0" applyFill="1" applyBorder="1" applyAlignment="1">
      <alignment horizontal="center" vertical="top"/>
    </xf>
    <xf numFmtId="0" fontId="0" fillId="0" borderId="1" xfId="0" applyBorder="1" applyAlignment="1">
      <alignment horizontal="center" vertical="top"/>
    </xf>
    <xf numFmtId="0" fontId="0" fillId="0" borderId="0" xfId="0" applyAlignment="1">
      <alignment horizontal="center" vertical="top"/>
    </xf>
    <xf numFmtId="0" fontId="21" fillId="0" borderId="0" xfId="0" applyFont="1" applyAlignment="1">
      <alignment horizontal="left" vertical="top" wrapText="1"/>
    </xf>
    <xf numFmtId="0" fontId="3" fillId="0" borderId="0" xfId="0" applyFont="1" applyAlignment="1">
      <alignment horizontal="left" vertical="top"/>
    </xf>
    <xf numFmtId="0" fontId="0" fillId="9" borderId="1" xfId="0" applyFill="1" applyBorder="1" applyAlignment="1">
      <alignment vertical="center" wrapText="1"/>
    </xf>
    <xf numFmtId="0" fontId="8" fillId="2" borderId="1" xfId="0" applyFont="1" applyFill="1" applyBorder="1" applyAlignment="1">
      <alignment vertical="center"/>
    </xf>
    <xf numFmtId="0" fontId="1" fillId="0" borderId="3" xfId="0" applyFont="1" applyBorder="1" applyAlignment="1">
      <alignment horizontal="center" vertical="top"/>
    </xf>
    <xf numFmtId="0" fontId="1" fillId="0" borderId="0" xfId="0" applyFont="1" applyAlignment="1">
      <alignment vertical="center" wrapText="1"/>
    </xf>
    <xf numFmtId="168" fontId="0" fillId="0" borderId="1" xfId="1" applyNumberFormat="1" applyFont="1" applyFill="1" applyBorder="1" applyAlignment="1">
      <alignment horizontal="center" vertical="center"/>
    </xf>
    <xf numFmtId="4" fontId="1" fillId="4" borderId="1" xfId="0" applyNumberFormat="1" applyFont="1" applyFill="1" applyBorder="1" applyAlignment="1">
      <alignment horizontal="center" vertical="center"/>
    </xf>
    <xf numFmtId="0" fontId="1" fillId="0" borderId="47" xfId="0" applyFont="1" applyBorder="1"/>
    <xf numFmtId="0" fontId="0" fillId="0" borderId="52" xfId="0" applyBorder="1" applyAlignment="1">
      <alignment vertical="center"/>
    </xf>
    <xf numFmtId="3" fontId="0" fillId="0" borderId="53" xfId="0" applyNumberFormat="1" applyBorder="1" applyAlignment="1">
      <alignment horizontal="right"/>
    </xf>
    <xf numFmtId="3" fontId="0" fillId="0" borderId="1" xfId="0" applyNumberFormat="1" applyBorder="1" applyAlignment="1">
      <alignment horizontal="right"/>
    </xf>
    <xf numFmtId="165" fontId="0" fillId="0" borderId="1" xfId="0" applyNumberFormat="1" applyBorder="1" applyAlignment="1">
      <alignment horizontal="right"/>
    </xf>
    <xf numFmtId="3" fontId="0" fillId="0" borderId="32" xfId="0" applyNumberFormat="1" applyBorder="1" applyAlignment="1">
      <alignment horizontal="right"/>
    </xf>
    <xf numFmtId="165" fontId="0" fillId="0" borderId="32" xfId="0" applyNumberFormat="1" applyBorder="1" applyAlignment="1">
      <alignment horizontal="right"/>
    </xf>
    <xf numFmtId="3" fontId="1" fillId="5" borderId="5" xfId="0" applyNumberFormat="1" applyFont="1" applyFill="1" applyBorder="1" applyAlignment="1">
      <alignment horizontal="right"/>
    </xf>
    <xf numFmtId="165" fontId="1" fillId="5" borderId="5" xfId="0" applyNumberFormat="1" applyFont="1" applyFill="1" applyBorder="1" applyAlignment="1">
      <alignment horizontal="right"/>
    </xf>
    <xf numFmtId="165" fontId="1" fillId="5" borderId="24" xfId="0" applyNumberFormat="1" applyFont="1" applyFill="1" applyBorder="1" applyAlignment="1">
      <alignment horizontal="right"/>
    </xf>
    <xf numFmtId="3" fontId="0" fillId="0" borderId="5" xfId="0" applyNumberFormat="1" applyBorder="1" applyAlignment="1">
      <alignment horizontal="right"/>
    </xf>
    <xf numFmtId="165" fontId="0" fillId="0" borderId="5" xfId="0" applyNumberFormat="1" applyBorder="1" applyAlignment="1">
      <alignment horizontal="right"/>
    </xf>
    <xf numFmtId="3" fontId="1" fillId="0" borderId="30" xfId="0" applyNumberFormat="1" applyFont="1" applyBorder="1" applyAlignment="1">
      <alignment horizontal="right"/>
    </xf>
    <xf numFmtId="165" fontId="1" fillId="0" borderId="30" xfId="0" applyNumberFormat="1" applyFont="1" applyBorder="1" applyAlignment="1">
      <alignment horizontal="right"/>
    </xf>
    <xf numFmtId="165" fontId="1" fillId="0" borderId="31" xfId="0" applyNumberFormat="1" applyFont="1" applyBorder="1" applyAlignment="1">
      <alignment horizontal="right"/>
    </xf>
    <xf numFmtId="165" fontId="0" fillId="0" borderId="53" xfId="0" applyNumberFormat="1" applyBorder="1" applyAlignment="1">
      <alignment horizontal="right"/>
    </xf>
    <xf numFmtId="0" fontId="0" fillId="0" borderId="23" xfId="0" applyBorder="1" applyAlignment="1">
      <alignment horizontal="center" vertical="center"/>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3" fontId="0" fillId="0" borderId="56" xfId="0" applyNumberFormat="1" applyBorder="1" applyAlignment="1">
      <alignment horizontal="right"/>
    </xf>
    <xf numFmtId="3" fontId="0" fillId="0" borderId="16" xfId="0" applyNumberFormat="1" applyBorder="1" applyAlignment="1">
      <alignment horizontal="right"/>
    </xf>
    <xf numFmtId="3" fontId="0" fillId="0" borderId="33" xfId="0" applyNumberFormat="1" applyBorder="1" applyAlignment="1">
      <alignment horizontal="right"/>
    </xf>
    <xf numFmtId="3" fontId="0" fillId="0" borderId="24" xfId="0" applyNumberFormat="1" applyBorder="1" applyAlignment="1">
      <alignment horizontal="right"/>
    </xf>
    <xf numFmtId="3" fontId="23" fillId="0" borderId="0" xfId="0" applyNumberFormat="1" applyFont="1"/>
    <xf numFmtId="165" fontId="0" fillId="0" borderId="0" xfId="0" applyNumberFormat="1"/>
    <xf numFmtId="166" fontId="0" fillId="0" borderId="32" xfId="0" applyNumberFormat="1" applyBorder="1" applyAlignment="1">
      <alignment horizontal="right"/>
    </xf>
    <xf numFmtId="0" fontId="0" fillId="0" borderId="25" xfId="0" applyBorder="1" applyAlignment="1">
      <alignment horizontal="center" vertical="center"/>
    </xf>
    <xf numFmtId="0" fontId="0" fillId="0" borderId="45" xfId="0" applyBorder="1" applyAlignment="1">
      <alignment horizontal="center" vertical="center"/>
    </xf>
    <xf numFmtId="0" fontId="0" fillId="0" borderId="0" xfId="0" applyAlignment="1">
      <alignment horizontal="center"/>
    </xf>
    <xf numFmtId="165" fontId="0" fillId="0" borderId="0" xfId="0" applyNumberFormat="1" applyAlignment="1">
      <alignment horizontal="right"/>
    </xf>
    <xf numFmtId="170" fontId="0" fillId="0" borderId="0" xfId="0" applyNumberFormat="1" applyAlignment="1">
      <alignment horizontal="center"/>
    </xf>
    <xf numFmtId="171" fontId="0" fillId="0" borderId="0" xfId="0" applyNumberFormat="1" applyAlignment="1">
      <alignment horizontal="right"/>
    </xf>
    <xf numFmtId="165" fontId="1" fillId="0" borderId="0" xfId="0" applyNumberFormat="1" applyFont="1" applyAlignment="1">
      <alignment horizontal="right" vertical="center"/>
    </xf>
    <xf numFmtId="171" fontId="0" fillId="0" borderId="0" xfId="0" applyNumberFormat="1" applyAlignment="1">
      <alignment horizontal="right" vertical="center"/>
    </xf>
    <xf numFmtId="167" fontId="0" fillId="0" borderId="0" xfId="0" applyNumberFormat="1" applyAlignment="1">
      <alignment vertical="center"/>
    </xf>
    <xf numFmtId="0" fontId="0" fillId="0" borderId="0" xfId="0" applyAlignment="1">
      <alignment horizontal="left" vertical="center" indent="2"/>
    </xf>
    <xf numFmtId="3" fontId="0" fillId="0" borderId="0" xfId="0" quotePrefix="1" applyNumberFormat="1" applyAlignment="1">
      <alignment horizontal="center"/>
    </xf>
    <xf numFmtId="0" fontId="0" fillId="0" borderId="0" xfId="0" quotePrefix="1" applyAlignment="1">
      <alignment horizontal="center"/>
    </xf>
    <xf numFmtId="0" fontId="0" fillId="0" borderId="0" xfId="0" applyAlignment="1">
      <alignment horizontal="right" vertical="center"/>
    </xf>
    <xf numFmtId="0" fontId="1" fillId="0" borderId="0" xfId="0" applyFont="1" applyAlignment="1">
      <alignment vertical="center"/>
    </xf>
    <xf numFmtId="3" fontId="0" fillId="0" borderId="0" xfId="0" applyNumberFormat="1" applyAlignment="1">
      <alignment horizontal="center"/>
    </xf>
    <xf numFmtId="0" fontId="1" fillId="0" borderId="0" xfId="0" applyFont="1" applyAlignment="1">
      <alignment horizontal="center"/>
    </xf>
    <xf numFmtId="3" fontId="1" fillId="0" borderId="0" xfId="0" quotePrefix="1" applyNumberFormat="1" applyFont="1" applyAlignment="1">
      <alignment horizontal="center"/>
    </xf>
    <xf numFmtId="165" fontId="1" fillId="0" borderId="0" xfId="0" applyNumberFormat="1" applyFont="1" applyAlignment="1">
      <alignment horizontal="right"/>
    </xf>
    <xf numFmtId="0" fontId="1" fillId="0" borderId="0" xfId="0" applyFont="1"/>
    <xf numFmtId="170" fontId="1" fillId="0" borderId="0" xfId="0" applyNumberFormat="1" applyFont="1" applyAlignment="1">
      <alignment horizontal="center"/>
    </xf>
    <xf numFmtId="171" fontId="1" fillId="0" borderId="0" xfId="0" applyNumberFormat="1" applyFont="1" applyAlignment="1">
      <alignment horizontal="right"/>
    </xf>
    <xf numFmtId="0" fontId="24" fillId="0" borderId="0" xfId="0" applyFont="1" applyAlignment="1">
      <alignment vertical="center"/>
    </xf>
    <xf numFmtId="9" fontId="1" fillId="0" borderId="54" xfId="1" applyFont="1" applyBorder="1" applyAlignment="1">
      <alignment horizontal="center" vertical="center" wrapText="1"/>
    </xf>
    <xf numFmtId="9" fontId="0" fillId="0" borderId="0" xfId="1" applyFont="1" applyAlignment="1">
      <alignment horizontal="center"/>
    </xf>
    <xf numFmtId="9" fontId="0" fillId="0" borderId="53" xfId="1" applyFont="1" applyBorder="1" applyAlignment="1">
      <alignment horizontal="center"/>
    </xf>
    <xf numFmtId="9" fontId="0" fillId="0" borderId="1" xfId="1" applyFont="1" applyBorder="1" applyAlignment="1">
      <alignment horizontal="center"/>
    </xf>
    <xf numFmtId="9" fontId="0" fillId="0" borderId="32" xfId="1" applyFont="1" applyBorder="1" applyAlignment="1">
      <alignment horizontal="center"/>
    </xf>
    <xf numFmtId="9" fontId="1" fillId="5" borderId="5" xfId="1" applyFont="1" applyFill="1" applyBorder="1" applyAlignment="1">
      <alignment horizontal="center"/>
    </xf>
    <xf numFmtId="9" fontId="1" fillId="0" borderId="30" xfId="1" applyFont="1" applyBorder="1" applyAlignment="1">
      <alignment horizontal="center"/>
    </xf>
    <xf numFmtId="3" fontId="1" fillId="0" borderId="31" xfId="0" applyNumberFormat="1" applyFont="1" applyBorder="1" applyAlignment="1">
      <alignment horizontal="right"/>
    </xf>
    <xf numFmtId="3" fontId="3" fillId="0" borderId="0" xfId="0" applyNumberFormat="1" applyFont="1" applyAlignment="1">
      <alignment horizontal="center"/>
    </xf>
    <xf numFmtId="9" fontId="25" fillId="0" borderId="0" xfId="1" applyFont="1" applyAlignment="1"/>
    <xf numFmtId="9" fontId="26" fillId="0" borderId="0" xfId="1" applyFont="1" applyAlignment="1">
      <alignment horizontal="left"/>
    </xf>
    <xf numFmtId="9" fontId="25" fillId="0" borderId="0" xfId="1" applyFont="1" applyAlignment="1">
      <alignment horizontal="left"/>
    </xf>
    <xf numFmtId="10" fontId="3" fillId="0" borderId="0" xfId="1" applyNumberFormat="1" applyFont="1" applyAlignment="1">
      <alignment horizontal="center"/>
    </xf>
    <xf numFmtId="0" fontId="29" fillId="0" borderId="0" xfId="0" applyFont="1" applyAlignment="1">
      <alignment vertical="top" wrapText="1"/>
    </xf>
    <xf numFmtId="0" fontId="30" fillId="11" borderId="1" xfId="3" applyBorder="1" applyAlignment="1">
      <alignment horizontal="center" vertical="center" wrapText="1"/>
    </xf>
    <xf numFmtId="0" fontId="31" fillId="11" borderId="1" xfId="3" applyFont="1" applyBorder="1" applyAlignment="1">
      <alignment horizontal="center" vertical="center" wrapText="1"/>
    </xf>
    <xf numFmtId="4" fontId="20" fillId="0" borderId="4" xfId="0" applyNumberFormat="1" applyFont="1" applyBorder="1" applyAlignment="1">
      <alignment horizontal="center" vertical="center"/>
    </xf>
    <xf numFmtId="4" fontId="1" fillId="4" borderId="4" xfId="0" applyNumberFormat="1" applyFont="1" applyFill="1" applyBorder="1" applyAlignment="1">
      <alignment horizontal="center" vertical="center"/>
    </xf>
    <xf numFmtId="4" fontId="3" fillId="0" borderId="1" xfId="0" applyNumberFormat="1" applyFont="1" applyBorder="1" applyAlignment="1">
      <alignment horizontal="center"/>
    </xf>
    <xf numFmtId="4" fontId="6" fillId="0" borderId="1" xfId="0" applyNumberFormat="1" applyFont="1" applyBorder="1" applyAlignment="1">
      <alignment horizontal="center"/>
    </xf>
    <xf numFmtId="4" fontId="5" fillId="0" borderId="1" xfId="0" applyNumberFormat="1" applyFont="1" applyBorder="1" applyAlignment="1">
      <alignment horizontal="center"/>
    </xf>
    <xf numFmtId="4" fontId="21" fillId="0" borderId="0" xfId="0" applyNumberFormat="1" applyFont="1" applyAlignment="1">
      <alignment vertical="center" wrapText="1"/>
    </xf>
    <xf numFmtId="4" fontId="5" fillId="0" borderId="0" xfId="0" applyNumberFormat="1" applyFont="1"/>
    <xf numFmtId="4" fontId="5" fillId="0" borderId="3" xfId="0" applyNumberFormat="1" applyFont="1" applyBorder="1" applyAlignment="1">
      <alignment horizontal="center" vertical="center" wrapText="1"/>
    </xf>
    <xf numFmtId="4" fontId="4"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4" fontId="4" fillId="0" borderId="1" xfId="0" applyNumberFormat="1" applyFont="1" applyBorder="1" applyAlignment="1">
      <alignment horizontal="center"/>
    </xf>
    <xf numFmtId="0" fontId="3" fillId="9" borderId="1" xfId="0" applyFont="1" applyFill="1" applyBorder="1" applyAlignment="1">
      <alignment horizontal="center" vertical="center"/>
    </xf>
    <xf numFmtId="0" fontId="3" fillId="9" borderId="0" xfId="0" applyFont="1" applyFill="1" applyAlignment="1">
      <alignment vertical="top"/>
    </xf>
    <xf numFmtId="0" fontId="3" fillId="9" borderId="1" xfId="0" applyFont="1" applyFill="1" applyBorder="1" applyAlignment="1">
      <alignment horizontal="left" vertical="top" wrapText="1"/>
    </xf>
    <xf numFmtId="3" fontId="3" fillId="9" borderId="1" xfId="0" applyNumberFormat="1" applyFont="1" applyFill="1" applyBorder="1" applyAlignment="1">
      <alignment horizontal="center" vertical="center"/>
    </xf>
    <xf numFmtId="4" fontId="3" fillId="9" borderId="1" xfId="0" applyNumberFormat="1" applyFont="1" applyFill="1" applyBorder="1" applyAlignment="1">
      <alignment horizontal="center" vertical="center"/>
    </xf>
    <xf numFmtId="0" fontId="3" fillId="9" borderId="1" xfId="0" applyFont="1" applyFill="1" applyBorder="1" applyAlignment="1">
      <alignment vertical="top" wrapText="1"/>
    </xf>
    <xf numFmtId="0" fontId="0" fillId="9" borderId="1" xfId="0" applyFill="1" applyBorder="1" applyAlignment="1">
      <alignment horizontal="center" vertical="center"/>
    </xf>
    <xf numFmtId="0" fontId="0" fillId="9" borderId="1" xfId="0" applyFill="1" applyBorder="1" applyAlignment="1">
      <alignment horizontal="left" vertical="top"/>
    </xf>
    <xf numFmtId="0" fontId="0" fillId="9" borderId="1" xfId="0" applyFill="1" applyBorder="1" applyAlignment="1">
      <alignment horizontal="left" vertical="top" wrapText="1"/>
    </xf>
    <xf numFmtId="3" fontId="0" fillId="9" borderId="1" xfId="0" applyNumberFormat="1" applyFill="1" applyBorder="1" applyAlignment="1">
      <alignment horizontal="center" vertical="center"/>
    </xf>
    <xf numFmtId="4" fontId="0" fillId="9" borderId="1" xfId="0" applyNumberFormat="1" applyFill="1" applyBorder="1" applyAlignment="1">
      <alignment horizontal="center" vertical="center"/>
    </xf>
    <xf numFmtId="0" fontId="0" fillId="9" borderId="1" xfId="0" applyFill="1" applyBorder="1" applyAlignment="1">
      <alignment vertical="top" wrapText="1"/>
    </xf>
    <xf numFmtId="0" fontId="0" fillId="9" borderId="1" xfId="0" applyFill="1" applyBorder="1" applyAlignment="1">
      <alignment horizontal="center" vertical="top"/>
    </xf>
    <xf numFmtId="0" fontId="4" fillId="9" borderId="1" xfId="0" applyFont="1" applyFill="1" applyBorder="1" applyAlignment="1">
      <alignment horizontal="left" vertical="top"/>
    </xf>
    <xf numFmtId="0" fontId="4" fillId="9" borderId="1" xfId="0" applyFont="1" applyFill="1" applyBorder="1" applyAlignment="1">
      <alignment horizontal="left" vertical="top" wrapText="1"/>
    </xf>
    <xf numFmtId="0" fontId="3" fillId="9" borderId="1" xfId="0" applyFont="1" applyFill="1" applyBorder="1" applyAlignment="1">
      <alignment horizontal="center" vertical="top"/>
    </xf>
    <xf numFmtId="0" fontId="3" fillId="9" borderId="1" xfId="0" applyFont="1" applyFill="1" applyBorder="1" applyAlignment="1">
      <alignment vertical="center" wrapText="1"/>
    </xf>
    <xf numFmtId="0" fontId="0" fillId="9" borderId="0" xfId="0" applyFill="1" applyAlignment="1">
      <alignment vertical="center"/>
    </xf>
    <xf numFmtId="0" fontId="17" fillId="9" borderId="1" xfId="0" applyFont="1" applyFill="1" applyBorder="1" applyAlignment="1">
      <alignment horizontal="left" vertical="top" wrapText="1"/>
    </xf>
    <xf numFmtId="0" fontId="17" fillId="9" borderId="1" xfId="0" applyFont="1" applyFill="1" applyBorder="1" applyAlignment="1">
      <alignment horizontal="left" vertical="top"/>
    </xf>
    <xf numFmtId="0" fontId="1" fillId="9" borderId="1" xfId="0" applyFont="1" applyFill="1" applyBorder="1" applyAlignment="1">
      <alignment vertical="center" wrapText="1"/>
    </xf>
    <xf numFmtId="0" fontId="0" fillId="9" borderId="1" xfId="0" quotePrefix="1" applyFill="1" applyBorder="1" applyAlignment="1">
      <alignment horizontal="left" vertical="top" wrapText="1"/>
    </xf>
    <xf numFmtId="0" fontId="4" fillId="9" borderId="1" xfId="0" applyFont="1" applyFill="1" applyBorder="1" applyAlignment="1">
      <alignment vertical="top" wrapText="1"/>
    </xf>
    <xf numFmtId="0" fontId="18" fillId="9" borderId="1" xfId="0" applyFont="1" applyFill="1" applyBorder="1" applyAlignment="1">
      <alignment vertical="center" wrapText="1"/>
    </xf>
    <xf numFmtId="0" fontId="0" fillId="9" borderId="0" xfId="0" applyFill="1"/>
    <xf numFmtId="164" fontId="0" fillId="9" borderId="1" xfId="0" applyNumberFormat="1" applyFill="1" applyBorder="1" applyAlignment="1">
      <alignment horizontal="left" vertical="top" wrapText="1"/>
    </xf>
    <xf numFmtId="172" fontId="0" fillId="9" borderId="1" xfId="0" applyNumberFormat="1" applyFill="1" applyBorder="1" applyAlignment="1">
      <alignment vertical="center"/>
    </xf>
    <xf numFmtId="0" fontId="0" fillId="9" borderId="1" xfId="0" applyFill="1" applyBorder="1" applyAlignment="1">
      <alignment vertical="center"/>
    </xf>
    <xf numFmtId="0" fontId="29" fillId="9" borderId="0" xfId="0" applyFont="1" applyFill="1" applyAlignment="1">
      <alignment vertical="top" wrapText="1"/>
    </xf>
    <xf numFmtId="4" fontId="0" fillId="9" borderId="4" xfId="0" applyNumberFormat="1" applyFill="1" applyBorder="1" applyAlignment="1">
      <alignment horizontal="center" vertical="center"/>
    </xf>
    <xf numFmtId="168" fontId="0" fillId="9" borderId="1" xfId="1" applyNumberFormat="1" applyFont="1" applyFill="1" applyBorder="1" applyAlignment="1">
      <alignment horizontal="center" vertical="center"/>
    </xf>
    <xf numFmtId="0" fontId="0" fillId="9" borderId="0" xfId="0" applyFill="1" applyAlignment="1">
      <alignment vertical="center" wrapText="1"/>
    </xf>
    <xf numFmtId="0" fontId="30" fillId="11" borderId="1" xfId="3" applyBorder="1" applyAlignment="1">
      <alignment horizontal="center" vertical="top" wrapText="1"/>
    </xf>
    <xf numFmtId="0" fontId="30" fillId="11" borderId="1" xfId="3" applyBorder="1" applyAlignment="1">
      <alignment horizontal="left" vertical="top" wrapText="1"/>
    </xf>
    <xf numFmtId="1" fontId="30" fillId="11" borderId="1" xfId="3" applyNumberFormat="1" applyBorder="1" applyAlignment="1">
      <alignment horizontal="center" vertical="center" wrapText="1"/>
    </xf>
    <xf numFmtId="3" fontId="30" fillId="11" borderId="1" xfId="3" applyNumberFormat="1" applyBorder="1" applyAlignment="1">
      <alignment horizontal="center" vertical="center"/>
    </xf>
    <xf numFmtId="3" fontId="30" fillId="11" borderId="1" xfId="3" applyNumberFormat="1" applyBorder="1" applyAlignment="1">
      <alignment horizontal="center" vertical="center" wrapText="1"/>
    </xf>
    <xf numFmtId="4" fontId="30" fillId="11" borderId="1" xfId="3" applyNumberFormat="1" applyBorder="1" applyAlignment="1">
      <alignment horizontal="center" vertical="center"/>
    </xf>
    <xf numFmtId="4" fontId="30" fillId="11" borderId="1" xfId="3" applyNumberFormat="1" applyBorder="1" applyAlignment="1">
      <alignment horizontal="center" vertical="center" wrapText="1"/>
    </xf>
    <xf numFmtId="0" fontId="30" fillId="11" borderId="1" xfId="3" applyBorder="1" applyAlignment="1">
      <alignment vertical="center" wrapText="1"/>
    </xf>
    <xf numFmtId="0" fontId="30" fillId="11" borderId="1" xfId="3" applyBorder="1" applyAlignment="1">
      <alignment horizontal="center" vertical="top"/>
    </xf>
    <xf numFmtId="0" fontId="30" fillId="11" borderId="1" xfId="3" applyBorder="1" applyAlignment="1">
      <alignment horizontal="center" vertical="center"/>
    </xf>
    <xf numFmtId="0" fontId="30" fillId="11" borderId="1" xfId="3" applyBorder="1" applyAlignment="1">
      <alignment vertical="top" wrapText="1"/>
    </xf>
    <xf numFmtId="0" fontId="30" fillId="9" borderId="0" xfId="3" applyFill="1" applyAlignment="1">
      <alignment vertical="top"/>
    </xf>
    <xf numFmtId="0" fontId="30" fillId="11" borderId="1" xfId="3" applyBorder="1" applyAlignment="1">
      <alignment horizontal="left" vertical="top"/>
    </xf>
    <xf numFmtId="0" fontId="30" fillId="11" borderId="1" xfId="3" applyBorder="1" applyAlignment="1">
      <alignment wrapText="1"/>
    </xf>
    <xf numFmtId="0" fontId="30" fillId="11" borderId="4" xfId="3" applyBorder="1" applyAlignment="1">
      <alignment horizontal="left" vertical="top" wrapText="1"/>
    </xf>
    <xf numFmtId="0" fontId="30" fillId="9" borderId="0" xfId="3" applyFill="1" applyAlignment="1">
      <alignment vertical="center" wrapText="1"/>
    </xf>
    <xf numFmtId="0" fontId="0" fillId="9" borderId="0" xfId="0" applyFill="1" applyAlignment="1">
      <alignment horizontal="center" vertical="center"/>
    </xf>
    <xf numFmtId="0" fontId="1" fillId="9" borderId="0" xfId="0" applyFont="1" applyFill="1" applyAlignment="1">
      <alignment horizontal="center" vertical="center"/>
    </xf>
    <xf numFmtId="0" fontId="30" fillId="11" borderId="1" xfId="3" applyBorder="1" applyAlignment="1">
      <alignment horizontal="left" vertical="center"/>
    </xf>
    <xf numFmtId="0" fontId="30" fillId="11" borderId="1" xfId="3" applyBorder="1" applyAlignment="1">
      <alignment vertical="top"/>
    </xf>
    <xf numFmtId="4" fontId="30" fillId="11" borderId="4" xfId="3" applyNumberFormat="1" applyBorder="1" applyAlignment="1">
      <alignment horizontal="center" vertical="center"/>
    </xf>
    <xf numFmtId="8" fontId="17" fillId="0" borderId="4" xfId="0" applyNumberFormat="1" applyFont="1" applyBorder="1" applyAlignment="1">
      <alignment horizontal="center" vertical="center"/>
    </xf>
    <xf numFmtId="0" fontId="17" fillId="0" borderId="16" xfId="0" applyFont="1" applyBorder="1" applyAlignment="1">
      <alignment horizontal="left" vertical="center" wrapText="1"/>
    </xf>
    <xf numFmtId="0" fontId="29" fillId="0" borderId="1" xfId="0" applyFont="1" applyBorder="1" applyAlignment="1">
      <alignment vertical="top" wrapText="1"/>
    </xf>
    <xf numFmtId="0" fontId="30" fillId="11" borderId="1" xfId="3" applyBorder="1" applyAlignment="1">
      <alignment horizontal="left" vertical="center" wrapText="1"/>
    </xf>
    <xf numFmtId="0" fontId="30" fillId="11" borderId="1" xfId="3" applyBorder="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4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12" fillId="0" borderId="0" xfId="0" applyFont="1" applyAlignment="1">
      <alignment horizontal="center"/>
    </xf>
    <xf numFmtId="0" fontId="12" fillId="8" borderId="0" xfId="0" applyFont="1" applyFill="1" applyAlignment="1">
      <alignment horizontal="center" vertical="center" wrapText="1"/>
    </xf>
    <xf numFmtId="0" fontId="1" fillId="0" borderId="0" xfId="0" applyFont="1" applyAlignment="1">
      <alignment horizontal="center" wrapText="1"/>
    </xf>
    <xf numFmtId="0" fontId="0" fillId="0" borderId="1" xfId="0" applyBorder="1" applyAlignment="1">
      <alignment horizontal="left" vertical="top"/>
    </xf>
    <xf numFmtId="0" fontId="30" fillId="12" borderId="1" xfId="3" applyFill="1" applyBorder="1" applyAlignment="1">
      <alignment horizontal="left" vertical="top" wrapText="1"/>
    </xf>
    <xf numFmtId="0" fontId="0" fillId="12" borderId="1" xfId="0" applyFill="1" applyBorder="1" applyAlignment="1">
      <alignment horizontal="left" vertical="top" wrapText="1"/>
    </xf>
    <xf numFmtId="165" fontId="0" fillId="0" borderId="1" xfId="0" applyNumberFormat="1" applyBorder="1" applyAlignment="1">
      <alignment horizontal="center" vertical="center"/>
    </xf>
    <xf numFmtId="3" fontId="3" fillId="0" borderId="1" xfId="0" applyNumberFormat="1" applyFont="1" applyBorder="1" applyAlignment="1">
      <alignment horizontal="center"/>
    </xf>
    <xf numFmtId="173" fontId="5" fillId="0" borderId="1" xfId="0" applyNumberFormat="1" applyFont="1" applyBorder="1" applyAlignment="1">
      <alignment horizontal="center"/>
    </xf>
    <xf numFmtId="0" fontId="9" fillId="0" borderId="0" xfId="0" applyFont="1" applyAlignment="1">
      <alignment horizontal="left" vertical="center" wrapText="1"/>
    </xf>
    <xf numFmtId="0" fontId="21" fillId="0" borderId="0" xfId="0" applyFont="1" applyAlignment="1">
      <alignment horizontal="left" vertical="center" wrapText="1"/>
    </xf>
    <xf numFmtId="0" fontId="20" fillId="0" borderId="4" xfId="0" applyFont="1" applyBorder="1" applyAlignment="1">
      <alignment horizontal="right" vertical="center"/>
    </xf>
    <xf numFmtId="0" fontId="20" fillId="0" borderId="9" xfId="0" applyFont="1" applyBorder="1" applyAlignment="1">
      <alignment horizontal="right" vertical="center"/>
    </xf>
    <xf numFmtId="0" fontId="8" fillId="0" borderId="1" xfId="0" applyFont="1" applyBorder="1" applyAlignment="1">
      <alignment horizontal="left" vertical="center"/>
    </xf>
    <xf numFmtId="0" fontId="8" fillId="0" borderId="4" xfId="0" applyFont="1" applyBorder="1" applyAlignment="1">
      <alignment horizontal="left" vertical="center"/>
    </xf>
    <xf numFmtId="0" fontId="8" fillId="0" borderId="38" xfId="0" applyFont="1" applyBorder="1" applyAlignment="1">
      <alignment horizontal="left" vertical="center"/>
    </xf>
    <xf numFmtId="4" fontId="1" fillId="10" borderId="22" xfId="0" applyNumberFormat="1" applyFont="1" applyFill="1" applyBorder="1" applyAlignment="1">
      <alignment horizontal="center" vertical="center"/>
    </xf>
    <xf numFmtId="0" fontId="8" fillId="0" borderId="4" xfId="0" applyFont="1" applyBorder="1" applyAlignment="1">
      <alignment horizontal="left" vertical="center" wrapText="1"/>
    </xf>
    <xf numFmtId="0" fontId="8" fillId="0" borderId="38" xfId="0" applyFont="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4" borderId="1" xfId="0" applyFont="1" applyFill="1" applyBorder="1" applyAlignment="1">
      <alignment horizontal="right" vertical="center"/>
    </xf>
    <xf numFmtId="0" fontId="8" fillId="0" borderId="1" xfId="0" applyFont="1" applyBorder="1" applyAlignment="1">
      <alignment horizontal="left" vertical="center" wrapText="1"/>
    </xf>
    <xf numFmtId="0" fontId="1" fillId="2" borderId="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8" xfId="0" applyFont="1" applyFill="1" applyBorder="1" applyAlignment="1">
      <alignment horizontal="center" vertical="center"/>
    </xf>
    <xf numFmtId="0" fontId="20" fillId="0" borderId="1" xfId="0" applyFont="1" applyBorder="1" applyAlignment="1">
      <alignment horizontal="right" vertical="top" wrapText="1"/>
    </xf>
    <xf numFmtId="0" fontId="9" fillId="0" borderId="4" xfId="0" applyFont="1" applyBorder="1" applyAlignment="1">
      <alignment horizontal="left" vertical="center" wrapText="1"/>
    </xf>
    <xf numFmtId="0" fontId="9" fillId="0" borderId="9" xfId="0" applyFont="1" applyBorder="1" applyAlignment="1">
      <alignment horizontal="left" vertical="center" wrapText="1"/>
    </xf>
    <xf numFmtId="0" fontId="9" fillId="0" borderId="38"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4" borderId="1" xfId="0" applyFont="1" applyFill="1" applyBorder="1" applyAlignment="1">
      <alignment horizontal="right" vertical="top"/>
    </xf>
    <xf numFmtId="0" fontId="9" fillId="0" borderId="1" xfId="0" applyFont="1" applyBorder="1" applyAlignment="1">
      <alignment horizontal="left" vertical="center" wrapText="1"/>
    </xf>
    <xf numFmtId="0" fontId="9" fillId="0" borderId="4" xfId="0" applyFont="1" applyBorder="1" applyAlignment="1">
      <alignment horizontal="left" vertical="center"/>
    </xf>
    <xf numFmtId="0" fontId="9" fillId="0" borderId="38" xfId="0" applyFont="1" applyBorder="1" applyAlignment="1">
      <alignment horizontal="left" vertical="center"/>
    </xf>
    <xf numFmtId="0" fontId="1" fillId="4" borderId="1" xfId="0" applyFont="1" applyFill="1" applyBorder="1" applyAlignment="1">
      <alignment horizontal="right"/>
    </xf>
    <xf numFmtId="0" fontId="1" fillId="2" borderId="1" xfId="0" applyFont="1" applyFill="1" applyBorder="1" applyAlignment="1">
      <alignment horizontal="center" vertical="center"/>
    </xf>
    <xf numFmtId="0" fontId="1" fillId="10" borderId="2" xfId="0" applyFont="1" applyFill="1" applyBorder="1" applyAlignment="1">
      <alignment horizontal="center" vertical="center"/>
    </xf>
    <xf numFmtId="0" fontId="1" fillId="0" borderId="1" xfId="0" applyFont="1" applyBorder="1" applyAlignment="1">
      <alignment horizontal="left" vertical="center"/>
    </xf>
    <xf numFmtId="0" fontId="5" fillId="0" borderId="41" xfId="0" applyFont="1" applyBorder="1" applyAlignment="1">
      <alignment horizontal="center" vertical="center" wrapText="1"/>
    </xf>
    <xf numFmtId="0" fontId="5"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4" xfId="0" applyFont="1" applyBorder="1" applyAlignment="1">
      <alignment horizontal="center" vertical="center"/>
    </xf>
    <xf numFmtId="0" fontId="4" fillId="0" borderId="39"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37" xfId="0" applyFont="1" applyBorder="1" applyAlignment="1">
      <alignment horizontal="center" vertical="center" wrapText="1"/>
    </xf>
    <xf numFmtId="0" fontId="7" fillId="0" borderId="0" xfId="0" applyFont="1" applyAlignment="1">
      <alignment horizontal="left"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27" xfId="0"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5" borderId="49" xfId="0" applyFont="1" applyFill="1" applyBorder="1" applyAlignment="1">
      <alignment horizontal="right"/>
    </xf>
    <xf numFmtId="0" fontId="1" fillId="5" borderId="45" xfId="0" applyFont="1" applyFill="1" applyBorder="1" applyAlignment="1">
      <alignment horizontal="right"/>
    </xf>
    <xf numFmtId="0" fontId="1" fillId="0" borderId="25" xfId="0" applyFont="1" applyBorder="1" applyAlignment="1">
      <alignment horizontal="left"/>
    </xf>
    <xf numFmtId="0" fontId="1" fillId="0" borderId="6" xfId="0" applyFont="1" applyBorder="1" applyAlignment="1">
      <alignment horizontal="left"/>
    </xf>
    <xf numFmtId="0" fontId="1" fillId="0" borderId="26" xfId="0" applyFont="1" applyBorder="1" applyAlignment="1">
      <alignment horizontal="left"/>
    </xf>
    <xf numFmtId="0" fontId="1" fillId="0" borderId="27" xfId="0" applyFont="1" applyBorder="1" applyAlignment="1">
      <alignment horizontal="left"/>
    </xf>
    <xf numFmtId="0" fontId="1" fillId="0" borderId="7" xfId="0" applyFont="1" applyBorder="1" applyAlignment="1">
      <alignment horizontal="left"/>
    </xf>
    <xf numFmtId="0" fontId="1" fillId="0" borderId="28" xfId="0" applyFont="1" applyBorder="1" applyAlignment="1">
      <alignment horizontal="left"/>
    </xf>
    <xf numFmtId="0" fontId="1" fillId="5" borderId="25" xfId="0" applyFont="1" applyFill="1" applyBorder="1" applyAlignment="1">
      <alignment horizontal="right"/>
    </xf>
    <xf numFmtId="0" fontId="1" fillId="5" borderId="46" xfId="0" applyFont="1" applyFill="1" applyBorder="1" applyAlignment="1">
      <alignment horizontal="right"/>
    </xf>
    <xf numFmtId="0" fontId="2" fillId="0" borderId="1" xfId="0" applyFont="1" applyBorder="1"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19" fillId="0" borderId="0" xfId="0" applyFont="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4" xfId="0" applyFont="1" applyBorder="1" applyAlignment="1">
      <alignment horizontal="center" vertical="center"/>
    </xf>
    <xf numFmtId="0" fontId="1" fillId="0" borderId="57" xfId="0" applyFont="1" applyBorder="1" applyAlignment="1">
      <alignment horizontal="center" vertical="center"/>
    </xf>
    <xf numFmtId="0" fontId="12" fillId="0" borderId="0" xfId="0" applyFont="1" applyAlignment="1">
      <alignment horizontal="center"/>
    </xf>
    <xf numFmtId="0" fontId="12" fillId="0" borderId="10" xfId="0" applyFont="1" applyBorder="1" applyAlignment="1">
      <alignment horizontal="center"/>
    </xf>
    <xf numFmtId="0" fontId="12" fillId="6" borderId="43" xfId="0" applyFont="1" applyFill="1" applyBorder="1" applyAlignment="1">
      <alignment horizontal="center" wrapText="1"/>
    </xf>
    <xf numFmtId="0" fontId="12" fillId="6" borderId="0" xfId="0" applyFont="1" applyFill="1" applyAlignment="1">
      <alignment horizontal="center" wrapText="1"/>
    </xf>
    <xf numFmtId="0" fontId="12" fillId="8" borderId="0" xfId="0" applyFont="1" applyFill="1" applyAlignment="1">
      <alignment horizontal="center" vertical="center" wrapText="1"/>
    </xf>
    <xf numFmtId="0" fontId="12" fillId="6" borderId="44" xfId="0" applyFont="1" applyFill="1" applyBorder="1" applyAlignment="1">
      <alignment horizontal="center"/>
    </xf>
    <xf numFmtId="0" fontId="12" fillId="6" borderId="0" xfId="0" applyFont="1" applyFill="1" applyAlignment="1">
      <alignment horizontal="center"/>
    </xf>
  </cellXfs>
  <cellStyles count="4">
    <cellStyle name="Comma" xfId="2" builtinId="3"/>
    <cellStyle name="Good" xfId="3" builtinId="26"/>
    <cellStyle name="Normal" xfId="0" builtinId="0"/>
    <cellStyle name="Percent" xfId="1" builtinId="5"/>
  </cellStyles>
  <dxfs count="0"/>
  <tableStyles count="0" defaultTableStyle="TableStyleMedium2" defaultPivotStyle="PivotStyleLight16"/>
  <colors>
    <mruColors>
      <color rgb="FFC6EFCE"/>
      <color rgb="FF66FF66"/>
      <color rgb="FFFFB7B7"/>
      <color rgb="FFFF9999"/>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516467</xdr:colOff>
      <xdr:row>6</xdr:row>
      <xdr:rowOff>0</xdr:rowOff>
    </xdr:from>
    <xdr:to>
      <xdr:col>13</xdr:col>
      <xdr:colOff>25400</xdr:colOff>
      <xdr:row>6</xdr:row>
      <xdr:rowOff>592666</xdr:rowOff>
    </xdr:to>
    <xdr:sp macro="" textlink="">
      <xdr:nvSpPr>
        <xdr:cNvPr id="2" name="TextBox 1">
          <a:extLst>
            <a:ext uri="{FF2B5EF4-FFF2-40B4-BE49-F238E27FC236}">
              <a16:creationId xmlns:a16="http://schemas.microsoft.com/office/drawing/2014/main" id="{4F3884E6-858A-454C-8DD5-EF269F684937}"/>
            </a:ext>
          </a:extLst>
        </xdr:cNvPr>
        <xdr:cNvSpPr txBox="1"/>
      </xdr:nvSpPr>
      <xdr:spPr>
        <a:xfrm>
          <a:off x="8915400" y="465667"/>
          <a:ext cx="3776133" cy="59266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FNS estimates that 100% of State Agency responses are electronic, and that 50% of all other responses are electronic. </a:t>
          </a:r>
        </a:p>
        <a:p>
          <a:r>
            <a:rPr lang="en-US" sz="1100" b="1">
              <a:solidFill>
                <a:schemeClr val="dk1"/>
              </a:solidFill>
              <a:effectLst/>
              <a:latin typeface="+mn-lt"/>
              <a:ea typeface="+mn-ea"/>
              <a:cs typeface="+mn-cs"/>
            </a:rPr>
            <a:t>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ICF" id="{8FD889CE-696B-439F-A3BA-C8B4FDEDA30C}" userId="ICF" providerId="None"/>
  <person displayName="Fox, Ethan - FNS" id="{B50899B3-5BBE-4799-9B1A-54BB3B2DAE8F}" userId="S::Ethan.Fox@usda.gov::e3bf22c6-cffd-4b84-826d-6d9f8e4058f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8" dT="2021-05-21T11:13:29.35" personId="{8FD889CE-696B-439F-A3BA-C8B4FDEDA30C}" id="{6C6DC027-8EFD-4989-B5A5-A4FE3698F6EA}">
    <text>FNS assumes that each State agency will revise its written agreement once over the three-year period covered by the ICR.
This number is obtained through the use of a formula.</text>
  </threadedComment>
  <threadedComment ref="K8" dT="2021-05-21T10:56:52.09" personId="{8FD889CE-696B-439F-A3BA-C8B4FDEDA30C}" id="{385F1701-0429-4A4D-999E-D8198E257646}">
    <text>In this ICR, this burden is 0 hours because the burden associated with this requirement will be accounted for under the SAE Funds ICR (OMB Control Number 0584-0067), Form FNS-74.</text>
  </threadedComment>
  <threadedComment ref="N8" dT="2021-05-21T10:52:32.55" personId="{8FD889CE-696B-439F-A3BA-C8B4FDEDA30C}" id="{B6748D5E-991E-49CE-8823-5E0D746E012C}">
    <text>In this ICR, this burden is 0 hours because the burden associated with this requirement will be accounted for under the SAE Funds ICR (OMB Control Number 0584-0067), Form FNS-74.</text>
  </threadedComment>
  <threadedComment ref="G9" dT="2021-05-21T10:43:04.07" personId="{8FD889CE-696B-439F-A3BA-C8B4FDEDA30C}" id="{CEA9C768-A85C-4E65-A5C0-FB8B8E04A75D}">
    <text>This requirement is not covered in the previously approved ICR.</text>
  </threadedComment>
  <threadedComment ref="I9" dT="2021-05-21T10:43:04.07" personId="{8FD889CE-696B-439F-A3BA-C8B4FDEDA30C}" id="{35E70D99-7CF1-4DEF-872A-16F931576448}">
    <text>This requirement is not covered in the previously approved ICR.</text>
  </threadedComment>
  <threadedComment ref="K9" dT="2021-05-21T10:57:11.72" personId="{8FD889CE-696B-439F-A3BA-C8B4FDEDA30C}" id="{7E0256CD-45D7-4420-8E4A-BDDCAE89D63B}">
    <text>This is the number of new institutions per State Agency.
This number is obtained through the use of a formula.</text>
  </threadedComment>
  <threadedComment ref="G10" dT="2021-05-21T10:43:17.79" personId="{8FD889CE-696B-439F-A3BA-C8B4FDEDA30C}" id="{605C31BD-2579-4821-AF1F-3A82ABA7411B}">
    <text>This requirement is not covered in the previously approved ICR.</text>
  </threadedComment>
  <threadedComment ref="I10" dT="2021-05-21T10:43:17.79" personId="{8FD889CE-696B-439F-A3BA-C8B4FDEDA30C}" id="{A64393DC-0257-4B05-AA03-D931609D2C17}">
    <text>This requirement is not covered in the previously approved ICR.</text>
  </threadedComment>
  <threadedComment ref="K10" dT="2021-05-21T10:57:23.22" personId="{8FD889CE-696B-439F-A3BA-C8B4FDEDA30C}" id="{D796B19A-59CE-4A33-8E58-29E3719AC456}">
    <text>This is the number of sponsoring organizations (centers and homes) per State Agency.
This number is obtained through the use of a formula.</text>
  </threadedComment>
  <threadedComment ref="M13" personId="{8FD889CE-696B-439F-A3BA-C8B4FDEDA30C}" id="{0D27372B-C37C-413E-BCFB-6062C137640B}">
    <text>Burden assumption takes into account use of advanced technology.</text>
  </threadedComment>
  <threadedComment ref="G14" dT="2021-05-21T10:43:35.23" personId="{8FD889CE-696B-439F-A3BA-C8B4FDEDA30C}" id="{834E1017-67BA-4023-B0A7-4570C3DC981B}">
    <text>This requirement is not covered in the previously approved ICR.</text>
  </threadedComment>
  <threadedComment ref="I14" dT="2021-05-21T10:43:35.23" personId="{8FD889CE-696B-439F-A3BA-C8B4FDEDA30C}" id="{BEAA3FBC-6874-49DC-BB82-3F183D899C00}">
    <text>This requirement is not covered in the previously approved ICR.</text>
  </threadedComment>
  <threadedComment ref="K14" dT="2021-05-21T10:57:40.09" personId="{8FD889CE-696B-439F-A3BA-C8B4FDEDA30C}" id="{FC26E32C-C0A6-4056-BA69-1C9B7836071C}">
    <text>This is the number of new institutions per State Agency.
This number is obtained through the use of a formula.</text>
  </threadedComment>
  <threadedComment ref="F15" dT="2021-05-21T11:14:22.54" personId="{8FD889CE-696B-439F-A3BA-C8B4FDEDA30C}" id="{D92C37BA-CEE7-4982-8AB8-83A2C0BB9D9D}">
    <text>Added a more detailed list of the requirements.</text>
  </threadedComment>
  <threadedComment ref="H15" dT="2021-05-21T11:14:22.54" personId="{8FD889CE-696B-439F-A3BA-C8B4FDEDA30C}" id="{5BA2C160-A335-4FD2-B2AA-B1DA19DE7372}">
    <text>Added a more detailed list of the requirements.</text>
  </threadedComment>
  <threadedComment ref="H15" dT="2023-07-23T12:54:45.21" personId="{B50899B3-5BBE-4799-9B1A-54BB3B2DAE8F}" id="{4F8B3222-8F21-4329-9A68-CEBD83D155BA}" parentId="{5BA2C160-A335-4FD2-B2AA-B1DA19DE7372}">
    <text>The prior requirements lumped the SD process for new applicants and participating institutions together. The new SD rule keeps new applicants under 226.6 while moving participating institutions to 226.25.</text>
  </threadedComment>
  <threadedComment ref="K15" dT="2023-07-23T12:56:03.50" personId="{B50899B3-5BBE-4799-9B1A-54BB3B2DAE8F}" id="{5BEF16A4-15DE-4875-9DD5-FE7B7D92ABA3}">
    <text>Original citation had 10 annual responses per respondent. Changed to 5 responses per respondent to match the number of new applicants FNS expects from citation 226.6(b)(4).</text>
  </threadedComment>
  <threadedComment ref="M15" personId="{8FD889CE-696B-439F-A3BA-C8B4FDEDA30C}" id="{0D27372B-C37C-413F-BCFB-6062C137640B}">
    <text>Burden assumption takes into account use of advanced technology.</text>
  </threadedComment>
  <threadedComment ref="G16" personId="{8FD889CE-696B-439F-A3BA-C8B4FDEDA30C}" id="{2A5995BC-BF35-48A7-B5C4-02BB7BDA8C41}">
    <text>This requirement is not covered in the previously approved ICR.</text>
  </threadedComment>
  <threadedComment ref="K16" personId="{8FD889CE-696B-439F-A3BA-C8B4FDEDA30C}" id="{47B91E52-E573-434F-A424-635BD13076AD}">
    <text>FNS assumes that 7 out of the 10 institutions with seriuosly deficient notices received this type of notification.</text>
  </threadedComment>
  <threadedComment ref="M16" personId="{8FD889CE-696B-439F-A3BA-C8B4FDEDA30C}" id="{9C8C135F-803E-467E-9130-CE1489C6557A}">
    <text>Burden assumption takes into account use of advanced technology.</text>
  </threadedComment>
  <threadedComment ref="G17" personId="{8FD889CE-696B-439F-A3BA-C8B4FDEDA30C}" id="{ADCB682A-40A5-4EDE-9E85-16333D15ACF2}">
    <text>This requirement is not covered in the previously approved ICR.</text>
  </threadedComment>
  <threadedComment ref="K17" dT="2021-05-21T10:58:09.36" personId="{8FD889CE-696B-439F-A3BA-C8B4FDEDA30C}" id="{7B8EDE31-8F75-41A4-9434-98BB1C3BA71A}">
    <text>FNS assumes that 3 out of 10 sponsoring organizations will fail to correct serious deficiencies and will continue through the serious deficiency process, and subsequent disqualification</text>
  </threadedComment>
  <threadedComment ref="M17" personId="{8FD889CE-696B-439F-A3BA-C8B4FDEDA30C}" id="{2C39D737-3B60-4FDA-9516-F48DAF5EEA8A}">
    <text>Assumed same burden as the notice of agreement termination (if applicable) and disqualification.</text>
  </threadedComment>
  <threadedComment ref="F18" dT="2021-05-21T11:14:38.59" personId="{8FD889CE-696B-439F-A3BA-C8B4FDEDA30C}" id="{593F52F8-2809-4F46-80A0-FCECE6DD544C}">
    <text>Added a more detailed list of the requirements.</text>
  </threadedComment>
  <threadedComment ref="K18" dT="2021-05-21T10:58:28.46" personId="{8FD889CE-696B-439F-A3BA-C8B4FDEDA30C}" id="{0EE4E1AA-1DEF-4D49-B859-3E6AED86DDE9}">
    <text>FNS assumes that 3 out of 10 sponsoring organizations will fail to correct serious deficiencies and will continue through the serious deficiency process, and subsequent disqualification.
Based on program data/experience, the number of responses per respondent was reduced from 10 to 3.</text>
  </threadedComment>
  <threadedComment ref="M18" personId="{8FD889CE-696B-439F-A3BA-C8B4FDEDA30C}" id="{C104C0E3-7776-42C0-846D-08B856C73E5F}">
    <text>Burden assumption takes into account use of advanced technology.</text>
  </threadedComment>
  <threadedComment ref="K19" dT="2021-05-21T10:58:38.58" personId="{8FD889CE-696B-439F-A3BA-C8B4FDEDA30C}" id="{AFE4C33D-9065-41E0-AD55-7C70F74E41F0}">
    <text>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ext>
  </threadedComment>
  <threadedComment ref="M19" personId="{8FD889CE-696B-439F-A3BA-C8B4FDEDA30C}" id="{C104C0E3-7776-42C1-846D-08B856C73E5F}">
    <text>Burden assumption takes into account use of advanced technology.</text>
  </threadedComment>
  <threadedComment ref="F20" dT="2021-05-21T11:14:47.22" personId="{8FD889CE-696B-439F-A3BA-C8B4FDEDA30C}" id="{1188EA2D-CB4B-44DA-A4B6-DD0E82C5F9B0}">
    <text>Added a more detailed list of the requirements.</text>
  </threadedComment>
  <threadedComment ref="H20" dT="2021-05-21T11:14:47.22" personId="{8FD889CE-696B-439F-A3BA-C8B4FDEDA30C}" id="{99EEC26A-3A28-4FDC-BF85-7E45EEB990F2}">
    <text>Added a more detailed list of the requirements.</text>
  </threadedComment>
  <threadedComment ref="K20" dT="2021-05-21T10:58:52.41" personId="{8FD889CE-696B-439F-A3BA-C8B4FDEDA30C}" id="{2F3512F9-AFDE-4DFC-AA15-47F9DDE9F188}">
    <text>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ext>
  </threadedComment>
  <threadedComment ref="M20" personId="{8FD889CE-696B-439F-A3BA-C8B4FDEDA30C}" id="{6A08FCCC-EFE7-48B0-8912-A395792885DC}">
    <text>Burden assumption takes into account use of advanced technology.</text>
  </threadedComment>
  <threadedComment ref="J22" dT="2021-05-21T11:13:10.78" personId="{8FD889CE-696B-439F-A3BA-C8B4FDEDA30C}" id="{103456D0-406C-4B13-B548-6A6413E041C1}">
    <text>Most State agencies already have this procedure due to implementation of published guidance.</text>
  </threadedComment>
  <threadedComment ref="J23" personId="{8FD889CE-696B-439F-A3BA-C8B4FDEDA30C}" id="{63BCC381-249B-4CAA-BA0F-6E6B49E1D057}">
    <text>Most State agencies already have this procedure due to implementation of published guidance.</text>
  </threadedComment>
  <threadedComment ref="G24" dT="2021-05-21T10:44:03.26" personId="{8FD889CE-696B-439F-A3BA-C8B4FDEDA30C}" id="{9154E320-6F49-4644-B885-5FFD651B9EFB}">
    <text>This requirement is not covered in the previously approved ICR.</text>
  </threadedComment>
  <threadedComment ref="I24" dT="2021-05-21T10:44:03.26" personId="{8FD889CE-696B-439F-A3BA-C8B4FDEDA30C}" id="{F5235CB6-14EB-4828-9E71-3D048022C536}">
    <text>This requirement is not covered in the previously approved ICR.</text>
  </threadedComment>
  <threadedComment ref="G25" dT="2021-05-21T10:44:12.60" personId="{8FD889CE-696B-439F-A3BA-C8B4FDEDA30C}" id="{617D2DDB-0C53-49E1-BA6D-D3CE1124F8B2}">
    <text>This requirement is not covered in the previously approved ICR.</text>
  </threadedComment>
  <threadedComment ref="I25" dT="2021-05-21T10:44:12.60" personId="{8FD889CE-696B-439F-A3BA-C8B4FDEDA30C}" id="{86FCC841-0815-47BB-9A55-7BE34FE6CA69}">
    <text>This requirement is not covered in the previously approved ICR.</text>
  </threadedComment>
  <threadedComment ref="M26" personId="{8FD889CE-696B-439F-A3BA-C8B4FDEDA30C}" id="{45250181-A841-4BDE-9E10-9279C6709C35}">
    <text>Burden assumption takes into account use of advanced technology.</text>
  </threadedComment>
  <threadedComment ref="K27" personId="{8FD889CE-696B-439F-A3BA-C8B4FDEDA30C}" id="{7673BFDA-96B7-44CD-A10A-4936AACEB029}">
    <text>This is the number of sponsors per State Agency.
This number is obtained through the use of a formula.
Due to reduction in number of sponsoring organizations of day care homes, the number of responses per respondent decreased from 15 to 11.</text>
  </threadedComment>
  <threadedComment ref="M27" personId="{8FD889CE-696B-439F-A3BA-C8B4FDEDA30C}" id="{29E4E4E5-BE42-473F-BD40-896DB9D77F67}">
    <text>Burden assumption takes into account use of advanced technology.</text>
  </threadedComment>
  <threadedComment ref="K28" personId="{8FD889CE-696B-439F-A3BA-C8B4FDEDA30C}" id="{C2C45033-C236-4977-A5D5-90CD55C1143D}">
    <text>This is the number of sponsors per State Agency.
This number is obtained through the use of a formula.
Due to reduction in number of sponsoring organizations of day care homes, the number of responses per respondent drecreased from 15 to 11.</text>
  </threadedComment>
  <threadedComment ref="M28" personId="{8FD889CE-696B-439F-A3BA-C8B4FDEDA30C}" id="{9EA04705-8E75-49AE-9FE1-3FE957387CB7}">
    <text>Burden assumption takes into account use of advanced technology.</text>
  </threadedComment>
  <threadedComment ref="M30" dT="2021-05-21T11:16:16.00" personId="{8FD889CE-696B-439F-A3BA-C8B4FDEDA30C}" id="{4D4C1613-3F0D-4B96-82C8-E43CFD86D65E}">
    <text>Revised hourly burden from 0.25 hours to 2 hours based on public comments received in response to 60-day Federal Register Notice.</text>
  </threadedComment>
  <threadedComment ref="K31" personId="{8FD889CE-696B-439F-A3BA-C8B4FDEDA30C}" id="{2DCEA17D-AAAE-44B2-AB4D-E806776065EE}">
    <text>This is the number of sponsors per State Agency.
This number is obtained through the use of a formula.
Due to reduction in number of sponsoring organizations of day care homes, the number of responses per respondent decreased from 15 to 11.</text>
  </threadedComment>
  <threadedComment ref="M31" personId="{8FD889CE-696B-439F-A3BA-C8B4FDEDA30C}" id="{28E3CFC5-032C-4BE7-8621-C7463B4D0A5A}">
    <text>Burden assumption takes into account use of advanced technology.</text>
  </threadedComment>
  <threadedComment ref="J32" personId="{8FD889CE-696B-439F-A3BA-C8B4FDEDA30C}" id="{20F926F3-0C29-4500-BB8E-B79BE6676FCA}">
    <text>CND estimates that only 15 State Agencies distribute commodities to CACFP institutions; the majority provide cash-in-lieu of commodities.</text>
  </threadedComment>
  <threadedComment ref="M32" personId="{8FD889CE-696B-439F-A3BA-C8B4FDEDA30C}" id="{06196694-12CB-4CA4-A361-2D9A981EC57F}">
    <text>Burden assumption takes into account use of advanced technology.</text>
  </threadedComment>
  <threadedComment ref="M33" dT="2021-05-21T10:53:48.84" personId="{8FD889CE-696B-439F-A3BA-C8B4FDEDA30C}" id="{A9CC1B6E-02E0-4465-8FCA-C2153C64DEA5}">
    <text>Revised hourly burden from 0.25 hours to 1 hour based on public comments received in response to 60-day Federal Register Notice.</text>
  </threadedComment>
  <threadedComment ref="M34" personId="{8FD889CE-696B-439F-A3BA-C8B4FDEDA30C}" id="{DDF42CBE-C71B-4365-BBB2-40D16EB0F20B}">
    <text>Burden assumption takes into account use of advanced technology.</text>
  </threadedComment>
  <threadedComment ref="M35" personId="{8FD889CE-696B-439F-A3BA-C8B4FDEDA30C}" id="{48392310-1CAC-46C6-B97A-77A9BC6367F5}">
    <text>Burden assumption takes into account use of advanced technology/automation.</text>
  </threadedComment>
  <threadedComment ref="G36" dT="2021-05-21T10:45:15.30" personId="{8FD889CE-696B-439F-A3BA-C8B4FDEDA30C}" id="{BBA347AD-196D-4D84-A3A6-B8CB4FF847B0}">
    <text>This requirement is not covered in the previously approved ICR.</text>
  </threadedComment>
  <threadedComment ref="I36" dT="2021-05-21T10:45:15.30" personId="{8FD889CE-696B-439F-A3BA-C8B4FDEDA30C}" id="{42C03854-CCF8-4CEC-B916-08DE16F45154}">
    <text>This requirement is not covered in the previously approved ICR.</text>
  </threadedComment>
  <threadedComment ref="K36" dT="2021-05-21T11:04:29.98" personId="{8FD889CE-696B-439F-A3BA-C8B4FDEDA30C}" id="{9DDFA1FE-EAD6-44D8-9BB2-347EB26AC92C}">
    <text>[Sponsoring organizations (centers and homes)] / [Number of State Agencies]; rounded</text>
  </threadedComment>
  <threadedComment ref="J49" personId="{8FD889CE-696B-439F-A3BA-C8B4FDEDA30C}" id="{734B945F-4D4D-4792-A150-E2C2BD76D5D1}">
    <text>Management Evaluations/Audits are on a 2-year cycle.</text>
  </threadedComment>
  <threadedComment ref="M49" personId="{8FD889CE-696B-439F-A3BA-C8B4FDEDA30C}" id="{AEB64DEC-0E18-4B8E-B280-10A82B4714AC}">
    <text>Burden assumption takes into account use of advanced technology/automation.</text>
  </threadedComment>
  <threadedComment ref="N50" dT="2022-02-13T13:01:26.15" personId="{8FD889CE-696B-439F-A3BA-C8B4FDEDA30C}" id="{2D5C79FF-6DDC-4DE0-87D5-6F39E7E95FB9}">
    <text>The burden is 0 hours because the burden is already captured in the Food Programs Reporting System (FPRS) ICR, information collection with OMB Control Number 0584 0594, Form FNS-44.</text>
  </threadedComment>
  <threadedComment ref="G51" personId="{8FD889CE-696B-439F-A3BA-C8B4FDEDA30C}" id="{9751B0FD-0EC2-4CD6-A69E-153F2218F7FA}">
    <text>This requirement is not covered in the previously approved ICR.</text>
  </threadedComment>
  <threadedComment ref="I51" personId="{8FD889CE-696B-439F-A3BA-C8B4FDEDA30C}" id="{693ECF5D-4AEF-438A-992A-FD4DB8BC31E4}">
    <text>This requirement is not covered in the previously approved ICR.</text>
  </threadedComment>
  <threadedComment ref="K51" personId="{8FD889CE-696B-439F-A3BA-C8B4FDEDA30C}" id="{68364983-D4AF-4E4C-9489-7DD9223840DD}">
    <text>Annual activity</text>
  </threadedComment>
  <threadedComment ref="G52" dT="2021-05-21T10:45:38.18" personId="{8FD889CE-696B-439F-A3BA-C8B4FDEDA30C}" id="{77CE12CE-8C0C-44F7-96E3-79890062675C}">
    <text>This requirement is not covered in the previously approved ICR.</text>
  </threadedComment>
  <threadedComment ref="I52" dT="2021-05-21T10:45:38.18" personId="{8FD889CE-696B-439F-A3BA-C8B4FDEDA30C}" id="{765759F0-F070-46A5-95E6-603BD0E800E7}">
    <text>This requirement is not covered in the previously approved ICR.</text>
  </threadedComment>
  <threadedComment ref="K52" dT="2021-05-21T11:05:00.94" personId="{8FD889CE-696B-439F-A3BA-C8B4FDEDA30C}" id="{03C4E75E-F14E-4D8C-B496-FA0CE87ADCCB}">
    <text>[Sponsoring organizations (centers and homes)] / [Number of State Agencies]; rounded
This number is obtained through the use of a formula.</text>
  </threadedComment>
  <threadedComment ref="K54" personId="{8FD889CE-696B-439F-A3BA-C8B4FDEDA30C}" id="{CE4E0E78-C5E2-4BB3-B58A-F936DE1224B6}">
    <text>Each State Agency must process claims once a month.</text>
  </threadedComment>
  <threadedComment ref="M54" personId="{8FD889CE-696B-439F-A3BA-C8B4FDEDA30C}" id="{AF1316D6-FF20-42EB-A516-18918235B5D4}">
    <text>Burden assumption takes into account use of advanced technology.</text>
  </threadedComment>
  <threadedComment ref="M56" personId="{8FD889CE-696B-439F-A3BA-C8B4FDEDA30C}" id="{58FCD074-F69D-4FFB-85D6-5600C9DA3842}">
    <text>Burden assumption takes into account use of advanced technology.</text>
  </threadedComment>
  <threadedComment ref="N57" dT="2022-02-13T13:35:17.44" personId="{8FD889CE-696B-439F-A3BA-C8B4FDEDA30C}" id="{D8C8A399-10BF-4CCB-9344-0EE071742F6D}">
    <text>FNS estimates that none of the 56 SAs plan to use or disclose information about children eligible for free/reduced-price meals in ways not specified in the regulations. Therefore, the total burden hours associated with this requirement is 0.</text>
  </threadedComment>
  <threadedComment ref="N58" dT="2022-02-13T13:36:02.42" personId="{8FD889CE-696B-439F-A3BA-C8B4FDEDA30C}" id="{AC542C87-AA99-4D44-BA2C-68B84A953681}">
    <text>FNS estimates that all 56 SAs already have entered into written agreements with the parties requesting children’s free/reduced-price eligibility information. Therefore, the total burden hours associated with this requirement is 0.</text>
  </threadedComment>
  <threadedComment ref="N59" dT="2022-02-13T13:36:40.41" personId="{8FD889CE-696B-439F-A3BA-C8B4FDEDA30C}" id="{FF0220F4-032C-47D7-8421-F3280F5ACC6D}">
    <text>FNS believes that all administering agencies have already established the policies and procedures governing the use, title, and disposition of equipment. Therefore, the total burden hours associated with this requirement is 0.</text>
  </threadedComment>
  <threadedComment ref="F61" dT="2021-05-21T11:14:22.54" personId="{8FD889CE-696B-439F-A3BA-C8B4FDEDA30C}" id="{470CB5CC-2C0F-4523-B6CB-F04F001AE6BA}">
    <text>Added a more detailed list of the requirements.</text>
  </threadedComment>
  <threadedComment ref="K61" dT="2023-07-23T13:11:50.82" personId="{B50899B3-5BBE-4799-9B1A-54BB3B2DAE8F}" id="{FD943308-DF48-410E-BD88-364BDFA39939}">
    <text>Number of responses adjusted from 10 to 5 by removing the 5 responses that would have been associated with serious management problems from new applicants.</text>
  </threadedComment>
  <threadedComment ref="S61" dT="2023-07-23T13:08:57.77" personId="{B50899B3-5BBE-4799-9B1A-54BB3B2DAE8F}" id="{88695CDD-061A-47E4-85E5-A1C8E0EF10A3}">
    <text>Relocated 226.25 citations add back the burden taken from the original 226.6 burden items in rows 15-18 that now serve as the SD process for new applicants.</text>
  </threadedComment>
  <threadedComment ref="G62" personId="{8FD889CE-696B-439F-A3BA-C8B4FDEDA30C}" id="{F4C38077-CCA7-4A1C-97AC-5DDCCD87010C}">
    <text>This requirement is not covered in the previously approved ICR.</text>
  </threadedComment>
  <threadedComment ref="G63" personId="{8FD889CE-696B-439F-A3BA-C8B4FDEDA30C}" id="{BAAA7D13-A27F-4569-BB29-DF63E77B37FF}">
    <text>This requirement is not covered in the previously approved ICR.</text>
  </threadedComment>
  <threadedComment ref="F64" dT="2021-05-21T11:14:38.59" personId="{8FD889CE-696B-439F-A3BA-C8B4FDEDA30C}" id="{F42189D6-A6D8-4937-92C6-B3D4B0CD9B24}">
    <text>Added a more detailed list of the requirements.</text>
  </threadedComment>
  <threadedComment ref="K65" dT="2023-09-19T14:49:37.56" personId="{B50899B3-5BBE-4799-9B1A-54BB3B2DAE8F}" id="{B1A79269-665B-4BBF-825E-9361F2A2CCF3}">
    <text>Number is the Sum of Institutions, Day Care Homes, and Unaffiliated Centers Divided by the Number of SAs operating CACFP &amp; Multiplied by the 5 Steps of the Serious Deficiency Process.</text>
  </threadedComment>
  <threadedComment ref="G73" personId="{8FD889CE-696B-439F-A3BA-C8B4FDEDA30C}" id="{6C3E3676-F93A-4F8A-945E-E9610D28EC5E}">
    <text>This requirement is not covered in the previously approved ICR.</text>
  </threadedComment>
  <threadedComment ref="G85" dT="2021-05-21T10:45:48.36" personId="{8FD889CE-696B-439F-A3BA-C8B4FDEDA30C}" id="{B9CCE666-8434-4531-95B9-3B52B5484063}">
    <text>This requirement is not covered in the previously approved ICR.</text>
  </threadedComment>
  <threadedComment ref="I85" dT="2021-05-21T10:45:48.36" personId="{8FD889CE-696B-439F-A3BA-C8B4FDEDA30C}" id="{6BFDA12D-35AC-4463-A4A7-E39427BFF28B}">
    <text>This requirement is not covered in the previously approved ICR.</text>
  </threadedComment>
  <threadedComment ref="K87" dT="2021-05-21T11:05:31.54" personId="{8FD889CE-696B-439F-A3BA-C8B4FDEDA30C}" id="{B10BB1BA-856C-4640-AEA0-E7BEBA603F38}">
    <text>Even though this is an annual requirement, institutions submit information on a monthly basis.</text>
  </threadedComment>
  <threadedComment ref="J88" personId="{8FD889CE-696B-439F-A3BA-C8B4FDEDA30C}" id="{1EFF3C2D-797F-4E0D-AC65-658FE5608B77}">
    <text>FNS assumes the only type of local government sponsoring organizations of day care homes would be those for military bases.</text>
  </threadedComment>
  <threadedComment ref="G89" personId="{8FD889CE-696B-439F-A3BA-C8B4FDEDA30C}" id="{2F06F7C2-D49C-4444-864F-0743FBD719B9}">
    <text>This requirement is not covered in the previously approved ICR.</text>
  </threadedComment>
  <threadedComment ref="I89" personId="{8FD889CE-696B-439F-A3BA-C8B4FDEDA30C}" id="{0EC405C3-30FB-4380-AA5C-8ABA8DD3A12A}">
    <text>This requirement is not covered in the previously approved ICR.</text>
  </threadedComment>
  <threadedComment ref="K89" personId="{8FD889CE-696B-439F-A3BA-C8B4FDEDA30C}" id="{69C285E2-0665-4DE5-A243-AE207BF27578}">
    <text>Assumed to be an annual requirement.</text>
  </threadedComment>
  <threadedComment ref="G91" dT="2021-05-21T10:45:58.97" personId="{8FD889CE-696B-439F-A3BA-C8B4FDEDA30C}" id="{4B30402F-0584-4E39-9E31-ACBEC139B763}">
    <text>This requirement is not covered in the previously approved ICR.</text>
  </threadedComment>
  <threadedComment ref="I91" dT="2021-05-21T10:45:58.97" personId="{8FD889CE-696B-439F-A3BA-C8B4FDEDA30C}" id="{FD784AF4-C21D-408F-ABA8-F04E249FB706}">
    <text>This requirement is not covered in the previously approved ICR.</text>
  </threadedComment>
  <threadedComment ref="M92" personId="{8FD889CE-696B-439F-A3BA-C8B4FDEDA30C}" id="{076F887C-8447-43FB-81C9-E530C2D0F5ED}">
    <text>Estimate used in currently approved ICR. 
Burden assumption takes into account electronic transmission.</text>
  </threadedComment>
  <threadedComment ref="G93" dT="2021-05-21T10:46:12.39" personId="{8FD889CE-696B-439F-A3BA-C8B4FDEDA30C}" id="{C448F924-B360-46E4-95FE-0FAE2E5E700D}">
    <text>This requirement is not covered in the previously approved ICR.</text>
  </threadedComment>
  <threadedComment ref="I93" dT="2021-05-21T10:46:12.39" personId="{8FD889CE-696B-439F-A3BA-C8B4FDEDA30C}" id="{F31219FD-C59C-45A9-915F-3011D62EC98B}">
    <text>This requirement is not covered in the previously approved ICR.</text>
  </threadedComment>
  <threadedComment ref="J94" personId="{8FD889CE-696B-439F-A3BA-C8B4FDEDA30C}" id="{33929D39-41CC-4341-81F5-A602C63509B1}">
    <text>FNS assumes the only type of local government sponsoring organizations of day care homes would be those for military bases.</text>
  </threadedComment>
  <threadedComment ref="M96" personId="{8FD889CE-696B-439F-A3BA-C8B4FDEDA30C}" id="{99DAC8F2-0CB0-4D8E-8BAE-43D6F678541D}">
    <text>Estimate used in currently approved ICR. 
Burden assumption takes into account use of advanced technology/automation.</text>
  </threadedComment>
  <threadedComment ref="G97" dT="2021-05-21T10:46:20.47" personId="{8FD889CE-696B-439F-A3BA-C8B4FDEDA30C}" id="{1C0FE529-C2E1-44EA-9833-B4ADC8931A69}">
    <text>This requirement is not covered in the previously approved ICR.</text>
  </threadedComment>
  <threadedComment ref="I97" dT="2021-05-21T10:46:20.47" personId="{8FD889CE-696B-439F-A3BA-C8B4FDEDA30C}" id="{8ECB3DBA-625E-4A4E-86C2-FE2E5FF9BAFD}">
    <text>This requirement is not covered in the previously approved ICR.</text>
  </threadedComment>
  <threadedComment ref="M97" personId="{8FD889CE-696B-439F-A3BA-C8B4FDEDA30C}" id="{A2C99DC0-93AB-487B-A1E8-909DC64EDE13}">
    <text>Based on estimates for other requirements in the currently approved ICR. 
Burden assumption takes into account use of advanced technology.</text>
  </threadedComment>
  <threadedComment ref="G98" dT="2021-05-21T10:46:29.57" personId="{8FD889CE-696B-439F-A3BA-C8B4FDEDA30C}" id="{E6C5191D-0609-4CF6-B016-4D70CEBCB399}">
    <text>This requirement is not covered in the previously approved ICR.</text>
  </threadedComment>
  <threadedComment ref="I98" dT="2021-05-21T10:46:29.57" personId="{8FD889CE-696B-439F-A3BA-C8B4FDEDA30C}" id="{0E9B034C-90CA-41DB-8A5F-4B98C4061962}">
    <text>This requirement is not covered in the previously approved ICR.</text>
  </threadedComment>
  <threadedComment ref="M98" dT="2021-05-21T10:55:06.98" personId="{8FD889CE-696B-439F-A3BA-C8B4FDEDA30C}" id="{95FF7CE4-5E21-4841-82F0-DF8722F2FA11}">
    <text>Assumes that institutions spend 3 hours a month reviewing materials. Thus, in a year, institutions spend 36 hours reviewing FNS materials.</text>
  </threadedComment>
  <threadedComment ref="G99" dT="2021-05-21T10:46:39.44" personId="{8FD889CE-696B-439F-A3BA-C8B4FDEDA30C}" id="{2FDF6743-9162-49EE-98BC-657236CF563E}">
    <text>This requirement is not covered in the previously approved ICR.</text>
  </threadedComment>
  <threadedComment ref="I99" dT="2021-05-21T10:46:39.44" personId="{8FD889CE-696B-439F-A3BA-C8B4FDEDA30C}" id="{851C9EBC-FC21-4C50-8C40-A892CA2DC4EE}">
    <text>This requirement is not covered in the previously approved ICR.</text>
  </threadedComment>
  <threadedComment ref="G100" dT="2021-05-21T10:46:47.33" personId="{8FD889CE-696B-439F-A3BA-C8B4FDEDA30C}" id="{2378B588-BB61-4826-8E1E-259214CF8012}">
    <text>This requirement is not covered in the previously approved ICR.</text>
  </threadedComment>
  <threadedComment ref="I100" dT="2021-05-21T10:46:47.33" personId="{8FD889CE-696B-439F-A3BA-C8B4FDEDA30C}" id="{0FBC24B8-5DD7-41FD-A6F1-1A52BB912C7A}">
    <text>This requirement is not covered in the previously approved ICR.</text>
  </threadedComment>
  <threadedComment ref="G101" dT="2021-05-21T10:51:09.41" personId="{8FD889CE-696B-439F-A3BA-C8B4FDEDA30C}" id="{04E6E657-037B-4037-8932-3D21687D846C}">
    <text>This requirement is not covered in the previously approved ICR.</text>
  </threadedComment>
  <threadedComment ref="I101" dT="2021-05-21T10:51:09.41" personId="{8FD889CE-696B-439F-A3BA-C8B4FDEDA30C}" id="{3B877EA6-1D8E-4B08-85F4-53C9B9047928}">
    <text>This requirement is not covered in the previously approved ICR.</text>
  </threadedComment>
  <threadedComment ref="G102" dT="2021-05-21T10:50:43.33" personId="{8FD889CE-696B-439F-A3BA-C8B4FDEDA30C}" id="{6FD841F7-B86F-4447-B6D6-F691E4C102BA}">
    <text>This requirement is not covered in the previously approved ICR.</text>
  </threadedComment>
  <threadedComment ref="I102" dT="2021-05-21T10:50:43.33" personId="{8FD889CE-696B-439F-A3BA-C8B4FDEDA30C}" id="{39177BE3-EC22-4B8B-8FAA-32E8E954442D}">
    <text>This requirement is not covered in the previously approved ICR.</text>
  </threadedComment>
  <threadedComment ref="J102" personId="{8FD889CE-696B-439F-A3BA-C8B4FDEDA30C}" id="{D78E9D3E-3316-44E2-8B0A-C019FBDFF43D}">
    <text>FNS assumes the only type of local government sponsoring organizations of day care homes would be those for military bases.
Imminent threat to health or safety does not occur often. FNS assumes that ¼ (25%) of Sponsoring organizations of day care homes may need to take action due to health or safety violations at day care homes.</text>
  </threadedComment>
  <threadedComment ref="G103" dT="2021-05-21T10:50:36.67" personId="{8FD889CE-696B-439F-A3BA-C8B4FDEDA30C}" id="{C163EAB6-7388-4527-B3B3-7A175A0F0C20}">
    <text>This requirement is not covered in the previously approved ICR.</text>
  </threadedComment>
  <threadedComment ref="I103" dT="2021-05-21T10:50:36.67" personId="{8FD889CE-696B-439F-A3BA-C8B4FDEDA30C}" id="{4A1547FA-E7FF-481F-96FA-EDC84DC28128}">
    <text>This requirement is not covered in the previously approved ICR.</text>
  </threadedComment>
  <threadedComment ref="G104" dT="2021-05-21T10:50:24.57" personId="{8FD889CE-696B-439F-A3BA-C8B4FDEDA30C}" id="{3A4248FC-186D-41B0-8E7D-238155979C4D}">
    <text>This requirement is not covered in the previously approved ICR.</text>
  </threadedComment>
  <threadedComment ref="I104" dT="2021-05-21T10:50:24.57" personId="{8FD889CE-696B-439F-A3BA-C8B4FDEDA30C}" id="{1A23FC19-35E6-4913-AA2D-D0125FA80F18}">
    <text>This requirement is not covered in the previously approved ICR.</text>
  </threadedComment>
  <threadedComment ref="G116" dT="2021-05-21T10:51:01.73" personId="{8FD889CE-696B-439F-A3BA-C8B4FDEDA30C}" id="{F4C395AE-BDB9-4FD4-8EAE-FD5621ADEFFC}">
    <text>This requirement is not covered in the previously approved ICR.</text>
  </threadedComment>
  <threadedComment ref="G122" dT="2021-05-21T10:49:59.93" personId="{8FD889CE-696B-439F-A3BA-C8B4FDEDA30C}" id="{4717847E-ACC7-427E-8C0A-0216EF596DE5}">
    <text>This requirement is not covered in the previously approved ICR.</text>
  </threadedComment>
  <threadedComment ref="I122" dT="2021-05-21T10:49:59.93" personId="{8FD889CE-696B-439F-A3BA-C8B4FDEDA30C}" id="{F994D638-EF16-4E2E-B434-1708429C039D}">
    <text>This requirement is not covered in the previously approved ICR.</text>
  </threadedComment>
  <threadedComment ref="K124" dT="2021-05-21T11:05:59.32" personId="{8FD889CE-696B-439F-A3BA-C8B4FDEDA30C}" id="{067BC60B-D3A4-4B48-A231-86B1471A888E}">
    <text>Even though this is an annual requirement, institutions submit information on a monthly basis.</text>
  </threadedComment>
  <threadedComment ref="G126" personId="{8FD889CE-696B-439F-A3BA-C8B4FDEDA30C}" id="{F0299A88-871F-44F4-9A72-997013007470}">
    <text>This requirement is not covered in the previously approved ICR.</text>
  </threadedComment>
  <threadedComment ref="I126" personId="{8FD889CE-696B-439F-A3BA-C8B4FDEDA30C}" id="{0EC405C3-30FB-4381-AA5C-8ABA8DD3A12A}">
    <text>This requirement is not covered in the previously approved ICR.</text>
  </threadedComment>
  <threadedComment ref="K126" dT="2021-05-21T11:06:15.57" personId="{8FD889CE-696B-439F-A3BA-C8B4FDEDA30C}" id="{A8DF85C6-D35E-4314-ACB4-D7FE3B8B3DB3}">
    <text>Assumed to be an annual requirement</text>
  </threadedComment>
  <threadedComment ref="G128" dT="2021-05-21T10:49:41.81" personId="{8FD889CE-696B-439F-A3BA-C8B4FDEDA30C}" id="{F4236643-D73E-4597-A8E0-E3CA37F93C82}">
    <text>This requirement is not covered in the previously approved ICR.</text>
  </threadedComment>
  <threadedComment ref="I128" dT="2021-05-21T10:49:41.81" personId="{8FD889CE-696B-439F-A3BA-C8B4FDEDA30C}" id="{9F5C1D16-C0A8-473A-9A0E-3A08BB636A49}">
    <text>This requirement is not covered in the previously approved ICR.</text>
  </threadedComment>
  <threadedComment ref="M129" personId="{8FD889CE-696B-439F-A3BA-C8B4FDEDA30C}" id="{076F887C-8447-43FC-81C9-E530C2D0F5ED}">
    <text>Estimate used in currently approved ICR. 
Burden assumption takes into account electronic transmission.</text>
  </threadedComment>
  <threadedComment ref="G130" dT="2021-05-21T10:49:25.79" personId="{8FD889CE-696B-439F-A3BA-C8B4FDEDA30C}" id="{51BEFD2E-C996-47BC-A2B1-BB31C9107BEF}">
    <text>This requirement is not covered in the previously approved ICR.</text>
  </threadedComment>
  <threadedComment ref="M133" personId="{8FD889CE-696B-439F-A3BA-C8B4FDEDA30C}" id="{99DAC8F2-0CB0-4D8F-8BAE-43D6F678541D}">
    <text>Estimate used in currently approved ICR. 
Burden assumption takes into account use of advanced technology/automation.</text>
  </threadedComment>
  <threadedComment ref="G134" dT="2021-05-21T10:49:13.36" personId="{8FD889CE-696B-439F-A3BA-C8B4FDEDA30C}" id="{93ADCB6B-90AF-43B9-812F-98F711F3362C}">
    <text>This requirement is not covered in the previously approved ICR.</text>
  </threadedComment>
  <threadedComment ref="I134" dT="2021-05-21T10:49:13.36" personId="{8FD889CE-696B-439F-A3BA-C8B4FDEDA30C}" id="{72FBC58C-E3B2-47A1-857B-F70BAF2A347F}">
    <text>This requirement is not covered in the previously approved ICR.</text>
  </threadedComment>
  <threadedComment ref="M134" personId="{8FD889CE-696B-439F-A3BA-C8B4FDEDA30C}" id="{A2C99DC0-93AB-487C-A1E8-909DC64EDE13}">
    <text>Based on estimates for other requirements in the currently approved ICR. 
Burden assumption takes into account use of advanced technology.</text>
  </threadedComment>
  <threadedComment ref="G135" dT="2021-05-21T10:49:01.23" personId="{8FD889CE-696B-439F-A3BA-C8B4FDEDA30C}" id="{C76BCD65-504A-48C4-A1FE-F8252299FA82}">
    <text>This requirement is not covered in the previously approved ICR.</text>
  </threadedComment>
  <threadedComment ref="I135" dT="2021-05-21T10:49:01.23" personId="{8FD889CE-696B-439F-A3BA-C8B4FDEDA30C}" id="{5D37B9C8-B1A1-4194-B47A-B313B060503E}">
    <text>This requirement is not covered in the previously approved ICR.</text>
  </threadedComment>
  <threadedComment ref="M135" dT="2021-05-21T10:55:58.24" personId="{8FD889CE-696B-439F-A3BA-C8B4FDEDA30C}" id="{0ACE4564-2B57-4D0C-B55E-548BEAB13FB1}">
    <text>Assumes that institutions spend 3 hours a month reviewing materials. Thus, in a year, institutions spend 36 hours reviewing FNS materials.</text>
  </threadedComment>
  <threadedComment ref="G136" dT="2021-05-21T10:48:52.07" personId="{8FD889CE-696B-439F-A3BA-C8B4FDEDA30C}" id="{97BA78E4-7965-4ED5-B082-29E7F94F28EB}">
    <text>This requirement is not covered in the previously approved ICR.</text>
  </threadedComment>
  <threadedComment ref="I136" dT="2021-05-21T10:48:52.07" personId="{8FD889CE-696B-439F-A3BA-C8B4FDEDA30C}" id="{37ED6543-2DF2-401F-B66D-5DBD3DE2CC58}">
    <text>This requirement is not covered in the previously approved ICR.</text>
  </threadedComment>
  <threadedComment ref="G137" dT="2021-05-21T11:18:43.47" personId="{8FD889CE-696B-439F-A3BA-C8B4FDEDA30C}" id="{9BA9E05B-E25D-4430-8E7D-CA2CEB54573F}">
    <text>This requirement is not covered in the previously approved ICR.</text>
  </threadedComment>
  <threadedComment ref="I137" dT="2021-05-21T11:18:43.47" personId="{8FD889CE-696B-439F-A3BA-C8B4FDEDA30C}" id="{2478EB61-76E7-4225-A9EC-1D5607472CA2}">
    <text>This requirement is not covered in the previously approved ICR.</text>
  </threadedComment>
  <threadedComment ref="G138" dT="2021-05-21T10:48:35.96" personId="{8FD889CE-696B-439F-A3BA-C8B4FDEDA30C}" id="{CFD9345E-F8A0-4158-B196-4888E4BBE095}">
    <text>This requirement is not covered in the previously approved ICR.</text>
  </threadedComment>
  <threadedComment ref="I138" dT="2021-05-21T10:48:35.96" personId="{8FD889CE-696B-439F-A3BA-C8B4FDEDA30C}" id="{51331494-8366-4AF5-8261-C7100A1A4186}">
    <text>This requirement is not covered in the previously approved ICR.</text>
  </threadedComment>
  <threadedComment ref="G139" dT="2021-05-21T10:48:03.86" personId="{8FD889CE-696B-439F-A3BA-C8B4FDEDA30C}" id="{9B74E6CF-6337-4DFC-B06C-28681216CAF5}">
    <text>This requirement is not covered in the previously approved ICR.</text>
  </threadedComment>
  <threadedComment ref="I139" dT="2021-05-21T10:48:03.86" personId="{8FD889CE-696B-439F-A3BA-C8B4FDEDA30C}" id="{E6277517-88A9-405F-903D-72145A558ED9}">
    <text>This requirement is not covered in the previously approved ICR.</text>
  </threadedComment>
  <threadedComment ref="J139" dT="2021-05-21T11:10:58.90" personId="{8FD889CE-696B-439F-A3BA-C8B4FDEDA30C}" id="{1E1E9AB3-0665-49F9-86CF-DF62D511DE65}">
    <text>Imminent threat to health or safety does not occur often. FNS assumes that ¼ (25%) of Sponsoring organizations of day care homes may need to take action due to health or safety violations at day care homes.</text>
  </threadedComment>
  <threadedComment ref="G142" dT="2021-05-21T10:47:52.30" personId="{8FD889CE-696B-439F-A3BA-C8B4FDEDA30C}" id="{F2F7D69F-CC41-4BF3-8114-70D709B070A9}">
    <text>This requirement is not covered in the previously approved ICR.</text>
  </threadedComment>
  <threadedComment ref="I142" dT="2021-05-21T10:47:52.30" personId="{8FD889CE-696B-439F-A3BA-C8B4FDEDA30C}" id="{B49EFD2E-65A7-498B-8066-B1F35266AF7C}">
    <text>This requirement is not covered in the previously approved ICR.</text>
  </threadedComment>
  <threadedComment ref="G145" dT="2021-05-21T10:47:44.92" personId="{8FD889CE-696B-439F-A3BA-C8B4FDEDA30C}" id="{36438A49-4F7C-4809-A072-3D4FBBB6EDE0}">
    <text>This requirement is not covered in the previously approved ICR.</text>
  </threadedComment>
  <threadedComment ref="I145" dT="2021-05-21T10:47:44.92" personId="{8FD889CE-696B-439F-A3BA-C8B4FDEDA30C}" id="{9625638D-71F7-40E8-A014-9A7F6D5D9E9C}">
    <text>This requirement is not covered in the previously approved ICR.</text>
  </threadedComment>
  <threadedComment ref="J161" dT="2023-09-20T16:53:26.75" personId="{B50899B3-5BBE-4799-9B1A-54BB3B2DAE8F}" id="{78B65472-079C-42F6-9811-937D6064B150}">
    <text>Sum is the Est. Total # of Sponsoring Institutions + Est. Total # of Unaffiliated Centers + Est. Total # of Independent Child Care Centers.</text>
  </threadedComment>
  <threadedComment ref="F163" dT="2021-05-21T11:17:12.99" personId="{8FD889CE-696B-439F-A3BA-C8B4FDEDA30C}" id="{1456AC7E-D0DB-484D-9FB2-E494108BDDE5}">
    <text>226.17(b)(9) was not included in the list of requirements because it is a recordkeeping requirement.</text>
  </threadedComment>
  <threadedComment ref="H163" dT="2021-05-21T11:17:12.99" personId="{8FD889CE-696B-439F-A3BA-C8B4FDEDA30C}" id="{AB9564E5-8FBB-4ECC-AC67-D119DF165B32}">
    <text>226.17(b)(9) was not included in the list of requirements because it is a recordkeeping requirement.</text>
  </threadedComment>
  <threadedComment ref="J163" personId="{8FD889CE-696B-439F-A3BA-C8B4FDEDA30C}" id="{3D6D40B1-C16B-4F33-93DD-6645264BA7FC}">
    <text>Calculation:  [National Database, “Outlets All Child Care Centers” data field] + [National Database, “Outlets Adult Care Centers” data field].</text>
  </threadedComment>
  <threadedComment ref="M163" personId="{8FD889CE-696B-439F-A3BA-C8B4FDEDA30C}" id="{67610750-8E95-49E4-A060-8D6BA05C163A}">
    <text>Estimate used in previously approved ICR. 
Burden assumption takes into account use of advanced technology/automation.</text>
  </threadedComment>
  <threadedComment ref="J164" personId="{8FD889CE-696B-439F-A3BA-C8B4FDEDA30C}" id="{8078AF68-843D-4B8D-8CA2-CF3820119E26}">
    <text>National Database, “Calc: CACFP Total Number of Homes” data field.</text>
  </threadedComment>
  <threadedComment ref="G165" dT="2021-05-21T10:47:28.03" personId="{8FD889CE-696B-439F-A3BA-C8B4FDEDA30C}" id="{DC355DFD-6889-4A50-80B1-3C64A625F6B5}">
    <text>This requirement is not covered in the previously approved ICR.</text>
  </threadedComment>
  <threadedComment ref="I165" dT="2021-05-21T10:47:28.03" personId="{8FD889CE-696B-439F-A3BA-C8B4FDEDA30C}" id="{1ECA037F-5722-4527-8345-9E1C19254F42}">
    <text>This requirement is not covered in the previously approved ICR.</text>
  </threadedComment>
  <threadedComment ref="G170" dT="2021-05-21T10:47:20.82" personId="{8FD889CE-696B-439F-A3BA-C8B4FDEDA30C}" id="{E6494CA8-6416-4B29-84E7-818CF0944CA3}">
    <text>This requirement is not covered in the previously approved ICR.</text>
  </threadedComment>
  <threadedComment ref="I170" dT="2021-05-21T10:47:20.82" personId="{8FD889CE-696B-439F-A3BA-C8B4FDEDA30C}" id="{D1CF01EE-B62A-4B7C-9A3A-1F546E230744}">
    <text>This requirement is not covered in the previously approved ICR.</text>
  </threadedComment>
  <threadedComment ref="G171" dT="2021-05-21T10:47:13.86" personId="{8FD889CE-696B-439F-A3BA-C8B4FDEDA30C}" id="{016E64C6-E48E-40A2-B320-F2484AA2B818}">
    <text>This requirement is not covered in the previously approved ICR.</text>
  </threadedComment>
  <threadedComment ref="I171" dT="2021-05-21T10:47:13.86" personId="{8FD889CE-696B-439F-A3BA-C8B4FDEDA30C}" id="{211F5AB5-BDA7-45DB-A519-32EBF096EFC1}">
    <text>This requirement is not covered in the previously approved ICR.</text>
  </threadedComment>
  <threadedComment ref="J177" personId="{8FD889CE-696B-439F-A3BA-C8B4FDEDA30C}" id="{CB0A274B-36AC-466C-8686-81CB439130A4}">
    <text>Calculation: [National Database, “Calc: CACFP Total Avg. Daily Attendance” data field] * 0.70</text>
  </threadedComment>
  <threadedComment ref="G178" dT="2021-05-21T10:47:01.93" personId="{8FD889CE-696B-439F-A3BA-C8B4FDEDA30C}" id="{CDDF10AB-E94A-4503-8315-6B302360B4E3}">
    <text>This requirement is not covered in the previously approved ICR.</text>
  </threadedComment>
  <threadedComment ref="I178" dT="2021-05-21T10:47:01.93" personId="{8FD889CE-696B-439F-A3BA-C8B4FDEDA30C}" id="{FA135861-3838-4C4C-A70C-A4C37381E794}">
    <text>This requirement is not covered in the previously approved ICR.</text>
  </threadedComment>
  <threadedComment ref="J179" personId="{8FD889CE-696B-439F-A3BA-C8B4FDEDA30C}" id="{7D1A25E5-8069-449F-BADE-5B7AAC47B3A8}">
    <text>Calculation: [National Database, “Calc: CACFP Total Avg. Daily Attendance” data field] * [% near poor participants (ages 0 to 17) with food allergies]</text>
  </threadedComment>
</ThreadedComments>
</file>

<file path=xl/threadedComments/threadedComment2.xml><?xml version="1.0" encoding="utf-8"?>
<ThreadedComments xmlns="http://schemas.microsoft.com/office/spreadsheetml/2018/threadedcomments" xmlns:x="http://schemas.openxmlformats.org/spreadsheetml/2006/main">
  <threadedComment ref="G8" dT="2021-05-21T10:37:25.68" personId="{8FD889CE-696B-439F-A3BA-C8B4FDEDA30C}" id="{3DC85FF4-3D9F-436F-861B-CA8D518A114F}">
    <text>This requirement is not covered in the previously approved ICR.</text>
  </threadedComment>
  <threadedComment ref="I8" dT="2021-05-21T10:37:25.68" personId="{8FD889CE-696B-439F-A3BA-C8B4FDEDA30C}" id="{994786C4-BE22-411F-910B-F2DAF69DD35C}">
    <text>This requirement is not covered in the previously approved ICR.</text>
  </threadedComment>
  <threadedComment ref="M9" personId="{8FD889CE-696B-439F-A3BA-C8B4FDEDA30C}" id="{AAD57113-FA12-41D7-95C4-F3445EEA7F2B}">
    <text>Burden assumption takes into account use of advanced technology/automation.</text>
  </threadedComment>
  <threadedComment ref="G10" dT="2021-05-21T10:37:41.14" personId="{8FD889CE-696B-439F-A3BA-C8B4FDEDA30C}" id="{51F59D29-C1CE-4069-9C89-4712901E9ACF}">
    <text>This requirement is not covered in the previously approved ICR.</text>
  </threadedComment>
  <threadedComment ref="I10" dT="2021-05-21T10:37:41.14" personId="{8FD889CE-696B-439F-A3BA-C8B4FDEDA30C}" id="{3048B1D7-8259-4758-85A2-F13EDF18E9A8}">
    <text>This requirement is not covered in the previously approved ICR.</text>
  </threadedComment>
  <threadedComment ref="F15" dT="2021-05-21T10:40:15.37" personId="{8FD889CE-696B-439F-A3BA-C8B4FDEDA30C}" id="{00C2C7CD-7E50-4088-8D66-05A82EC94FE8}">
    <text>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ext>
  </threadedComment>
  <threadedComment ref="H15" dT="2021-05-21T10:40:15.37" personId="{8FD889CE-696B-439F-A3BA-C8B4FDEDA30C}" id="{31E2EEE8-F936-472F-B3E9-59FF6A8A1D35}">
    <text>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ext>
  </threadedComment>
  <threadedComment ref="J16" personId="{8FD889CE-696B-439F-A3BA-C8B4FDEDA30C}" id="{E6D16EE3-75A3-479B-A533-C0A5822CD100}">
    <text>FNS assumes the only type of local government sponsoring organizations of day care homes would be those for military bases.</text>
  </threadedComment>
  <threadedComment ref="K16" personId="{8FD889CE-696B-439F-A3BA-C8B4FDEDA30C}" id="{AB53B450-085C-408A-B0DC-BCF770712B91}">
    <text>This is the number of Tier I providers per sponsoring organization.</text>
  </threadedComment>
  <threadedComment ref="J17" personId="{8FD889CE-696B-439F-A3BA-C8B4FDEDA30C}" id="{72AF157E-2B4B-4320-88DE-749A6C36E92F}">
    <text>FNS assumes the only type of local government sponsoring organizations of day care homes would be those for military bases.</text>
  </threadedComment>
  <threadedComment ref="K17" personId="{8FD889CE-696B-439F-A3BA-C8B4FDEDA30C}" id="{8E8D60CC-07C4-4045-BF92-0B400D841C75}">
    <text>This is 1/3 of the number of Tier I providers per sponsoring organization.
This number is obtained through the use of a formula.</text>
  </threadedComment>
  <threadedComment ref="F22" dT="2021-05-21T10:38:26.43" personId="{8FD889CE-696B-439F-A3BA-C8B4FDEDA30C}" id="{5CC42833-AAA8-42BA-B858-576B424C0549}">
    <text>Added a more detailed list of the requirements.</text>
  </threadedComment>
  <threadedComment ref="H22" dT="2021-05-21T10:38:26.43" personId="{8FD889CE-696B-439F-A3BA-C8B4FDEDA30C}" id="{79D3D5BC-4BD4-4D18-BD7D-1FB31A616001}">
    <text>Added a more detailed list of the requirements.</text>
  </threadedComment>
  <threadedComment ref="K23" personId="{8FD889CE-696B-439F-A3BA-C8B4FDEDA30C}" id="{AB53B450-085C-408B-B0DC-BCF770712B91}">
    <text>This is the number of Tier I providers per sponsoring organization.</text>
  </threadedComment>
  <threadedComment ref="K24" personId="{8FD889CE-696B-439F-A3BA-C8B4FDEDA30C}" id="{8E8D60CC-07C4-4046-BF92-0B400D841C75}">
    <text>This is 1/3 of the number of Tier I providers per sponsoring organization.
This number is obtained through the use of a formula.</text>
  </threadedComment>
  <threadedComment ref="F28" dT="2021-05-21T10:38:50.14" personId="{8FD889CE-696B-439F-A3BA-C8B4FDEDA30C}" id="{F0B4A813-2C68-4824-A269-6C67389DE672}">
    <text>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ext>
  </threadedComment>
  <threadedComment ref="H28" dT="2021-05-21T10:38:50.14" personId="{8FD889CE-696B-439F-A3BA-C8B4FDEDA30C}" id="{136B6A19-B6CE-432E-91DE-2B26F2C1F999}">
    <text>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ext>
  </threadedComment>
</ThreadedComments>
</file>

<file path=xl/threadedComments/threadedComment3.xml><?xml version="1.0" encoding="utf-8"?>
<ThreadedComments xmlns="http://schemas.microsoft.com/office/spreadsheetml/2018/threadedcomments" xmlns:x="http://schemas.openxmlformats.org/spreadsheetml/2006/main">
  <threadedComment ref="G10" personId="{8FD889CE-696B-439F-A3BA-C8B4FDEDA30C}" id="{3A44D2E7-4655-4A1C-B1F5-FA7B1744A6D8}">
    <text>This requirement is not covered in the previously approved ICR.</text>
  </threadedComment>
  <threadedComment ref="I10" personId="{8FD889CE-696B-439F-A3BA-C8B4FDEDA30C}" id="{2D20FDD5-A7F2-4DEC-84C1-5B692E54FF3B}">
    <text>This requirement is not covered in the previously approved ICR.</text>
  </threadedComment>
  <threadedComment ref="J10" dT="2021-05-21T10:34:07.29" personId="{8FD889CE-696B-439F-A3BA-C8B4FDEDA30C}" id="{32919CF0-1B6F-45E0-B31C-6405044854BC}">
    <text>It is assumed that 50% of State agencies do this media release.</text>
  </threadedComment>
  <threadedComment ref="K10" personId="{8FD889CE-696B-439F-A3BA-C8B4FDEDA30C}" id="{F55BF6F2-60C8-4FBE-8EAB-98BCBE5E8E45}">
    <text>This is an annual requirement.</text>
  </threadedComment>
  <threadedComment ref="M10" personId="{8FD889CE-696B-439F-A3BA-C8B4FDEDA30C}" id="{F8FF9605-C4DF-43CB-BF16-ABCB352C27C1}">
    <text>Burden assumption takes into account use of advanced technology/automation.</text>
  </threadedComment>
  <threadedComment ref="G12" personId="{8FD889CE-696B-439F-A3BA-C8B4FDEDA30C}" id="{DF8E64A2-DBB4-4C86-BADF-55324B06F8D0}">
    <text>This requirement is not covered in the previously approved ICR.</text>
  </threadedComment>
  <threadedComment ref="I12" personId="{8FD889CE-696B-439F-A3BA-C8B4FDEDA30C}" id="{2D20FDD5-A7F2-4DED-84C1-5B692E54FF3B}">
    <text>This requirement is not covered in the previously approved ICR.</text>
  </threadedComment>
  <threadedComment ref="J12" dT="2021-05-21T10:34:35.64" personId="{8FD889CE-696B-439F-A3BA-C8B4FDEDA30C}" id="{41343DFF-750E-409E-88BE-B359579B4855}">
    <text>It is assumed that 50% of local government agencies do this media release.</text>
  </threadedComment>
  <threadedComment ref="K12" personId="{8FD889CE-696B-439F-A3BA-C8B4FDEDA30C}" id="{F55BF6F2-60C8-4FBF-8EAB-98BCBE5E8E45}">
    <text>This is an annual requirement.</text>
  </threadedComment>
  <threadedComment ref="M12" personId="{8FD889CE-696B-439F-A3BA-C8B4FDEDA30C}" id="{F8FF9605-C4DF-43CC-BF16-ABCB352C27C1}">
    <text>Burden assumption takes into account use of advanced technology/automation.</text>
  </threadedComment>
  <threadedComment ref="G16" personId="{8FD889CE-696B-439F-A3BA-C8B4FDEDA30C}" id="{9E9FE761-972B-4712-8125-8DCFBC3C88DE}">
    <text>This requirement is not covered in the previously approved ICR.</text>
  </threadedComment>
  <threadedComment ref="I16" personId="{8FD889CE-696B-439F-A3BA-C8B4FDEDA30C}" id="{708D940B-6957-4678-A5C5-59E916F50E4C}">
    <text>This requirement is not covered in the previously approved ICR.</text>
  </threadedComment>
  <threadedComment ref="J16" dT="2021-05-21T10:34:53.70" personId="{8FD889CE-696B-439F-A3BA-C8B4FDEDA30C}" id="{D0F8695C-CC6A-4135-A0AA-74F3DC7D2F97}">
    <text>It is assumed that 50% of institutions do this media release.</text>
  </threadedComment>
  <threadedComment ref="K16" personId="{8FD889CE-696B-439F-A3BA-C8B4FDEDA30C}" id="{F55BF6F2-60C8-4FC0-8EAB-98BCBE5E8E45}">
    <text>This is an annual requirement.</text>
  </threadedComment>
  <threadedComment ref="M16" personId="{8FD889CE-696B-439F-A3BA-C8B4FDEDA30C}" id="{F8FF9605-C4DF-43CD-BF16-ABCB352C27C1}">
    <text>Burden assumption takes into account use of advanced technology/automation.</text>
  </threadedComment>
</ThreadedComments>
</file>

<file path=xl/threadedComments/threadedComment4.xml><?xml version="1.0" encoding="utf-8"?>
<ThreadedComments xmlns="http://schemas.microsoft.com/office/spreadsheetml/2018/threadedcomments" xmlns:x="http://schemas.openxmlformats.org/spreadsheetml/2006/main">
  <threadedComment ref="C12" dT="2021-05-21T10:32:07.72" personId="{8FD889CE-696B-439F-A3BA-C8B4FDEDA30C}" id="{ABCACEF9-C39D-457C-8BFA-8CB3FD3665A4}">
    <text>This estimate is the total number of respondents. If there are respondents that conduct both reporting and recordkeeping activities, the respondent is counted once.</text>
  </threadedComment>
  <threadedComment ref="D12" dT="2021-05-21T10:32:37.40" personId="{8FD889CE-696B-439F-A3BA-C8B4FDEDA30C}" id="{8FE09178-4B70-4E53-90CD-81EC81D7F574}">
    <text>This estimate is obtained using the following calculation: [Total Annual Responses] / [Estimated Number of Respondents]. The values used in the calculation are the values in the "TOTAL BURDEN FOR #054-0055" row.</text>
  </threadedComment>
  <threadedComment ref="F12" dT="2021-05-21T10:32:54.56" personId="{8FD889CE-696B-439F-A3BA-C8B4FDEDA30C}" id="{2BF8C597-BC23-44C0-AC67-B714E03A49D6}">
    <text>This estimate is obtained using the following calculation: [Estimated Total Hours] / [Total Annual Responses]. The values used in the calculation are the values in the "TOTAL BURDEN FOR #054-0055" row.</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S205"/>
  <sheetViews>
    <sheetView showGridLines="0" topLeftCell="F1" zoomScale="80" zoomScaleNormal="80" zoomScalePageLayoutView="80" workbookViewId="0">
      <selection activeCell="K194" sqref="K194"/>
    </sheetView>
  </sheetViews>
  <sheetFormatPr defaultColWidth="9.1796875" defaultRowHeight="14.5" x14ac:dyDescent="0.35"/>
  <cols>
    <col min="1" max="2" width="9.1796875" style="2"/>
    <col min="3" max="3" width="8.81640625" style="219" customWidth="1"/>
    <col min="4" max="4" width="26.81640625" style="4" customWidth="1"/>
    <col min="5" max="5" width="5.453125" style="219" customWidth="1"/>
    <col min="6" max="6" width="30.453125" style="114" customWidth="1"/>
    <col min="7" max="7" width="63" style="1" customWidth="1"/>
    <col min="8" max="8" width="33" style="114" customWidth="1"/>
    <col min="9" max="9" width="64.453125" style="1" customWidth="1"/>
    <col min="10" max="10" width="18.1796875" style="4" customWidth="1"/>
    <col min="11" max="11" width="17.1796875" style="4" customWidth="1"/>
    <col min="12" max="12" width="20.54296875" style="10" customWidth="1"/>
    <col min="13" max="13" width="20.81640625" style="20" customWidth="1"/>
    <col min="14" max="14" width="20.1796875" style="20" customWidth="1"/>
    <col min="15" max="15" width="19.453125" style="20" customWidth="1"/>
    <col min="16" max="17" width="22.54296875" style="20" customWidth="1"/>
    <col min="18" max="18" width="21.54296875" style="20" customWidth="1"/>
    <col min="19" max="19" width="70.81640625" style="2" customWidth="1"/>
    <col min="20" max="16384" width="9.1796875" style="2"/>
  </cols>
  <sheetData>
    <row r="1" spans="2:19" ht="51" customHeight="1" x14ac:dyDescent="0.35">
      <c r="C1" s="251" t="s">
        <v>0</v>
      </c>
      <c r="D1" s="189" t="s">
        <v>1</v>
      </c>
      <c r="F1" s="275" t="s">
        <v>528</v>
      </c>
      <c r="G1" s="276"/>
      <c r="H1" s="276"/>
      <c r="I1" s="276"/>
      <c r="J1" s="276"/>
      <c r="K1" s="276"/>
      <c r="L1" s="276"/>
      <c r="M1" s="276"/>
      <c r="N1" s="276"/>
      <c r="O1" s="276"/>
      <c r="P1" s="276"/>
      <c r="Q1" s="276"/>
    </row>
    <row r="2" spans="2:19" ht="15" customHeight="1" x14ac:dyDescent="0.35">
      <c r="D2"/>
      <c r="F2" s="2"/>
      <c r="G2" s="2"/>
      <c r="H2" s="2"/>
      <c r="I2" s="2"/>
      <c r="P2" s="75"/>
      <c r="Q2" s="75"/>
    </row>
    <row r="3" spans="2:19" ht="23.5" customHeight="1" x14ac:dyDescent="0.35">
      <c r="D3" s="123"/>
      <c r="F3" s="289" t="s">
        <v>3</v>
      </c>
      <c r="G3" s="289"/>
      <c r="H3" s="290" t="s">
        <v>4</v>
      </c>
      <c r="I3" s="291"/>
      <c r="J3" s="93"/>
      <c r="O3" s="282" t="s">
        <v>5</v>
      </c>
      <c r="P3" s="282"/>
      <c r="Q3" s="282"/>
      <c r="R3" s="282"/>
    </row>
    <row r="4" spans="2:19" ht="81.75" customHeight="1" x14ac:dyDescent="0.35">
      <c r="B4" s="285" t="s">
        <v>6</v>
      </c>
      <c r="C4" s="226"/>
      <c r="D4" s="285" t="s">
        <v>7</v>
      </c>
      <c r="F4" s="261" t="s">
        <v>8</v>
      </c>
      <c r="G4" s="57" t="s">
        <v>9</v>
      </c>
      <c r="H4" s="261" t="s">
        <v>8</v>
      </c>
      <c r="I4" s="57" t="s">
        <v>9</v>
      </c>
      <c r="J4" s="7" t="s">
        <v>10</v>
      </c>
      <c r="K4" s="8" t="s">
        <v>11</v>
      </c>
      <c r="L4" s="11" t="s">
        <v>12</v>
      </c>
      <c r="M4" s="21" t="s">
        <v>13</v>
      </c>
      <c r="N4" s="21" t="s">
        <v>14</v>
      </c>
      <c r="O4" s="21" t="s">
        <v>15</v>
      </c>
      <c r="P4" s="21" t="s">
        <v>16</v>
      </c>
      <c r="Q4" s="21" t="s">
        <v>17</v>
      </c>
      <c r="R4" s="21" t="s">
        <v>18</v>
      </c>
      <c r="S4" s="285" t="s">
        <v>19</v>
      </c>
    </row>
    <row r="5" spans="2:19" s="4" customFormat="1" x14ac:dyDescent="0.35">
      <c r="B5" s="285"/>
      <c r="C5" s="226"/>
      <c r="D5" s="285"/>
      <c r="E5" s="250"/>
      <c r="F5" s="27"/>
      <c r="G5" s="122"/>
      <c r="H5" s="27" t="s">
        <v>20</v>
      </c>
      <c r="I5" s="122" t="s">
        <v>21</v>
      </c>
      <c r="J5" s="262" t="s">
        <v>22</v>
      </c>
      <c r="K5" s="9" t="s">
        <v>23</v>
      </c>
      <c r="L5" s="12" t="s">
        <v>24</v>
      </c>
      <c r="M5" s="22" t="s">
        <v>25</v>
      </c>
      <c r="N5" s="22" t="s">
        <v>26</v>
      </c>
      <c r="O5" s="22" t="s">
        <v>27</v>
      </c>
      <c r="P5" s="22" t="s">
        <v>28</v>
      </c>
      <c r="Q5" s="22" t="s">
        <v>29</v>
      </c>
      <c r="R5" s="22" t="s">
        <v>30</v>
      </c>
      <c r="S5" s="285"/>
    </row>
    <row r="6" spans="2:19" ht="35.25" customHeight="1" x14ac:dyDescent="0.35">
      <c r="B6" s="115"/>
      <c r="C6" s="226"/>
      <c r="D6" s="115"/>
      <c r="F6" s="279" t="s">
        <v>31</v>
      </c>
      <c r="G6" s="279"/>
      <c r="H6" s="280" t="s">
        <v>31</v>
      </c>
      <c r="I6" s="281"/>
      <c r="J6" s="281"/>
      <c r="K6" s="281"/>
      <c r="L6" s="281"/>
      <c r="M6" s="281"/>
      <c r="N6" s="281"/>
      <c r="O6" s="281"/>
      <c r="P6" s="281"/>
      <c r="Q6" s="281"/>
      <c r="R6" s="281"/>
      <c r="S6" s="121"/>
    </row>
    <row r="7" spans="2:19" ht="35.25" customHeight="1" x14ac:dyDescent="0.35">
      <c r="B7" s="115"/>
      <c r="D7" s="115"/>
      <c r="F7" s="279" t="s">
        <v>32</v>
      </c>
      <c r="G7" s="279"/>
      <c r="H7" s="280" t="s">
        <v>32</v>
      </c>
      <c r="I7" s="281"/>
      <c r="J7" s="281"/>
      <c r="K7" s="281"/>
      <c r="L7" s="281"/>
      <c r="M7" s="281"/>
      <c r="N7" s="281"/>
      <c r="O7" s="281"/>
      <c r="P7" s="281"/>
      <c r="Q7" s="281"/>
      <c r="R7" s="281"/>
      <c r="S7" s="121"/>
    </row>
    <row r="8" spans="2:19" s="219" customFormat="1" ht="43.5" x14ac:dyDescent="0.35">
      <c r="B8" s="214">
        <v>1</v>
      </c>
      <c r="D8" s="214" t="s">
        <v>33</v>
      </c>
      <c r="F8" s="215" t="s">
        <v>34</v>
      </c>
      <c r="G8" s="210" t="s">
        <v>35</v>
      </c>
      <c r="H8" s="220" t="s">
        <v>34</v>
      </c>
      <c r="I8" s="210" t="s">
        <v>35</v>
      </c>
      <c r="J8" s="208">
        <f>ROUND(Assumptions!D10/3,0)</f>
        <v>19</v>
      </c>
      <c r="K8" s="208">
        <v>0</v>
      </c>
      <c r="L8" s="211">
        <f>J8*K8</f>
        <v>0</v>
      </c>
      <c r="M8" s="212">
        <v>1</v>
      </c>
      <c r="N8" s="212">
        <f t="shared" ref="N8:N58" si="0">L8*M8</f>
        <v>0</v>
      </c>
      <c r="O8" s="212">
        <v>0</v>
      </c>
      <c r="P8" s="212"/>
      <c r="Q8" s="212">
        <f>N8-O8</f>
        <v>0</v>
      </c>
      <c r="R8" s="212">
        <f>P8+Q8</f>
        <v>0</v>
      </c>
      <c r="S8" s="120" t="s">
        <v>36</v>
      </c>
    </row>
    <row r="9" spans="2:19" s="219" customFormat="1" ht="36" customHeight="1" x14ac:dyDescent="0.35">
      <c r="B9" s="214">
        <f>B8+1</f>
        <v>2</v>
      </c>
      <c r="D9" s="214" t="s">
        <v>33</v>
      </c>
      <c r="F9" s="220" t="s">
        <v>37</v>
      </c>
      <c r="G9" s="210" t="s">
        <v>38</v>
      </c>
      <c r="H9" s="220" t="s">
        <v>37</v>
      </c>
      <c r="I9" s="210" t="s">
        <v>38</v>
      </c>
      <c r="J9" s="208">
        <f>Assumptions!D10</f>
        <v>56</v>
      </c>
      <c r="K9" s="208">
        <f>ROUND(Assumptions!D31/Assumptions!D10,0)</f>
        <v>5</v>
      </c>
      <c r="L9" s="211">
        <f>J9*K9</f>
        <v>280</v>
      </c>
      <c r="M9" s="212">
        <v>1</v>
      </c>
      <c r="N9" s="212">
        <f t="shared" ref="N9" si="1">L9*M9</f>
        <v>280</v>
      </c>
      <c r="O9" s="212">
        <v>280</v>
      </c>
      <c r="P9" s="212"/>
      <c r="Q9" s="212">
        <f t="shared" ref="Q9:Q59" si="2">N9-O9</f>
        <v>0</v>
      </c>
      <c r="R9" s="212">
        <f>P9+Q9</f>
        <v>0</v>
      </c>
      <c r="S9" s="120" t="s">
        <v>39</v>
      </c>
    </row>
    <row r="10" spans="2:19" s="219" customFormat="1" ht="36" customHeight="1" x14ac:dyDescent="0.35">
      <c r="B10" s="214">
        <f t="shared" ref="B10:B79" si="3">B9+1</f>
        <v>3</v>
      </c>
      <c r="D10" s="214" t="s">
        <v>33</v>
      </c>
      <c r="F10" s="220" t="s">
        <v>40</v>
      </c>
      <c r="G10" s="210" t="s">
        <v>41</v>
      </c>
      <c r="H10" s="220" t="s">
        <v>40</v>
      </c>
      <c r="I10" s="210" t="s">
        <v>41</v>
      </c>
      <c r="J10" s="208">
        <f>Assumptions!D10</f>
        <v>56</v>
      </c>
      <c r="K10" s="208">
        <f>ROUND(Assumptions!D27/Assumptions!D10,0)</f>
        <v>390</v>
      </c>
      <c r="L10" s="211">
        <f>J10*K10</f>
        <v>21840</v>
      </c>
      <c r="M10" s="212">
        <v>0.5</v>
      </c>
      <c r="N10" s="212">
        <f t="shared" ref="N10:N12" si="4">L10*M10</f>
        <v>10920</v>
      </c>
      <c r="O10" s="212">
        <v>10920</v>
      </c>
      <c r="P10" s="212"/>
      <c r="Q10" s="212">
        <f t="shared" si="2"/>
        <v>0</v>
      </c>
      <c r="R10" s="212">
        <f>P10+Q10</f>
        <v>0</v>
      </c>
      <c r="S10" s="120" t="s">
        <v>42</v>
      </c>
    </row>
    <row r="11" spans="2:19" s="50" customFormat="1" ht="101.5" customHeight="1" x14ac:dyDescent="0.35">
      <c r="B11" s="234">
        <f t="shared" si="3"/>
        <v>4</v>
      </c>
      <c r="C11" s="233"/>
      <c r="D11" s="234" t="s">
        <v>43</v>
      </c>
      <c r="E11" s="233"/>
      <c r="F11" s="235"/>
      <c r="G11" s="235"/>
      <c r="H11" s="235" t="s">
        <v>44</v>
      </c>
      <c r="I11" s="235" t="s">
        <v>45</v>
      </c>
      <c r="J11" s="188">
        <f>Assumptions!D10</f>
        <v>56</v>
      </c>
      <c r="K11" s="236">
        <v>1</v>
      </c>
      <c r="L11" s="237">
        <f t="shared" ref="L11:L12" si="5">J11*K11</f>
        <v>56</v>
      </c>
      <c r="M11" s="238">
        <v>1</v>
      </c>
      <c r="N11" s="239">
        <f t="shared" si="4"/>
        <v>56</v>
      </c>
      <c r="O11" s="238">
        <v>0</v>
      </c>
      <c r="P11" s="238">
        <v>0</v>
      </c>
      <c r="Q11" s="239">
        <f t="shared" si="2"/>
        <v>56</v>
      </c>
      <c r="R11" s="239">
        <f t="shared" ref="R11:R12" si="6">P11+Q11</f>
        <v>56</v>
      </c>
      <c r="S11" s="241"/>
    </row>
    <row r="12" spans="2:19" s="50" customFormat="1" ht="58" x14ac:dyDescent="0.35">
      <c r="B12" s="234">
        <f t="shared" si="3"/>
        <v>5</v>
      </c>
      <c r="C12" s="233"/>
      <c r="D12" s="234" t="s">
        <v>43</v>
      </c>
      <c r="E12" s="233"/>
      <c r="F12" s="235"/>
      <c r="G12" s="235"/>
      <c r="H12" s="235" t="s">
        <v>46</v>
      </c>
      <c r="I12" s="235" t="s">
        <v>47</v>
      </c>
      <c r="J12" s="188">
        <f>Assumptions!D10</f>
        <v>56</v>
      </c>
      <c r="K12" s="236">
        <f>ROUND((Assumptions!D27/Assumptions!D10)*Assumptions!D26,0)</f>
        <v>23</v>
      </c>
      <c r="L12" s="237">
        <f t="shared" si="5"/>
        <v>1288</v>
      </c>
      <c r="M12" s="240">
        <v>0.25</v>
      </c>
      <c r="N12" s="239">
        <f t="shared" si="4"/>
        <v>322</v>
      </c>
      <c r="O12" s="238">
        <v>0</v>
      </c>
      <c r="P12" s="238">
        <v>0</v>
      </c>
      <c r="Q12" s="239">
        <f t="shared" si="2"/>
        <v>322</v>
      </c>
      <c r="R12" s="239">
        <f t="shared" si="6"/>
        <v>322</v>
      </c>
      <c r="S12" s="241"/>
    </row>
    <row r="13" spans="2:19" s="219" customFormat="1" ht="80.25" customHeight="1" x14ac:dyDescent="0.35">
      <c r="B13" s="214">
        <f>B12+1</f>
        <v>6</v>
      </c>
      <c r="D13" s="214" t="s">
        <v>33</v>
      </c>
      <c r="F13" s="221" t="s">
        <v>48</v>
      </c>
      <c r="G13" s="210" t="s">
        <v>49</v>
      </c>
      <c r="H13" s="221" t="s">
        <v>48</v>
      </c>
      <c r="I13" s="210" t="s">
        <v>49</v>
      </c>
      <c r="J13" s="208">
        <f>Assumptions!D10</f>
        <v>56</v>
      </c>
      <c r="K13" s="208">
        <v>15</v>
      </c>
      <c r="L13" s="211">
        <f>J13*K13</f>
        <v>840</v>
      </c>
      <c r="M13" s="212">
        <v>0.25</v>
      </c>
      <c r="N13" s="212">
        <f t="shared" si="0"/>
        <v>210</v>
      </c>
      <c r="O13" s="212">
        <v>210</v>
      </c>
      <c r="P13" s="212"/>
      <c r="Q13" s="212">
        <f t="shared" si="2"/>
        <v>0</v>
      </c>
      <c r="R13" s="212">
        <f t="shared" ref="R13:R93" si="7">P13+Q13</f>
        <v>0</v>
      </c>
      <c r="S13" s="120"/>
    </row>
    <row r="14" spans="2:19" s="219" customFormat="1" ht="51" customHeight="1" x14ac:dyDescent="0.35">
      <c r="B14" s="214">
        <f t="shared" si="3"/>
        <v>7</v>
      </c>
      <c r="D14" s="214" t="s">
        <v>33</v>
      </c>
      <c r="F14" s="221" t="s">
        <v>50</v>
      </c>
      <c r="G14" s="210" t="s">
        <v>51</v>
      </c>
      <c r="H14" s="221" t="s">
        <v>50</v>
      </c>
      <c r="I14" s="210" t="s">
        <v>538</v>
      </c>
      <c r="J14" s="208">
        <f>Assumptions!D10</f>
        <v>56</v>
      </c>
      <c r="K14" s="208">
        <f>ROUND(Assumptions!D31/Assumptions!D10,0)</f>
        <v>5</v>
      </c>
      <c r="L14" s="211">
        <f t="shared" ref="L14" si="8">J14*K14</f>
        <v>280</v>
      </c>
      <c r="M14" s="212">
        <v>0.5</v>
      </c>
      <c r="N14" s="212">
        <f t="shared" si="0"/>
        <v>140</v>
      </c>
      <c r="O14" s="212">
        <v>140</v>
      </c>
      <c r="P14" s="212"/>
      <c r="Q14" s="212">
        <f t="shared" si="2"/>
        <v>0</v>
      </c>
      <c r="R14" s="212">
        <f t="shared" si="7"/>
        <v>0</v>
      </c>
      <c r="S14" s="120"/>
    </row>
    <row r="15" spans="2:19" s="219" customFormat="1" ht="93.75" customHeight="1" x14ac:dyDescent="0.35">
      <c r="B15" s="242">
        <f t="shared" si="3"/>
        <v>8</v>
      </c>
      <c r="D15" s="242" t="s">
        <v>33</v>
      </c>
      <c r="F15" s="235" t="s">
        <v>52</v>
      </c>
      <c r="G15" s="235" t="s">
        <v>53</v>
      </c>
      <c r="H15" s="235" t="s">
        <v>507</v>
      </c>
      <c r="I15" s="235" t="s">
        <v>53</v>
      </c>
      <c r="J15" s="243">
        <f>Assumptions!D10</f>
        <v>56</v>
      </c>
      <c r="K15" s="243">
        <v>5</v>
      </c>
      <c r="L15" s="237">
        <f>J15*K15</f>
        <v>280</v>
      </c>
      <c r="M15" s="239">
        <v>0.25</v>
      </c>
      <c r="N15" s="239">
        <f t="shared" si="0"/>
        <v>70</v>
      </c>
      <c r="O15" s="239">
        <v>140</v>
      </c>
      <c r="P15" s="239"/>
      <c r="Q15" s="239">
        <f>N15-O15</f>
        <v>-70</v>
      </c>
      <c r="R15" s="239">
        <f t="shared" si="7"/>
        <v>-70</v>
      </c>
      <c r="S15" s="247" t="s">
        <v>54</v>
      </c>
    </row>
    <row r="16" spans="2:19" s="219" customFormat="1" ht="64.5" customHeight="1" x14ac:dyDescent="0.35">
      <c r="B16" s="242">
        <f t="shared" si="3"/>
        <v>9</v>
      </c>
      <c r="D16" s="242" t="s">
        <v>33</v>
      </c>
      <c r="F16" s="235" t="s">
        <v>55</v>
      </c>
      <c r="G16" s="235" t="s">
        <v>56</v>
      </c>
      <c r="H16" s="235" t="s">
        <v>508</v>
      </c>
      <c r="I16" s="235" t="s">
        <v>56</v>
      </c>
      <c r="J16" s="243">
        <f>Assumptions!D10</f>
        <v>56</v>
      </c>
      <c r="K16" s="243">
        <f>5*0.7</f>
        <v>3.5</v>
      </c>
      <c r="L16" s="237">
        <f t="shared" ref="L16:L93" si="9">J16*K16</f>
        <v>196</v>
      </c>
      <c r="M16" s="239">
        <v>0.25</v>
      </c>
      <c r="N16" s="239">
        <f t="shared" si="0"/>
        <v>49</v>
      </c>
      <c r="O16" s="239">
        <v>98</v>
      </c>
      <c r="P16" s="239"/>
      <c r="Q16" s="239">
        <f>N16-O16</f>
        <v>-49</v>
      </c>
      <c r="R16" s="239">
        <f t="shared" si="7"/>
        <v>-49</v>
      </c>
      <c r="S16" s="247" t="s">
        <v>54</v>
      </c>
    </row>
    <row r="17" spans="2:19" s="219" customFormat="1" ht="63.75" customHeight="1" x14ac:dyDescent="0.35">
      <c r="B17" s="242">
        <f t="shared" si="3"/>
        <v>10</v>
      </c>
      <c r="D17" s="242" t="s">
        <v>33</v>
      </c>
      <c r="F17" s="235" t="s">
        <v>57</v>
      </c>
      <c r="G17" s="235" t="s">
        <v>58</v>
      </c>
      <c r="H17" s="235" t="s">
        <v>509</v>
      </c>
      <c r="I17" s="235" t="s">
        <v>58</v>
      </c>
      <c r="J17" s="243">
        <f>Assumptions!D10</f>
        <v>56</v>
      </c>
      <c r="K17" s="243">
        <f>5*0.3</f>
        <v>1.5</v>
      </c>
      <c r="L17" s="237">
        <f t="shared" si="9"/>
        <v>84</v>
      </c>
      <c r="M17" s="239">
        <v>0.25</v>
      </c>
      <c r="N17" s="239">
        <f t="shared" si="0"/>
        <v>21</v>
      </c>
      <c r="O17" s="239">
        <v>42</v>
      </c>
      <c r="P17" s="239"/>
      <c r="Q17" s="239">
        <f>N17-O17</f>
        <v>-21</v>
      </c>
      <c r="R17" s="239">
        <f t="shared" si="7"/>
        <v>-21</v>
      </c>
      <c r="S17" s="247" t="s">
        <v>54</v>
      </c>
    </row>
    <row r="18" spans="2:19" s="219" customFormat="1" ht="77" customHeight="1" x14ac:dyDescent="0.35">
      <c r="B18" s="242">
        <f t="shared" si="3"/>
        <v>11</v>
      </c>
      <c r="D18" s="242" t="s">
        <v>33</v>
      </c>
      <c r="F18" s="235" t="s">
        <v>59</v>
      </c>
      <c r="G18" s="235" t="s">
        <v>60</v>
      </c>
      <c r="H18" s="235" t="s">
        <v>510</v>
      </c>
      <c r="I18" s="235" t="s">
        <v>60</v>
      </c>
      <c r="J18" s="243">
        <f>Assumptions!D10</f>
        <v>56</v>
      </c>
      <c r="K18" s="243">
        <f>5*0.3</f>
        <v>1.5</v>
      </c>
      <c r="L18" s="237">
        <f t="shared" si="9"/>
        <v>84</v>
      </c>
      <c r="M18" s="239">
        <v>0.25</v>
      </c>
      <c r="N18" s="239">
        <f t="shared" si="0"/>
        <v>21</v>
      </c>
      <c r="O18" s="239">
        <v>42</v>
      </c>
      <c r="P18" s="239"/>
      <c r="Q18" s="239">
        <f>N18-O18</f>
        <v>-21</v>
      </c>
      <c r="R18" s="239">
        <f t="shared" si="7"/>
        <v>-21</v>
      </c>
      <c r="S18" s="247" t="s">
        <v>54</v>
      </c>
    </row>
    <row r="19" spans="2:19" s="219" customFormat="1" ht="108" customHeight="1" x14ac:dyDescent="0.35">
      <c r="B19" s="214">
        <f t="shared" si="3"/>
        <v>12</v>
      </c>
      <c r="D19" s="214" t="s">
        <v>33</v>
      </c>
      <c r="F19" s="204" t="s">
        <v>61</v>
      </c>
      <c r="G19" s="204" t="s">
        <v>62</v>
      </c>
      <c r="H19" s="204" t="s">
        <v>61</v>
      </c>
      <c r="I19" s="204" t="s">
        <v>62</v>
      </c>
      <c r="J19" s="208">
        <f>Assumptions!D10</f>
        <v>56</v>
      </c>
      <c r="K19" s="208">
        <v>3</v>
      </c>
      <c r="L19" s="211">
        <f t="shared" ref="L19" si="10">J19*K19</f>
        <v>168</v>
      </c>
      <c r="M19" s="212">
        <v>0.25</v>
      </c>
      <c r="N19" s="212">
        <f t="shared" si="0"/>
        <v>42</v>
      </c>
      <c r="O19" s="212">
        <v>42</v>
      </c>
      <c r="P19" s="212"/>
      <c r="Q19" s="212">
        <f t="shared" si="2"/>
        <v>0</v>
      </c>
      <c r="R19" s="212">
        <f t="shared" ref="R19" si="11">P19+Q19</f>
        <v>0</v>
      </c>
      <c r="S19" s="222"/>
    </row>
    <row r="20" spans="2:19" s="219" customFormat="1" ht="94.5" customHeight="1" x14ac:dyDescent="0.35">
      <c r="B20" s="214">
        <f t="shared" si="3"/>
        <v>13</v>
      </c>
      <c r="D20" s="214" t="s">
        <v>33</v>
      </c>
      <c r="F20" s="204" t="s">
        <v>63</v>
      </c>
      <c r="G20" s="204" t="s">
        <v>64</v>
      </c>
      <c r="H20" s="204" t="s">
        <v>63</v>
      </c>
      <c r="I20" s="204" t="s">
        <v>64</v>
      </c>
      <c r="J20" s="208">
        <f>Assumptions!D10</f>
        <v>56</v>
      </c>
      <c r="K20" s="208">
        <v>3</v>
      </c>
      <c r="L20" s="211">
        <f t="shared" si="9"/>
        <v>168</v>
      </c>
      <c r="M20" s="212">
        <v>0.25</v>
      </c>
      <c r="N20" s="212">
        <f t="shared" si="0"/>
        <v>42</v>
      </c>
      <c r="O20" s="212">
        <v>42</v>
      </c>
      <c r="P20" s="212"/>
      <c r="Q20" s="212">
        <f t="shared" si="2"/>
        <v>0</v>
      </c>
      <c r="R20" s="212">
        <f t="shared" si="7"/>
        <v>0</v>
      </c>
      <c r="S20" s="222"/>
    </row>
    <row r="21" spans="2:19" s="219" customFormat="1" ht="69.650000000000006" customHeight="1" x14ac:dyDescent="0.35">
      <c r="B21" s="214">
        <f t="shared" si="3"/>
        <v>14</v>
      </c>
      <c r="D21" s="214" t="s">
        <v>33</v>
      </c>
      <c r="F21" s="209" t="s">
        <v>65</v>
      </c>
      <c r="G21" s="210" t="s">
        <v>66</v>
      </c>
      <c r="H21" s="209" t="s">
        <v>65</v>
      </c>
      <c r="I21" s="210" t="s">
        <v>66</v>
      </c>
      <c r="J21" s="208">
        <f>Assumptions!D10</f>
        <v>56</v>
      </c>
      <c r="K21" s="208">
        <v>12</v>
      </c>
      <c r="L21" s="211">
        <f t="shared" si="9"/>
        <v>672</v>
      </c>
      <c r="M21" s="212">
        <v>0.25</v>
      </c>
      <c r="N21" s="212">
        <f t="shared" si="0"/>
        <v>168</v>
      </c>
      <c r="O21" s="212">
        <v>168</v>
      </c>
      <c r="P21" s="212"/>
      <c r="Q21" s="212">
        <f t="shared" si="2"/>
        <v>0</v>
      </c>
      <c r="R21" s="212">
        <f t="shared" si="7"/>
        <v>0</v>
      </c>
      <c r="S21" s="120"/>
    </row>
    <row r="22" spans="2:19" s="219" customFormat="1" ht="98.5" customHeight="1" x14ac:dyDescent="0.35">
      <c r="B22" s="214">
        <f t="shared" si="3"/>
        <v>15</v>
      </c>
      <c r="D22" s="214" t="s">
        <v>33</v>
      </c>
      <c r="F22" s="223" t="s">
        <v>67</v>
      </c>
      <c r="G22" s="210" t="s">
        <v>68</v>
      </c>
      <c r="H22" s="223" t="s">
        <v>67</v>
      </c>
      <c r="I22" s="210" t="s">
        <v>68</v>
      </c>
      <c r="J22" s="208">
        <f>Assumptions!D11</f>
        <v>10</v>
      </c>
      <c r="K22" s="208">
        <v>1</v>
      </c>
      <c r="L22" s="211">
        <f t="shared" si="9"/>
        <v>10</v>
      </c>
      <c r="M22" s="212">
        <v>1</v>
      </c>
      <c r="N22" s="212">
        <f t="shared" si="0"/>
        <v>10</v>
      </c>
      <c r="O22" s="212">
        <v>10</v>
      </c>
      <c r="P22" s="212"/>
      <c r="Q22" s="212">
        <f t="shared" si="2"/>
        <v>0</v>
      </c>
      <c r="R22" s="212">
        <f t="shared" si="7"/>
        <v>0</v>
      </c>
      <c r="S22" s="120"/>
    </row>
    <row r="23" spans="2:19" s="219" customFormat="1" ht="29" x14ac:dyDescent="0.35">
      <c r="B23" s="214">
        <f t="shared" si="3"/>
        <v>16</v>
      </c>
      <c r="D23" s="214" t="s">
        <v>33</v>
      </c>
      <c r="F23" s="209" t="s">
        <v>69</v>
      </c>
      <c r="G23" s="210" t="s">
        <v>70</v>
      </c>
      <c r="H23" s="209" t="s">
        <v>69</v>
      </c>
      <c r="I23" s="210" t="s">
        <v>70</v>
      </c>
      <c r="J23" s="208">
        <f>Assumptions!D12</f>
        <v>10</v>
      </c>
      <c r="K23" s="208">
        <v>1</v>
      </c>
      <c r="L23" s="211">
        <f>J23*K23</f>
        <v>10</v>
      </c>
      <c r="M23" s="212">
        <v>3</v>
      </c>
      <c r="N23" s="212">
        <f>L23*M23</f>
        <v>30</v>
      </c>
      <c r="O23" s="212">
        <v>30</v>
      </c>
      <c r="P23" s="212"/>
      <c r="Q23" s="212">
        <f t="shared" si="2"/>
        <v>0</v>
      </c>
      <c r="R23" s="212">
        <f>P23+Q23</f>
        <v>0</v>
      </c>
      <c r="S23" s="120"/>
    </row>
    <row r="24" spans="2:19" s="219" customFormat="1" ht="63" customHeight="1" x14ac:dyDescent="0.35">
      <c r="B24" s="214">
        <f t="shared" si="3"/>
        <v>17</v>
      </c>
      <c r="D24" s="214" t="s">
        <v>33</v>
      </c>
      <c r="F24" s="223" t="s">
        <v>71</v>
      </c>
      <c r="G24" s="210" t="s">
        <v>72</v>
      </c>
      <c r="H24" s="223" t="s">
        <v>539</v>
      </c>
      <c r="I24" s="210" t="s">
        <v>72</v>
      </c>
      <c r="J24" s="208">
        <f>Assumptions!$D$10</f>
        <v>56</v>
      </c>
      <c r="K24" s="208">
        <v>1</v>
      </c>
      <c r="L24" s="211">
        <f t="shared" ref="L24" si="12">J24*K24</f>
        <v>56</v>
      </c>
      <c r="M24" s="212">
        <v>0.5</v>
      </c>
      <c r="N24" s="212">
        <f t="shared" ref="N24" si="13">L24*M24</f>
        <v>28</v>
      </c>
      <c r="O24" s="212">
        <v>28</v>
      </c>
      <c r="P24" s="212"/>
      <c r="Q24" s="212">
        <f t="shared" si="2"/>
        <v>0</v>
      </c>
      <c r="R24" s="212">
        <f t="shared" ref="R24" si="14">P24+Q24</f>
        <v>0</v>
      </c>
      <c r="S24" s="120"/>
    </row>
    <row r="25" spans="2:19" s="219" customFormat="1" ht="53.25" customHeight="1" x14ac:dyDescent="0.35">
      <c r="B25" s="214">
        <f t="shared" si="3"/>
        <v>18</v>
      </c>
      <c r="D25" s="214" t="s">
        <v>33</v>
      </c>
      <c r="F25" s="223" t="s">
        <v>73</v>
      </c>
      <c r="G25" s="210" t="s">
        <v>74</v>
      </c>
      <c r="H25" s="223" t="s">
        <v>73</v>
      </c>
      <c r="I25" s="210" t="s">
        <v>74</v>
      </c>
      <c r="J25" s="208">
        <f>Assumptions!$D$10</f>
        <v>56</v>
      </c>
      <c r="K25" s="208">
        <v>1</v>
      </c>
      <c r="L25" s="211">
        <f t="shared" si="9"/>
        <v>56</v>
      </c>
      <c r="M25" s="212">
        <v>0.25</v>
      </c>
      <c r="N25" s="212">
        <f t="shared" si="0"/>
        <v>14</v>
      </c>
      <c r="O25" s="212">
        <v>14</v>
      </c>
      <c r="P25" s="212"/>
      <c r="Q25" s="212">
        <f t="shared" si="2"/>
        <v>0</v>
      </c>
      <c r="R25" s="212">
        <f t="shared" ref="R25" si="15">P25+Q25</f>
        <v>0</v>
      </c>
      <c r="S25" s="120"/>
    </row>
    <row r="26" spans="2:19" s="219" customFormat="1" ht="76.5" customHeight="1" x14ac:dyDescent="0.35">
      <c r="B26" s="214">
        <f t="shared" si="3"/>
        <v>19</v>
      </c>
      <c r="D26" s="214" t="s">
        <v>33</v>
      </c>
      <c r="F26" s="209" t="s">
        <v>75</v>
      </c>
      <c r="G26" s="210" t="s">
        <v>76</v>
      </c>
      <c r="H26" s="209" t="s">
        <v>75</v>
      </c>
      <c r="I26" s="210" t="s">
        <v>76</v>
      </c>
      <c r="J26" s="208">
        <f>Assumptions!D10</f>
        <v>56</v>
      </c>
      <c r="K26" s="208">
        <v>1</v>
      </c>
      <c r="L26" s="211">
        <f t="shared" si="9"/>
        <v>56</v>
      </c>
      <c r="M26" s="212">
        <v>0.5</v>
      </c>
      <c r="N26" s="212">
        <f t="shared" si="0"/>
        <v>28</v>
      </c>
      <c r="O26" s="212">
        <v>28</v>
      </c>
      <c r="P26" s="212"/>
      <c r="Q26" s="212">
        <f t="shared" si="2"/>
        <v>0</v>
      </c>
      <c r="R26" s="212">
        <f t="shared" si="7"/>
        <v>0</v>
      </c>
      <c r="S26" s="120"/>
    </row>
    <row r="27" spans="2:19" s="219" customFormat="1" ht="43.5" x14ac:dyDescent="0.35">
      <c r="B27" s="214">
        <f t="shared" si="3"/>
        <v>20</v>
      </c>
      <c r="D27" s="214" t="s">
        <v>33</v>
      </c>
      <c r="F27" s="209" t="s">
        <v>77</v>
      </c>
      <c r="G27" s="210" t="s">
        <v>78</v>
      </c>
      <c r="H27" s="209" t="s">
        <v>77</v>
      </c>
      <c r="I27" s="210" t="s">
        <v>78</v>
      </c>
      <c r="J27" s="208">
        <f>Assumptions!D10</f>
        <v>56</v>
      </c>
      <c r="K27" s="208">
        <f>ROUND((J88+J125)/J27,0)</f>
        <v>11</v>
      </c>
      <c r="L27" s="211">
        <f t="shared" si="9"/>
        <v>616</v>
      </c>
      <c r="M27" s="212">
        <v>0.25</v>
      </c>
      <c r="N27" s="212">
        <f t="shared" si="0"/>
        <v>154</v>
      </c>
      <c r="O27" s="212">
        <v>154</v>
      </c>
      <c r="P27" s="212"/>
      <c r="Q27" s="212">
        <f t="shared" si="2"/>
        <v>0</v>
      </c>
      <c r="R27" s="212">
        <f t="shared" si="7"/>
        <v>0</v>
      </c>
      <c r="S27" s="120"/>
    </row>
    <row r="28" spans="2:19" s="219" customFormat="1" ht="54.65" customHeight="1" x14ac:dyDescent="0.35">
      <c r="B28" s="214">
        <f t="shared" si="3"/>
        <v>21</v>
      </c>
      <c r="D28" s="214" t="s">
        <v>33</v>
      </c>
      <c r="F28" s="209" t="s">
        <v>79</v>
      </c>
      <c r="G28" s="210" t="s">
        <v>80</v>
      </c>
      <c r="H28" s="209" t="s">
        <v>79</v>
      </c>
      <c r="I28" s="210" t="s">
        <v>80</v>
      </c>
      <c r="J28" s="208">
        <f>Assumptions!D10</f>
        <v>56</v>
      </c>
      <c r="K28" s="208">
        <f>ROUND((J88+J125)/J28,0)</f>
        <v>11</v>
      </c>
      <c r="L28" s="211">
        <f t="shared" si="9"/>
        <v>616</v>
      </c>
      <c r="M28" s="212">
        <v>0.25</v>
      </c>
      <c r="N28" s="212">
        <f t="shared" si="0"/>
        <v>154</v>
      </c>
      <c r="O28" s="212">
        <v>154</v>
      </c>
      <c r="P28" s="212"/>
      <c r="Q28" s="212">
        <f t="shared" si="2"/>
        <v>0</v>
      </c>
      <c r="R28" s="212">
        <f t="shared" si="7"/>
        <v>0</v>
      </c>
      <c r="S28" s="120"/>
    </row>
    <row r="29" spans="2:19" s="219" customFormat="1" ht="43" customHeight="1" x14ac:dyDescent="0.35">
      <c r="B29" s="214">
        <f t="shared" si="3"/>
        <v>22</v>
      </c>
      <c r="D29" s="214" t="s">
        <v>33</v>
      </c>
      <c r="F29" s="209" t="s">
        <v>81</v>
      </c>
      <c r="G29" s="210" t="s">
        <v>82</v>
      </c>
      <c r="H29" s="269" t="s">
        <v>81</v>
      </c>
      <c r="I29" s="210" t="s">
        <v>82</v>
      </c>
      <c r="J29" s="208">
        <f>Assumptions!D10</f>
        <v>56</v>
      </c>
      <c r="K29" s="208">
        <v>1</v>
      </c>
      <c r="L29" s="211">
        <f t="shared" si="9"/>
        <v>56</v>
      </c>
      <c r="M29" s="212">
        <v>0.25</v>
      </c>
      <c r="N29" s="212">
        <f t="shared" si="0"/>
        <v>14</v>
      </c>
      <c r="O29" s="212">
        <v>14</v>
      </c>
      <c r="P29" s="212"/>
      <c r="Q29" s="212">
        <f t="shared" si="2"/>
        <v>0</v>
      </c>
      <c r="R29" s="212">
        <f t="shared" si="7"/>
        <v>0</v>
      </c>
      <c r="S29" s="120"/>
    </row>
    <row r="30" spans="2:19" s="219" customFormat="1" ht="43.5" x14ac:dyDescent="0.35">
      <c r="B30" s="214">
        <f t="shared" si="3"/>
        <v>23</v>
      </c>
      <c r="D30" s="214" t="s">
        <v>33</v>
      </c>
      <c r="F30" s="209" t="s">
        <v>83</v>
      </c>
      <c r="G30" s="210" t="s">
        <v>84</v>
      </c>
      <c r="H30" s="209" t="s">
        <v>83</v>
      </c>
      <c r="I30" s="210" t="s">
        <v>84</v>
      </c>
      <c r="J30" s="208">
        <f>Assumptions!D10</f>
        <v>56</v>
      </c>
      <c r="K30" s="208">
        <v>1</v>
      </c>
      <c r="L30" s="211">
        <f t="shared" si="9"/>
        <v>56</v>
      </c>
      <c r="M30" s="212">
        <v>2</v>
      </c>
      <c r="N30" s="212">
        <f t="shared" si="0"/>
        <v>112</v>
      </c>
      <c r="O30" s="212">
        <v>112</v>
      </c>
      <c r="P30" s="212"/>
      <c r="Q30" s="212">
        <f t="shared" si="2"/>
        <v>0</v>
      </c>
      <c r="R30" s="212">
        <f t="shared" si="7"/>
        <v>0</v>
      </c>
      <c r="S30" s="120"/>
    </row>
    <row r="31" spans="2:19" s="219" customFormat="1" ht="29" x14ac:dyDescent="0.35">
      <c r="B31" s="214">
        <f t="shared" si="3"/>
        <v>24</v>
      </c>
      <c r="D31" s="214" t="s">
        <v>33</v>
      </c>
      <c r="F31" s="209" t="s">
        <v>85</v>
      </c>
      <c r="G31" s="210" t="s">
        <v>86</v>
      </c>
      <c r="H31" s="209" t="s">
        <v>85</v>
      </c>
      <c r="I31" s="210" t="s">
        <v>86</v>
      </c>
      <c r="J31" s="208">
        <f>Assumptions!D10</f>
        <v>56</v>
      </c>
      <c r="K31" s="208">
        <f>ROUND((J88+J125)/J31,0)</f>
        <v>11</v>
      </c>
      <c r="L31" s="211">
        <f t="shared" si="9"/>
        <v>616</v>
      </c>
      <c r="M31" s="212">
        <v>0.25</v>
      </c>
      <c r="N31" s="212">
        <f t="shared" si="0"/>
        <v>154</v>
      </c>
      <c r="O31" s="212">
        <v>154</v>
      </c>
      <c r="P31" s="212"/>
      <c r="Q31" s="212">
        <f t="shared" si="2"/>
        <v>0</v>
      </c>
      <c r="R31" s="212">
        <f t="shared" si="7"/>
        <v>0</v>
      </c>
      <c r="S31" s="120"/>
    </row>
    <row r="32" spans="2:19" s="219" customFormat="1" ht="29" x14ac:dyDescent="0.35">
      <c r="B32" s="214">
        <f t="shared" si="3"/>
        <v>25</v>
      </c>
      <c r="D32" s="214" t="s">
        <v>33</v>
      </c>
      <c r="F32" s="209" t="s">
        <v>87</v>
      </c>
      <c r="G32" s="210" t="s">
        <v>88</v>
      </c>
      <c r="H32" s="209" t="s">
        <v>87</v>
      </c>
      <c r="I32" s="210" t="s">
        <v>88</v>
      </c>
      <c r="J32" s="208">
        <f>Assumptions!D13</f>
        <v>15</v>
      </c>
      <c r="K32" s="208">
        <v>1</v>
      </c>
      <c r="L32" s="211">
        <f t="shared" si="9"/>
        <v>15</v>
      </c>
      <c r="M32" s="212">
        <v>0.25</v>
      </c>
      <c r="N32" s="212">
        <f t="shared" si="0"/>
        <v>3.75</v>
      </c>
      <c r="O32" s="212">
        <v>3.75</v>
      </c>
      <c r="P32" s="212"/>
      <c r="Q32" s="212">
        <f t="shared" si="2"/>
        <v>0</v>
      </c>
      <c r="R32" s="212">
        <f t="shared" si="7"/>
        <v>0</v>
      </c>
      <c r="S32" s="120"/>
    </row>
    <row r="33" spans="2:19" s="219" customFormat="1" ht="58" x14ac:dyDescent="0.35">
      <c r="B33" s="214">
        <f t="shared" si="3"/>
        <v>26</v>
      </c>
      <c r="D33" s="214" t="s">
        <v>33</v>
      </c>
      <c r="F33" s="209" t="s">
        <v>89</v>
      </c>
      <c r="G33" s="210" t="s">
        <v>90</v>
      </c>
      <c r="H33" s="209" t="s">
        <v>89</v>
      </c>
      <c r="I33" s="210" t="s">
        <v>90</v>
      </c>
      <c r="J33" s="208">
        <f>Assumptions!D10</f>
        <v>56</v>
      </c>
      <c r="K33" s="208">
        <v>1</v>
      </c>
      <c r="L33" s="211">
        <f t="shared" si="9"/>
        <v>56</v>
      </c>
      <c r="M33" s="212">
        <v>1</v>
      </c>
      <c r="N33" s="212">
        <f t="shared" si="0"/>
        <v>56</v>
      </c>
      <c r="O33" s="212">
        <v>56</v>
      </c>
      <c r="P33" s="212"/>
      <c r="Q33" s="212">
        <f t="shared" si="2"/>
        <v>0</v>
      </c>
      <c r="R33" s="212">
        <f t="shared" si="7"/>
        <v>0</v>
      </c>
      <c r="S33" s="120"/>
    </row>
    <row r="34" spans="2:19" s="219" customFormat="1" ht="58" x14ac:dyDescent="0.35">
      <c r="B34" s="214">
        <f t="shared" si="3"/>
        <v>27</v>
      </c>
      <c r="D34" s="214" t="s">
        <v>33</v>
      </c>
      <c r="F34" s="209" t="s">
        <v>91</v>
      </c>
      <c r="G34" s="210" t="s">
        <v>92</v>
      </c>
      <c r="H34" s="209" t="s">
        <v>91</v>
      </c>
      <c r="I34" s="210" t="s">
        <v>92</v>
      </c>
      <c r="J34" s="208">
        <f>Assumptions!D14</f>
        <v>18</v>
      </c>
      <c r="K34" s="208">
        <v>1</v>
      </c>
      <c r="L34" s="211">
        <f t="shared" si="9"/>
        <v>18</v>
      </c>
      <c r="M34" s="212">
        <v>0.25</v>
      </c>
      <c r="N34" s="212">
        <f t="shared" si="0"/>
        <v>4.5</v>
      </c>
      <c r="O34" s="212">
        <v>4.5</v>
      </c>
      <c r="P34" s="212"/>
      <c r="Q34" s="212">
        <f t="shared" si="2"/>
        <v>0</v>
      </c>
      <c r="R34" s="212">
        <f t="shared" si="7"/>
        <v>0</v>
      </c>
      <c r="S34" s="120"/>
    </row>
    <row r="35" spans="2:19" s="219" customFormat="1" ht="72.5" x14ac:dyDescent="0.35">
      <c r="B35" s="214">
        <f t="shared" si="3"/>
        <v>28</v>
      </c>
      <c r="D35" s="214" t="s">
        <v>33</v>
      </c>
      <c r="F35" s="209" t="s">
        <v>93</v>
      </c>
      <c r="G35" s="210" t="s">
        <v>94</v>
      </c>
      <c r="H35" s="209" t="s">
        <v>93</v>
      </c>
      <c r="I35" s="210" t="s">
        <v>94</v>
      </c>
      <c r="J35" s="208">
        <f>Assumptions!D15</f>
        <v>15</v>
      </c>
      <c r="K35" s="208">
        <v>1</v>
      </c>
      <c r="L35" s="211">
        <f t="shared" si="9"/>
        <v>15</v>
      </c>
      <c r="M35" s="212">
        <v>0.25</v>
      </c>
      <c r="N35" s="212">
        <f t="shared" si="0"/>
        <v>3.75</v>
      </c>
      <c r="O35" s="212">
        <v>3.75</v>
      </c>
      <c r="P35" s="212"/>
      <c r="Q35" s="212">
        <f t="shared" si="2"/>
        <v>0</v>
      </c>
      <c r="R35" s="212">
        <f t="shared" si="7"/>
        <v>0</v>
      </c>
      <c r="S35" s="120"/>
    </row>
    <row r="36" spans="2:19" s="219" customFormat="1" ht="159.5" x14ac:dyDescent="0.35">
      <c r="B36" s="214">
        <f t="shared" si="3"/>
        <v>29</v>
      </c>
      <c r="D36" s="214" t="s">
        <v>33</v>
      </c>
      <c r="F36" s="209" t="s">
        <v>95</v>
      </c>
      <c r="G36" s="210" t="s">
        <v>96</v>
      </c>
      <c r="H36" s="209" t="s">
        <v>95</v>
      </c>
      <c r="I36" s="210" t="s">
        <v>96</v>
      </c>
      <c r="J36" s="208">
        <f>Assumptions!$D$10</f>
        <v>56</v>
      </c>
      <c r="K36" s="208">
        <f>ROUND(ROUND(Assumptions!$D$27/Assumptions!$D$10,0)*0.33,0)</f>
        <v>129</v>
      </c>
      <c r="L36" s="211">
        <f t="shared" si="9"/>
        <v>7224</v>
      </c>
      <c r="M36" s="212">
        <v>20</v>
      </c>
      <c r="N36" s="212">
        <f t="shared" si="0"/>
        <v>144480</v>
      </c>
      <c r="O36" s="212">
        <v>144480</v>
      </c>
      <c r="P36" s="212"/>
      <c r="Q36" s="212">
        <f t="shared" si="2"/>
        <v>0</v>
      </c>
      <c r="R36" s="212">
        <f t="shared" si="7"/>
        <v>0</v>
      </c>
      <c r="S36" s="120"/>
    </row>
    <row r="37" spans="2:19" s="219" customFormat="1" ht="87" x14ac:dyDescent="0.35">
      <c r="B37" s="242">
        <f t="shared" si="3"/>
        <v>30</v>
      </c>
      <c r="C37" s="249"/>
      <c r="D37" s="234" t="s">
        <v>33</v>
      </c>
      <c r="E37" s="249"/>
      <c r="F37" s="235" t="s">
        <v>97</v>
      </c>
      <c r="G37" s="235" t="s">
        <v>98</v>
      </c>
      <c r="H37" s="235" t="s">
        <v>99</v>
      </c>
      <c r="I37" s="235" t="s">
        <v>548</v>
      </c>
      <c r="J37" s="188">
        <v>15</v>
      </c>
      <c r="K37" s="188">
        <v>1</v>
      </c>
      <c r="L37" s="237">
        <f t="shared" si="9"/>
        <v>15</v>
      </c>
      <c r="M37" s="188">
        <v>6</v>
      </c>
      <c r="N37" s="239">
        <f t="shared" si="0"/>
        <v>90</v>
      </c>
      <c r="O37" s="238">
        <v>90</v>
      </c>
      <c r="P37" s="238">
        <v>0</v>
      </c>
      <c r="Q37" s="240">
        <f t="shared" si="2"/>
        <v>0</v>
      </c>
      <c r="R37" s="240">
        <f t="shared" si="7"/>
        <v>0</v>
      </c>
      <c r="S37" s="241" t="s">
        <v>100</v>
      </c>
    </row>
    <row r="38" spans="2:19" s="219" customFormat="1" ht="72.5" x14ac:dyDescent="0.35">
      <c r="B38" s="242">
        <f t="shared" si="3"/>
        <v>31</v>
      </c>
      <c r="C38" s="249"/>
      <c r="D38" s="234" t="s">
        <v>43</v>
      </c>
      <c r="E38" s="249"/>
      <c r="F38" s="235"/>
      <c r="G38" s="235"/>
      <c r="H38" s="235" t="s">
        <v>511</v>
      </c>
      <c r="I38" s="235" t="s">
        <v>101</v>
      </c>
      <c r="J38" s="188">
        <f>Assumptions!D$10</f>
        <v>56</v>
      </c>
      <c r="K38" s="188">
        <f>ROUND(((Assumptions!D27 * Assumptions!D26)/J38), 0)</f>
        <v>23</v>
      </c>
      <c r="L38" s="237">
        <f t="shared" si="9"/>
        <v>1288</v>
      </c>
      <c r="M38" s="188">
        <v>0.25</v>
      </c>
      <c r="N38" s="239">
        <f t="shared" si="0"/>
        <v>322</v>
      </c>
      <c r="O38" s="238">
        <v>0</v>
      </c>
      <c r="P38" s="238">
        <v>0</v>
      </c>
      <c r="Q38" s="240">
        <f t="shared" si="2"/>
        <v>322</v>
      </c>
      <c r="R38" s="240">
        <f t="shared" si="7"/>
        <v>322</v>
      </c>
      <c r="S38" s="241"/>
    </row>
    <row r="39" spans="2:19" s="219" customFormat="1" ht="39" customHeight="1" x14ac:dyDescent="0.35">
      <c r="B39" s="242">
        <f t="shared" si="3"/>
        <v>32</v>
      </c>
      <c r="C39" s="249"/>
      <c r="D39" s="234" t="s">
        <v>43</v>
      </c>
      <c r="E39" s="249"/>
      <c r="F39" s="235"/>
      <c r="G39" s="235"/>
      <c r="H39" s="235" t="s">
        <v>512</v>
      </c>
      <c r="I39" s="235" t="s">
        <v>102</v>
      </c>
      <c r="J39" s="188">
        <f>Assumptions!D$10</f>
        <v>56</v>
      </c>
      <c r="K39" s="188">
        <f>ROUND(((Assumptions!D27 * Assumptions!D26)/J39), 0)</f>
        <v>23</v>
      </c>
      <c r="L39" s="237">
        <f t="shared" si="9"/>
        <v>1288</v>
      </c>
      <c r="M39" s="188">
        <v>0.25</v>
      </c>
      <c r="N39" s="239">
        <f t="shared" si="0"/>
        <v>322</v>
      </c>
      <c r="O39" s="238">
        <v>0</v>
      </c>
      <c r="P39" s="238">
        <v>0</v>
      </c>
      <c r="Q39" s="240">
        <f t="shared" si="2"/>
        <v>322</v>
      </c>
      <c r="R39" s="240">
        <f t="shared" si="7"/>
        <v>322</v>
      </c>
      <c r="S39" s="241"/>
    </row>
    <row r="40" spans="2:19" s="219" customFormat="1" x14ac:dyDescent="0.35">
      <c r="B40" s="242">
        <f t="shared" si="3"/>
        <v>33</v>
      </c>
      <c r="C40" s="249"/>
      <c r="D40" s="234" t="s">
        <v>43</v>
      </c>
      <c r="E40" s="249"/>
      <c r="F40" s="235"/>
      <c r="G40" s="235"/>
      <c r="H40" s="235" t="s">
        <v>513</v>
      </c>
      <c r="I40" s="235" t="s">
        <v>103</v>
      </c>
      <c r="J40" s="188">
        <f>Assumptions!D$10</f>
        <v>56</v>
      </c>
      <c r="K40" s="188">
        <f>ROUND(((Assumptions!D27 * Assumptions!D26)/J40), 0)</f>
        <v>23</v>
      </c>
      <c r="L40" s="237">
        <f t="shared" si="9"/>
        <v>1288</v>
      </c>
      <c r="M40" s="188">
        <v>0.25</v>
      </c>
      <c r="N40" s="239">
        <f t="shared" si="0"/>
        <v>322</v>
      </c>
      <c r="O40" s="238">
        <v>0</v>
      </c>
      <c r="P40" s="238">
        <v>0</v>
      </c>
      <c r="Q40" s="240">
        <f t="shared" si="2"/>
        <v>322</v>
      </c>
      <c r="R40" s="240">
        <f t="shared" si="7"/>
        <v>322</v>
      </c>
      <c r="S40" s="241"/>
    </row>
    <row r="41" spans="2:19" s="219" customFormat="1" ht="72.5" x14ac:dyDescent="0.35">
      <c r="B41" s="242">
        <f t="shared" si="3"/>
        <v>34</v>
      </c>
      <c r="C41" s="249"/>
      <c r="D41" s="234" t="s">
        <v>43</v>
      </c>
      <c r="E41" s="249"/>
      <c r="F41" s="235"/>
      <c r="G41" s="235"/>
      <c r="H41" s="235" t="s">
        <v>515</v>
      </c>
      <c r="I41" s="235" t="s">
        <v>514</v>
      </c>
      <c r="J41" s="188">
        <f>Assumptions!D$10</f>
        <v>56</v>
      </c>
      <c r="K41" s="188">
        <f>ROUND(((Assumptions!D27 * Assumptions!D26)/J41), 0)</f>
        <v>23</v>
      </c>
      <c r="L41" s="237">
        <f t="shared" si="9"/>
        <v>1288</v>
      </c>
      <c r="M41" s="188">
        <v>0.25</v>
      </c>
      <c r="N41" s="239">
        <f t="shared" si="0"/>
        <v>322</v>
      </c>
      <c r="O41" s="238">
        <v>0</v>
      </c>
      <c r="P41" s="238">
        <v>0</v>
      </c>
      <c r="Q41" s="240">
        <f t="shared" si="2"/>
        <v>322</v>
      </c>
      <c r="R41" s="240">
        <f t="shared" si="7"/>
        <v>322</v>
      </c>
      <c r="S41" s="241"/>
    </row>
    <row r="42" spans="2:19" s="219" customFormat="1" ht="43.5" x14ac:dyDescent="0.35">
      <c r="B42" s="242">
        <f t="shared" si="3"/>
        <v>35</v>
      </c>
      <c r="C42" s="249"/>
      <c r="D42" s="234" t="s">
        <v>43</v>
      </c>
      <c r="E42" s="249"/>
      <c r="F42" s="235"/>
      <c r="G42" s="235"/>
      <c r="H42" s="235" t="s">
        <v>549</v>
      </c>
      <c r="I42" s="235" t="s">
        <v>104</v>
      </c>
      <c r="J42" s="188">
        <f>Assumptions!D$10</f>
        <v>56</v>
      </c>
      <c r="K42" s="188">
        <f>ROUND(((Assumptions!D27 * Assumptions!D26)/J42), 0)</f>
        <v>23</v>
      </c>
      <c r="L42" s="237">
        <f t="shared" si="9"/>
        <v>1288</v>
      </c>
      <c r="M42" s="188">
        <v>0.25</v>
      </c>
      <c r="N42" s="239">
        <f t="shared" si="0"/>
        <v>322</v>
      </c>
      <c r="O42" s="238">
        <v>0</v>
      </c>
      <c r="P42" s="238">
        <v>0</v>
      </c>
      <c r="Q42" s="240">
        <f t="shared" ref="Q42" si="16">N42-O42</f>
        <v>322</v>
      </c>
      <c r="R42" s="240">
        <f t="shared" ref="R42" si="17">P42+Q42</f>
        <v>322</v>
      </c>
      <c r="S42" s="241"/>
    </row>
    <row r="43" spans="2:19" s="219" customFormat="1" ht="58" x14ac:dyDescent="0.35">
      <c r="B43" s="242">
        <f t="shared" si="3"/>
        <v>36</v>
      </c>
      <c r="C43" s="249"/>
      <c r="D43" s="234" t="s">
        <v>43</v>
      </c>
      <c r="E43" s="249"/>
      <c r="F43" s="235"/>
      <c r="G43" s="235"/>
      <c r="H43" s="235" t="s">
        <v>516</v>
      </c>
      <c r="I43" s="235" t="s">
        <v>527</v>
      </c>
      <c r="J43" s="188">
        <f>Assumptions!D$10</f>
        <v>56</v>
      </c>
      <c r="K43" s="188">
        <v>5</v>
      </c>
      <c r="L43" s="237">
        <f t="shared" si="9"/>
        <v>280</v>
      </c>
      <c r="M43" s="188">
        <v>0.25</v>
      </c>
      <c r="N43" s="239">
        <f t="shared" si="0"/>
        <v>70</v>
      </c>
      <c r="O43" s="238">
        <v>0</v>
      </c>
      <c r="P43" s="238">
        <v>0</v>
      </c>
      <c r="Q43" s="240">
        <f t="shared" si="2"/>
        <v>70</v>
      </c>
      <c r="R43" s="240">
        <f t="shared" si="7"/>
        <v>70</v>
      </c>
      <c r="S43" s="241"/>
    </row>
    <row r="44" spans="2:19" s="219" customFormat="1" ht="43.5" x14ac:dyDescent="0.35">
      <c r="B44" s="242">
        <f t="shared" si="3"/>
        <v>37</v>
      </c>
      <c r="C44" s="249"/>
      <c r="D44" s="234" t="s">
        <v>43</v>
      </c>
      <c r="E44" s="249"/>
      <c r="F44" s="235"/>
      <c r="G44" s="235"/>
      <c r="H44" s="235" t="s">
        <v>517</v>
      </c>
      <c r="I44" s="235" t="s">
        <v>105</v>
      </c>
      <c r="J44" s="188">
        <f>Assumptions!D$10</f>
        <v>56</v>
      </c>
      <c r="K44" s="188">
        <f>ROUND(((Assumptions!D27 * Assumptions!D26)/J44), 0)</f>
        <v>23</v>
      </c>
      <c r="L44" s="237">
        <f t="shared" si="9"/>
        <v>1288</v>
      </c>
      <c r="M44" s="188">
        <v>0.25</v>
      </c>
      <c r="N44" s="239">
        <f t="shared" si="0"/>
        <v>322</v>
      </c>
      <c r="O44" s="238">
        <v>0</v>
      </c>
      <c r="P44" s="238">
        <v>0</v>
      </c>
      <c r="Q44" s="240">
        <f t="shared" si="2"/>
        <v>322</v>
      </c>
      <c r="R44" s="240">
        <f t="shared" si="7"/>
        <v>322</v>
      </c>
      <c r="S44" s="241"/>
    </row>
    <row r="45" spans="2:19" s="219" customFormat="1" ht="29" x14ac:dyDescent="0.35">
      <c r="B45" s="242">
        <f t="shared" si="3"/>
        <v>38</v>
      </c>
      <c r="C45" s="249"/>
      <c r="D45" s="234" t="s">
        <v>43</v>
      </c>
      <c r="E45" s="249"/>
      <c r="F45" s="235"/>
      <c r="G45" s="235"/>
      <c r="H45" s="235" t="s">
        <v>518</v>
      </c>
      <c r="I45" s="235" t="s">
        <v>106</v>
      </c>
      <c r="J45" s="188">
        <f>Assumptions!D$10</f>
        <v>56</v>
      </c>
      <c r="K45" s="188">
        <f>ROUND(((Assumptions!D27 * Assumptions!D26)/J45), 0)</f>
        <v>23</v>
      </c>
      <c r="L45" s="237">
        <f t="shared" si="9"/>
        <v>1288</v>
      </c>
      <c r="M45" s="188">
        <v>0.25</v>
      </c>
      <c r="N45" s="239">
        <f t="shared" si="0"/>
        <v>322</v>
      </c>
      <c r="O45" s="238">
        <v>0</v>
      </c>
      <c r="P45" s="238">
        <v>0</v>
      </c>
      <c r="Q45" s="240">
        <f t="shared" si="2"/>
        <v>322</v>
      </c>
      <c r="R45" s="240">
        <f t="shared" si="7"/>
        <v>322</v>
      </c>
      <c r="S45" s="241"/>
    </row>
    <row r="46" spans="2:19" s="219" customFormat="1" ht="58" x14ac:dyDescent="0.35">
      <c r="B46" s="242">
        <f t="shared" si="3"/>
        <v>39</v>
      </c>
      <c r="C46" s="249"/>
      <c r="D46" s="234" t="s">
        <v>43</v>
      </c>
      <c r="E46" s="249"/>
      <c r="F46" s="235"/>
      <c r="G46" s="235"/>
      <c r="H46" s="235" t="s">
        <v>519</v>
      </c>
      <c r="I46" s="235" t="s">
        <v>520</v>
      </c>
      <c r="J46" s="188">
        <f>Assumptions!D$10</f>
        <v>56</v>
      </c>
      <c r="K46" s="188">
        <f>ROUND(((Assumptions!D27 * Assumptions!D26)/J46), 0)</f>
        <v>23</v>
      </c>
      <c r="L46" s="237">
        <f t="shared" si="9"/>
        <v>1288</v>
      </c>
      <c r="M46" s="188">
        <v>20</v>
      </c>
      <c r="N46" s="239">
        <f t="shared" si="0"/>
        <v>25760</v>
      </c>
      <c r="O46" s="238">
        <v>0</v>
      </c>
      <c r="P46" s="238">
        <v>0</v>
      </c>
      <c r="Q46" s="240">
        <f t="shared" si="2"/>
        <v>25760</v>
      </c>
      <c r="R46" s="240">
        <f t="shared" si="7"/>
        <v>25760</v>
      </c>
      <c r="S46" s="241"/>
    </row>
    <row r="47" spans="2:19" s="219" customFormat="1" ht="29" x14ac:dyDescent="0.35">
      <c r="B47" s="242">
        <f t="shared" si="3"/>
        <v>40</v>
      </c>
      <c r="C47" s="249"/>
      <c r="D47" s="234"/>
      <c r="E47" s="249"/>
      <c r="F47" s="235"/>
      <c r="G47" s="235"/>
      <c r="H47" s="235" t="s">
        <v>521</v>
      </c>
      <c r="I47" s="235" t="s">
        <v>107</v>
      </c>
      <c r="J47" s="188">
        <f>Assumptions!D$10</f>
        <v>56</v>
      </c>
      <c r="K47" s="188">
        <f>ROUND(((Assumptions!D25 * Assumptions!D27 * Assumptions!D26)/J47), 0)</f>
        <v>6</v>
      </c>
      <c r="L47" s="237">
        <f t="shared" si="9"/>
        <v>336</v>
      </c>
      <c r="M47" s="188">
        <v>1</v>
      </c>
      <c r="N47" s="239">
        <f t="shared" si="0"/>
        <v>336</v>
      </c>
      <c r="O47" s="238">
        <v>0</v>
      </c>
      <c r="P47" s="238">
        <v>0</v>
      </c>
      <c r="Q47" s="240">
        <f t="shared" si="2"/>
        <v>336</v>
      </c>
      <c r="R47" s="240">
        <f t="shared" si="7"/>
        <v>336</v>
      </c>
      <c r="S47" s="241"/>
    </row>
    <row r="48" spans="2:19" s="219" customFormat="1" ht="58" x14ac:dyDescent="0.35">
      <c r="B48" s="242">
        <f t="shared" si="3"/>
        <v>41</v>
      </c>
      <c r="C48" s="233"/>
      <c r="D48" s="234" t="s">
        <v>33</v>
      </c>
      <c r="E48" s="233"/>
      <c r="F48" s="235" t="s">
        <v>108</v>
      </c>
      <c r="G48" s="244" t="s">
        <v>109</v>
      </c>
      <c r="H48" s="235" t="s">
        <v>97</v>
      </c>
      <c r="I48" s="244" t="s">
        <v>109</v>
      </c>
      <c r="J48" s="188">
        <f>Assumptions!D$10</f>
        <v>56</v>
      </c>
      <c r="K48" s="188">
        <v>1</v>
      </c>
      <c r="L48" s="238">
        <v>56</v>
      </c>
      <c r="M48" s="188">
        <v>0.25</v>
      </c>
      <c r="N48" s="238">
        <v>14</v>
      </c>
      <c r="O48" s="238">
        <v>14</v>
      </c>
      <c r="P48" s="238">
        <v>0</v>
      </c>
      <c r="Q48" s="240">
        <v>0</v>
      </c>
      <c r="R48" s="240">
        <v>0</v>
      </c>
      <c r="S48" s="241" t="s">
        <v>110</v>
      </c>
    </row>
    <row r="49" spans="2:19" s="219" customFormat="1" ht="29" x14ac:dyDescent="0.35">
      <c r="B49" s="214">
        <f t="shared" si="3"/>
        <v>42</v>
      </c>
      <c r="D49" s="214" t="s">
        <v>33</v>
      </c>
      <c r="F49" s="209" t="s">
        <v>111</v>
      </c>
      <c r="G49" s="210" t="s">
        <v>112</v>
      </c>
      <c r="H49" s="209" t="s">
        <v>111</v>
      </c>
      <c r="I49" s="210" t="s">
        <v>112</v>
      </c>
      <c r="J49" s="208">
        <f>ROUND(Assumptions!D10/2,0)</f>
        <v>28</v>
      </c>
      <c r="K49" s="208">
        <v>1</v>
      </c>
      <c r="L49" s="211">
        <f t="shared" si="9"/>
        <v>28</v>
      </c>
      <c r="M49" s="212">
        <v>5</v>
      </c>
      <c r="N49" s="212">
        <f t="shared" si="0"/>
        <v>140</v>
      </c>
      <c r="O49" s="212">
        <v>140</v>
      </c>
      <c r="P49" s="212"/>
      <c r="Q49" s="212">
        <f t="shared" si="2"/>
        <v>0</v>
      </c>
      <c r="R49" s="212">
        <f t="shared" si="7"/>
        <v>0</v>
      </c>
      <c r="S49" s="120"/>
    </row>
    <row r="50" spans="2:19" s="219" customFormat="1" ht="43.5" x14ac:dyDescent="0.35">
      <c r="B50" s="214">
        <f t="shared" si="3"/>
        <v>43</v>
      </c>
      <c r="D50" s="214" t="s">
        <v>33</v>
      </c>
      <c r="F50" s="216" t="s">
        <v>113</v>
      </c>
      <c r="G50" s="224" t="s">
        <v>114</v>
      </c>
      <c r="H50" s="216" t="s">
        <v>113</v>
      </c>
      <c r="I50" s="224" t="s">
        <v>114</v>
      </c>
      <c r="J50" s="208">
        <f>Assumptions!D10</f>
        <v>56</v>
      </c>
      <c r="K50" s="208">
        <v>0</v>
      </c>
      <c r="L50" s="211">
        <f t="shared" ref="L50" si="18">J50*K50</f>
        <v>0</v>
      </c>
      <c r="M50" s="212">
        <v>0</v>
      </c>
      <c r="N50" s="212">
        <f t="shared" ref="N50" si="19">L50*M50</f>
        <v>0</v>
      </c>
      <c r="O50" s="212">
        <v>0</v>
      </c>
      <c r="P50" s="212"/>
      <c r="Q50" s="212">
        <f t="shared" si="2"/>
        <v>0</v>
      </c>
      <c r="R50" s="212">
        <f t="shared" ref="R50" si="20">P50+Q50</f>
        <v>0</v>
      </c>
      <c r="S50" s="120" t="s">
        <v>115</v>
      </c>
    </row>
    <row r="51" spans="2:19" s="219" customFormat="1" ht="18.75" customHeight="1" x14ac:dyDescent="0.35">
      <c r="B51" s="214">
        <f t="shared" si="3"/>
        <v>44</v>
      </c>
      <c r="D51" s="214" t="s">
        <v>33</v>
      </c>
      <c r="F51" s="209" t="s">
        <v>116</v>
      </c>
      <c r="G51" s="210" t="s">
        <v>117</v>
      </c>
      <c r="H51" s="209" t="s">
        <v>116</v>
      </c>
      <c r="I51" s="210" t="s">
        <v>117</v>
      </c>
      <c r="J51" s="208">
        <f>Assumptions!D10</f>
        <v>56</v>
      </c>
      <c r="K51" s="208">
        <v>1</v>
      </c>
      <c r="L51" s="211">
        <f t="shared" si="9"/>
        <v>56</v>
      </c>
      <c r="M51" s="212">
        <v>2</v>
      </c>
      <c r="N51" s="212">
        <f t="shared" si="0"/>
        <v>112</v>
      </c>
      <c r="O51" s="212">
        <v>112</v>
      </c>
      <c r="P51" s="212"/>
      <c r="Q51" s="212">
        <f t="shared" si="2"/>
        <v>0</v>
      </c>
      <c r="R51" s="212">
        <f t="shared" si="7"/>
        <v>0</v>
      </c>
      <c r="S51" s="225"/>
    </row>
    <row r="52" spans="2:19" s="219" customFormat="1" x14ac:dyDescent="0.35">
      <c r="B52" s="214">
        <f t="shared" si="3"/>
        <v>45</v>
      </c>
      <c r="D52" s="214" t="s">
        <v>33</v>
      </c>
      <c r="F52" s="213" t="s">
        <v>118</v>
      </c>
      <c r="G52" s="213" t="s">
        <v>119</v>
      </c>
      <c r="H52" s="213" t="s">
        <v>118</v>
      </c>
      <c r="I52" s="213" t="s">
        <v>119</v>
      </c>
      <c r="J52" s="208">
        <f>Assumptions!$D$10</f>
        <v>56</v>
      </c>
      <c r="K52" s="208">
        <f>ROUND(Assumptions!$D$27/Assumptions!$D$10,0)</f>
        <v>390</v>
      </c>
      <c r="L52" s="211">
        <f t="shared" si="9"/>
        <v>21840</v>
      </c>
      <c r="M52" s="212">
        <v>2</v>
      </c>
      <c r="N52" s="212">
        <f t="shared" si="0"/>
        <v>43680</v>
      </c>
      <c r="O52" s="212">
        <v>43680</v>
      </c>
      <c r="P52" s="212"/>
      <c r="Q52" s="212">
        <f t="shared" si="2"/>
        <v>0</v>
      </c>
      <c r="R52" s="212">
        <f t="shared" si="7"/>
        <v>0</v>
      </c>
      <c r="S52" s="120"/>
    </row>
    <row r="53" spans="2:19" s="219" customFormat="1" ht="43.5" x14ac:dyDescent="0.35">
      <c r="B53" s="214">
        <f t="shared" si="3"/>
        <v>46</v>
      </c>
      <c r="D53" s="214" t="s">
        <v>33</v>
      </c>
      <c r="F53" s="210" t="s">
        <v>120</v>
      </c>
      <c r="G53" s="210" t="s">
        <v>121</v>
      </c>
      <c r="H53" s="210" t="s">
        <v>120</v>
      </c>
      <c r="I53" s="210" t="s">
        <v>121</v>
      </c>
      <c r="J53" s="208">
        <f>Assumptions!D18</f>
        <v>10</v>
      </c>
      <c r="K53" s="208">
        <v>1</v>
      </c>
      <c r="L53" s="211">
        <f t="shared" si="9"/>
        <v>10</v>
      </c>
      <c r="M53" s="212">
        <v>2</v>
      </c>
      <c r="N53" s="212">
        <f t="shared" si="0"/>
        <v>20</v>
      </c>
      <c r="O53" s="212">
        <v>20</v>
      </c>
      <c r="P53" s="212"/>
      <c r="Q53" s="212">
        <f t="shared" si="2"/>
        <v>0</v>
      </c>
      <c r="R53" s="212">
        <f t="shared" si="7"/>
        <v>0</v>
      </c>
      <c r="S53" s="120"/>
    </row>
    <row r="54" spans="2:19" s="219" customFormat="1" ht="29" x14ac:dyDescent="0.35">
      <c r="B54" s="214">
        <f t="shared" si="3"/>
        <v>47</v>
      </c>
      <c r="D54" s="214" t="s">
        <v>33</v>
      </c>
      <c r="F54" s="209" t="s">
        <v>122</v>
      </c>
      <c r="G54" s="210" t="s">
        <v>123</v>
      </c>
      <c r="H54" s="209" t="s">
        <v>122</v>
      </c>
      <c r="I54" s="210" t="s">
        <v>123</v>
      </c>
      <c r="J54" s="208">
        <f>Assumptions!D10</f>
        <v>56</v>
      </c>
      <c r="K54" s="208">
        <v>12</v>
      </c>
      <c r="L54" s="211">
        <f t="shared" si="9"/>
        <v>672</v>
      </c>
      <c r="M54" s="212">
        <v>1</v>
      </c>
      <c r="N54" s="212">
        <f t="shared" si="0"/>
        <v>672</v>
      </c>
      <c r="O54" s="212">
        <v>672</v>
      </c>
      <c r="P54" s="212"/>
      <c r="Q54" s="212">
        <f t="shared" si="2"/>
        <v>0</v>
      </c>
      <c r="R54" s="212">
        <f t="shared" si="7"/>
        <v>0</v>
      </c>
      <c r="S54" s="120"/>
    </row>
    <row r="55" spans="2:19" s="219" customFormat="1" ht="58" x14ac:dyDescent="0.35">
      <c r="B55" s="214">
        <f t="shared" si="3"/>
        <v>48</v>
      </c>
      <c r="D55" s="214" t="s">
        <v>33</v>
      </c>
      <c r="F55" s="209" t="s">
        <v>124</v>
      </c>
      <c r="G55" s="210" t="s">
        <v>125</v>
      </c>
      <c r="H55" s="209" t="s">
        <v>124</v>
      </c>
      <c r="I55" s="210" t="s">
        <v>125</v>
      </c>
      <c r="J55" s="208">
        <f>Assumptions!D10</f>
        <v>56</v>
      </c>
      <c r="K55" s="208">
        <v>1</v>
      </c>
      <c r="L55" s="211">
        <f t="shared" si="9"/>
        <v>56</v>
      </c>
      <c r="M55" s="212">
        <v>0.25</v>
      </c>
      <c r="N55" s="212">
        <f t="shared" si="0"/>
        <v>14</v>
      </c>
      <c r="O55" s="212">
        <v>14</v>
      </c>
      <c r="P55" s="212"/>
      <c r="Q55" s="212">
        <f t="shared" si="2"/>
        <v>0</v>
      </c>
      <c r="R55" s="212">
        <f t="shared" si="7"/>
        <v>0</v>
      </c>
      <c r="S55" s="120"/>
    </row>
    <row r="56" spans="2:19" s="219" customFormat="1" ht="43.5" x14ac:dyDescent="0.35">
      <c r="B56" s="214">
        <f t="shared" si="3"/>
        <v>49</v>
      </c>
      <c r="D56" s="214" t="s">
        <v>33</v>
      </c>
      <c r="F56" s="215" t="s">
        <v>126</v>
      </c>
      <c r="G56" s="216" t="s">
        <v>127</v>
      </c>
      <c r="H56" s="215" t="s">
        <v>126</v>
      </c>
      <c r="I56" s="216" t="s">
        <v>127</v>
      </c>
      <c r="J56" s="208">
        <f>Assumptions!D10</f>
        <v>56</v>
      </c>
      <c r="K56" s="208">
        <v>12</v>
      </c>
      <c r="L56" s="211">
        <f t="shared" si="9"/>
        <v>672</v>
      </c>
      <c r="M56" s="212">
        <v>2</v>
      </c>
      <c r="N56" s="212">
        <f t="shared" si="0"/>
        <v>1344</v>
      </c>
      <c r="O56" s="212">
        <v>1344</v>
      </c>
      <c r="P56" s="212"/>
      <c r="Q56" s="212">
        <f t="shared" si="2"/>
        <v>0</v>
      </c>
      <c r="R56" s="212">
        <f t="shared" si="7"/>
        <v>0</v>
      </c>
      <c r="S56" s="120"/>
    </row>
    <row r="57" spans="2:19" s="219" customFormat="1" ht="58" x14ac:dyDescent="0.35">
      <c r="B57" s="214">
        <f t="shared" si="3"/>
        <v>50</v>
      </c>
      <c r="D57" s="214" t="s">
        <v>33</v>
      </c>
      <c r="F57" s="209" t="s">
        <v>128</v>
      </c>
      <c r="G57" s="210" t="s">
        <v>129</v>
      </c>
      <c r="H57" s="209" t="s">
        <v>128</v>
      </c>
      <c r="I57" s="210" t="s">
        <v>129</v>
      </c>
      <c r="J57" s="208">
        <v>0</v>
      </c>
      <c r="K57" s="208">
        <v>0</v>
      </c>
      <c r="L57" s="211">
        <f t="shared" si="9"/>
        <v>0</v>
      </c>
      <c r="M57" s="212">
        <v>0</v>
      </c>
      <c r="N57" s="212">
        <f t="shared" si="0"/>
        <v>0</v>
      </c>
      <c r="O57" s="212">
        <v>0</v>
      </c>
      <c r="P57" s="212"/>
      <c r="Q57" s="212">
        <f t="shared" si="2"/>
        <v>0</v>
      </c>
      <c r="R57" s="212">
        <f t="shared" si="7"/>
        <v>0</v>
      </c>
      <c r="S57" s="120"/>
    </row>
    <row r="58" spans="2:19" s="219" customFormat="1" ht="29" x14ac:dyDescent="0.35">
      <c r="B58" s="214">
        <f t="shared" si="3"/>
        <v>51</v>
      </c>
      <c r="D58" s="214" t="s">
        <v>33</v>
      </c>
      <c r="F58" s="210" t="s">
        <v>130</v>
      </c>
      <c r="G58" s="210" t="s">
        <v>131</v>
      </c>
      <c r="H58" s="210" t="s">
        <v>130</v>
      </c>
      <c r="I58" s="210" t="s">
        <v>131</v>
      </c>
      <c r="J58" s="208">
        <v>0</v>
      </c>
      <c r="K58" s="208">
        <v>0</v>
      </c>
      <c r="L58" s="211">
        <f t="shared" si="9"/>
        <v>0</v>
      </c>
      <c r="M58" s="212">
        <v>0</v>
      </c>
      <c r="N58" s="212">
        <f t="shared" si="0"/>
        <v>0</v>
      </c>
      <c r="O58" s="212">
        <v>0</v>
      </c>
      <c r="P58" s="212"/>
      <c r="Q58" s="212">
        <f t="shared" si="2"/>
        <v>0</v>
      </c>
      <c r="R58" s="212">
        <f t="shared" si="7"/>
        <v>0</v>
      </c>
      <c r="S58" s="120"/>
    </row>
    <row r="59" spans="2:19" s="219" customFormat="1" ht="43.5" x14ac:dyDescent="0.35">
      <c r="B59" s="214">
        <f t="shared" si="3"/>
        <v>52</v>
      </c>
      <c r="D59" s="214" t="s">
        <v>33</v>
      </c>
      <c r="F59" s="210">
        <v>226.24</v>
      </c>
      <c r="G59" s="210" t="s">
        <v>132</v>
      </c>
      <c r="H59" s="210">
        <v>226.24</v>
      </c>
      <c r="I59" s="210" t="s">
        <v>132</v>
      </c>
      <c r="J59" s="208">
        <v>0</v>
      </c>
      <c r="K59" s="208">
        <v>0</v>
      </c>
      <c r="L59" s="211">
        <v>0</v>
      </c>
      <c r="M59" s="212">
        <v>0</v>
      </c>
      <c r="N59" s="212">
        <v>0</v>
      </c>
      <c r="O59" s="212">
        <v>0</v>
      </c>
      <c r="P59" s="212"/>
      <c r="Q59" s="212">
        <f t="shared" si="2"/>
        <v>0</v>
      </c>
      <c r="R59" s="212">
        <v>0</v>
      </c>
      <c r="S59" s="120"/>
    </row>
    <row r="60" spans="2:19" s="219" customFormat="1" ht="58" x14ac:dyDescent="0.35">
      <c r="B60" s="242">
        <f t="shared" si="3"/>
        <v>53</v>
      </c>
      <c r="D60" s="242" t="s">
        <v>43</v>
      </c>
      <c r="F60" s="235"/>
      <c r="G60" s="235"/>
      <c r="H60" s="248" t="s">
        <v>133</v>
      </c>
      <c r="I60" s="235" t="s">
        <v>134</v>
      </c>
      <c r="J60" s="243">
        <f>Assumptions!D$10</f>
        <v>56</v>
      </c>
      <c r="K60" s="243">
        <v>1</v>
      </c>
      <c r="L60" s="237">
        <f>J60*K60</f>
        <v>56</v>
      </c>
      <c r="M60" s="239">
        <v>1</v>
      </c>
      <c r="N60" s="239">
        <f>L60*M60</f>
        <v>56</v>
      </c>
      <c r="O60" s="239">
        <v>0</v>
      </c>
      <c r="P60" s="239">
        <v>0</v>
      </c>
      <c r="Q60" s="239">
        <f>N60-O60</f>
        <v>56</v>
      </c>
      <c r="R60" s="239">
        <f>P60+Q60</f>
        <v>56</v>
      </c>
      <c r="S60" s="241"/>
    </row>
    <row r="61" spans="2:19" s="219" customFormat="1" ht="80" customHeight="1" x14ac:dyDescent="0.35">
      <c r="B61" s="242">
        <f t="shared" si="3"/>
        <v>54</v>
      </c>
      <c r="D61" s="242" t="s">
        <v>33</v>
      </c>
      <c r="F61" s="235" t="s">
        <v>52</v>
      </c>
      <c r="G61" s="235" t="s">
        <v>53</v>
      </c>
      <c r="H61" s="235" t="s">
        <v>135</v>
      </c>
      <c r="I61" s="235" t="s">
        <v>493</v>
      </c>
      <c r="J61" s="243">
        <f>Assumptions!D$10</f>
        <v>56</v>
      </c>
      <c r="K61" s="243">
        <v>5</v>
      </c>
      <c r="L61" s="237">
        <f>J61*K61</f>
        <v>280</v>
      </c>
      <c r="M61" s="239">
        <v>0.25</v>
      </c>
      <c r="N61" s="239">
        <f>L61*M61</f>
        <v>70</v>
      </c>
      <c r="O61" s="239">
        <v>0</v>
      </c>
      <c r="P61" s="239">
        <v>0</v>
      </c>
      <c r="Q61" s="239">
        <f>N61-O61</f>
        <v>70</v>
      </c>
      <c r="R61" s="239">
        <f>P61+Q61</f>
        <v>70</v>
      </c>
      <c r="S61" s="247" t="s">
        <v>54</v>
      </c>
    </row>
    <row r="62" spans="2:19" s="219" customFormat="1" ht="81.5" customHeight="1" x14ac:dyDescent="0.35">
      <c r="B62" s="242">
        <f t="shared" si="3"/>
        <v>55</v>
      </c>
      <c r="D62" s="242" t="s">
        <v>33</v>
      </c>
      <c r="F62" s="235" t="s">
        <v>55</v>
      </c>
      <c r="G62" s="235" t="s">
        <v>56</v>
      </c>
      <c r="H62" s="235" t="s">
        <v>136</v>
      </c>
      <c r="I62" s="235" t="s">
        <v>494</v>
      </c>
      <c r="J62" s="243">
        <f>Assumptions!D$10</f>
        <v>56</v>
      </c>
      <c r="K62" s="243">
        <f>5*0.7</f>
        <v>3.5</v>
      </c>
      <c r="L62" s="237">
        <f t="shared" ref="L62:L80" si="21">J62*K62</f>
        <v>196</v>
      </c>
      <c r="M62" s="239">
        <v>0.25</v>
      </c>
      <c r="N62" s="239">
        <f t="shared" ref="N62:N80" si="22">L62*M62</f>
        <v>49</v>
      </c>
      <c r="O62" s="239">
        <v>0</v>
      </c>
      <c r="P62" s="239">
        <v>0</v>
      </c>
      <c r="Q62" s="239">
        <f t="shared" ref="Q62:Q80" si="23">N62-O62</f>
        <v>49</v>
      </c>
      <c r="R62" s="239">
        <f t="shared" ref="R62:R80" si="24">P62+Q62</f>
        <v>49</v>
      </c>
      <c r="S62" s="247" t="s">
        <v>54</v>
      </c>
    </row>
    <row r="63" spans="2:19" s="219" customFormat="1" ht="116" x14ac:dyDescent="0.35">
      <c r="B63" s="242">
        <f t="shared" si="3"/>
        <v>56</v>
      </c>
      <c r="D63" s="242" t="s">
        <v>33</v>
      </c>
      <c r="F63" s="235" t="s">
        <v>57</v>
      </c>
      <c r="G63" s="235" t="s">
        <v>58</v>
      </c>
      <c r="H63" s="235" t="s">
        <v>137</v>
      </c>
      <c r="I63" s="235" t="s">
        <v>531</v>
      </c>
      <c r="J63" s="243">
        <f>Assumptions!D$10</f>
        <v>56</v>
      </c>
      <c r="K63" s="243">
        <f>5*0.3</f>
        <v>1.5</v>
      </c>
      <c r="L63" s="237">
        <f t="shared" si="21"/>
        <v>84</v>
      </c>
      <c r="M63" s="239">
        <v>0.25</v>
      </c>
      <c r="N63" s="239">
        <f t="shared" si="22"/>
        <v>21</v>
      </c>
      <c r="O63" s="239">
        <v>0</v>
      </c>
      <c r="P63" s="239">
        <v>0</v>
      </c>
      <c r="Q63" s="239">
        <f t="shared" si="23"/>
        <v>21</v>
      </c>
      <c r="R63" s="239">
        <f t="shared" si="24"/>
        <v>21</v>
      </c>
      <c r="S63" s="247" t="s">
        <v>54</v>
      </c>
    </row>
    <row r="64" spans="2:19" s="219" customFormat="1" ht="145" x14ac:dyDescent="0.35">
      <c r="B64" s="242">
        <f t="shared" si="3"/>
        <v>57</v>
      </c>
      <c r="D64" s="242" t="s">
        <v>33</v>
      </c>
      <c r="F64" s="235" t="s">
        <v>59</v>
      </c>
      <c r="G64" s="235" t="s">
        <v>60</v>
      </c>
      <c r="H64" s="235" t="s">
        <v>138</v>
      </c>
      <c r="I64" s="235" t="s">
        <v>139</v>
      </c>
      <c r="J64" s="243">
        <f>Assumptions!D$10</f>
        <v>56</v>
      </c>
      <c r="K64" s="243">
        <f>5*0.3</f>
        <v>1.5</v>
      </c>
      <c r="L64" s="237">
        <f t="shared" si="21"/>
        <v>84</v>
      </c>
      <c r="M64" s="239">
        <v>0.25</v>
      </c>
      <c r="N64" s="239">
        <f t="shared" si="22"/>
        <v>21</v>
      </c>
      <c r="O64" s="239">
        <v>0</v>
      </c>
      <c r="P64" s="239">
        <v>0</v>
      </c>
      <c r="Q64" s="239">
        <f t="shared" si="23"/>
        <v>21</v>
      </c>
      <c r="R64" s="239">
        <f t="shared" si="24"/>
        <v>21</v>
      </c>
      <c r="S64" s="247" t="s">
        <v>54</v>
      </c>
    </row>
    <row r="65" spans="2:19" s="219" customFormat="1" ht="72.5" x14ac:dyDescent="0.35">
      <c r="B65" s="242">
        <f t="shared" si="3"/>
        <v>58</v>
      </c>
      <c r="D65" s="242" t="s">
        <v>43</v>
      </c>
      <c r="F65" s="235"/>
      <c r="G65" s="235"/>
      <c r="H65" s="235" t="s">
        <v>140</v>
      </c>
      <c r="I65" s="235" t="s">
        <v>495</v>
      </c>
      <c r="J65" s="243">
        <f>Assumptions!D$10</f>
        <v>56</v>
      </c>
      <c r="K65" s="237">
        <f>(ROUND(SUM(Assumptions!D38,Assumptions!D39,Assumptions!D37),0)/56)*5</f>
        <v>10569.553571428571</v>
      </c>
      <c r="L65" s="237">
        <f t="shared" si="21"/>
        <v>591895</v>
      </c>
      <c r="M65" s="239">
        <v>0.25</v>
      </c>
      <c r="N65" s="239">
        <f t="shared" si="22"/>
        <v>147973.75</v>
      </c>
      <c r="O65" s="239">
        <v>0</v>
      </c>
      <c r="P65" s="239">
        <v>0</v>
      </c>
      <c r="Q65" s="239">
        <f t="shared" si="23"/>
        <v>147973.75</v>
      </c>
      <c r="R65" s="239">
        <f t="shared" si="24"/>
        <v>147973.75</v>
      </c>
      <c r="S65" s="247"/>
    </row>
    <row r="66" spans="2:19" s="219" customFormat="1" ht="52.5" customHeight="1" x14ac:dyDescent="0.35">
      <c r="B66" s="242">
        <f t="shared" si="3"/>
        <v>59</v>
      </c>
      <c r="D66" s="242" t="s">
        <v>43</v>
      </c>
      <c r="F66" s="235"/>
      <c r="G66" s="235"/>
      <c r="H66" s="235" t="s">
        <v>141</v>
      </c>
      <c r="I66" s="235" t="s">
        <v>142</v>
      </c>
      <c r="J66" s="243">
        <f>Assumptions!D$10</f>
        <v>56</v>
      </c>
      <c r="K66" s="243">
        <v>3</v>
      </c>
      <c r="L66" s="237">
        <f t="shared" si="21"/>
        <v>168</v>
      </c>
      <c r="M66" s="239">
        <v>0.25</v>
      </c>
      <c r="N66" s="239">
        <f t="shared" si="22"/>
        <v>42</v>
      </c>
      <c r="O66" s="239">
        <v>0</v>
      </c>
      <c r="P66" s="239">
        <v>0</v>
      </c>
      <c r="Q66" s="239">
        <f t="shared" si="23"/>
        <v>42</v>
      </c>
      <c r="R66" s="239">
        <f t="shared" si="24"/>
        <v>42</v>
      </c>
      <c r="S66" s="247"/>
    </row>
    <row r="67" spans="2:19" s="219" customFormat="1" ht="43.5" x14ac:dyDescent="0.35">
      <c r="B67" s="242">
        <f t="shared" si="3"/>
        <v>60</v>
      </c>
      <c r="D67" s="242" t="s">
        <v>43</v>
      </c>
      <c r="F67" s="235"/>
      <c r="G67" s="235"/>
      <c r="H67" s="235" t="s">
        <v>143</v>
      </c>
      <c r="I67" s="235" t="s">
        <v>529</v>
      </c>
      <c r="J67" s="243">
        <f>Assumptions!D$10</f>
        <v>56</v>
      </c>
      <c r="K67" s="243">
        <f>ROUND(K36*0.3,0)</f>
        <v>39</v>
      </c>
      <c r="L67" s="237">
        <f t="shared" si="21"/>
        <v>2184</v>
      </c>
      <c r="M67" s="239">
        <v>20</v>
      </c>
      <c r="N67" s="239">
        <f t="shared" si="22"/>
        <v>43680</v>
      </c>
      <c r="O67" s="239">
        <v>0</v>
      </c>
      <c r="P67" s="239">
        <v>0</v>
      </c>
      <c r="Q67" s="239">
        <f t="shared" si="23"/>
        <v>43680</v>
      </c>
      <c r="R67" s="239">
        <f t="shared" si="24"/>
        <v>43680</v>
      </c>
      <c r="S67" s="247"/>
    </row>
    <row r="68" spans="2:19" s="219" customFormat="1" ht="42" customHeight="1" x14ac:dyDescent="0.35">
      <c r="B68" s="242">
        <f t="shared" si="3"/>
        <v>61</v>
      </c>
      <c r="C68" s="50"/>
      <c r="D68" s="234" t="s">
        <v>33</v>
      </c>
      <c r="E68" s="50"/>
      <c r="F68" s="235" t="s">
        <v>144</v>
      </c>
      <c r="G68" s="235" t="s">
        <v>145</v>
      </c>
      <c r="H68" s="235" t="s">
        <v>146</v>
      </c>
      <c r="I68" s="235" t="s">
        <v>147</v>
      </c>
      <c r="J68" s="243">
        <f>Assumptions!D$10</f>
        <v>56</v>
      </c>
      <c r="K68" s="243">
        <v>3</v>
      </c>
      <c r="L68" s="237">
        <f t="shared" si="21"/>
        <v>168</v>
      </c>
      <c r="M68" s="239">
        <v>0.25</v>
      </c>
      <c r="N68" s="239">
        <f t="shared" si="22"/>
        <v>42</v>
      </c>
      <c r="O68" s="239">
        <v>42</v>
      </c>
      <c r="P68" s="239">
        <v>0</v>
      </c>
      <c r="Q68" s="239">
        <f t="shared" si="23"/>
        <v>0</v>
      </c>
      <c r="R68" s="239">
        <f t="shared" si="24"/>
        <v>0</v>
      </c>
      <c r="S68" s="247"/>
    </row>
    <row r="69" spans="2:19" s="219" customFormat="1" ht="43.5" x14ac:dyDescent="0.35">
      <c r="B69" s="242">
        <f t="shared" si="3"/>
        <v>62</v>
      </c>
      <c r="C69" s="50"/>
      <c r="D69" s="234" t="s">
        <v>43</v>
      </c>
      <c r="E69" s="50"/>
      <c r="F69" s="235"/>
      <c r="G69" s="235"/>
      <c r="H69" s="235" t="s">
        <v>148</v>
      </c>
      <c r="I69" s="235" t="s">
        <v>496</v>
      </c>
      <c r="J69" s="243">
        <f>Assumptions!D$10</f>
        <v>56</v>
      </c>
      <c r="K69" s="243">
        <v>3</v>
      </c>
      <c r="L69" s="237">
        <f t="shared" si="21"/>
        <v>168</v>
      </c>
      <c r="M69" s="239">
        <v>2</v>
      </c>
      <c r="N69" s="239">
        <f t="shared" si="22"/>
        <v>336</v>
      </c>
      <c r="O69" s="239">
        <v>0</v>
      </c>
      <c r="P69" s="239">
        <v>0</v>
      </c>
      <c r="Q69" s="239">
        <f t="shared" si="23"/>
        <v>336</v>
      </c>
      <c r="R69" s="239">
        <f t="shared" si="24"/>
        <v>336</v>
      </c>
      <c r="S69" s="247"/>
    </row>
    <row r="70" spans="2:19" s="219" customFormat="1" ht="58" x14ac:dyDescent="0.35">
      <c r="B70" s="242">
        <f t="shared" si="3"/>
        <v>63</v>
      </c>
      <c r="C70" s="50"/>
      <c r="D70" s="234" t="s">
        <v>43</v>
      </c>
      <c r="E70" s="50"/>
      <c r="F70" s="235"/>
      <c r="G70" s="235"/>
      <c r="H70" s="235" t="s">
        <v>492</v>
      </c>
      <c r="I70" s="235" t="s">
        <v>149</v>
      </c>
      <c r="J70" s="243">
        <f>Assumptions!D$10</f>
        <v>56</v>
      </c>
      <c r="K70" s="243">
        <v>3</v>
      </c>
      <c r="L70" s="237">
        <f t="shared" si="21"/>
        <v>168</v>
      </c>
      <c r="M70" s="239">
        <v>0.25</v>
      </c>
      <c r="N70" s="239">
        <f t="shared" si="22"/>
        <v>42</v>
      </c>
      <c r="O70" s="239">
        <v>0</v>
      </c>
      <c r="P70" s="239">
        <v>0</v>
      </c>
      <c r="Q70" s="239">
        <f t="shared" si="23"/>
        <v>42</v>
      </c>
      <c r="R70" s="239">
        <f t="shared" si="24"/>
        <v>42</v>
      </c>
      <c r="S70" s="247"/>
    </row>
    <row r="71" spans="2:19" s="219" customFormat="1" ht="43.5" x14ac:dyDescent="0.35">
      <c r="B71" s="242">
        <f t="shared" si="3"/>
        <v>64</v>
      </c>
      <c r="C71" s="50"/>
      <c r="D71" s="234" t="s">
        <v>43</v>
      </c>
      <c r="E71" s="50"/>
      <c r="F71" s="235"/>
      <c r="G71" s="235"/>
      <c r="H71" s="235" t="s">
        <v>150</v>
      </c>
      <c r="I71" s="235" t="s">
        <v>151</v>
      </c>
      <c r="J71" s="243">
        <f>Assumptions!D$10</f>
        <v>56</v>
      </c>
      <c r="K71" s="243">
        <v>1</v>
      </c>
      <c r="L71" s="237">
        <f t="shared" si="21"/>
        <v>56</v>
      </c>
      <c r="M71" s="239">
        <v>1</v>
      </c>
      <c r="N71" s="239">
        <f t="shared" si="22"/>
        <v>56</v>
      </c>
      <c r="O71" s="239">
        <v>0</v>
      </c>
      <c r="P71" s="239">
        <v>0</v>
      </c>
      <c r="Q71" s="239">
        <f t="shared" si="23"/>
        <v>56</v>
      </c>
      <c r="R71" s="239">
        <f t="shared" si="24"/>
        <v>56</v>
      </c>
      <c r="S71" s="247"/>
    </row>
    <row r="72" spans="2:19" s="219" customFormat="1" ht="29" x14ac:dyDescent="0.35">
      <c r="B72" s="242">
        <f t="shared" si="3"/>
        <v>65</v>
      </c>
      <c r="C72" s="50"/>
      <c r="D72" s="234" t="s">
        <v>43</v>
      </c>
      <c r="E72" s="50"/>
      <c r="F72" s="235"/>
      <c r="G72" s="235"/>
      <c r="H72" s="235" t="s">
        <v>486</v>
      </c>
      <c r="I72" s="235" t="s">
        <v>487</v>
      </c>
      <c r="J72" s="243">
        <f>Assumptions!D$10</f>
        <v>56</v>
      </c>
      <c r="K72" s="243">
        <v>1</v>
      </c>
      <c r="L72" s="237">
        <f t="shared" si="21"/>
        <v>56</v>
      </c>
      <c r="M72" s="239">
        <v>1</v>
      </c>
      <c r="N72" s="239">
        <f t="shared" si="22"/>
        <v>56</v>
      </c>
      <c r="O72" s="239">
        <v>0</v>
      </c>
      <c r="P72" s="239">
        <v>0</v>
      </c>
      <c r="Q72" s="239">
        <f t="shared" si="23"/>
        <v>56</v>
      </c>
      <c r="R72" s="239">
        <f t="shared" si="24"/>
        <v>56</v>
      </c>
      <c r="S72" s="247"/>
    </row>
    <row r="73" spans="2:19" s="219" customFormat="1" ht="263.5" customHeight="1" x14ac:dyDescent="0.35">
      <c r="B73" s="242">
        <f t="shared" si="3"/>
        <v>66</v>
      </c>
      <c r="D73" s="242" t="s">
        <v>33</v>
      </c>
      <c r="F73" s="235" t="s">
        <v>152</v>
      </c>
      <c r="G73" s="235" t="s">
        <v>153</v>
      </c>
      <c r="H73" s="235" t="s">
        <v>154</v>
      </c>
      <c r="I73" s="235" t="s">
        <v>497</v>
      </c>
      <c r="J73" s="243">
        <f>Assumptions!D$10</f>
        <v>56</v>
      </c>
      <c r="K73" s="243">
        <v>1</v>
      </c>
      <c r="L73" s="237">
        <f t="shared" si="21"/>
        <v>56</v>
      </c>
      <c r="M73" s="239">
        <v>0.25</v>
      </c>
      <c r="N73" s="239">
        <f t="shared" si="22"/>
        <v>14</v>
      </c>
      <c r="O73" s="239">
        <v>14</v>
      </c>
      <c r="P73" s="239">
        <v>0</v>
      </c>
      <c r="Q73" s="239">
        <f t="shared" si="23"/>
        <v>0</v>
      </c>
      <c r="R73" s="239">
        <f t="shared" si="24"/>
        <v>0</v>
      </c>
      <c r="S73" s="247" t="s">
        <v>155</v>
      </c>
    </row>
    <row r="74" spans="2:19" s="219" customFormat="1" ht="42.5" customHeight="1" x14ac:dyDescent="0.35">
      <c r="B74" s="242">
        <f t="shared" si="3"/>
        <v>67</v>
      </c>
      <c r="C74" s="249"/>
      <c r="D74" s="234" t="s">
        <v>33</v>
      </c>
      <c r="E74" s="249"/>
      <c r="F74" s="235" t="s">
        <v>156</v>
      </c>
      <c r="G74" s="235" t="s">
        <v>157</v>
      </c>
      <c r="H74" s="235" t="s">
        <v>158</v>
      </c>
      <c r="I74" s="235" t="s">
        <v>159</v>
      </c>
      <c r="J74" s="243">
        <f>Assumptions!D$10</f>
        <v>56</v>
      </c>
      <c r="K74" s="243">
        <f>ROUND(Assumptions!D27/Assumptions!D10,0)</f>
        <v>390</v>
      </c>
      <c r="L74" s="237">
        <f t="shared" si="21"/>
        <v>21840</v>
      </c>
      <c r="M74" s="239">
        <v>1.67E-2</v>
      </c>
      <c r="N74" s="239">
        <f t="shared" si="22"/>
        <v>364.72800000000001</v>
      </c>
      <c r="O74" s="239">
        <v>364.72800000000001</v>
      </c>
      <c r="P74" s="239">
        <v>0</v>
      </c>
      <c r="Q74" s="239">
        <f t="shared" si="23"/>
        <v>0</v>
      </c>
      <c r="R74" s="239">
        <f t="shared" si="24"/>
        <v>0</v>
      </c>
      <c r="S74" s="247" t="s">
        <v>155</v>
      </c>
    </row>
    <row r="75" spans="2:19" s="219" customFormat="1" ht="29" x14ac:dyDescent="0.35">
      <c r="B75" s="242">
        <f t="shared" si="3"/>
        <v>68</v>
      </c>
      <c r="C75" s="249"/>
      <c r="D75" s="234" t="s">
        <v>33</v>
      </c>
      <c r="E75" s="249"/>
      <c r="F75" s="235" t="s">
        <v>160</v>
      </c>
      <c r="G75" s="235" t="s">
        <v>161</v>
      </c>
      <c r="H75" s="235" t="s">
        <v>522</v>
      </c>
      <c r="I75" s="235" t="s">
        <v>162</v>
      </c>
      <c r="J75" s="243">
        <f>Assumptions!D$10</f>
        <v>56</v>
      </c>
      <c r="K75" s="243">
        <v>5</v>
      </c>
      <c r="L75" s="237">
        <f t="shared" si="21"/>
        <v>280</v>
      </c>
      <c r="M75" s="239">
        <v>0.25</v>
      </c>
      <c r="N75" s="239">
        <f t="shared" si="22"/>
        <v>70</v>
      </c>
      <c r="O75" s="239">
        <v>70</v>
      </c>
      <c r="P75" s="239">
        <v>0</v>
      </c>
      <c r="Q75" s="239">
        <f t="shared" si="23"/>
        <v>0</v>
      </c>
      <c r="R75" s="239">
        <f t="shared" si="24"/>
        <v>0</v>
      </c>
      <c r="S75" s="247" t="s">
        <v>155</v>
      </c>
    </row>
    <row r="76" spans="2:19" s="219" customFormat="1" ht="79" customHeight="1" x14ac:dyDescent="0.35">
      <c r="B76" s="242">
        <f t="shared" si="3"/>
        <v>69</v>
      </c>
      <c r="C76" s="249"/>
      <c r="D76" s="234" t="s">
        <v>33</v>
      </c>
      <c r="E76" s="249"/>
      <c r="F76" s="235" t="s">
        <v>163</v>
      </c>
      <c r="G76" s="244" t="s">
        <v>164</v>
      </c>
      <c r="H76" s="235" t="s">
        <v>523</v>
      </c>
      <c r="I76" s="244" t="s">
        <v>165</v>
      </c>
      <c r="J76" s="243">
        <f>Assumptions!D$10</f>
        <v>56</v>
      </c>
      <c r="K76" s="243">
        <v>3</v>
      </c>
      <c r="L76" s="237">
        <f t="shared" si="21"/>
        <v>168</v>
      </c>
      <c r="M76" s="239">
        <v>0.25</v>
      </c>
      <c r="N76" s="239">
        <f t="shared" si="22"/>
        <v>42</v>
      </c>
      <c r="O76" s="239">
        <v>42</v>
      </c>
      <c r="P76" s="239">
        <v>0</v>
      </c>
      <c r="Q76" s="239">
        <f t="shared" si="23"/>
        <v>0</v>
      </c>
      <c r="R76" s="239">
        <f t="shared" si="24"/>
        <v>0</v>
      </c>
      <c r="S76" s="247" t="s">
        <v>155</v>
      </c>
    </row>
    <row r="77" spans="2:19" s="219" customFormat="1" ht="36.5" customHeight="1" x14ac:dyDescent="0.35">
      <c r="B77" s="242">
        <f t="shared" si="3"/>
        <v>70</v>
      </c>
      <c r="C77" s="249"/>
      <c r="D77" s="234" t="s">
        <v>33</v>
      </c>
      <c r="E77" s="249"/>
      <c r="F77" s="235" t="s">
        <v>166</v>
      </c>
      <c r="G77" s="244" t="s">
        <v>167</v>
      </c>
      <c r="H77" s="235" t="s">
        <v>168</v>
      </c>
      <c r="I77" s="235" t="s">
        <v>169</v>
      </c>
      <c r="J77" s="243">
        <f>Assumptions!D$10</f>
        <v>56</v>
      </c>
      <c r="K77" s="243">
        <v>3</v>
      </c>
      <c r="L77" s="237">
        <f t="shared" si="21"/>
        <v>168</v>
      </c>
      <c r="M77" s="239">
        <v>2</v>
      </c>
      <c r="N77" s="239">
        <f t="shared" si="22"/>
        <v>336</v>
      </c>
      <c r="O77" s="239">
        <v>336</v>
      </c>
      <c r="P77" s="239">
        <v>0</v>
      </c>
      <c r="Q77" s="239">
        <f t="shared" si="23"/>
        <v>0</v>
      </c>
      <c r="R77" s="239">
        <f t="shared" si="24"/>
        <v>0</v>
      </c>
      <c r="S77" s="247" t="s">
        <v>155</v>
      </c>
    </row>
    <row r="78" spans="2:19" s="219" customFormat="1" ht="51" customHeight="1" x14ac:dyDescent="0.35">
      <c r="B78" s="242">
        <f t="shared" si="3"/>
        <v>71</v>
      </c>
      <c r="C78" s="249"/>
      <c r="D78" s="234" t="s">
        <v>33</v>
      </c>
      <c r="E78" s="249"/>
      <c r="F78" s="235" t="s">
        <v>170</v>
      </c>
      <c r="G78" s="244" t="s">
        <v>171</v>
      </c>
      <c r="H78" s="235" t="s">
        <v>172</v>
      </c>
      <c r="I78" s="244" t="s">
        <v>173</v>
      </c>
      <c r="J78" s="243">
        <f>Assumptions!D$10</f>
        <v>56</v>
      </c>
      <c r="K78" s="243">
        <v>3</v>
      </c>
      <c r="L78" s="237">
        <f t="shared" si="21"/>
        <v>168</v>
      </c>
      <c r="M78" s="239">
        <v>8.3500000000000005E-2</v>
      </c>
      <c r="N78" s="239">
        <f t="shared" si="22"/>
        <v>14.028</v>
      </c>
      <c r="O78" s="239">
        <v>14.03</v>
      </c>
      <c r="P78" s="239">
        <v>0</v>
      </c>
      <c r="Q78" s="239">
        <f t="shared" si="23"/>
        <v>-1.9999999999988916E-3</v>
      </c>
      <c r="R78" s="239">
        <f t="shared" si="24"/>
        <v>-1.9999999999988916E-3</v>
      </c>
      <c r="S78" s="247" t="s">
        <v>155</v>
      </c>
    </row>
    <row r="79" spans="2:19" s="219" customFormat="1" ht="29" x14ac:dyDescent="0.35">
      <c r="B79" s="242">
        <f t="shared" si="3"/>
        <v>72</v>
      </c>
      <c r="C79" s="249"/>
      <c r="D79" s="234" t="s">
        <v>33</v>
      </c>
      <c r="E79" s="249"/>
      <c r="F79" s="235" t="s">
        <v>174</v>
      </c>
      <c r="G79" s="244" t="s">
        <v>175</v>
      </c>
      <c r="H79" s="235" t="s">
        <v>172</v>
      </c>
      <c r="I79" s="235" t="s">
        <v>176</v>
      </c>
      <c r="J79" s="243">
        <f>Assumptions!D$10</f>
        <v>56</v>
      </c>
      <c r="K79" s="243">
        <v>3</v>
      </c>
      <c r="L79" s="237">
        <f t="shared" si="21"/>
        <v>168</v>
      </c>
      <c r="M79" s="239">
        <v>4</v>
      </c>
      <c r="N79" s="239">
        <f t="shared" si="22"/>
        <v>672</v>
      </c>
      <c r="O79" s="239">
        <v>672</v>
      </c>
      <c r="P79" s="239">
        <v>0</v>
      </c>
      <c r="Q79" s="239">
        <f t="shared" si="23"/>
        <v>0</v>
      </c>
      <c r="R79" s="239">
        <f t="shared" si="24"/>
        <v>0</v>
      </c>
      <c r="S79" s="247" t="s">
        <v>155</v>
      </c>
    </row>
    <row r="80" spans="2:19" s="219" customFormat="1" ht="58" x14ac:dyDescent="0.35">
      <c r="B80" s="242">
        <f t="shared" ref="B80:B81" si="25">B79+1</f>
        <v>73</v>
      </c>
      <c r="C80" s="249"/>
      <c r="D80" s="234" t="s">
        <v>33</v>
      </c>
      <c r="E80" s="249"/>
      <c r="F80" s="235" t="s">
        <v>177</v>
      </c>
      <c r="G80" s="244" t="s">
        <v>178</v>
      </c>
      <c r="H80" s="235" t="s">
        <v>179</v>
      </c>
      <c r="I80" s="235" t="s">
        <v>180</v>
      </c>
      <c r="J80" s="243">
        <f>Assumptions!D$10</f>
        <v>56</v>
      </c>
      <c r="K80" s="243">
        <v>3</v>
      </c>
      <c r="L80" s="237">
        <f t="shared" si="21"/>
        <v>168</v>
      </c>
      <c r="M80" s="239">
        <v>0.5</v>
      </c>
      <c r="N80" s="239">
        <f t="shared" si="22"/>
        <v>84</v>
      </c>
      <c r="O80" s="239">
        <v>84</v>
      </c>
      <c r="P80" s="239">
        <v>0</v>
      </c>
      <c r="Q80" s="239">
        <f t="shared" si="23"/>
        <v>0</v>
      </c>
      <c r="R80" s="239">
        <f t="shared" si="24"/>
        <v>0</v>
      </c>
      <c r="S80" s="247" t="s">
        <v>155</v>
      </c>
    </row>
    <row r="81" spans="2:19" s="219" customFormat="1" ht="116" x14ac:dyDescent="0.35">
      <c r="B81" s="242">
        <f t="shared" si="25"/>
        <v>74</v>
      </c>
      <c r="C81" s="249"/>
      <c r="D81" s="234" t="s">
        <v>33</v>
      </c>
      <c r="E81" s="249"/>
      <c r="F81" s="246" t="s">
        <v>181</v>
      </c>
      <c r="G81" s="235" t="s">
        <v>182</v>
      </c>
      <c r="H81" s="235" t="s">
        <v>524</v>
      </c>
      <c r="I81" s="235" t="s">
        <v>498</v>
      </c>
      <c r="J81" s="243">
        <f>Assumptions!D$10</f>
        <v>56</v>
      </c>
      <c r="K81" s="243">
        <f>ROUND(ROUND(Assumptions!D27/Assumptions!D10,0)*0.1,0)</f>
        <v>39</v>
      </c>
      <c r="L81" s="237">
        <f>J81*K81</f>
        <v>2184</v>
      </c>
      <c r="M81" s="239">
        <v>1.67E-2</v>
      </c>
      <c r="N81" s="239">
        <f>L81*M81</f>
        <v>36.472799999999999</v>
      </c>
      <c r="O81" s="239">
        <v>36.472799999999999</v>
      </c>
      <c r="P81" s="239">
        <v>0</v>
      </c>
      <c r="Q81" s="239">
        <f>N81-O81</f>
        <v>0</v>
      </c>
      <c r="R81" s="239">
        <f>P81+Q81</f>
        <v>0</v>
      </c>
      <c r="S81" s="247" t="s">
        <v>155</v>
      </c>
    </row>
    <row r="82" spans="2:19" x14ac:dyDescent="0.35">
      <c r="B82" s="115"/>
      <c r="C82" s="226"/>
      <c r="D82" s="115"/>
      <c r="F82" s="58"/>
      <c r="G82" s="59"/>
      <c r="H82" s="277" t="s">
        <v>183</v>
      </c>
      <c r="I82" s="278"/>
      <c r="J82" s="100">
        <f>Assumptions!D10</f>
        <v>56</v>
      </c>
      <c r="K82" s="103">
        <f>L82/J82</f>
        <v>12335.714285714286</v>
      </c>
      <c r="L82" s="103">
        <f>SUM(L8:L81)</f>
        <v>690800</v>
      </c>
      <c r="M82" s="105">
        <f>N82/L82</f>
        <v>0.61692382570932247</v>
      </c>
      <c r="N82" s="105">
        <f>SUM(N8:N81)</f>
        <v>426170.97879999998</v>
      </c>
      <c r="O82" s="103">
        <v>205131.22899999999</v>
      </c>
      <c r="P82" s="105">
        <f>SUM(P8:P81)</f>
        <v>0</v>
      </c>
      <c r="Q82" s="105">
        <f>SUM(Q8:Q81)</f>
        <v>221039.74799999999</v>
      </c>
      <c r="R82" s="105">
        <f>SUM(R8:R81)</f>
        <v>221039.74799999999</v>
      </c>
      <c r="S82" s="47"/>
    </row>
    <row r="83" spans="2:19" ht="35.25" customHeight="1" x14ac:dyDescent="0.35">
      <c r="B83" s="115"/>
      <c r="C83" s="226"/>
      <c r="D83" s="115"/>
      <c r="F83" s="279" t="s">
        <v>184</v>
      </c>
      <c r="G83" s="279"/>
      <c r="H83" s="280" t="s">
        <v>184</v>
      </c>
      <c r="I83" s="281"/>
      <c r="J83" s="281"/>
      <c r="K83" s="281"/>
      <c r="L83" s="281"/>
      <c r="M83" s="281"/>
      <c r="N83" s="281"/>
      <c r="O83" s="281"/>
      <c r="P83" s="281"/>
      <c r="Q83" s="281"/>
      <c r="R83" s="281"/>
      <c r="S83" s="94"/>
    </row>
    <row r="84" spans="2:19" ht="61.5" customHeight="1" x14ac:dyDescent="0.35">
      <c r="B84" s="242">
        <f>1</f>
        <v>1</v>
      </c>
      <c r="C84" s="226"/>
      <c r="D84" s="242"/>
      <c r="F84" s="252"/>
      <c r="G84" s="252"/>
      <c r="H84" s="235" t="s">
        <v>525</v>
      </c>
      <c r="I84" s="235" t="s">
        <v>530</v>
      </c>
      <c r="J84" s="243">
        <f>ROUND((Assumptions!D31*Assumptions!D21*Assumptions!D26), 0)</f>
        <v>3</v>
      </c>
      <c r="K84" s="243">
        <v>1</v>
      </c>
      <c r="L84" s="243">
        <f>J84*K84</f>
        <v>3</v>
      </c>
      <c r="M84" s="243">
        <v>0.25</v>
      </c>
      <c r="N84" s="243">
        <f>L84*M84</f>
        <v>0.75</v>
      </c>
      <c r="O84" s="243">
        <v>0</v>
      </c>
      <c r="P84" s="243">
        <v>0</v>
      </c>
      <c r="Q84" s="243">
        <f>N84-O84</f>
        <v>0.75</v>
      </c>
      <c r="R84" s="243">
        <f>P84+Q84</f>
        <v>0.75</v>
      </c>
      <c r="S84" s="243"/>
    </row>
    <row r="85" spans="2:19" s="219" customFormat="1" ht="53.25" customHeight="1" x14ac:dyDescent="0.35">
      <c r="B85" s="214">
        <f>B84+1</f>
        <v>2</v>
      </c>
      <c r="C85" s="226"/>
      <c r="D85" s="214" t="s">
        <v>33</v>
      </c>
      <c r="F85" s="221" t="s">
        <v>50</v>
      </c>
      <c r="G85" s="210" t="s">
        <v>185</v>
      </c>
      <c r="H85" s="221" t="s">
        <v>50</v>
      </c>
      <c r="I85" s="210" t="s">
        <v>185</v>
      </c>
      <c r="J85" s="208">
        <f>ROUND(Assumptions!D31*Assumptions!D21,0)</f>
        <v>42</v>
      </c>
      <c r="K85" s="208">
        <v>1</v>
      </c>
      <c r="L85" s="211">
        <f t="shared" ref="L85" si="26">J85*K85</f>
        <v>42</v>
      </c>
      <c r="M85" s="212">
        <v>0.5</v>
      </c>
      <c r="N85" s="212">
        <f t="shared" ref="N85" si="27">L85*M85</f>
        <v>21</v>
      </c>
      <c r="O85" s="212">
        <v>21</v>
      </c>
      <c r="P85" s="212"/>
      <c r="Q85" s="212">
        <f t="shared" ref="Q85:Q106" si="28">N85-O85</f>
        <v>0</v>
      </c>
      <c r="R85" s="212">
        <f t="shared" ref="R85" si="29">P85+Q85</f>
        <v>0</v>
      </c>
      <c r="S85" s="120"/>
    </row>
    <row r="86" spans="2:19" s="219" customFormat="1" ht="43.5" x14ac:dyDescent="0.35">
      <c r="B86" s="214">
        <f>B85+1</f>
        <v>3</v>
      </c>
      <c r="C86" s="226"/>
      <c r="D86" s="214" t="s">
        <v>33</v>
      </c>
      <c r="F86" s="227" t="s">
        <v>186</v>
      </c>
      <c r="G86" s="210" t="s">
        <v>187</v>
      </c>
      <c r="H86" s="227" t="s">
        <v>186</v>
      </c>
      <c r="I86" s="210" t="s">
        <v>187</v>
      </c>
      <c r="J86" s="211">
        <f>ROUND(Assumptions!$D$27*Assumptions!D21,0)</f>
        <v>3257</v>
      </c>
      <c r="K86" s="208">
        <v>1</v>
      </c>
      <c r="L86" s="211">
        <f t="shared" si="9"/>
        <v>3257</v>
      </c>
      <c r="M86" s="212">
        <v>8.3500000000000005E-2</v>
      </c>
      <c r="N86" s="212">
        <f t="shared" ref="N86:N106" si="30">L86*M86</f>
        <v>271.95949999999999</v>
      </c>
      <c r="O86" s="212">
        <v>271.95949999999999</v>
      </c>
      <c r="P86" s="212"/>
      <c r="Q86" s="212">
        <f t="shared" si="28"/>
        <v>0</v>
      </c>
      <c r="R86" s="212">
        <f t="shared" si="7"/>
        <v>0</v>
      </c>
      <c r="S86" s="228"/>
    </row>
    <row r="87" spans="2:19" s="219" customFormat="1" ht="51.75" customHeight="1" x14ac:dyDescent="0.35">
      <c r="B87" s="214">
        <f t="shared" ref="B87:B116" si="31">B86+1</f>
        <v>4</v>
      </c>
      <c r="C87" s="226"/>
      <c r="D87" s="214" t="s">
        <v>33</v>
      </c>
      <c r="F87" s="216" t="s">
        <v>188</v>
      </c>
      <c r="G87" s="210" t="s">
        <v>189</v>
      </c>
      <c r="H87" s="216" t="s">
        <v>188</v>
      </c>
      <c r="I87" s="210" t="s">
        <v>189</v>
      </c>
      <c r="J87" s="211">
        <f>ROUND(Assumptions!$D$27*Assumptions!D21,0)</f>
        <v>3257</v>
      </c>
      <c r="K87" s="208">
        <v>12</v>
      </c>
      <c r="L87" s="211">
        <f t="shared" ref="L87" si="32">J87*K87</f>
        <v>39084</v>
      </c>
      <c r="M87" s="212">
        <v>0.5</v>
      </c>
      <c r="N87" s="212">
        <f t="shared" si="30"/>
        <v>19542</v>
      </c>
      <c r="O87" s="212">
        <v>19542</v>
      </c>
      <c r="P87" s="212"/>
      <c r="Q87" s="212">
        <f t="shared" si="28"/>
        <v>0</v>
      </c>
      <c r="R87" s="212">
        <f t="shared" ref="R87" si="33">P87+Q87</f>
        <v>0</v>
      </c>
      <c r="S87" s="120"/>
    </row>
    <row r="88" spans="2:19" s="219" customFormat="1" ht="43.5" x14ac:dyDescent="0.35">
      <c r="B88" s="214">
        <f t="shared" si="31"/>
        <v>5</v>
      </c>
      <c r="C88" s="226"/>
      <c r="D88" s="214" t="s">
        <v>33</v>
      </c>
      <c r="F88" s="210" t="s">
        <v>81</v>
      </c>
      <c r="G88" s="210" t="s">
        <v>190</v>
      </c>
      <c r="H88" s="210" t="s">
        <v>81</v>
      </c>
      <c r="I88" s="210" t="s">
        <v>190</v>
      </c>
      <c r="J88" s="208">
        <f>ROUND(Assumptions!$D$28*Assumptions!$D$23,0)</f>
        <v>83</v>
      </c>
      <c r="K88" s="208">
        <v>1</v>
      </c>
      <c r="L88" s="211">
        <f t="shared" si="9"/>
        <v>83</v>
      </c>
      <c r="M88" s="212">
        <v>1.67E-2</v>
      </c>
      <c r="N88" s="212">
        <f t="shared" si="30"/>
        <v>1.3860999999999999</v>
      </c>
      <c r="O88" s="212">
        <v>1.3861000000000001</v>
      </c>
      <c r="P88" s="212"/>
      <c r="Q88" s="212">
        <f t="shared" si="28"/>
        <v>0</v>
      </c>
      <c r="R88" s="212">
        <f t="shared" si="7"/>
        <v>0</v>
      </c>
      <c r="S88" s="229"/>
    </row>
    <row r="89" spans="2:19" s="219" customFormat="1" ht="41.25" customHeight="1" x14ac:dyDescent="0.35">
      <c r="B89" s="214">
        <f t="shared" si="31"/>
        <v>6</v>
      </c>
      <c r="C89" s="226"/>
      <c r="D89" s="214" t="s">
        <v>33</v>
      </c>
      <c r="F89" s="210" t="s">
        <v>191</v>
      </c>
      <c r="G89" s="210" t="s">
        <v>192</v>
      </c>
      <c r="H89" s="210" t="s">
        <v>191</v>
      </c>
      <c r="I89" s="210" t="s">
        <v>192</v>
      </c>
      <c r="J89" s="211">
        <f>ROUND(Assumptions!$D$27*Assumptions!D21,0)</f>
        <v>3257</v>
      </c>
      <c r="K89" s="208">
        <v>1</v>
      </c>
      <c r="L89" s="211">
        <f>J89*K89</f>
        <v>3257</v>
      </c>
      <c r="M89" s="212">
        <v>0.5</v>
      </c>
      <c r="N89" s="212">
        <f>L89*M89</f>
        <v>1628.5</v>
      </c>
      <c r="O89" s="212">
        <v>1628.5</v>
      </c>
      <c r="P89" s="212"/>
      <c r="Q89" s="212">
        <f t="shared" si="28"/>
        <v>0</v>
      </c>
      <c r="R89" s="212">
        <f>P89+Q89</f>
        <v>0</v>
      </c>
      <c r="S89" s="120"/>
    </row>
    <row r="90" spans="2:19" s="219" customFormat="1" ht="29" x14ac:dyDescent="0.35">
      <c r="B90" s="214">
        <f t="shared" si="31"/>
        <v>7</v>
      </c>
      <c r="C90" s="226"/>
      <c r="D90" s="214" t="s">
        <v>33</v>
      </c>
      <c r="F90" s="210" t="s">
        <v>193</v>
      </c>
      <c r="G90" s="210" t="s">
        <v>194</v>
      </c>
      <c r="H90" s="210" t="s">
        <v>193</v>
      </c>
      <c r="I90" s="210" t="s">
        <v>194</v>
      </c>
      <c r="J90" s="208">
        <f>ROUND(Assumptions!$D$29*Assumptions!D21,0)</f>
        <v>9</v>
      </c>
      <c r="K90" s="208">
        <v>1</v>
      </c>
      <c r="L90" s="211">
        <f t="shared" si="9"/>
        <v>9</v>
      </c>
      <c r="M90" s="212">
        <v>1.5</v>
      </c>
      <c r="N90" s="212">
        <f t="shared" si="30"/>
        <v>13.5</v>
      </c>
      <c r="O90" s="212">
        <v>13.5</v>
      </c>
      <c r="P90" s="212"/>
      <c r="Q90" s="212">
        <f t="shared" si="28"/>
        <v>0</v>
      </c>
      <c r="R90" s="212">
        <f t="shared" si="7"/>
        <v>0</v>
      </c>
      <c r="S90" s="229"/>
    </row>
    <row r="91" spans="2:19" s="219" customFormat="1" ht="53.25" customHeight="1" x14ac:dyDescent="0.35">
      <c r="B91" s="214">
        <f t="shared" si="31"/>
        <v>8</v>
      </c>
      <c r="C91" s="226"/>
      <c r="D91" s="214" t="s">
        <v>33</v>
      </c>
      <c r="F91" s="209" t="s">
        <v>195</v>
      </c>
      <c r="G91" s="210" t="s">
        <v>196</v>
      </c>
      <c r="H91" s="209" t="s">
        <v>195</v>
      </c>
      <c r="I91" s="210" t="s">
        <v>196</v>
      </c>
      <c r="J91" s="211">
        <f>ROUND(Assumptions!$D$27*Assumptions!D21,0)</f>
        <v>3257</v>
      </c>
      <c r="K91" s="208">
        <v>1</v>
      </c>
      <c r="L91" s="211">
        <f t="shared" si="9"/>
        <v>3257</v>
      </c>
      <c r="M91" s="212">
        <v>0.5</v>
      </c>
      <c r="N91" s="212">
        <f t="shared" si="30"/>
        <v>1628.5</v>
      </c>
      <c r="O91" s="212">
        <v>1628.5</v>
      </c>
      <c r="P91" s="212"/>
      <c r="Q91" s="212">
        <f t="shared" si="28"/>
        <v>0</v>
      </c>
      <c r="R91" s="212">
        <f t="shared" si="7"/>
        <v>0</v>
      </c>
      <c r="S91" s="120"/>
    </row>
    <row r="92" spans="2:19" s="219" customFormat="1" ht="43.5" x14ac:dyDescent="0.35">
      <c r="B92" s="214">
        <f t="shared" si="31"/>
        <v>9</v>
      </c>
      <c r="C92" s="226"/>
      <c r="D92" s="214" t="s">
        <v>33</v>
      </c>
      <c r="F92" s="210" t="s">
        <v>197</v>
      </c>
      <c r="G92" s="210" t="s">
        <v>198</v>
      </c>
      <c r="H92" s="210" t="s">
        <v>197</v>
      </c>
      <c r="I92" s="210" t="s">
        <v>198</v>
      </c>
      <c r="J92" s="211">
        <f>ROUND(Assumptions!$D$27*Assumptions!D21,0)</f>
        <v>3257</v>
      </c>
      <c r="K92" s="208">
        <v>12</v>
      </c>
      <c r="L92" s="211">
        <f t="shared" si="9"/>
        <v>39084</v>
      </c>
      <c r="M92" s="212">
        <v>1.67</v>
      </c>
      <c r="N92" s="212">
        <f t="shared" si="30"/>
        <v>65270.28</v>
      </c>
      <c r="O92" s="212">
        <v>65270.28</v>
      </c>
      <c r="P92" s="212"/>
      <c r="Q92" s="212">
        <f t="shared" si="28"/>
        <v>0</v>
      </c>
      <c r="R92" s="212">
        <f>P92+Q92</f>
        <v>0</v>
      </c>
      <c r="S92" s="120"/>
    </row>
    <row r="93" spans="2:19" s="219" customFormat="1" ht="43.5" x14ac:dyDescent="0.35">
      <c r="B93" s="214">
        <f t="shared" si="31"/>
        <v>10</v>
      </c>
      <c r="C93" s="226"/>
      <c r="D93" s="214" t="s">
        <v>33</v>
      </c>
      <c r="F93" s="210" t="s">
        <v>199</v>
      </c>
      <c r="G93" s="210" t="s">
        <v>200</v>
      </c>
      <c r="H93" s="210" t="s">
        <v>199</v>
      </c>
      <c r="I93" s="210" t="s">
        <v>200</v>
      </c>
      <c r="J93" s="211">
        <f>ROUND(Assumptions!$D$30*Assumptions!D21,0)</f>
        <v>1456</v>
      </c>
      <c r="K93" s="208">
        <v>12</v>
      </c>
      <c r="L93" s="211">
        <f t="shared" si="9"/>
        <v>17472</v>
      </c>
      <c r="M93" s="212">
        <v>0.5</v>
      </c>
      <c r="N93" s="212">
        <f t="shared" si="30"/>
        <v>8736</v>
      </c>
      <c r="O93" s="212">
        <v>8736</v>
      </c>
      <c r="P93" s="212"/>
      <c r="Q93" s="212">
        <f t="shared" si="28"/>
        <v>0</v>
      </c>
      <c r="R93" s="212">
        <f t="shared" si="7"/>
        <v>0</v>
      </c>
      <c r="S93" s="120"/>
    </row>
    <row r="94" spans="2:19" s="219" customFormat="1" ht="43.5" x14ac:dyDescent="0.35">
      <c r="B94" s="214">
        <f t="shared" si="31"/>
        <v>11</v>
      </c>
      <c r="C94" s="226"/>
      <c r="D94" s="214" t="s">
        <v>33</v>
      </c>
      <c r="F94" s="204" t="s">
        <v>201</v>
      </c>
      <c r="G94" s="210" t="s">
        <v>202</v>
      </c>
      <c r="H94" s="204" t="s">
        <v>201</v>
      </c>
      <c r="I94" s="210" t="s">
        <v>202</v>
      </c>
      <c r="J94" s="208">
        <f>ROUND(Assumptions!$D$28*Assumptions!$D$23,0)</f>
        <v>83</v>
      </c>
      <c r="K94" s="208">
        <v>5</v>
      </c>
      <c r="L94" s="211">
        <f t="shared" ref="L94:L179" si="34">J94*K94</f>
        <v>415</v>
      </c>
      <c r="M94" s="212">
        <v>0.30059999999999998</v>
      </c>
      <c r="N94" s="212">
        <f t="shared" si="30"/>
        <v>124.749</v>
      </c>
      <c r="O94" s="212">
        <v>124.75</v>
      </c>
      <c r="P94" s="212"/>
      <c r="Q94" s="212">
        <f t="shared" si="28"/>
        <v>-1.0000000000047748E-3</v>
      </c>
      <c r="R94" s="212">
        <f t="shared" ref="R94:R179" si="35">P94+Q94</f>
        <v>-1.0000000000047748E-3</v>
      </c>
      <c r="S94" s="120"/>
    </row>
    <row r="95" spans="2:19" s="219" customFormat="1" ht="72.5" x14ac:dyDescent="0.35">
      <c r="B95" s="214">
        <f t="shared" si="31"/>
        <v>12</v>
      </c>
      <c r="C95" s="226"/>
      <c r="D95" s="214" t="s">
        <v>33</v>
      </c>
      <c r="F95" s="210" t="s">
        <v>203</v>
      </c>
      <c r="G95" s="210" t="s">
        <v>204</v>
      </c>
      <c r="H95" s="210" t="s">
        <v>203</v>
      </c>
      <c r="I95" s="210" t="s">
        <v>204</v>
      </c>
      <c r="J95" s="208">
        <f>ROUND(Assumptions!$D$31*Assumptions!D21,0)</f>
        <v>42</v>
      </c>
      <c r="K95" s="208">
        <v>1</v>
      </c>
      <c r="L95" s="211">
        <f t="shared" si="34"/>
        <v>42</v>
      </c>
      <c r="M95" s="212">
        <v>8</v>
      </c>
      <c r="N95" s="212">
        <f t="shared" si="30"/>
        <v>336</v>
      </c>
      <c r="O95" s="212">
        <v>336</v>
      </c>
      <c r="P95" s="212"/>
      <c r="Q95" s="212">
        <f t="shared" si="28"/>
        <v>0</v>
      </c>
      <c r="R95" s="212">
        <f t="shared" si="35"/>
        <v>0</v>
      </c>
      <c r="S95" s="229"/>
    </row>
    <row r="96" spans="2:19" s="219" customFormat="1" ht="29" x14ac:dyDescent="0.35">
      <c r="B96" s="214">
        <f t="shared" si="31"/>
        <v>13</v>
      </c>
      <c r="C96" s="226"/>
      <c r="D96" s="214" t="s">
        <v>33</v>
      </c>
      <c r="F96" s="210" t="s">
        <v>203</v>
      </c>
      <c r="G96" s="210" t="s">
        <v>205</v>
      </c>
      <c r="H96" s="210" t="s">
        <v>203</v>
      </c>
      <c r="I96" s="210" t="s">
        <v>205</v>
      </c>
      <c r="J96" s="211">
        <f>ROUND(Assumptions!$D$27*Assumptions!D21,0)</f>
        <v>3257</v>
      </c>
      <c r="K96" s="208">
        <v>1</v>
      </c>
      <c r="L96" s="211">
        <f t="shared" si="34"/>
        <v>3257</v>
      </c>
      <c r="M96" s="212">
        <v>0.25</v>
      </c>
      <c r="N96" s="212">
        <f t="shared" si="30"/>
        <v>814.25</v>
      </c>
      <c r="O96" s="212">
        <v>814.25</v>
      </c>
      <c r="P96" s="212"/>
      <c r="Q96" s="212">
        <f t="shared" si="28"/>
        <v>0</v>
      </c>
      <c r="R96" s="212">
        <f t="shared" si="35"/>
        <v>0</v>
      </c>
      <c r="S96" s="229"/>
    </row>
    <row r="97" spans="2:19" s="219" customFormat="1" ht="43.5" x14ac:dyDescent="0.35">
      <c r="B97" s="214">
        <f t="shared" si="31"/>
        <v>14</v>
      </c>
      <c r="C97" s="226"/>
      <c r="D97" s="214" t="s">
        <v>33</v>
      </c>
      <c r="F97" s="209" t="s">
        <v>206</v>
      </c>
      <c r="G97" s="210" t="s">
        <v>207</v>
      </c>
      <c r="H97" s="209" t="s">
        <v>206</v>
      </c>
      <c r="I97" s="210" t="s">
        <v>207</v>
      </c>
      <c r="J97" s="211">
        <f>ROUND(Assumptions!$D$27*Assumptions!D21,0)</f>
        <v>3257</v>
      </c>
      <c r="K97" s="208">
        <v>1</v>
      </c>
      <c r="L97" s="211">
        <f t="shared" si="34"/>
        <v>3257</v>
      </c>
      <c r="M97" s="212">
        <v>0.25</v>
      </c>
      <c r="N97" s="212">
        <f t="shared" si="30"/>
        <v>814.25</v>
      </c>
      <c r="O97" s="212">
        <v>814.25</v>
      </c>
      <c r="P97" s="212"/>
      <c r="Q97" s="212">
        <f t="shared" si="28"/>
        <v>0</v>
      </c>
      <c r="R97" s="212">
        <f t="shared" si="35"/>
        <v>0</v>
      </c>
      <c r="S97" s="229"/>
    </row>
    <row r="98" spans="2:19" s="219" customFormat="1" ht="88" customHeight="1" x14ac:dyDescent="0.35">
      <c r="B98" s="214">
        <f t="shared" si="31"/>
        <v>15</v>
      </c>
      <c r="C98" s="226"/>
      <c r="D98" s="214" t="s">
        <v>33</v>
      </c>
      <c r="F98" s="209" t="s">
        <v>208</v>
      </c>
      <c r="G98" s="210" t="s">
        <v>209</v>
      </c>
      <c r="H98" s="209" t="s">
        <v>208</v>
      </c>
      <c r="I98" s="210" t="s">
        <v>209</v>
      </c>
      <c r="J98" s="211">
        <f>ROUND(Assumptions!$D$27*Assumptions!D21,0)</f>
        <v>3257</v>
      </c>
      <c r="K98" s="208">
        <v>1</v>
      </c>
      <c r="L98" s="211">
        <f>J98*K98</f>
        <v>3257</v>
      </c>
      <c r="M98" s="212">
        <v>36</v>
      </c>
      <c r="N98" s="212">
        <f t="shared" si="30"/>
        <v>117252</v>
      </c>
      <c r="O98" s="212">
        <v>117252</v>
      </c>
      <c r="P98" s="212"/>
      <c r="Q98" s="212">
        <f t="shared" si="28"/>
        <v>0</v>
      </c>
      <c r="R98" s="212">
        <f t="shared" si="35"/>
        <v>0</v>
      </c>
      <c r="S98" s="213" t="s">
        <v>210</v>
      </c>
    </row>
    <row r="99" spans="2:19" s="219" customFormat="1" ht="109.5" customHeight="1" x14ac:dyDescent="0.35">
      <c r="B99" s="214">
        <f t="shared" si="31"/>
        <v>16</v>
      </c>
      <c r="C99" s="226"/>
      <c r="D99" s="214" t="s">
        <v>33</v>
      </c>
      <c r="F99" s="209" t="s">
        <v>211</v>
      </c>
      <c r="G99" s="210" t="s">
        <v>212</v>
      </c>
      <c r="H99" s="209" t="s">
        <v>211</v>
      </c>
      <c r="I99" s="210" t="s">
        <v>212</v>
      </c>
      <c r="J99" s="211">
        <f>ROUND(Assumptions!$D$27*Assumptions!D21,0)</f>
        <v>3257</v>
      </c>
      <c r="K99" s="208">
        <v>1</v>
      </c>
      <c r="L99" s="211">
        <f t="shared" ref="L99" si="36">J99*K99</f>
        <v>3257</v>
      </c>
      <c r="M99" s="212">
        <v>0.25</v>
      </c>
      <c r="N99" s="212">
        <f t="shared" si="30"/>
        <v>814.25</v>
      </c>
      <c r="O99" s="212">
        <v>814.25</v>
      </c>
      <c r="P99" s="212"/>
      <c r="Q99" s="212">
        <f t="shared" si="28"/>
        <v>0</v>
      </c>
      <c r="R99" s="212">
        <f t="shared" si="35"/>
        <v>0</v>
      </c>
      <c r="S99" s="120"/>
    </row>
    <row r="100" spans="2:19" s="219" customFormat="1" ht="82" customHeight="1" x14ac:dyDescent="0.35">
      <c r="B100" s="214">
        <f t="shared" si="31"/>
        <v>17</v>
      </c>
      <c r="C100" s="226"/>
      <c r="D100" s="214" t="s">
        <v>33</v>
      </c>
      <c r="F100" s="210" t="s">
        <v>213</v>
      </c>
      <c r="G100" s="210" t="s">
        <v>214</v>
      </c>
      <c r="H100" s="210" t="s">
        <v>213</v>
      </c>
      <c r="I100" s="210" t="s">
        <v>214</v>
      </c>
      <c r="J100" s="211">
        <f>ROUND(Assumptions!$D$27*Assumptions!D21,0)</f>
        <v>3257</v>
      </c>
      <c r="K100" s="208">
        <v>0</v>
      </c>
      <c r="L100" s="211">
        <f t="shared" si="34"/>
        <v>0</v>
      </c>
      <c r="M100" s="212">
        <v>0</v>
      </c>
      <c r="N100" s="212">
        <f t="shared" si="30"/>
        <v>0</v>
      </c>
      <c r="O100" s="212">
        <f>0*Assumptions!D21</f>
        <v>0</v>
      </c>
      <c r="P100" s="212"/>
      <c r="Q100" s="212">
        <f t="shared" si="28"/>
        <v>0</v>
      </c>
      <c r="R100" s="212">
        <f t="shared" si="35"/>
        <v>0</v>
      </c>
      <c r="S100" s="120"/>
    </row>
    <row r="101" spans="2:19" s="219" customFormat="1" ht="101.5" x14ac:dyDescent="0.35">
      <c r="B101" s="214">
        <f t="shared" si="31"/>
        <v>18</v>
      </c>
      <c r="C101" s="226"/>
      <c r="D101" s="214" t="s">
        <v>33</v>
      </c>
      <c r="F101" s="210" t="s">
        <v>215</v>
      </c>
      <c r="G101" s="210" t="s">
        <v>216</v>
      </c>
      <c r="H101" s="210" t="s">
        <v>215</v>
      </c>
      <c r="I101" s="210" t="s">
        <v>216</v>
      </c>
      <c r="J101" s="211">
        <f>ROUND(Assumptions!$D$27*Assumptions!D21,0)</f>
        <v>3257</v>
      </c>
      <c r="K101" s="208">
        <v>1</v>
      </c>
      <c r="L101" s="211">
        <f t="shared" si="34"/>
        <v>3257</v>
      </c>
      <c r="M101" s="212">
        <v>0.25</v>
      </c>
      <c r="N101" s="212">
        <f t="shared" si="30"/>
        <v>814.25</v>
      </c>
      <c r="O101" s="212">
        <v>814.25</v>
      </c>
      <c r="P101" s="212"/>
      <c r="Q101" s="212">
        <f t="shared" si="28"/>
        <v>0</v>
      </c>
      <c r="R101" s="212">
        <f t="shared" si="35"/>
        <v>0</v>
      </c>
      <c r="S101" s="120"/>
    </row>
    <row r="102" spans="2:19" s="219" customFormat="1" ht="124.5" customHeight="1" x14ac:dyDescent="0.35">
      <c r="B102" s="214">
        <f t="shared" si="31"/>
        <v>19</v>
      </c>
      <c r="C102" s="226"/>
      <c r="D102" s="214" t="s">
        <v>33</v>
      </c>
      <c r="F102" s="210" t="s">
        <v>217</v>
      </c>
      <c r="G102" s="210" t="s">
        <v>218</v>
      </c>
      <c r="H102" s="210" t="s">
        <v>217</v>
      </c>
      <c r="I102" s="210" t="s">
        <v>218</v>
      </c>
      <c r="J102" s="208">
        <f>ROUND(ROUND(Assumptions!$D$28*Assumptions!$D$23,0)*0.25,0)</f>
        <v>21</v>
      </c>
      <c r="K102" s="208">
        <v>1</v>
      </c>
      <c r="L102" s="211">
        <f t="shared" si="34"/>
        <v>21</v>
      </c>
      <c r="M102" s="212">
        <v>0.25</v>
      </c>
      <c r="N102" s="212">
        <f t="shared" si="30"/>
        <v>5.25</v>
      </c>
      <c r="O102" s="212">
        <v>5.25</v>
      </c>
      <c r="P102" s="212"/>
      <c r="Q102" s="212">
        <f t="shared" si="28"/>
        <v>0</v>
      </c>
      <c r="R102" s="212">
        <f t="shared" si="35"/>
        <v>0</v>
      </c>
      <c r="S102" s="120"/>
    </row>
    <row r="103" spans="2:19" s="219" customFormat="1" ht="51.75" customHeight="1" x14ac:dyDescent="0.35">
      <c r="B103" s="214">
        <f t="shared" si="31"/>
        <v>20</v>
      </c>
      <c r="C103" s="226"/>
      <c r="D103" s="214" t="s">
        <v>33</v>
      </c>
      <c r="F103" s="213" t="s">
        <v>219</v>
      </c>
      <c r="G103" s="210" t="s">
        <v>220</v>
      </c>
      <c r="H103" s="213" t="s">
        <v>219</v>
      </c>
      <c r="I103" s="210" t="s">
        <v>220</v>
      </c>
      <c r="J103" s="211">
        <f>ROUND(Assumptions!D32*Assumptions!D21,0)</f>
        <v>564</v>
      </c>
      <c r="K103" s="208">
        <v>1</v>
      </c>
      <c r="L103" s="211">
        <f t="shared" si="34"/>
        <v>564</v>
      </c>
      <c r="M103" s="212">
        <v>1</v>
      </c>
      <c r="N103" s="212">
        <f t="shared" si="30"/>
        <v>564</v>
      </c>
      <c r="O103" s="212">
        <v>564</v>
      </c>
      <c r="P103" s="212"/>
      <c r="Q103" s="212">
        <f t="shared" si="28"/>
        <v>0</v>
      </c>
      <c r="R103" s="212">
        <f t="shared" si="35"/>
        <v>0</v>
      </c>
      <c r="S103" s="120"/>
    </row>
    <row r="104" spans="2:19" s="219" customFormat="1" ht="98.5" customHeight="1" x14ac:dyDescent="0.35">
      <c r="B104" s="214">
        <f t="shared" si="31"/>
        <v>21</v>
      </c>
      <c r="C104" s="226"/>
      <c r="D104" s="214" t="s">
        <v>33</v>
      </c>
      <c r="F104" s="213" t="s">
        <v>221</v>
      </c>
      <c r="G104" s="210" t="s">
        <v>222</v>
      </c>
      <c r="H104" s="213" t="s">
        <v>221</v>
      </c>
      <c r="I104" s="210" t="s">
        <v>222</v>
      </c>
      <c r="J104" s="211">
        <f>ROUND(Assumptions!D32*Assumptions!D21,0)</f>
        <v>564</v>
      </c>
      <c r="K104" s="208">
        <v>1</v>
      </c>
      <c r="L104" s="211">
        <f t="shared" si="34"/>
        <v>564</v>
      </c>
      <c r="M104" s="212">
        <v>0.5</v>
      </c>
      <c r="N104" s="212">
        <f t="shared" si="30"/>
        <v>282</v>
      </c>
      <c r="O104" s="212">
        <v>282</v>
      </c>
      <c r="P104" s="212"/>
      <c r="Q104" s="212">
        <f t="shared" si="28"/>
        <v>0</v>
      </c>
      <c r="R104" s="212">
        <f t="shared" si="35"/>
        <v>0</v>
      </c>
      <c r="S104" s="120"/>
    </row>
    <row r="105" spans="2:19" s="219" customFormat="1" ht="97.5" customHeight="1" x14ac:dyDescent="0.35">
      <c r="B105" s="214">
        <f t="shared" si="31"/>
        <v>22</v>
      </c>
      <c r="C105" s="226"/>
      <c r="D105" s="214" t="s">
        <v>33</v>
      </c>
      <c r="F105" s="209">
        <v>226.23</v>
      </c>
      <c r="G105" s="213" t="s">
        <v>223</v>
      </c>
      <c r="H105" s="209">
        <v>226.23</v>
      </c>
      <c r="I105" s="213" t="s">
        <v>223</v>
      </c>
      <c r="J105" s="211">
        <f>ROUND(Assumptions!$D$33*Assumptions!D21,0)</f>
        <v>3791</v>
      </c>
      <c r="K105" s="208">
        <v>1</v>
      </c>
      <c r="L105" s="211">
        <f>J105*K105</f>
        <v>3791</v>
      </c>
      <c r="M105" s="212">
        <v>1.67E-2</v>
      </c>
      <c r="N105" s="212">
        <f t="shared" si="30"/>
        <v>63.309699999999999</v>
      </c>
      <c r="O105" s="212">
        <v>63.309699999999999</v>
      </c>
      <c r="P105" s="212"/>
      <c r="Q105" s="212">
        <f t="shared" si="28"/>
        <v>0</v>
      </c>
      <c r="R105" s="212">
        <f t="shared" ref="R105:R106" si="37">P105+Q105</f>
        <v>0</v>
      </c>
      <c r="S105" s="120" t="s">
        <v>224</v>
      </c>
    </row>
    <row r="106" spans="2:19" s="219" customFormat="1" ht="58" x14ac:dyDescent="0.35">
      <c r="B106" s="214">
        <f t="shared" si="31"/>
        <v>23</v>
      </c>
      <c r="C106" s="226"/>
      <c r="D106" s="214" t="s">
        <v>33</v>
      </c>
      <c r="F106" s="210" t="s">
        <v>128</v>
      </c>
      <c r="G106" s="210" t="s">
        <v>225</v>
      </c>
      <c r="H106" s="210" t="s">
        <v>128</v>
      </c>
      <c r="I106" s="210" t="s">
        <v>225</v>
      </c>
      <c r="J106" s="211">
        <f>ROUND(Assumptions!$D$34*Assumptions!D21,0)</f>
        <v>29</v>
      </c>
      <c r="K106" s="208">
        <v>1</v>
      </c>
      <c r="L106" s="211">
        <f t="shared" ref="L106" si="38">J106*K106</f>
        <v>29</v>
      </c>
      <c r="M106" s="212">
        <v>8.3500000000000005E-2</v>
      </c>
      <c r="N106" s="212">
        <f t="shared" si="30"/>
        <v>2.4215</v>
      </c>
      <c r="O106" s="212">
        <v>2.4215</v>
      </c>
      <c r="P106" s="212"/>
      <c r="Q106" s="212">
        <f t="shared" si="28"/>
        <v>0</v>
      </c>
      <c r="R106" s="212">
        <f t="shared" si="37"/>
        <v>0</v>
      </c>
      <c r="S106" s="222"/>
    </row>
    <row r="107" spans="2:19" s="219" customFormat="1" ht="58" x14ac:dyDescent="0.35">
      <c r="B107" s="214">
        <f t="shared" si="31"/>
        <v>24</v>
      </c>
      <c r="C107" s="226"/>
      <c r="D107" s="214" t="s">
        <v>33</v>
      </c>
      <c r="F107" s="210" t="s">
        <v>226</v>
      </c>
      <c r="G107" s="210" t="s">
        <v>227</v>
      </c>
      <c r="H107" s="210" t="s">
        <v>226</v>
      </c>
      <c r="I107" s="210" t="s">
        <v>227</v>
      </c>
      <c r="J107" s="211">
        <f>ROUND(Assumptions!$D$34*Assumptions!D21,0)</f>
        <v>29</v>
      </c>
      <c r="K107" s="211">
        <v>1</v>
      </c>
      <c r="L107" s="211">
        <f t="shared" ref="L107:L115" si="39">J107*K107</f>
        <v>29</v>
      </c>
      <c r="M107" s="212">
        <v>8.3500000000000005E-2</v>
      </c>
      <c r="N107" s="212">
        <f t="shared" ref="N107:N116" si="40">L107*M107</f>
        <v>2.4215</v>
      </c>
      <c r="O107" s="212">
        <v>2.4215</v>
      </c>
      <c r="P107" s="212"/>
      <c r="Q107" s="212">
        <f>N107-O107</f>
        <v>0</v>
      </c>
      <c r="R107" s="212">
        <f>P107+Q107</f>
        <v>0</v>
      </c>
      <c r="S107" s="222"/>
    </row>
    <row r="108" spans="2:19" s="219" customFormat="1" ht="72.5" x14ac:dyDescent="0.35">
      <c r="B108" s="242">
        <f t="shared" si="31"/>
        <v>25</v>
      </c>
      <c r="C108" s="226"/>
      <c r="D108" s="242" t="s">
        <v>43</v>
      </c>
      <c r="F108" s="235"/>
      <c r="G108" s="235"/>
      <c r="H108" s="248" t="s">
        <v>133</v>
      </c>
      <c r="I108" s="235" t="s">
        <v>228</v>
      </c>
      <c r="J108" s="237">
        <f>ROUND(Assumptions!$D$27*Assumptions!D21,0)</f>
        <v>3257</v>
      </c>
      <c r="K108" s="243">
        <v>1</v>
      </c>
      <c r="L108" s="237">
        <f t="shared" si="39"/>
        <v>3257</v>
      </c>
      <c r="M108" s="239">
        <v>1</v>
      </c>
      <c r="N108" s="239">
        <f t="shared" si="40"/>
        <v>3257</v>
      </c>
      <c r="O108" s="239">
        <v>0</v>
      </c>
      <c r="P108" s="239"/>
      <c r="Q108" s="239">
        <f>N108-O108</f>
        <v>3257</v>
      </c>
      <c r="R108" s="239">
        <f>P108+Q108</f>
        <v>3257</v>
      </c>
      <c r="S108" s="241"/>
    </row>
    <row r="109" spans="2:19" s="219" customFormat="1" ht="58" x14ac:dyDescent="0.35">
      <c r="B109" s="242">
        <f t="shared" si="31"/>
        <v>26</v>
      </c>
      <c r="C109" s="226"/>
      <c r="D109" s="242" t="s">
        <v>33</v>
      </c>
      <c r="F109" s="235" t="s">
        <v>229</v>
      </c>
      <c r="G109" s="235" t="s">
        <v>230</v>
      </c>
      <c r="H109" s="235" t="s">
        <v>231</v>
      </c>
      <c r="I109" s="235" t="s">
        <v>499</v>
      </c>
      <c r="J109" s="237">
        <f>ROUND(Assumptions!$D$28*Assumptions!$D$23,0)</f>
        <v>83</v>
      </c>
      <c r="K109" s="243">
        <v>1</v>
      </c>
      <c r="L109" s="237">
        <f t="shared" si="39"/>
        <v>83</v>
      </c>
      <c r="M109" s="239">
        <v>0.25</v>
      </c>
      <c r="N109" s="239">
        <f t="shared" si="40"/>
        <v>20.75</v>
      </c>
      <c r="O109" s="239">
        <v>20.75</v>
      </c>
      <c r="P109" s="239"/>
      <c r="Q109" s="239">
        <f t="shared" ref="Q109:Q116" si="41">N109-O109</f>
        <v>0</v>
      </c>
      <c r="R109" s="239">
        <f t="shared" ref="R109:R116" si="42">P109+Q109</f>
        <v>0</v>
      </c>
      <c r="S109" s="241" t="s">
        <v>232</v>
      </c>
    </row>
    <row r="110" spans="2:19" s="219" customFormat="1" ht="58" x14ac:dyDescent="0.35">
      <c r="B110" s="242">
        <f t="shared" si="31"/>
        <v>27</v>
      </c>
      <c r="C110" s="226"/>
      <c r="D110" s="242" t="s">
        <v>43</v>
      </c>
      <c r="F110" s="235"/>
      <c r="G110" s="235"/>
      <c r="H110" s="235" t="s">
        <v>233</v>
      </c>
      <c r="I110" s="235" t="s">
        <v>234</v>
      </c>
      <c r="J110" s="237">
        <f>ROUND(Assumptions!$D$27*Assumptions!D21,0)</f>
        <v>3257</v>
      </c>
      <c r="K110" s="243">
        <v>1</v>
      </c>
      <c r="L110" s="237">
        <f t="shared" si="39"/>
        <v>3257</v>
      </c>
      <c r="M110" s="239">
        <v>0.25</v>
      </c>
      <c r="N110" s="239">
        <f t="shared" si="40"/>
        <v>814.25</v>
      </c>
      <c r="O110" s="239">
        <v>0</v>
      </c>
      <c r="P110" s="239"/>
      <c r="Q110" s="239">
        <f t="shared" si="41"/>
        <v>814.25</v>
      </c>
      <c r="R110" s="239">
        <f t="shared" si="42"/>
        <v>814.25</v>
      </c>
      <c r="S110" s="241"/>
    </row>
    <row r="111" spans="2:19" s="219" customFormat="1" ht="72.5" x14ac:dyDescent="0.35">
      <c r="B111" s="242">
        <f t="shared" si="31"/>
        <v>28</v>
      </c>
      <c r="C111" s="226"/>
      <c r="D111" s="242" t="s">
        <v>43</v>
      </c>
      <c r="F111" s="235"/>
      <c r="G111" s="235"/>
      <c r="H111" s="235" t="s">
        <v>235</v>
      </c>
      <c r="I111" s="235" t="s">
        <v>500</v>
      </c>
      <c r="J111" s="237">
        <f>ROUND(Assumptions!$D$27*Assumptions!D21,0)</f>
        <v>3257</v>
      </c>
      <c r="K111" s="243">
        <v>1</v>
      </c>
      <c r="L111" s="237">
        <f t="shared" si="39"/>
        <v>3257</v>
      </c>
      <c r="M111" s="239">
        <v>0.25</v>
      </c>
      <c r="N111" s="239">
        <f t="shared" si="40"/>
        <v>814.25</v>
      </c>
      <c r="O111" s="239">
        <v>0</v>
      </c>
      <c r="P111" s="239"/>
      <c r="Q111" s="239">
        <f t="shared" si="41"/>
        <v>814.25</v>
      </c>
      <c r="R111" s="239">
        <f t="shared" si="42"/>
        <v>814.25</v>
      </c>
      <c r="S111" s="241"/>
    </row>
    <row r="112" spans="2:19" s="219" customFormat="1" ht="145" x14ac:dyDescent="0.35">
      <c r="B112" s="242">
        <f t="shared" si="31"/>
        <v>29</v>
      </c>
      <c r="C112" s="226"/>
      <c r="D112" s="242" t="s">
        <v>43</v>
      </c>
      <c r="F112" s="235"/>
      <c r="G112" s="244"/>
      <c r="H112" s="235" t="s">
        <v>236</v>
      </c>
      <c r="I112" s="235" t="s">
        <v>490</v>
      </c>
      <c r="J112" s="237">
        <f>ROUND(Assumptions!$D$27*Assumptions!D21,0)</f>
        <v>3257</v>
      </c>
      <c r="K112" s="243">
        <v>1</v>
      </c>
      <c r="L112" s="237">
        <f t="shared" si="39"/>
        <v>3257</v>
      </c>
      <c r="M112" s="239">
        <v>0.25</v>
      </c>
      <c r="N112" s="239">
        <f t="shared" si="40"/>
        <v>814.25</v>
      </c>
      <c r="O112" s="239">
        <v>0</v>
      </c>
      <c r="P112" s="239"/>
      <c r="Q112" s="239">
        <f t="shared" si="41"/>
        <v>814.25</v>
      </c>
      <c r="R112" s="239">
        <f t="shared" si="42"/>
        <v>814.25</v>
      </c>
      <c r="S112" s="241"/>
    </row>
    <row r="113" spans="2:19" s="219" customFormat="1" ht="111" customHeight="1" x14ac:dyDescent="0.35">
      <c r="B113" s="242">
        <f t="shared" si="31"/>
        <v>30</v>
      </c>
      <c r="C113" s="226"/>
      <c r="D113" s="242" t="s">
        <v>43</v>
      </c>
      <c r="F113" s="235"/>
      <c r="G113" s="270"/>
      <c r="H113" s="235" t="s">
        <v>237</v>
      </c>
      <c r="I113" s="235" t="s">
        <v>489</v>
      </c>
      <c r="J113" s="237">
        <f>ROUND(Assumptions!$D$27*Assumptions!D21,0)</f>
        <v>3257</v>
      </c>
      <c r="K113" s="243">
        <v>1</v>
      </c>
      <c r="L113" s="237">
        <f t="shared" si="39"/>
        <v>3257</v>
      </c>
      <c r="M113" s="239">
        <v>0.25</v>
      </c>
      <c r="N113" s="239">
        <f t="shared" si="40"/>
        <v>814.25</v>
      </c>
      <c r="O113" s="239">
        <v>0</v>
      </c>
      <c r="P113" s="239"/>
      <c r="Q113" s="239">
        <f t="shared" si="41"/>
        <v>814.25</v>
      </c>
      <c r="R113" s="239">
        <f t="shared" si="42"/>
        <v>814.25</v>
      </c>
      <c r="S113" s="241"/>
    </row>
    <row r="114" spans="2:19" s="219" customFormat="1" ht="58" x14ac:dyDescent="0.35">
      <c r="B114" s="242">
        <f t="shared" si="31"/>
        <v>31</v>
      </c>
      <c r="C114" s="226"/>
      <c r="D114" s="242" t="s">
        <v>43</v>
      </c>
      <c r="F114" s="235"/>
      <c r="G114" s="244"/>
      <c r="H114" s="235" t="s">
        <v>238</v>
      </c>
      <c r="I114" s="235" t="s">
        <v>501</v>
      </c>
      <c r="J114" s="237">
        <f>ROUND(Assumptions!$D$27*Assumptions!D21,0)</f>
        <v>3257</v>
      </c>
      <c r="K114" s="243">
        <v>1</v>
      </c>
      <c r="L114" s="237">
        <f t="shared" si="39"/>
        <v>3257</v>
      </c>
      <c r="M114" s="239">
        <v>20</v>
      </c>
      <c r="N114" s="239">
        <f t="shared" si="40"/>
        <v>65140</v>
      </c>
      <c r="O114" s="239">
        <v>0</v>
      </c>
      <c r="P114" s="239"/>
      <c r="Q114" s="239">
        <f t="shared" si="41"/>
        <v>65140</v>
      </c>
      <c r="R114" s="239">
        <f t="shared" si="42"/>
        <v>65140</v>
      </c>
      <c r="S114" s="241"/>
    </row>
    <row r="115" spans="2:19" s="219" customFormat="1" ht="41.75" customHeight="1" x14ac:dyDescent="0.35">
      <c r="B115" s="242">
        <f t="shared" si="31"/>
        <v>32</v>
      </c>
      <c r="C115" s="226"/>
      <c r="D115" s="242" t="s">
        <v>43</v>
      </c>
      <c r="F115" s="235"/>
      <c r="G115" s="270"/>
      <c r="H115" s="235" t="s">
        <v>146</v>
      </c>
      <c r="I115" s="235" t="s">
        <v>239</v>
      </c>
      <c r="J115" s="237">
        <f>ROUND(Assumptions!$D$27*Assumptions!D21,0)</f>
        <v>3257</v>
      </c>
      <c r="K115" s="243">
        <v>1</v>
      </c>
      <c r="L115" s="237">
        <f t="shared" si="39"/>
        <v>3257</v>
      </c>
      <c r="M115" s="239">
        <v>0.25</v>
      </c>
      <c r="N115" s="239">
        <f t="shared" si="40"/>
        <v>814.25</v>
      </c>
      <c r="O115" s="239">
        <v>0</v>
      </c>
      <c r="P115" s="239"/>
      <c r="Q115" s="239">
        <f t="shared" si="41"/>
        <v>814.25</v>
      </c>
      <c r="R115" s="239">
        <f t="shared" si="42"/>
        <v>814.25</v>
      </c>
      <c r="S115" s="241"/>
    </row>
    <row r="116" spans="2:19" s="219" customFormat="1" ht="275.5" x14ac:dyDescent="0.35">
      <c r="B116" s="242">
        <f t="shared" si="31"/>
        <v>33</v>
      </c>
      <c r="C116" s="226"/>
      <c r="D116" s="242" t="s">
        <v>33</v>
      </c>
      <c r="F116" s="235" t="s">
        <v>240</v>
      </c>
      <c r="G116" s="271" t="s">
        <v>274</v>
      </c>
      <c r="H116" s="235" t="s">
        <v>241</v>
      </c>
      <c r="I116" s="235" t="s">
        <v>502</v>
      </c>
      <c r="J116" s="237">
        <f>ROUND(ROUND(Assumptions!$D$27*Assumptions!D21,0)*0.25,0)</f>
        <v>814</v>
      </c>
      <c r="K116" s="243">
        <v>1</v>
      </c>
      <c r="L116" s="237">
        <f>J116*K116</f>
        <v>814</v>
      </c>
      <c r="M116" s="239">
        <v>0.25</v>
      </c>
      <c r="N116" s="239">
        <f t="shared" si="40"/>
        <v>203.5</v>
      </c>
      <c r="O116" s="239">
        <v>203.5</v>
      </c>
      <c r="P116" s="239"/>
      <c r="Q116" s="239">
        <f t="shared" si="41"/>
        <v>0</v>
      </c>
      <c r="R116" s="239">
        <f t="shared" si="42"/>
        <v>0</v>
      </c>
      <c r="S116" s="241" t="s">
        <v>232</v>
      </c>
    </row>
    <row r="117" spans="2:19" x14ac:dyDescent="0.35">
      <c r="B117" s="115"/>
      <c r="C117" s="226"/>
      <c r="D117" s="115"/>
      <c r="F117" s="59"/>
      <c r="G117" s="64"/>
      <c r="H117" s="277" t="s">
        <v>183</v>
      </c>
      <c r="I117" s="278"/>
      <c r="J117" s="104">
        <f>ROUND(Assumptions!D33*Assumptions!D21,0)</f>
        <v>3791</v>
      </c>
      <c r="K117" s="103">
        <f>L117/J117</f>
        <v>39.826958586125031</v>
      </c>
      <c r="L117" s="103">
        <f>SUM(L84:L116)</f>
        <v>150984</v>
      </c>
      <c r="M117" s="105">
        <f>N117/L117</f>
        <v>1.9319631702696971</v>
      </c>
      <c r="N117" s="105">
        <f>SUM(N84:N116)</f>
        <v>291695.52729999996</v>
      </c>
      <c r="O117" s="103">
        <v>219226.527</v>
      </c>
      <c r="P117" s="105">
        <f>SUM(P84:P116)</f>
        <v>0</v>
      </c>
      <c r="Q117" s="105">
        <f>SUM(Q84:Q116)</f>
        <v>72468.998999999996</v>
      </c>
      <c r="R117" s="105">
        <f>SUM(R84:R116)</f>
        <v>72468.998999999996</v>
      </c>
      <c r="S117" s="26"/>
    </row>
    <row r="118" spans="2:19" x14ac:dyDescent="0.35">
      <c r="B118" s="115"/>
      <c r="C118" s="226"/>
      <c r="D118" s="115"/>
      <c r="F118" s="287" t="s">
        <v>242</v>
      </c>
      <c r="G118" s="287"/>
      <c r="H118" s="287"/>
      <c r="I118" s="287"/>
      <c r="J118" s="14">
        <f>J82+J117</f>
        <v>3847</v>
      </c>
      <c r="K118" s="17">
        <f>L118/J118</f>
        <v>218.81570054587991</v>
      </c>
      <c r="L118" s="17">
        <f>L82+L117</f>
        <v>841784</v>
      </c>
      <c r="M118" s="125">
        <f>N118/L118</f>
        <v>0.85279181607158117</v>
      </c>
      <c r="N118" s="125">
        <f>N82+N117</f>
        <v>717866.50609999988</v>
      </c>
      <c r="O118" s="17">
        <f>O82+O117</f>
        <v>424357.75599999999</v>
      </c>
      <c r="P118" s="125">
        <f>P82+P117</f>
        <v>0</v>
      </c>
      <c r="Q118" s="125">
        <f>Q82+Q117</f>
        <v>293508.74699999997</v>
      </c>
      <c r="R118" s="125">
        <f>R82+R117</f>
        <v>293508.74699999997</v>
      </c>
      <c r="S118" s="63"/>
    </row>
    <row r="119" spans="2:19" ht="35.25" customHeight="1" x14ac:dyDescent="0.35">
      <c r="B119" s="115"/>
      <c r="C119" s="226"/>
      <c r="D119" s="115"/>
      <c r="F119" s="279" t="s">
        <v>243</v>
      </c>
      <c r="G119" s="279"/>
      <c r="H119" s="280" t="s">
        <v>243</v>
      </c>
      <c r="I119" s="281"/>
      <c r="J119" s="281"/>
      <c r="K119" s="281"/>
      <c r="L119" s="281"/>
      <c r="M119" s="281"/>
      <c r="N119" s="281"/>
      <c r="O119" s="281"/>
      <c r="P119" s="281"/>
      <c r="Q119" s="281"/>
      <c r="R119" s="281"/>
      <c r="S119" s="94"/>
    </row>
    <row r="120" spans="2:19" ht="35.25" customHeight="1" x14ac:dyDescent="0.35">
      <c r="B120" s="115"/>
      <c r="C120" s="226"/>
      <c r="D120" s="115"/>
      <c r="F120" s="279" t="s">
        <v>244</v>
      </c>
      <c r="G120" s="279"/>
      <c r="H120" s="279" t="s">
        <v>244</v>
      </c>
      <c r="I120" s="279"/>
      <c r="J120" s="279"/>
      <c r="K120" s="279"/>
      <c r="L120" s="279"/>
      <c r="M120" s="279"/>
      <c r="N120" s="279"/>
      <c r="O120" s="279"/>
      <c r="P120" s="279"/>
      <c r="Q120" s="279"/>
      <c r="R120" s="279"/>
      <c r="S120" s="94"/>
    </row>
    <row r="121" spans="2:19" ht="58.5" customHeight="1" x14ac:dyDescent="0.35">
      <c r="B121" s="242">
        <f>1</f>
        <v>1</v>
      </c>
      <c r="C121" s="226"/>
      <c r="D121" s="242" t="s">
        <v>43</v>
      </c>
      <c r="F121" s="252"/>
      <c r="G121" s="252"/>
      <c r="H121" s="258" t="s">
        <v>525</v>
      </c>
      <c r="I121" s="235" t="s">
        <v>503</v>
      </c>
      <c r="J121" s="243">
        <f>ROUND((Assumptions!D27*Assumptions!D22*Assumptions!D26), 0)</f>
        <v>1116</v>
      </c>
      <c r="K121" s="243">
        <v>1</v>
      </c>
      <c r="L121" s="243">
        <f>J121*K121</f>
        <v>1116</v>
      </c>
      <c r="M121" s="243">
        <v>0.25</v>
      </c>
      <c r="N121" s="243">
        <f>L121*M121</f>
        <v>279</v>
      </c>
      <c r="O121" s="243">
        <v>0</v>
      </c>
      <c r="P121" s="243"/>
      <c r="Q121" s="243">
        <f>N121-O121</f>
        <v>279</v>
      </c>
      <c r="R121" s="243">
        <f>P121+Q121</f>
        <v>279</v>
      </c>
      <c r="S121" s="243"/>
    </row>
    <row r="122" spans="2:19" s="219" customFormat="1" ht="29" x14ac:dyDescent="0.35">
      <c r="B122" s="214">
        <f>B121+1</f>
        <v>2</v>
      </c>
      <c r="C122" s="226"/>
      <c r="D122" s="214" t="s">
        <v>33</v>
      </c>
      <c r="F122" s="221" t="s">
        <v>50</v>
      </c>
      <c r="G122" s="210" t="s">
        <v>245</v>
      </c>
      <c r="H122" s="221" t="s">
        <v>50</v>
      </c>
      <c r="I122" s="210" t="s">
        <v>245</v>
      </c>
      <c r="J122" s="208">
        <f>ROUND(Assumptions!D31*Assumptions!D22,0)</f>
        <v>238</v>
      </c>
      <c r="K122" s="208">
        <v>1</v>
      </c>
      <c r="L122" s="211">
        <f t="shared" ref="L122" si="43">J122*K122</f>
        <v>238</v>
      </c>
      <c r="M122" s="212">
        <v>0.5</v>
      </c>
      <c r="N122" s="212">
        <f t="shared" ref="N122" si="44">L122*M122</f>
        <v>119</v>
      </c>
      <c r="O122" s="212">
        <v>119</v>
      </c>
      <c r="P122" s="212"/>
      <c r="Q122" s="212">
        <f t="shared" ref="Q122:Q149" si="45">N122-O122</f>
        <v>0</v>
      </c>
      <c r="R122" s="212">
        <f t="shared" ref="R122" si="46">P122+Q122</f>
        <v>0</v>
      </c>
      <c r="S122" s="120"/>
    </row>
    <row r="123" spans="2:19" s="219" customFormat="1" ht="43.5" x14ac:dyDescent="0.35">
      <c r="B123" s="214">
        <f>B122+1</f>
        <v>3</v>
      </c>
      <c r="C123" s="226"/>
      <c r="D123" s="214" t="s">
        <v>33</v>
      </c>
      <c r="F123" s="227" t="s">
        <v>186</v>
      </c>
      <c r="G123" s="210" t="s">
        <v>246</v>
      </c>
      <c r="H123" s="227" t="s">
        <v>186</v>
      </c>
      <c r="I123" s="210" t="s">
        <v>246</v>
      </c>
      <c r="J123" s="211">
        <f>ROUND(Assumptions!$D$27*Assumptions!D22,0)</f>
        <v>18601</v>
      </c>
      <c r="K123" s="208">
        <v>1</v>
      </c>
      <c r="L123" s="211">
        <f t="shared" ref="L123:L134" si="47">J123*K123</f>
        <v>18601</v>
      </c>
      <c r="M123" s="212">
        <v>8.3500000000000005E-2</v>
      </c>
      <c r="N123" s="212">
        <f t="shared" ref="N123:N149" si="48">L123*M123</f>
        <v>1553.1835000000001</v>
      </c>
      <c r="O123" s="212">
        <v>1553.1835000000001</v>
      </c>
      <c r="P123" s="212"/>
      <c r="Q123" s="212">
        <f t="shared" si="45"/>
        <v>0</v>
      </c>
      <c r="R123" s="212">
        <f t="shared" ref="R123:R128" si="49">P123+Q123</f>
        <v>0</v>
      </c>
      <c r="S123" s="229"/>
    </row>
    <row r="124" spans="2:19" s="219" customFormat="1" ht="47.25" customHeight="1" x14ac:dyDescent="0.35">
      <c r="B124" s="214">
        <f t="shared" ref="B124:B160" si="50">B123+1</f>
        <v>4</v>
      </c>
      <c r="C124" s="226"/>
      <c r="D124" s="214" t="s">
        <v>33</v>
      </c>
      <c r="F124" s="216" t="s">
        <v>188</v>
      </c>
      <c r="G124" s="210" t="s">
        <v>189</v>
      </c>
      <c r="H124" s="216" t="s">
        <v>188</v>
      </c>
      <c r="I124" s="210" t="s">
        <v>189</v>
      </c>
      <c r="J124" s="211">
        <f>ROUND(Assumptions!$D$27*Assumptions!D22,0)</f>
        <v>18601</v>
      </c>
      <c r="K124" s="208">
        <v>12</v>
      </c>
      <c r="L124" s="211">
        <f t="shared" si="47"/>
        <v>223212</v>
      </c>
      <c r="M124" s="212">
        <v>0.5</v>
      </c>
      <c r="N124" s="212">
        <f t="shared" si="48"/>
        <v>111606</v>
      </c>
      <c r="O124" s="212">
        <v>111606</v>
      </c>
      <c r="P124" s="212"/>
      <c r="Q124" s="212">
        <f t="shared" si="45"/>
        <v>0</v>
      </c>
      <c r="R124" s="212">
        <f t="shared" si="49"/>
        <v>0</v>
      </c>
      <c r="S124" s="120"/>
    </row>
    <row r="125" spans="2:19" s="219" customFormat="1" ht="43.5" x14ac:dyDescent="0.35">
      <c r="B125" s="214">
        <f t="shared" si="50"/>
        <v>5</v>
      </c>
      <c r="C125" s="226"/>
      <c r="D125" s="214" t="s">
        <v>33</v>
      </c>
      <c r="F125" s="210" t="s">
        <v>81</v>
      </c>
      <c r="G125" s="210" t="s">
        <v>247</v>
      </c>
      <c r="H125" s="210" t="s">
        <v>81</v>
      </c>
      <c r="I125" s="210" t="s">
        <v>247</v>
      </c>
      <c r="J125" s="208">
        <f>ROUND(Assumptions!$D$28*Assumptions!$D$22,0)</f>
        <v>540</v>
      </c>
      <c r="K125" s="208">
        <v>1</v>
      </c>
      <c r="L125" s="211">
        <f t="shared" si="47"/>
        <v>540</v>
      </c>
      <c r="M125" s="212">
        <v>1.67E-2</v>
      </c>
      <c r="N125" s="212">
        <f t="shared" si="48"/>
        <v>9.0179999999999989</v>
      </c>
      <c r="O125" s="212">
        <v>9.0180000000000007</v>
      </c>
      <c r="P125" s="212"/>
      <c r="Q125" s="212">
        <f t="shared" si="45"/>
        <v>0</v>
      </c>
      <c r="R125" s="212">
        <f t="shared" si="49"/>
        <v>0</v>
      </c>
      <c r="S125" s="229"/>
    </row>
    <row r="126" spans="2:19" s="219" customFormat="1" ht="36.75" customHeight="1" x14ac:dyDescent="0.35">
      <c r="B126" s="214">
        <f t="shared" si="50"/>
        <v>6</v>
      </c>
      <c r="C126" s="226"/>
      <c r="D126" s="214" t="s">
        <v>33</v>
      </c>
      <c r="F126" s="210" t="s">
        <v>191</v>
      </c>
      <c r="G126" s="210" t="s">
        <v>192</v>
      </c>
      <c r="H126" s="210" t="s">
        <v>191</v>
      </c>
      <c r="I126" s="210" t="s">
        <v>192</v>
      </c>
      <c r="J126" s="211">
        <f>ROUND(Assumptions!$D$27*Assumptions!D22,0)</f>
        <v>18601</v>
      </c>
      <c r="K126" s="208">
        <v>1</v>
      </c>
      <c r="L126" s="211">
        <f>J126*K126</f>
        <v>18601</v>
      </c>
      <c r="M126" s="212">
        <v>0.5</v>
      </c>
      <c r="N126" s="212">
        <f>L126*M126</f>
        <v>9300.5</v>
      </c>
      <c r="O126" s="212">
        <v>9300.5</v>
      </c>
      <c r="P126" s="212"/>
      <c r="Q126" s="212">
        <f t="shared" si="45"/>
        <v>0</v>
      </c>
      <c r="R126" s="212">
        <f>P126+Q126</f>
        <v>0</v>
      </c>
      <c r="S126" s="120"/>
    </row>
    <row r="127" spans="2:19" s="219" customFormat="1" ht="29" x14ac:dyDescent="0.35">
      <c r="B127" s="214">
        <f t="shared" si="50"/>
        <v>7</v>
      </c>
      <c r="C127" s="226"/>
      <c r="D127" s="214" t="s">
        <v>33</v>
      </c>
      <c r="F127" s="210" t="s">
        <v>193</v>
      </c>
      <c r="G127" s="210" t="s">
        <v>194</v>
      </c>
      <c r="H127" s="210" t="s">
        <v>193</v>
      </c>
      <c r="I127" s="210" t="s">
        <v>194</v>
      </c>
      <c r="J127" s="211">
        <f>ROUND(Assumptions!$D$29*Assumptions!D22,0)</f>
        <v>51</v>
      </c>
      <c r="K127" s="208">
        <v>1</v>
      </c>
      <c r="L127" s="211">
        <f t="shared" si="47"/>
        <v>51</v>
      </c>
      <c r="M127" s="212">
        <v>1.5</v>
      </c>
      <c r="N127" s="212">
        <f t="shared" si="48"/>
        <v>76.5</v>
      </c>
      <c r="O127" s="212">
        <v>76.5</v>
      </c>
      <c r="P127" s="212"/>
      <c r="Q127" s="212">
        <f t="shared" si="45"/>
        <v>0</v>
      </c>
      <c r="R127" s="212">
        <f t="shared" si="49"/>
        <v>0</v>
      </c>
      <c r="S127" s="229"/>
    </row>
    <row r="128" spans="2:19" s="219" customFormat="1" ht="51" customHeight="1" x14ac:dyDescent="0.35">
      <c r="B128" s="214">
        <f t="shared" si="50"/>
        <v>8</v>
      </c>
      <c r="C128" s="226"/>
      <c r="D128" s="214" t="s">
        <v>33</v>
      </c>
      <c r="F128" s="209" t="s">
        <v>195</v>
      </c>
      <c r="G128" s="210" t="s">
        <v>248</v>
      </c>
      <c r="H128" s="209" t="s">
        <v>195</v>
      </c>
      <c r="I128" s="210" t="s">
        <v>248</v>
      </c>
      <c r="J128" s="211">
        <f>ROUND(Assumptions!$D$27*Assumptions!D22,0)</f>
        <v>18601</v>
      </c>
      <c r="K128" s="208">
        <v>1</v>
      </c>
      <c r="L128" s="211">
        <f t="shared" si="47"/>
        <v>18601</v>
      </c>
      <c r="M128" s="212">
        <v>0.5</v>
      </c>
      <c r="N128" s="212">
        <f t="shared" si="48"/>
        <v>9300.5</v>
      </c>
      <c r="O128" s="212">
        <v>9300.5</v>
      </c>
      <c r="P128" s="212"/>
      <c r="Q128" s="212">
        <f t="shared" si="45"/>
        <v>0</v>
      </c>
      <c r="R128" s="212">
        <f t="shared" si="49"/>
        <v>0</v>
      </c>
      <c r="S128" s="120"/>
    </row>
    <row r="129" spans="2:19" s="219" customFormat="1" ht="43.5" x14ac:dyDescent="0.35">
      <c r="B129" s="214">
        <f t="shared" si="50"/>
        <v>9</v>
      </c>
      <c r="C129" s="226"/>
      <c r="D129" s="214" t="s">
        <v>33</v>
      </c>
      <c r="F129" s="210" t="s">
        <v>197</v>
      </c>
      <c r="G129" s="210" t="s">
        <v>249</v>
      </c>
      <c r="H129" s="210" t="s">
        <v>197</v>
      </c>
      <c r="I129" s="210" t="s">
        <v>249</v>
      </c>
      <c r="J129" s="211">
        <f>ROUND(Assumptions!$D$27*Assumptions!D22,0)</f>
        <v>18601</v>
      </c>
      <c r="K129" s="208">
        <v>12</v>
      </c>
      <c r="L129" s="211">
        <f t="shared" si="47"/>
        <v>223212</v>
      </c>
      <c r="M129" s="212">
        <v>1.67</v>
      </c>
      <c r="N129" s="212">
        <f t="shared" si="48"/>
        <v>372764.04</v>
      </c>
      <c r="O129" s="212">
        <v>372764.04</v>
      </c>
      <c r="P129" s="212"/>
      <c r="Q129" s="212">
        <f t="shared" si="45"/>
        <v>0</v>
      </c>
      <c r="R129" s="212">
        <f>P129+Q129</f>
        <v>0</v>
      </c>
      <c r="S129" s="120"/>
    </row>
    <row r="130" spans="2:19" s="219" customFormat="1" ht="29" x14ac:dyDescent="0.35">
      <c r="B130" s="214">
        <f t="shared" si="50"/>
        <v>10</v>
      </c>
      <c r="C130" s="226"/>
      <c r="D130" s="214" t="s">
        <v>33</v>
      </c>
      <c r="F130" s="210" t="s">
        <v>199</v>
      </c>
      <c r="G130" s="210" t="s">
        <v>250</v>
      </c>
      <c r="H130" s="210" t="s">
        <v>199</v>
      </c>
      <c r="I130" s="210" t="s">
        <v>250</v>
      </c>
      <c r="J130" s="211">
        <f>ROUND(Assumptions!$D$30*Assumptions!D22,0)</f>
        <v>8314</v>
      </c>
      <c r="K130" s="208">
        <v>12</v>
      </c>
      <c r="L130" s="211">
        <f t="shared" si="47"/>
        <v>99768</v>
      </c>
      <c r="M130" s="212">
        <v>0.5</v>
      </c>
      <c r="N130" s="212">
        <f t="shared" si="48"/>
        <v>49884</v>
      </c>
      <c r="O130" s="212">
        <v>49884</v>
      </c>
      <c r="P130" s="212"/>
      <c r="Q130" s="212">
        <f t="shared" si="45"/>
        <v>0</v>
      </c>
      <c r="R130" s="212">
        <f>P130+Q130</f>
        <v>0</v>
      </c>
      <c r="S130" s="120"/>
    </row>
    <row r="131" spans="2:19" s="219" customFormat="1" ht="32.25" customHeight="1" x14ac:dyDescent="0.35">
      <c r="B131" s="214">
        <f t="shared" si="50"/>
        <v>11</v>
      </c>
      <c r="C131" s="226"/>
      <c r="D131" s="214" t="s">
        <v>33</v>
      </c>
      <c r="F131" s="204" t="s">
        <v>201</v>
      </c>
      <c r="G131" s="210" t="s">
        <v>251</v>
      </c>
      <c r="H131" s="204" t="s">
        <v>201</v>
      </c>
      <c r="I131" s="210" t="s">
        <v>251</v>
      </c>
      <c r="J131" s="208">
        <f>ROUND(Assumptions!$D$28*Assumptions!D22,0)</f>
        <v>540</v>
      </c>
      <c r="K131" s="208">
        <v>5</v>
      </c>
      <c r="L131" s="211">
        <f t="shared" si="47"/>
        <v>2700</v>
      </c>
      <c r="M131" s="212">
        <v>0.30059999999999998</v>
      </c>
      <c r="N131" s="212">
        <f t="shared" si="48"/>
        <v>811.61999999999989</v>
      </c>
      <c r="O131" s="212">
        <v>811.62</v>
      </c>
      <c r="P131" s="212"/>
      <c r="Q131" s="212">
        <f t="shared" si="45"/>
        <v>0</v>
      </c>
      <c r="R131" s="212">
        <f t="shared" ref="R131:R149" si="51">P131+Q131</f>
        <v>0</v>
      </c>
      <c r="S131" s="120"/>
    </row>
    <row r="132" spans="2:19" s="219" customFormat="1" ht="71.5" customHeight="1" x14ac:dyDescent="0.35">
      <c r="B132" s="214">
        <f t="shared" si="50"/>
        <v>12</v>
      </c>
      <c r="C132" s="226"/>
      <c r="D132" s="214" t="s">
        <v>33</v>
      </c>
      <c r="F132" s="210" t="s">
        <v>203</v>
      </c>
      <c r="G132" s="230" t="s">
        <v>204</v>
      </c>
      <c r="H132" s="210" t="s">
        <v>203</v>
      </c>
      <c r="I132" s="230" t="s">
        <v>204</v>
      </c>
      <c r="J132" s="208">
        <f>ROUND(Assumptions!$D$31*Assumptions!D22,0)</f>
        <v>238</v>
      </c>
      <c r="K132" s="208">
        <v>1</v>
      </c>
      <c r="L132" s="211">
        <f t="shared" si="47"/>
        <v>238</v>
      </c>
      <c r="M132" s="212">
        <v>8</v>
      </c>
      <c r="N132" s="212">
        <f t="shared" si="48"/>
        <v>1904</v>
      </c>
      <c r="O132" s="212">
        <v>1904</v>
      </c>
      <c r="P132" s="212"/>
      <c r="Q132" s="212">
        <f t="shared" si="45"/>
        <v>0</v>
      </c>
      <c r="R132" s="212">
        <f t="shared" si="51"/>
        <v>0</v>
      </c>
      <c r="S132" s="229"/>
    </row>
    <row r="133" spans="2:19" s="219" customFormat="1" ht="33.75" customHeight="1" x14ac:dyDescent="0.35">
      <c r="B133" s="214">
        <f t="shared" si="50"/>
        <v>13</v>
      </c>
      <c r="C133" s="226"/>
      <c r="D133" s="214" t="s">
        <v>33</v>
      </c>
      <c r="F133" s="210" t="s">
        <v>203</v>
      </c>
      <c r="G133" s="210" t="s">
        <v>252</v>
      </c>
      <c r="H133" s="210" t="s">
        <v>203</v>
      </c>
      <c r="I133" s="210" t="s">
        <v>252</v>
      </c>
      <c r="J133" s="211">
        <f>ROUND(Assumptions!$D$27*Assumptions!D22,0)</f>
        <v>18601</v>
      </c>
      <c r="K133" s="208">
        <v>1</v>
      </c>
      <c r="L133" s="211">
        <f t="shared" si="47"/>
        <v>18601</v>
      </c>
      <c r="M133" s="212">
        <v>0.25</v>
      </c>
      <c r="N133" s="212">
        <f>L133*M133</f>
        <v>4650.25</v>
      </c>
      <c r="O133" s="212">
        <v>4650.25</v>
      </c>
      <c r="P133" s="212"/>
      <c r="Q133" s="212">
        <f t="shared" si="45"/>
        <v>0</v>
      </c>
      <c r="R133" s="212">
        <f t="shared" si="51"/>
        <v>0</v>
      </c>
      <c r="S133" s="229"/>
    </row>
    <row r="134" spans="2:19" s="219" customFormat="1" ht="43.5" x14ac:dyDescent="0.35">
      <c r="B134" s="214">
        <f t="shared" si="50"/>
        <v>14</v>
      </c>
      <c r="C134" s="226"/>
      <c r="D134" s="214" t="s">
        <v>33</v>
      </c>
      <c r="F134" s="209" t="s">
        <v>206</v>
      </c>
      <c r="G134" s="210" t="s">
        <v>207</v>
      </c>
      <c r="H134" s="209" t="s">
        <v>206</v>
      </c>
      <c r="I134" s="210" t="s">
        <v>207</v>
      </c>
      <c r="J134" s="211">
        <f>ROUND(Assumptions!D27*Assumptions!D22,0)</f>
        <v>18601</v>
      </c>
      <c r="K134" s="208">
        <v>1</v>
      </c>
      <c r="L134" s="211">
        <f t="shared" si="47"/>
        <v>18601</v>
      </c>
      <c r="M134" s="212">
        <v>0.25</v>
      </c>
      <c r="N134" s="212">
        <f t="shared" si="48"/>
        <v>4650.25</v>
      </c>
      <c r="O134" s="212">
        <v>4650.25</v>
      </c>
      <c r="P134" s="212"/>
      <c r="Q134" s="212">
        <f t="shared" si="45"/>
        <v>0</v>
      </c>
      <c r="R134" s="212">
        <f t="shared" si="51"/>
        <v>0</v>
      </c>
      <c r="S134" s="229"/>
    </row>
    <row r="135" spans="2:19" s="219" customFormat="1" ht="165.5" customHeight="1" x14ac:dyDescent="0.35">
      <c r="B135" s="214">
        <f t="shared" si="50"/>
        <v>15</v>
      </c>
      <c r="C135" s="226"/>
      <c r="D135" s="214" t="s">
        <v>33</v>
      </c>
      <c r="F135" s="209" t="s">
        <v>208</v>
      </c>
      <c r="G135" s="210" t="s">
        <v>209</v>
      </c>
      <c r="H135" s="209" t="s">
        <v>208</v>
      </c>
      <c r="I135" s="210" t="s">
        <v>209</v>
      </c>
      <c r="J135" s="211">
        <f>ROUND(Assumptions!$D$27*Assumptions!D22,0)</f>
        <v>18601</v>
      </c>
      <c r="K135" s="208">
        <v>1</v>
      </c>
      <c r="L135" s="211">
        <f>J135*K135</f>
        <v>18601</v>
      </c>
      <c r="M135" s="212">
        <v>36</v>
      </c>
      <c r="N135" s="212">
        <f t="shared" si="48"/>
        <v>669636</v>
      </c>
      <c r="O135" s="212">
        <v>669636</v>
      </c>
      <c r="P135" s="212"/>
      <c r="Q135" s="212">
        <f t="shared" si="45"/>
        <v>0</v>
      </c>
      <c r="R135" s="212">
        <f t="shared" si="51"/>
        <v>0</v>
      </c>
      <c r="S135" s="213" t="s">
        <v>210</v>
      </c>
    </row>
    <row r="136" spans="2:19" s="219" customFormat="1" ht="95.5" customHeight="1" x14ac:dyDescent="0.35">
      <c r="B136" s="214">
        <f t="shared" si="50"/>
        <v>16</v>
      </c>
      <c r="C136" s="226"/>
      <c r="D136" s="214" t="s">
        <v>33</v>
      </c>
      <c r="F136" s="209" t="s">
        <v>211</v>
      </c>
      <c r="G136" s="210" t="s">
        <v>212</v>
      </c>
      <c r="H136" s="209" t="s">
        <v>211</v>
      </c>
      <c r="I136" s="210" t="s">
        <v>212</v>
      </c>
      <c r="J136" s="211">
        <f>ROUND(Assumptions!$D$27*Assumptions!D22,0)</f>
        <v>18601</v>
      </c>
      <c r="K136" s="208">
        <v>1</v>
      </c>
      <c r="L136" s="211">
        <f t="shared" ref="L136" si="52">J136*K136</f>
        <v>18601</v>
      </c>
      <c r="M136" s="212">
        <v>0.25</v>
      </c>
      <c r="N136" s="212">
        <f t="shared" si="48"/>
        <v>4650.25</v>
      </c>
      <c r="O136" s="212">
        <v>4650.25</v>
      </c>
      <c r="P136" s="212"/>
      <c r="Q136" s="212">
        <f t="shared" si="45"/>
        <v>0</v>
      </c>
      <c r="R136" s="212">
        <f t="shared" si="51"/>
        <v>0</v>
      </c>
      <c r="S136" s="120"/>
    </row>
    <row r="137" spans="2:19" s="219" customFormat="1" ht="80.75" customHeight="1" x14ac:dyDescent="0.35">
      <c r="B137" s="214">
        <f t="shared" si="50"/>
        <v>17</v>
      </c>
      <c r="C137" s="226"/>
      <c r="D137" s="214" t="s">
        <v>33</v>
      </c>
      <c r="F137" s="210" t="s">
        <v>213</v>
      </c>
      <c r="G137" s="210" t="s">
        <v>214</v>
      </c>
      <c r="H137" s="210" t="s">
        <v>213</v>
      </c>
      <c r="I137" s="210" t="s">
        <v>214</v>
      </c>
      <c r="J137" s="211">
        <f>ROUND(Assumptions!$D$27*Assumptions!D22,0)</f>
        <v>18601</v>
      </c>
      <c r="K137" s="208">
        <v>0</v>
      </c>
      <c r="L137" s="211">
        <f t="shared" ref="L137:L138" si="53">J137*K137</f>
        <v>0</v>
      </c>
      <c r="M137" s="212">
        <v>0</v>
      </c>
      <c r="N137" s="212">
        <f t="shared" si="48"/>
        <v>0</v>
      </c>
      <c r="O137" s="212">
        <v>0</v>
      </c>
      <c r="P137" s="212"/>
      <c r="Q137" s="212">
        <f t="shared" si="45"/>
        <v>0</v>
      </c>
      <c r="R137" s="212">
        <f t="shared" si="51"/>
        <v>0</v>
      </c>
      <c r="S137" s="120"/>
    </row>
    <row r="138" spans="2:19" s="219" customFormat="1" ht="114.5" customHeight="1" x14ac:dyDescent="0.35">
      <c r="B138" s="214">
        <f t="shared" si="50"/>
        <v>18</v>
      </c>
      <c r="C138" s="226"/>
      <c r="D138" s="214" t="s">
        <v>33</v>
      </c>
      <c r="F138" s="210" t="s">
        <v>215</v>
      </c>
      <c r="G138" s="210" t="s">
        <v>253</v>
      </c>
      <c r="H138" s="210" t="s">
        <v>215</v>
      </c>
      <c r="I138" s="210" t="s">
        <v>253</v>
      </c>
      <c r="J138" s="211">
        <f>ROUND(Assumptions!$D$27*Assumptions!D22,0)</f>
        <v>18601</v>
      </c>
      <c r="K138" s="208">
        <v>1</v>
      </c>
      <c r="L138" s="211">
        <f t="shared" si="53"/>
        <v>18601</v>
      </c>
      <c r="M138" s="212">
        <v>0.25</v>
      </c>
      <c r="N138" s="212">
        <f t="shared" ref="N138" si="54">L138*M138</f>
        <v>4650.25</v>
      </c>
      <c r="O138" s="212">
        <v>4650.25</v>
      </c>
      <c r="P138" s="212"/>
      <c r="Q138" s="212">
        <f t="shared" si="45"/>
        <v>0</v>
      </c>
      <c r="R138" s="212">
        <f t="shared" ref="R138" si="55">P138+Q138</f>
        <v>0</v>
      </c>
      <c r="S138" s="120"/>
    </row>
    <row r="139" spans="2:19" s="219" customFormat="1" ht="129.65" customHeight="1" x14ac:dyDescent="0.35">
      <c r="B139" s="214">
        <f t="shared" si="50"/>
        <v>19</v>
      </c>
      <c r="C139" s="226"/>
      <c r="D139" s="214" t="s">
        <v>33</v>
      </c>
      <c r="F139" s="210" t="s">
        <v>217</v>
      </c>
      <c r="G139" s="210" t="s">
        <v>254</v>
      </c>
      <c r="H139" s="210" t="s">
        <v>217</v>
      </c>
      <c r="I139" s="210" t="s">
        <v>254</v>
      </c>
      <c r="J139" s="211">
        <f>ROUND(ROUND(Assumptions!$D$28*Assumptions!D22,0)*0.25,0)</f>
        <v>135</v>
      </c>
      <c r="K139" s="208">
        <v>1</v>
      </c>
      <c r="L139" s="211">
        <f t="shared" ref="L139:L141" si="56">J139*K139</f>
        <v>135</v>
      </c>
      <c r="M139" s="212">
        <v>0.25</v>
      </c>
      <c r="N139" s="212">
        <f t="shared" ref="N139:N141" si="57">L139*M139</f>
        <v>33.75</v>
      </c>
      <c r="O139" s="212">
        <v>33.75</v>
      </c>
      <c r="P139" s="212"/>
      <c r="Q139" s="212">
        <f t="shared" si="45"/>
        <v>0</v>
      </c>
      <c r="R139" s="212">
        <f t="shared" ref="R139:R141" si="58">P139+Q139</f>
        <v>0</v>
      </c>
      <c r="S139" s="120"/>
    </row>
    <row r="140" spans="2:19" s="219" customFormat="1" ht="91.5" customHeight="1" x14ac:dyDescent="0.35">
      <c r="B140" s="242">
        <f t="shared" si="50"/>
        <v>20</v>
      </c>
      <c r="C140" s="226"/>
      <c r="D140" s="242" t="s">
        <v>43</v>
      </c>
      <c r="F140" s="246"/>
      <c r="G140" s="253"/>
      <c r="H140" s="235" t="s">
        <v>255</v>
      </c>
      <c r="I140" s="235" t="s">
        <v>256</v>
      </c>
      <c r="J140" s="237">
        <f>Assumptions!D37</f>
        <v>21692.496000000003</v>
      </c>
      <c r="K140" s="243">
        <v>1</v>
      </c>
      <c r="L140" s="237">
        <f t="shared" si="56"/>
        <v>21692.496000000003</v>
      </c>
      <c r="M140" s="239">
        <v>0.25</v>
      </c>
      <c r="N140" s="239">
        <f>L140*M140</f>
        <v>5423.1240000000007</v>
      </c>
      <c r="O140" s="239">
        <v>0</v>
      </c>
      <c r="P140" s="239"/>
      <c r="Q140" s="239">
        <f t="shared" si="45"/>
        <v>5423.1240000000007</v>
      </c>
      <c r="R140" s="239">
        <f t="shared" si="58"/>
        <v>5423.1240000000007</v>
      </c>
      <c r="S140" s="241"/>
    </row>
    <row r="141" spans="2:19" s="219" customFormat="1" ht="106.5" customHeight="1" x14ac:dyDescent="0.35">
      <c r="B141" s="242">
        <f t="shared" si="50"/>
        <v>21</v>
      </c>
      <c r="C141" s="226"/>
      <c r="D141" s="242" t="s">
        <v>43</v>
      </c>
      <c r="F141" s="246"/>
      <c r="G141" s="253"/>
      <c r="H141" s="235" t="s">
        <v>257</v>
      </c>
      <c r="I141" s="235" t="s">
        <v>258</v>
      </c>
      <c r="J141" s="237">
        <f>Assumptions!D38</f>
        <v>6843.4659999999994</v>
      </c>
      <c r="K141" s="243">
        <v>1</v>
      </c>
      <c r="L141" s="237">
        <f t="shared" si="56"/>
        <v>6843.4659999999994</v>
      </c>
      <c r="M141" s="239">
        <v>0.25</v>
      </c>
      <c r="N141" s="239">
        <f t="shared" si="57"/>
        <v>1710.8664999999999</v>
      </c>
      <c r="O141" s="239">
        <v>0</v>
      </c>
      <c r="P141" s="239"/>
      <c r="Q141" s="239">
        <f t="shared" si="45"/>
        <v>1710.8664999999999</v>
      </c>
      <c r="R141" s="239">
        <f t="shared" si="58"/>
        <v>1710.8664999999999</v>
      </c>
      <c r="S141" s="241"/>
    </row>
    <row r="142" spans="2:19" s="219" customFormat="1" ht="43" customHeight="1" x14ac:dyDescent="0.35">
      <c r="B142" s="214">
        <f t="shared" si="50"/>
        <v>22</v>
      </c>
      <c r="C142" s="226"/>
      <c r="D142" s="214" t="s">
        <v>33</v>
      </c>
      <c r="F142" s="213" t="s">
        <v>219</v>
      </c>
      <c r="G142" s="210" t="s">
        <v>259</v>
      </c>
      <c r="H142" s="213" t="s">
        <v>219</v>
      </c>
      <c r="I142" s="210" t="s">
        <v>259</v>
      </c>
      <c r="J142" s="211">
        <f>ROUND(Assumptions!D32*Assumptions!D22,0)</f>
        <v>3220</v>
      </c>
      <c r="K142" s="208">
        <v>1</v>
      </c>
      <c r="L142" s="211">
        <f t="shared" ref="L142:L147" si="59">J142*K142</f>
        <v>3220</v>
      </c>
      <c r="M142" s="212">
        <v>1</v>
      </c>
      <c r="N142" s="212">
        <f t="shared" ref="N142:N147" si="60">L142*M142</f>
        <v>3220</v>
      </c>
      <c r="O142" s="212">
        <v>3220</v>
      </c>
      <c r="P142" s="212"/>
      <c r="Q142" s="212">
        <f t="shared" si="45"/>
        <v>0</v>
      </c>
      <c r="R142" s="212">
        <f t="shared" ref="R142:R147" si="61">P142+Q142</f>
        <v>0</v>
      </c>
      <c r="S142" s="120"/>
    </row>
    <row r="143" spans="2:19" s="219" customFormat="1" ht="97.25" customHeight="1" x14ac:dyDescent="0.35">
      <c r="B143" s="242">
        <f t="shared" si="50"/>
        <v>23</v>
      </c>
      <c r="C143" s="226"/>
      <c r="D143" s="242" t="s">
        <v>43</v>
      </c>
      <c r="F143" s="246"/>
      <c r="G143" s="253"/>
      <c r="H143" s="244" t="s">
        <v>260</v>
      </c>
      <c r="I143" s="235" t="s">
        <v>261</v>
      </c>
      <c r="J143" s="237">
        <f>Assumptions!D37</f>
        <v>21692.496000000003</v>
      </c>
      <c r="K143" s="243">
        <v>1</v>
      </c>
      <c r="L143" s="237">
        <f t="shared" si="59"/>
        <v>21692.496000000003</v>
      </c>
      <c r="M143" s="239">
        <v>0.25</v>
      </c>
      <c r="N143" s="239">
        <f t="shared" si="60"/>
        <v>5423.1240000000007</v>
      </c>
      <c r="O143" s="239">
        <v>0</v>
      </c>
      <c r="P143" s="239"/>
      <c r="Q143" s="239">
        <f>N143-O143</f>
        <v>5423.1240000000007</v>
      </c>
      <c r="R143" s="239">
        <f t="shared" si="61"/>
        <v>5423.1240000000007</v>
      </c>
      <c r="S143" s="241"/>
    </row>
    <row r="144" spans="2:19" s="219" customFormat="1" ht="96" customHeight="1" x14ac:dyDescent="0.35">
      <c r="B144" s="242">
        <f t="shared" si="50"/>
        <v>24</v>
      </c>
      <c r="C144" s="226"/>
      <c r="D144" s="242" t="s">
        <v>43</v>
      </c>
      <c r="F144" s="246"/>
      <c r="G144" s="253"/>
      <c r="H144" s="244" t="s">
        <v>262</v>
      </c>
      <c r="I144" s="235" t="s">
        <v>263</v>
      </c>
      <c r="J144" s="237">
        <f>Assumptions!D38</f>
        <v>6843.4659999999994</v>
      </c>
      <c r="K144" s="243">
        <v>1</v>
      </c>
      <c r="L144" s="237">
        <f t="shared" si="59"/>
        <v>6843.4659999999994</v>
      </c>
      <c r="M144" s="239">
        <v>0.25</v>
      </c>
      <c r="N144" s="239">
        <f t="shared" si="60"/>
        <v>1710.8664999999999</v>
      </c>
      <c r="O144" s="239">
        <v>0</v>
      </c>
      <c r="P144" s="239"/>
      <c r="Q144" s="239">
        <f>N144-O144</f>
        <v>1710.8664999999999</v>
      </c>
      <c r="R144" s="239">
        <f t="shared" si="61"/>
        <v>1710.8664999999999</v>
      </c>
      <c r="S144" s="241"/>
    </row>
    <row r="145" spans="2:19" s="219" customFormat="1" ht="100" customHeight="1" x14ac:dyDescent="0.35">
      <c r="B145" s="214">
        <f t="shared" si="50"/>
        <v>25</v>
      </c>
      <c r="C145" s="226"/>
      <c r="D145" s="214" t="s">
        <v>33</v>
      </c>
      <c r="F145" s="213" t="s">
        <v>221</v>
      </c>
      <c r="G145" s="210" t="s">
        <v>264</v>
      </c>
      <c r="H145" s="213" t="s">
        <v>221</v>
      </c>
      <c r="I145" s="210" t="s">
        <v>264</v>
      </c>
      <c r="J145" s="211">
        <f>ROUND(Assumptions!D32*Assumptions!D22,0)</f>
        <v>3220</v>
      </c>
      <c r="K145" s="208">
        <v>1</v>
      </c>
      <c r="L145" s="211">
        <f t="shared" si="59"/>
        <v>3220</v>
      </c>
      <c r="M145" s="212">
        <v>0.5</v>
      </c>
      <c r="N145" s="212">
        <f t="shared" si="60"/>
        <v>1610</v>
      </c>
      <c r="O145" s="212">
        <v>1610</v>
      </c>
      <c r="P145" s="212"/>
      <c r="Q145" s="212">
        <f t="shared" si="45"/>
        <v>0</v>
      </c>
      <c r="R145" s="212">
        <f t="shared" si="61"/>
        <v>0</v>
      </c>
      <c r="S145" s="120"/>
    </row>
    <row r="146" spans="2:19" s="219" customFormat="1" ht="100.5" customHeight="1" x14ac:dyDescent="0.35">
      <c r="B146" s="242">
        <f t="shared" si="50"/>
        <v>26</v>
      </c>
      <c r="C146" s="226"/>
      <c r="D146" s="242" t="s">
        <v>43</v>
      </c>
      <c r="F146" s="246"/>
      <c r="G146" s="253"/>
      <c r="H146" s="244" t="s">
        <v>265</v>
      </c>
      <c r="I146" s="235" t="s">
        <v>266</v>
      </c>
      <c r="J146" s="237">
        <f>Assumptions!D37</f>
        <v>21692.496000000003</v>
      </c>
      <c r="K146" s="243">
        <v>1</v>
      </c>
      <c r="L146" s="237">
        <f t="shared" si="59"/>
        <v>21692.496000000003</v>
      </c>
      <c r="M146" s="239">
        <v>0.25</v>
      </c>
      <c r="N146" s="239">
        <f t="shared" si="60"/>
        <v>5423.1240000000007</v>
      </c>
      <c r="O146" s="239">
        <v>0</v>
      </c>
      <c r="P146" s="239"/>
      <c r="Q146" s="239">
        <f>N146-O146</f>
        <v>5423.1240000000007</v>
      </c>
      <c r="R146" s="239">
        <f t="shared" si="61"/>
        <v>5423.1240000000007</v>
      </c>
      <c r="S146" s="241"/>
    </row>
    <row r="147" spans="2:19" s="219" customFormat="1" ht="100" customHeight="1" x14ac:dyDescent="0.35">
      <c r="B147" s="242">
        <f t="shared" si="50"/>
        <v>27</v>
      </c>
      <c r="C147" s="226"/>
      <c r="D147" s="242" t="s">
        <v>43</v>
      </c>
      <c r="F147" s="246"/>
      <c r="G147" s="253"/>
      <c r="H147" s="244" t="s">
        <v>267</v>
      </c>
      <c r="I147" s="235" t="s">
        <v>268</v>
      </c>
      <c r="J147" s="237">
        <f>Assumptions!D38</f>
        <v>6843.4659999999994</v>
      </c>
      <c r="K147" s="243">
        <v>1</v>
      </c>
      <c r="L147" s="237">
        <f t="shared" si="59"/>
        <v>6843.4659999999994</v>
      </c>
      <c r="M147" s="239">
        <v>0.25</v>
      </c>
      <c r="N147" s="239">
        <f t="shared" si="60"/>
        <v>1710.8664999999999</v>
      </c>
      <c r="O147" s="239">
        <v>0</v>
      </c>
      <c r="P147" s="239"/>
      <c r="Q147" s="239">
        <f>N147-O147</f>
        <v>1710.8664999999999</v>
      </c>
      <c r="R147" s="239">
        <f t="shared" si="61"/>
        <v>1710.8664999999999</v>
      </c>
      <c r="S147" s="241"/>
    </row>
    <row r="148" spans="2:19" s="219" customFormat="1" ht="84" customHeight="1" x14ac:dyDescent="0.35">
      <c r="B148" s="214">
        <f t="shared" si="50"/>
        <v>28</v>
      </c>
      <c r="C148" s="226"/>
      <c r="D148" s="214" t="s">
        <v>33</v>
      </c>
      <c r="F148" s="209">
        <v>226.23</v>
      </c>
      <c r="G148" s="213" t="s">
        <v>223</v>
      </c>
      <c r="H148" s="209">
        <v>226.23</v>
      </c>
      <c r="I148" s="213" t="s">
        <v>223</v>
      </c>
      <c r="J148" s="211">
        <f>ROUND(Assumptions!$D$33*Assumptions!D22,0)</f>
        <v>21650</v>
      </c>
      <c r="K148" s="208">
        <v>1</v>
      </c>
      <c r="L148" s="211">
        <f>J148*K148</f>
        <v>21650</v>
      </c>
      <c r="M148" s="212">
        <v>1.67E-2</v>
      </c>
      <c r="N148" s="212">
        <f t="shared" si="48"/>
        <v>361.55500000000001</v>
      </c>
      <c r="O148" s="212">
        <v>361.55500000000001</v>
      </c>
      <c r="P148" s="212"/>
      <c r="Q148" s="212">
        <f t="shared" si="45"/>
        <v>0</v>
      </c>
      <c r="R148" s="212">
        <f t="shared" si="51"/>
        <v>0</v>
      </c>
      <c r="S148" s="120" t="s">
        <v>224</v>
      </c>
    </row>
    <row r="149" spans="2:19" s="219" customFormat="1" ht="58" x14ac:dyDescent="0.35">
      <c r="B149" s="214">
        <f t="shared" si="50"/>
        <v>29</v>
      </c>
      <c r="C149" s="226"/>
      <c r="D149" s="214" t="s">
        <v>33</v>
      </c>
      <c r="F149" s="210" t="s">
        <v>128</v>
      </c>
      <c r="G149" s="210" t="s">
        <v>225</v>
      </c>
      <c r="H149" s="210" t="s">
        <v>128</v>
      </c>
      <c r="I149" s="210" t="s">
        <v>225</v>
      </c>
      <c r="J149" s="211">
        <f>ROUND(Assumptions!$D$34*Assumptions!D22,0)</f>
        <v>167</v>
      </c>
      <c r="K149" s="208">
        <v>1</v>
      </c>
      <c r="L149" s="211">
        <f t="shared" ref="L149" si="62">J149*K149</f>
        <v>167</v>
      </c>
      <c r="M149" s="212">
        <v>8.3500000000000005E-2</v>
      </c>
      <c r="N149" s="212">
        <f t="shared" si="48"/>
        <v>13.944500000000001</v>
      </c>
      <c r="O149" s="212">
        <v>13.9445</v>
      </c>
      <c r="P149" s="212"/>
      <c r="Q149" s="212">
        <f t="shared" si="45"/>
        <v>0</v>
      </c>
      <c r="R149" s="231">
        <f t="shared" si="51"/>
        <v>0</v>
      </c>
      <c r="S149" s="222"/>
    </row>
    <row r="150" spans="2:19" s="219" customFormat="1" ht="58" x14ac:dyDescent="0.35">
      <c r="B150" s="214">
        <f t="shared" si="50"/>
        <v>30</v>
      </c>
      <c r="C150" s="226"/>
      <c r="D150" s="214" t="s">
        <v>33</v>
      </c>
      <c r="F150" s="210" t="s">
        <v>226</v>
      </c>
      <c r="G150" s="210" t="s">
        <v>227</v>
      </c>
      <c r="H150" s="210" t="s">
        <v>226</v>
      </c>
      <c r="I150" s="210" t="s">
        <v>227</v>
      </c>
      <c r="J150" s="211">
        <f>ROUND(Assumptions!$D$34*Assumptions!D22,0)</f>
        <v>167</v>
      </c>
      <c r="K150" s="211">
        <v>1</v>
      </c>
      <c r="L150" s="211">
        <f t="shared" ref="L150:L160" si="63">J150*K150</f>
        <v>167</v>
      </c>
      <c r="M150" s="212">
        <v>8.3500000000000005E-2</v>
      </c>
      <c r="N150" s="212">
        <f t="shared" ref="N150:N160" si="64">L150*M150</f>
        <v>13.944500000000001</v>
      </c>
      <c r="O150" s="212">
        <v>13.9445</v>
      </c>
      <c r="P150" s="212"/>
      <c r="Q150" s="212">
        <f>N150-O150</f>
        <v>0</v>
      </c>
      <c r="R150" s="231">
        <f>P150+Q150</f>
        <v>0</v>
      </c>
      <c r="S150" s="222"/>
    </row>
    <row r="151" spans="2:19" s="219" customFormat="1" ht="72.5" x14ac:dyDescent="0.35">
      <c r="B151" s="242">
        <f t="shared" si="50"/>
        <v>31</v>
      </c>
      <c r="C151" s="3"/>
      <c r="D151" s="234" t="s">
        <v>43</v>
      </c>
      <c r="E151" s="50"/>
      <c r="F151" s="235"/>
      <c r="G151" s="244"/>
      <c r="H151" s="248" t="s">
        <v>133</v>
      </c>
      <c r="I151" s="235" t="s">
        <v>228</v>
      </c>
      <c r="J151" s="237">
        <f>ROUND(Assumptions!$D$27*Assumptions!D22,0)</f>
        <v>18601</v>
      </c>
      <c r="K151" s="237">
        <v>1</v>
      </c>
      <c r="L151" s="237">
        <f t="shared" si="63"/>
        <v>18601</v>
      </c>
      <c r="M151" s="239">
        <v>1</v>
      </c>
      <c r="N151" s="239">
        <f t="shared" si="64"/>
        <v>18601</v>
      </c>
      <c r="O151" s="239">
        <v>0</v>
      </c>
      <c r="P151" s="239"/>
      <c r="Q151" s="239">
        <f>N151-O151</f>
        <v>18601</v>
      </c>
      <c r="R151" s="254">
        <f>P151+Q151</f>
        <v>18601</v>
      </c>
      <c r="S151" s="241"/>
    </row>
    <row r="152" spans="2:19" s="219" customFormat="1" ht="64.5" customHeight="1" x14ac:dyDescent="0.35">
      <c r="B152" s="242">
        <f t="shared" si="50"/>
        <v>32</v>
      </c>
      <c r="C152" s="3"/>
      <c r="D152" s="234" t="s">
        <v>33</v>
      </c>
      <c r="E152" s="50"/>
      <c r="F152" s="235" t="s">
        <v>229</v>
      </c>
      <c r="G152" s="235" t="s">
        <v>230</v>
      </c>
      <c r="H152" s="235" t="s">
        <v>231</v>
      </c>
      <c r="I152" s="235" t="s">
        <v>504</v>
      </c>
      <c r="J152" s="237">
        <f>ROUND(Assumptions!$D$28*Assumptions!D22,0)</f>
        <v>540</v>
      </c>
      <c r="K152" s="237">
        <v>1</v>
      </c>
      <c r="L152" s="237">
        <f t="shared" si="63"/>
        <v>540</v>
      </c>
      <c r="M152" s="239">
        <v>0.25</v>
      </c>
      <c r="N152" s="239">
        <f t="shared" si="64"/>
        <v>135</v>
      </c>
      <c r="O152" s="239">
        <v>135</v>
      </c>
      <c r="P152" s="239"/>
      <c r="Q152" s="239">
        <f t="shared" ref="Q152:Q160" si="65">N152-O152</f>
        <v>0</v>
      </c>
      <c r="R152" s="254">
        <f t="shared" ref="R152:R160" si="66">P152+Q152</f>
        <v>0</v>
      </c>
      <c r="S152" s="241" t="s">
        <v>232</v>
      </c>
    </row>
    <row r="153" spans="2:19" s="219" customFormat="1" ht="58" x14ac:dyDescent="0.35">
      <c r="B153" s="242">
        <f>B152+1</f>
        <v>33</v>
      </c>
      <c r="C153" s="3"/>
      <c r="D153" s="234" t="s">
        <v>43</v>
      </c>
      <c r="E153" s="50"/>
      <c r="F153" s="235"/>
      <c r="G153" s="244"/>
      <c r="H153" s="235" t="s">
        <v>233</v>
      </c>
      <c r="I153" s="235" t="s">
        <v>269</v>
      </c>
      <c r="J153" s="237">
        <f>ROUND(Assumptions!$D$27*Assumptions!D22,0)</f>
        <v>18601</v>
      </c>
      <c r="K153" s="237">
        <v>1</v>
      </c>
      <c r="L153" s="237">
        <f t="shared" si="63"/>
        <v>18601</v>
      </c>
      <c r="M153" s="239">
        <v>0.25</v>
      </c>
      <c r="N153" s="239">
        <f t="shared" si="64"/>
        <v>4650.25</v>
      </c>
      <c r="O153" s="239">
        <v>0</v>
      </c>
      <c r="P153" s="239"/>
      <c r="Q153" s="239">
        <f t="shared" si="65"/>
        <v>4650.25</v>
      </c>
      <c r="R153" s="254">
        <f t="shared" si="66"/>
        <v>4650.25</v>
      </c>
      <c r="S153" s="241"/>
    </row>
    <row r="154" spans="2:19" s="219" customFormat="1" ht="101.5" x14ac:dyDescent="0.35">
      <c r="B154" s="242">
        <f t="shared" si="50"/>
        <v>34</v>
      </c>
      <c r="C154" s="3"/>
      <c r="D154" s="234" t="s">
        <v>43</v>
      </c>
      <c r="E154" s="50"/>
      <c r="F154" s="235"/>
      <c r="G154" s="244"/>
      <c r="H154" s="235" t="s">
        <v>235</v>
      </c>
      <c r="I154" s="235" t="s">
        <v>270</v>
      </c>
      <c r="J154" s="237">
        <f>ROUND(Assumptions!$D$27*Assumptions!D22,0)</f>
        <v>18601</v>
      </c>
      <c r="K154" s="237">
        <v>1</v>
      </c>
      <c r="L154" s="237">
        <f t="shared" si="63"/>
        <v>18601</v>
      </c>
      <c r="M154" s="239">
        <v>0.25</v>
      </c>
      <c r="N154" s="239">
        <f t="shared" si="64"/>
        <v>4650.25</v>
      </c>
      <c r="O154" s="239">
        <v>0</v>
      </c>
      <c r="P154" s="239"/>
      <c r="Q154" s="239">
        <f t="shared" si="65"/>
        <v>4650.25</v>
      </c>
      <c r="R154" s="254">
        <f t="shared" si="66"/>
        <v>4650.25</v>
      </c>
      <c r="S154" s="241"/>
    </row>
    <row r="155" spans="2:19" s="219" customFormat="1" ht="72.650000000000006" customHeight="1" x14ac:dyDescent="0.35">
      <c r="B155" s="242">
        <f t="shared" si="50"/>
        <v>35</v>
      </c>
      <c r="C155" s="3"/>
      <c r="D155" s="234" t="s">
        <v>43</v>
      </c>
      <c r="E155" s="50"/>
      <c r="F155" s="235"/>
      <c r="G155" s="244"/>
      <c r="H155" s="235" t="s">
        <v>271</v>
      </c>
      <c r="I155" s="235" t="s">
        <v>491</v>
      </c>
      <c r="J155" s="237">
        <f>ROUND(Assumptions!$D$27*Assumptions!D22,0)</f>
        <v>18601</v>
      </c>
      <c r="K155" s="237">
        <v>1</v>
      </c>
      <c r="L155" s="237">
        <f t="shared" si="63"/>
        <v>18601</v>
      </c>
      <c r="M155" s="239">
        <v>0.25</v>
      </c>
      <c r="N155" s="239">
        <f t="shared" si="64"/>
        <v>4650.25</v>
      </c>
      <c r="O155" s="239">
        <v>0</v>
      </c>
      <c r="P155" s="239"/>
      <c r="Q155" s="239">
        <f t="shared" si="65"/>
        <v>4650.25</v>
      </c>
      <c r="R155" s="254">
        <f t="shared" si="66"/>
        <v>4650.25</v>
      </c>
      <c r="S155" s="241"/>
    </row>
    <row r="156" spans="2:19" s="219" customFormat="1" ht="87" x14ac:dyDescent="0.35">
      <c r="B156" s="242">
        <f t="shared" si="50"/>
        <v>36</v>
      </c>
      <c r="C156" s="3"/>
      <c r="D156" s="234" t="s">
        <v>43</v>
      </c>
      <c r="E156" s="50"/>
      <c r="F156" s="235"/>
      <c r="G156" s="244"/>
      <c r="H156" s="235" t="s">
        <v>272</v>
      </c>
      <c r="I156" s="235" t="s">
        <v>273</v>
      </c>
      <c r="J156" s="237">
        <f>ROUND(Assumptions!$D$27*Assumptions!D22,0)</f>
        <v>18601</v>
      </c>
      <c r="K156" s="237">
        <v>1</v>
      </c>
      <c r="L156" s="237">
        <f t="shared" si="63"/>
        <v>18601</v>
      </c>
      <c r="M156" s="239">
        <v>0.25</v>
      </c>
      <c r="N156" s="239">
        <f t="shared" si="64"/>
        <v>4650.25</v>
      </c>
      <c r="O156" s="239">
        <v>0</v>
      </c>
      <c r="P156" s="239"/>
      <c r="Q156" s="239">
        <f t="shared" si="65"/>
        <v>4650.25</v>
      </c>
      <c r="R156" s="254">
        <f t="shared" si="66"/>
        <v>4650.25</v>
      </c>
      <c r="S156" s="241"/>
    </row>
    <row r="157" spans="2:19" s="219" customFormat="1" ht="87" x14ac:dyDescent="0.35">
      <c r="B157" s="242">
        <f t="shared" si="50"/>
        <v>37</v>
      </c>
      <c r="C157" s="3"/>
      <c r="D157" s="234" t="s">
        <v>43</v>
      </c>
      <c r="E157" s="50"/>
      <c r="F157" s="235"/>
      <c r="G157" s="244"/>
      <c r="H157" s="235" t="s">
        <v>237</v>
      </c>
      <c r="I157" s="235" t="s">
        <v>489</v>
      </c>
      <c r="J157" s="237">
        <f>ROUND(Assumptions!$D$27*Assumptions!D22,0)</f>
        <v>18601</v>
      </c>
      <c r="K157" s="237">
        <v>1</v>
      </c>
      <c r="L157" s="237">
        <f t="shared" si="63"/>
        <v>18601</v>
      </c>
      <c r="M157" s="239">
        <v>0.25</v>
      </c>
      <c r="N157" s="239">
        <f t="shared" si="64"/>
        <v>4650.25</v>
      </c>
      <c r="O157" s="239">
        <v>0</v>
      </c>
      <c r="P157" s="239"/>
      <c r="Q157" s="239">
        <f t="shared" si="65"/>
        <v>4650.25</v>
      </c>
      <c r="R157" s="254">
        <f t="shared" si="66"/>
        <v>4650.25</v>
      </c>
      <c r="S157" s="241"/>
    </row>
    <row r="158" spans="2:19" s="219" customFormat="1" ht="58" x14ac:dyDescent="0.35">
      <c r="B158" s="242">
        <f t="shared" si="50"/>
        <v>38</v>
      </c>
      <c r="C158" s="3"/>
      <c r="D158" s="234" t="s">
        <v>43</v>
      </c>
      <c r="E158" s="50"/>
      <c r="F158" s="235"/>
      <c r="G158" s="244"/>
      <c r="H158" s="235" t="s">
        <v>238</v>
      </c>
      <c r="I158" s="235" t="s">
        <v>505</v>
      </c>
      <c r="J158" s="237">
        <f>ROUND(Assumptions!$D$27*Assumptions!D22,0)</f>
        <v>18601</v>
      </c>
      <c r="K158" s="237">
        <v>1</v>
      </c>
      <c r="L158" s="237">
        <f t="shared" si="63"/>
        <v>18601</v>
      </c>
      <c r="M158" s="239">
        <v>20</v>
      </c>
      <c r="N158" s="239">
        <f t="shared" si="64"/>
        <v>372020</v>
      </c>
      <c r="O158" s="239">
        <v>0</v>
      </c>
      <c r="P158" s="239"/>
      <c r="Q158" s="239">
        <f t="shared" si="65"/>
        <v>372020</v>
      </c>
      <c r="R158" s="254">
        <f t="shared" si="66"/>
        <v>372020</v>
      </c>
      <c r="S158" s="241"/>
    </row>
    <row r="159" spans="2:19" s="219" customFormat="1" ht="37.25" customHeight="1" x14ac:dyDescent="0.35">
      <c r="B159" s="242">
        <f t="shared" si="50"/>
        <v>39</v>
      </c>
      <c r="C159" s="3"/>
      <c r="D159" s="234" t="s">
        <v>43</v>
      </c>
      <c r="E159" s="50"/>
      <c r="F159" s="235"/>
      <c r="G159" s="244"/>
      <c r="H159" s="235" t="s">
        <v>146</v>
      </c>
      <c r="I159" s="235" t="s">
        <v>239</v>
      </c>
      <c r="J159" s="237">
        <f>ROUND(Assumptions!$D$27*Assumptions!D22,0)</f>
        <v>18601</v>
      </c>
      <c r="K159" s="237">
        <v>1</v>
      </c>
      <c r="L159" s="237">
        <f t="shared" si="63"/>
        <v>18601</v>
      </c>
      <c r="M159" s="239">
        <v>0.25</v>
      </c>
      <c r="N159" s="239">
        <f t="shared" si="64"/>
        <v>4650.25</v>
      </c>
      <c r="O159" s="239">
        <v>0</v>
      </c>
      <c r="P159" s="239"/>
      <c r="Q159" s="239">
        <f t="shared" si="65"/>
        <v>4650.25</v>
      </c>
      <c r="R159" s="254">
        <f t="shared" si="66"/>
        <v>4650.25</v>
      </c>
      <c r="S159" s="241"/>
    </row>
    <row r="160" spans="2:19" s="219" customFormat="1" ht="304.5" x14ac:dyDescent="0.35">
      <c r="B160" s="242">
        <f t="shared" si="50"/>
        <v>40</v>
      </c>
      <c r="C160" s="3"/>
      <c r="D160" s="234" t="s">
        <v>33</v>
      </c>
      <c r="E160" s="50"/>
      <c r="F160" s="235" t="s">
        <v>240</v>
      </c>
      <c r="G160" s="235" t="s">
        <v>274</v>
      </c>
      <c r="H160" s="235" t="s">
        <v>241</v>
      </c>
      <c r="I160" s="235" t="s">
        <v>506</v>
      </c>
      <c r="J160" s="237">
        <f>ROUND(ROUND(Assumptions!$D$27*Assumptions!D22,0)*0.25,0)</f>
        <v>4650</v>
      </c>
      <c r="K160" s="243">
        <v>1</v>
      </c>
      <c r="L160" s="237">
        <f t="shared" si="63"/>
        <v>4650</v>
      </c>
      <c r="M160" s="239">
        <v>0.25</v>
      </c>
      <c r="N160" s="239">
        <f t="shared" si="64"/>
        <v>1162.5</v>
      </c>
      <c r="O160" s="239">
        <v>1162.5</v>
      </c>
      <c r="P160" s="239"/>
      <c r="Q160" s="239">
        <f t="shared" si="65"/>
        <v>0</v>
      </c>
      <c r="R160" s="254">
        <f t="shared" si="66"/>
        <v>0</v>
      </c>
      <c r="S160" s="241" t="s">
        <v>232</v>
      </c>
    </row>
    <row r="161" spans="2:19" x14ac:dyDescent="0.35">
      <c r="B161" s="115"/>
      <c r="C161" s="226"/>
      <c r="D161" s="115"/>
      <c r="F161" s="59"/>
      <c r="G161" s="64"/>
      <c r="H161" s="277" t="s">
        <v>183</v>
      </c>
      <c r="I161" s="278"/>
      <c r="J161" s="104">
        <f>SUM(ROUND(Assumptions!D33*Assumptions!D22,0),Assumptions!D37,Assumptions!D38)</f>
        <v>50185.962</v>
      </c>
      <c r="K161" s="103">
        <f>L161/J161</f>
        <v>19.289216494445203</v>
      </c>
      <c r="L161" s="102">
        <f>SUM(L121:L160)</f>
        <v>968047.88600000017</v>
      </c>
      <c r="M161" s="105">
        <f>N161/L161</f>
        <v>1.7481774935666767</v>
      </c>
      <c r="N161" s="105">
        <f>SUM(N121:N160)</f>
        <v>1692319.5270000002</v>
      </c>
      <c r="O161" s="103">
        <f>SUM(O121:O160)</f>
        <v>1252116.0555</v>
      </c>
      <c r="P161" s="105">
        <f>SUM(P121:P160)</f>
        <v>0</v>
      </c>
      <c r="Q161" s="105">
        <f>SUM(Q121:Q160)</f>
        <v>440203.47149999999</v>
      </c>
      <c r="R161" s="105">
        <f>SUM(R121:R160)</f>
        <v>440203.47149999999</v>
      </c>
      <c r="S161" s="26"/>
    </row>
    <row r="162" spans="2:19" ht="35.25" customHeight="1" x14ac:dyDescent="0.35">
      <c r="B162" s="115"/>
      <c r="C162" s="226"/>
      <c r="D162" s="115"/>
      <c r="F162" s="288" t="s">
        <v>275</v>
      </c>
      <c r="G162" s="288"/>
      <c r="H162" s="283" t="s">
        <v>275</v>
      </c>
      <c r="I162" s="284"/>
      <c r="J162" s="284"/>
      <c r="K162" s="284"/>
      <c r="L162" s="284"/>
      <c r="M162" s="284"/>
      <c r="N162" s="284"/>
      <c r="O162" s="284"/>
      <c r="P162" s="284"/>
      <c r="Q162" s="284"/>
      <c r="R162" s="284"/>
      <c r="S162" s="95"/>
    </row>
    <row r="163" spans="2:19" s="219" customFormat="1" ht="29" x14ac:dyDescent="0.35">
      <c r="B163" s="214">
        <v>1</v>
      </c>
      <c r="C163" s="226"/>
      <c r="D163" s="214" t="s">
        <v>33</v>
      </c>
      <c r="F163" s="210" t="s">
        <v>276</v>
      </c>
      <c r="G163" s="210" t="s">
        <v>277</v>
      </c>
      <c r="H163" s="210" t="s">
        <v>276</v>
      </c>
      <c r="I163" s="210" t="s">
        <v>277</v>
      </c>
      <c r="J163" s="211">
        <f>Assumptions!D36</f>
        <v>69647</v>
      </c>
      <c r="K163" s="208">
        <v>12</v>
      </c>
      <c r="L163" s="211">
        <f>J163*K163</f>
        <v>835764</v>
      </c>
      <c r="M163" s="212">
        <v>0.25</v>
      </c>
      <c r="N163" s="212">
        <f>L163*M163</f>
        <v>208941</v>
      </c>
      <c r="O163" s="212">
        <v>208941</v>
      </c>
      <c r="P163" s="212"/>
      <c r="Q163" s="212">
        <f t="shared" ref="Q163:Q165" si="67">N163-O163</f>
        <v>0</v>
      </c>
      <c r="R163" s="231">
        <f t="shared" ref="R163:R169" si="68">P163+Q163</f>
        <v>0</v>
      </c>
      <c r="S163" s="120"/>
    </row>
    <row r="164" spans="2:19" s="219" customFormat="1" ht="58" x14ac:dyDescent="0.35">
      <c r="B164" s="214">
        <f>B163+1</f>
        <v>2</v>
      </c>
      <c r="C164" s="226"/>
      <c r="D164" s="214" t="s">
        <v>33</v>
      </c>
      <c r="F164" s="227" t="s">
        <v>278</v>
      </c>
      <c r="G164" s="210" t="s">
        <v>279</v>
      </c>
      <c r="H164" s="227" t="s">
        <v>278</v>
      </c>
      <c r="I164" s="210" t="s">
        <v>279</v>
      </c>
      <c r="J164" s="211">
        <f>Assumptions!D39</f>
        <v>89843</v>
      </c>
      <c r="K164" s="208">
        <v>12</v>
      </c>
      <c r="L164" s="211">
        <f>J164*K164</f>
        <v>1078116</v>
      </c>
      <c r="M164" s="212">
        <v>0.5</v>
      </c>
      <c r="N164" s="212">
        <f>L164*M164</f>
        <v>539058</v>
      </c>
      <c r="O164" s="212">
        <v>539058</v>
      </c>
      <c r="P164" s="212"/>
      <c r="Q164" s="212">
        <f t="shared" si="67"/>
        <v>0</v>
      </c>
      <c r="R164" s="231">
        <f t="shared" si="68"/>
        <v>0</v>
      </c>
      <c r="S164" s="229"/>
    </row>
    <row r="165" spans="2:19" s="219" customFormat="1" ht="43.5" x14ac:dyDescent="0.35">
      <c r="B165" s="214">
        <f t="shared" ref="B165:B173" si="69">B164+1</f>
        <v>3</v>
      </c>
      <c r="C165" s="226"/>
      <c r="D165" s="214" t="s">
        <v>33</v>
      </c>
      <c r="F165" s="213" t="s">
        <v>280</v>
      </c>
      <c r="G165" s="210" t="s">
        <v>281</v>
      </c>
      <c r="H165" s="213" t="s">
        <v>280</v>
      </c>
      <c r="I165" s="210" t="s">
        <v>281</v>
      </c>
      <c r="J165" s="211">
        <f>Assumptions!D36</f>
        <v>69647</v>
      </c>
      <c r="K165" s="208">
        <v>1</v>
      </c>
      <c r="L165" s="211">
        <f>J165*K165</f>
        <v>69647</v>
      </c>
      <c r="M165" s="212">
        <v>0.25</v>
      </c>
      <c r="N165" s="212">
        <f>L165*M165</f>
        <v>17411.75</v>
      </c>
      <c r="O165" s="212">
        <v>17411.75</v>
      </c>
      <c r="P165" s="212"/>
      <c r="Q165" s="212">
        <f t="shared" si="67"/>
        <v>0</v>
      </c>
      <c r="R165" s="212">
        <f t="shared" si="68"/>
        <v>0</v>
      </c>
      <c r="S165" s="120"/>
    </row>
    <row r="166" spans="2:19" s="219" customFormat="1" ht="87" x14ac:dyDescent="0.35">
      <c r="B166" s="242">
        <f t="shared" si="69"/>
        <v>4</v>
      </c>
      <c r="C166" s="226"/>
      <c r="D166" s="242" t="s">
        <v>43</v>
      </c>
      <c r="F166" s="246"/>
      <c r="G166" s="253"/>
      <c r="H166" s="235" t="s">
        <v>255</v>
      </c>
      <c r="I166" s="235" t="s">
        <v>256</v>
      </c>
      <c r="J166" s="237">
        <f>Assumptions!D37</f>
        <v>21692.496000000003</v>
      </c>
      <c r="K166" s="243">
        <v>1</v>
      </c>
      <c r="L166" s="237">
        <f t="shared" ref="L166:L169" si="70">J166*K166</f>
        <v>21692.496000000003</v>
      </c>
      <c r="M166" s="239">
        <v>0.25</v>
      </c>
      <c r="N166" s="239">
        <f t="shared" ref="N166:N170" si="71">L166*M166</f>
        <v>5423.1240000000007</v>
      </c>
      <c r="O166" s="239">
        <v>0</v>
      </c>
      <c r="P166" s="239"/>
      <c r="Q166" s="239">
        <f t="shared" ref="Q166:Q173" si="72">N166-O166</f>
        <v>5423.1240000000007</v>
      </c>
      <c r="R166" s="239">
        <f t="shared" si="68"/>
        <v>5423.1240000000007</v>
      </c>
      <c r="S166" s="241"/>
    </row>
    <row r="167" spans="2:19" s="219" customFormat="1" ht="87" x14ac:dyDescent="0.35">
      <c r="B167" s="242">
        <f t="shared" si="69"/>
        <v>5</v>
      </c>
      <c r="C167" s="226"/>
      <c r="D167" s="242" t="s">
        <v>43</v>
      </c>
      <c r="F167" s="246"/>
      <c r="G167" s="253"/>
      <c r="H167" s="235" t="s">
        <v>257</v>
      </c>
      <c r="I167" s="235" t="s">
        <v>258</v>
      </c>
      <c r="J167" s="237">
        <f>Assumptions!D38</f>
        <v>6843.4659999999994</v>
      </c>
      <c r="K167" s="243">
        <v>1</v>
      </c>
      <c r="L167" s="237">
        <f t="shared" si="70"/>
        <v>6843.4659999999994</v>
      </c>
      <c r="M167" s="239">
        <v>0.25</v>
      </c>
      <c r="N167" s="239">
        <f t="shared" si="71"/>
        <v>1710.8664999999999</v>
      </c>
      <c r="O167" s="239">
        <v>0</v>
      </c>
      <c r="P167" s="239"/>
      <c r="Q167" s="239">
        <f t="shared" si="72"/>
        <v>1710.8664999999999</v>
      </c>
      <c r="R167" s="239">
        <f t="shared" si="68"/>
        <v>1710.8664999999999</v>
      </c>
      <c r="S167" s="241"/>
    </row>
    <row r="168" spans="2:19" s="219" customFormat="1" ht="87" x14ac:dyDescent="0.35">
      <c r="B168" s="242">
        <f t="shared" si="69"/>
        <v>6</v>
      </c>
      <c r="C168" s="226"/>
      <c r="D168" s="242" t="s">
        <v>43</v>
      </c>
      <c r="F168" s="246"/>
      <c r="G168" s="253"/>
      <c r="H168" s="244" t="s">
        <v>260</v>
      </c>
      <c r="I168" s="235" t="s">
        <v>282</v>
      </c>
      <c r="J168" s="237">
        <f>Assumptions!D37</f>
        <v>21692.496000000003</v>
      </c>
      <c r="K168" s="243">
        <v>1</v>
      </c>
      <c r="L168" s="237">
        <f t="shared" si="70"/>
        <v>21692.496000000003</v>
      </c>
      <c r="M168" s="239">
        <v>0.25</v>
      </c>
      <c r="N168" s="239">
        <f t="shared" si="71"/>
        <v>5423.1240000000007</v>
      </c>
      <c r="O168" s="239">
        <v>0</v>
      </c>
      <c r="P168" s="239"/>
      <c r="Q168" s="239">
        <f t="shared" si="72"/>
        <v>5423.1240000000007</v>
      </c>
      <c r="R168" s="239">
        <f t="shared" si="68"/>
        <v>5423.1240000000007</v>
      </c>
      <c r="S168" s="241"/>
    </row>
    <row r="169" spans="2:19" s="219" customFormat="1" ht="87" x14ac:dyDescent="0.35">
      <c r="B169" s="242">
        <f t="shared" si="69"/>
        <v>7</v>
      </c>
      <c r="C169" s="226"/>
      <c r="D169" s="242" t="s">
        <v>43</v>
      </c>
      <c r="F169" s="246"/>
      <c r="G169" s="253"/>
      <c r="H169" s="244" t="s">
        <v>262</v>
      </c>
      <c r="I169" s="235" t="s">
        <v>263</v>
      </c>
      <c r="J169" s="237">
        <f>Assumptions!D38</f>
        <v>6843.4659999999994</v>
      </c>
      <c r="K169" s="243">
        <v>1</v>
      </c>
      <c r="L169" s="237">
        <f t="shared" si="70"/>
        <v>6843.4659999999994</v>
      </c>
      <c r="M169" s="239">
        <v>0.25</v>
      </c>
      <c r="N169" s="239">
        <f t="shared" si="71"/>
        <v>1710.8664999999999</v>
      </c>
      <c r="O169" s="239">
        <v>0</v>
      </c>
      <c r="P169" s="239"/>
      <c r="Q169" s="239">
        <f t="shared" si="72"/>
        <v>1710.8664999999999</v>
      </c>
      <c r="R169" s="239">
        <f t="shared" si="68"/>
        <v>1710.8664999999999</v>
      </c>
      <c r="S169" s="241"/>
    </row>
    <row r="170" spans="2:19" s="219" customFormat="1" ht="46.5" customHeight="1" x14ac:dyDescent="0.35">
      <c r="B170" s="214">
        <f t="shared" si="69"/>
        <v>8</v>
      </c>
      <c r="C170" s="226"/>
      <c r="D170" s="214" t="s">
        <v>33</v>
      </c>
      <c r="F170" s="227" t="s">
        <v>283</v>
      </c>
      <c r="G170" s="210" t="s">
        <v>284</v>
      </c>
      <c r="H170" s="227" t="s">
        <v>283</v>
      </c>
      <c r="I170" s="210" t="s">
        <v>284</v>
      </c>
      <c r="J170" s="211">
        <f>Assumptions!D39</f>
        <v>89843</v>
      </c>
      <c r="K170" s="208">
        <v>5</v>
      </c>
      <c r="L170" s="211">
        <f t="shared" ref="L170" si="73">J170*K170</f>
        <v>449215</v>
      </c>
      <c r="M170" s="212">
        <v>0.25</v>
      </c>
      <c r="N170" s="212">
        <f t="shared" si="71"/>
        <v>112303.75</v>
      </c>
      <c r="O170" s="212">
        <v>112303.75</v>
      </c>
      <c r="P170" s="212"/>
      <c r="Q170" s="212">
        <f t="shared" si="72"/>
        <v>0</v>
      </c>
      <c r="R170" s="212">
        <f t="shared" ref="R170" si="74">P170+Q170</f>
        <v>0</v>
      </c>
      <c r="S170" s="120"/>
    </row>
    <row r="171" spans="2:19" s="219" customFormat="1" ht="48.75" customHeight="1" x14ac:dyDescent="0.35">
      <c r="B171" s="214">
        <f t="shared" si="69"/>
        <v>9</v>
      </c>
      <c r="C171" s="226"/>
      <c r="D171" s="214" t="s">
        <v>33</v>
      </c>
      <c r="F171" s="227" t="s">
        <v>285</v>
      </c>
      <c r="G171" s="210" t="s">
        <v>286</v>
      </c>
      <c r="H171" s="227" t="s">
        <v>285</v>
      </c>
      <c r="I171" s="210" t="s">
        <v>286</v>
      </c>
      <c r="J171" s="211">
        <f>Assumptions!D39</f>
        <v>89843</v>
      </c>
      <c r="K171" s="208">
        <v>5</v>
      </c>
      <c r="L171" s="211">
        <f>J171*K171</f>
        <v>449215</v>
      </c>
      <c r="M171" s="212">
        <v>0.25</v>
      </c>
      <c r="N171" s="212">
        <f t="shared" ref="N171:N173" si="75">L171*M171</f>
        <v>112303.75</v>
      </c>
      <c r="O171" s="212">
        <v>112303.75</v>
      </c>
      <c r="P171" s="212"/>
      <c r="Q171" s="212">
        <f t="shared" si="72"/>
        <v>0</v>
      </c>
      <c r="R171" s="212">
        <f>P171+Q171</f>
        <v>0</v>
      </c>
      <c r="S171" s="229"/>
    </row>
    <row r="172" spans="2:19" s="219" customFormat="1" ht="92.75" customHeight="1" x14ac:dyDescent="0.35">
      <c r="B172" s="242">
        <f t="shared" si="69"/>
        <v>10</v>
      </c>
      <c r="C172" s="226"/>
      <c r="D172" s="242" t="s">
        <v>43</v>
      </c>
      <c r="F172" s="235"/>
      <c r="G172" s="235"/>
      <c r="H172" s="244" t="s">
        <v>265</v>
      </c>
      <c r="I172" s="235" t="s">
        <v>266</v>
      </c>
      <c r="J172" s="237">
        <f>Assumptions!D37</f>
        <v>21692.496000000003</v>
      </c>
      <c r="K172" s="243">
        <v>1</v>
      </c>
      <c r="L172" s="237">
        <f>J172*K172</f>
        <v>21692.496000000003</v>
      </c>
      <c r="M172" s="239">
        <v>0.25</v>
      </c>
      <c r="N172" s="239">
        <f t="shared" si="75"/>
        <v>5423.1240000000007</v>
      </c>
      <c r="O172" s="239">
        <v>0</v>
      </c>
      <c r="P172" s="239"/>
      <c r="Q172" s="239">
        <f t="shared" si="72"/>
        <v>5423.1240000000007</v>
      </c>
      <c r="R172" s="239">
        <f>P172+Q172</f>
        <v>5423.1240000000007</v>
      </c>
      <c r="S172" s="241"/>
    </row>
    <row r="173" spans="2:19" s="219" customFormat="1" ht="98" customHeight="1" x14ac:dyDescent="0.35">
      <c r="B173" s="242">
        <f t="shared" si="69"/>
        <v>11</v>
      </c>
      <c r="C173" s="226"/>
      <c r="D173" s="242" t="s">
        <v>43</v>
      </c>
      <c r="F173" s="235"/>
      <c r="G173" s="235"/>
      <c r="H173" s="244" t="s">
        <v>267</v>
      </c>
      <c r="I173" s="235" t="s">
        <v>268</v>
      </c>
      <c r="J173" s="237">
        <f>Assumptions!D38</f>
        <v>6843.4659999999994</v>
      </c>
      <c r="K173" s="243">
        <v>1</v>
      </c>
      <c r="L173" s="237">
        <f>J173*K173</f>
        <v>6843.4659999999994</v>
      </c>
      <c r="M173" s="239">
        <v>0.25</v>
      </c>
      <c r="N173" s="239">
        <f t="shared" si="75"/>
        <v>1710.8664999999999</v>
      </c>
      <c r="O173" s="239">
        <v>0</v>
      </c>
      <c r="P173" s="239"/>
      <c r="Q173" s="239">
        <f t="shared" si="72"/>
        <v>1710.8664999999999</v>
      </c>
      <c r="R173" s="239">
        <f>P173+Q173</f>
        <v>1710.8664999999999</v>
      </c>
      <c r="S173" s="241"/>
    </row>
    <row r="174" spans="2:19" x14ac:dyDescent="0.35">
      <c r="B174" s="115"/>
      <c r="C174" s="226"/>
      <c r="D174" s="115"/>
      <c r="F174" s="59"/>
      <c r="G174" s="59"/>
      <c r="H174" s="277" t="s">
        <v>183</v>
      </c>
      <c r="I174" s="278"/>
      <c r="J174" s="104">
        <f>SUM(Assumptions!D36,Assumptions!D37,Assumptions!D38,Assumptions!D39)</f>
        <v>188025.962</v>
      </c>
      <c r="K174" s="103">
        <f>L174/J174</f>
        <v>15.782740077138921</v>
      </c>
      <c r="L174" s="102">
        <f>SUM(L163:L173)</f>
        <v>2967564.8859999999</v>
      </c>
      <c r="M174" s="105">
        <f>N174/L174</f>
        <v>0.34082497278207785</v>
      </c>
      <c r="N174" s="105">
        <f>SUM(N163:N173)</f>
        <v>1011420.2214999999</v>
      </c>
      <c r="O174" s="105">
        <f>SUM(O163:O173)</f>
        <v>990018.25</v>
      </c>
      <c r="P174" s="105">
        <f>SUM(P163:P173)</f>
        <v>0</v>
      </c>
      <c r="Q174" s="105">
        <f>SUM(Q163:Q173)</f>
        <v>21401.971500000003</v>
      </c>
      <c r="R174" s="190">
        <f>SUM(R163:R173)</f>
        <v>21401.971500000003</v>
      </c>
      <c r="S174" s="45"/>
    </row>
    <row r="175" spans="2:19" x14ac:dyDescent="0.35">
      <c r="B175" s="115"/>
      <c r="C175" s="226"/>
      <c r="D175" s="115"/>
      <c r="F175" s="287" t="s">
        <v>287</v>
      </c>
      <c r="G175" s="287"/>
      <c r="H175" s="287"/>
      <c r="I175" s="287"/>
      <c r="J175" s="14">
        <f>J161+J174</f>
        <v>238211.924</v>
      </c>
      <c r="K175" s="17">
        <f>L175/J175</f>
        <v>16.521476783840594</v>
      </c>
      <c r="L175" s="14">
        <f>L161+L174</f>
        <v>3935612.7719999999</v>
      </c>
      <c r="M175" s="125">
        <f>N175/L175</f>
        <v>0.68699333626921166</v>
      </c>
      <c r="N175" s="125">
        <f>N161+N174</f>
        <v>2703739.7485000002</v>
      </c>
      <c r="O175" s="17">
        <f>O161+O174</f>
        <v>2242134.3054999998</v>
      </c>
      <c r="P175" s="125">
        <f>P161+P174</f>
        <v>0</v>
      </c>
      <c r="Q175" s="125">
        <f>Q161+Q174</f>
        <v>461605.44299999997</v>
      </c>
      <c r="R175" s="191">
        <f>R161+R174</f>
        <v>461605.44299999997</v>
      </c>
      <c r="S175" s="63"/>
    </row>
    <row r="176" spans="2:19" ht="35.25" customHeight="1" x14ac:dyDescent="0.35">
      <c r="B176" s="115"/>
      <c r="C176" s="226"/>
      <c r="D176" s="115"/>
      <c r="F176" s="288" t="s">
        <v>288</v>
      </c>
      <c r="G176" s="288"/>
      <c r="H176" s="283" t="s">
        <v>288</v>
      </c>
      <c r="I176" s="284"/>
      <c r="J176" s="284"/>
      <c r="K176" s="284"/>
      <c r="L176" s="284"/>
      <c r="M176" s="284"/>
      <c r="N176" s="284"/>
      <c r="O176" s="284"/>
      <c r="P176" s="284"/>
      <c r="Q176" s="284"/>
      <c r="R176" s="284"/>
      <c r="S176" s="95"/>
    </row>
    <row r="177" spans="2:19" s="219" customFormat="1" ht="69" customHeight="1" x14ac:dyDescent="0.35">
      <c r="B177" s="214">
        <v>1</v>
      </c>
      <c r="C177" s="226"/>
      <c r="D177" s="214" t="s">
        <v>33</v>
      </c>
      <c r="F177" s="210" t="s">
        <v>289</v>
      </c>
      <c r="G177" s="210" t="s">
        <v>290</v>
      </c>
      <c r="H177" s="210" t="s">
        <v>289</v>
      </c>
      <c r="I177" s="210" t="s">
        <v>290</v>
      </c>
      <c r="J177" s="211">
        <f>Assumptions!D45</f>
        <v>3599004</v>
      </c>
      <c r="K177" s="208">
        <v>1.59</v>
      </c>
      <c r="L177" s="211">
        <f t="shared" si="34"/>
        <v>5722416.3600000003</v>
      </c>
      <c r="M177" s="212">
        <v>8.3500000000000005E-2</v>
      </c>
      <c r="N177" s="212">
        <f>L177*M177</f>
        <v>477821.76606000005</v>
      </c>
      <c r="O177" s="212">
        <v>477821.76610000001</v>
      </c>
      <c r="P177" s="212"/>
      <c r="Q177" s="212">
        <f t="shared" ref="Q177:Q179" si="76">N177-O177</f>
        <v>-3.9999955333769321E-5</v>
      </c>
      <c r="R177" s="231">
        <f t="shared" si="35"/>
        <v>-3.9999955333769321E-5</v>
      </c>
      <c r="S177" s="120" t="s">
        <v>291</v>
      </c>
    </row>
    <row r="178" spans="2:19" s="219" customFormat="1" ht="79" customHeight="1" x14ac:dyDescent="0.35">
      <c r="B178" s="214">
        <f>B177+1</f>
        <v>2</v>
      </c>
      <c r="C178" s="226"/>
      <c r="D178" s="214" t="s">
        <v>33</v>
      </c>
      <c r="F178" s="204" t="s">
        <v>292</v>
      </c>
      <c r="G178" s="210" t="s">
        <v>293</v>
      </c>
      <c r="H178" s="204" t="s">
        <v>292</v>
      </c>
      <c r="I178" s="210" t="s">
        <v>293</v>
      </c>
      <c r="J178" s="211">
        <f>Assumptions!D45</f>
        <v>3599004</v>
      </c>
      <c r="K178" s="208">
        <v>1.59</v>
      </c>
      <c r="L178" s="211">
        <f t="shared" ref="L178" si="77">J178*K178</f>
        <v>5722416.3600000003</v>
      </c>
      <c r="M178" s="212">
        <v>8.3500000000000005E-2</v>
      </c>
      <c r="N178" s="212">
        <f>L178*M178</f>
        <v>477821.76606000005</v>
      </c>
      <c r="O178" s="212">
        <v>477821.76610000001</v>
      </c>
      <c r="P178" s="212"/>
      <c r="Q178" s="212">
        <f t="shared" si="76"/>
        <v>-3.9999955333769321E-5</v>
      </c>
      <c r="R178" s="231">
        <f t="shared" ref="R178" si="78">P178+Q178</f>
        <v>-3.9999955333769321E-5</v>
      </c>
      <c r="S178" s="120" t="s">
        <v>294</v>
      </c>
    </row>
    <row r="179" spans="2:19" s="219" customFormat="1" ht="69" customHeight="1" x14ac:dyDescent="0.35">
      <c r="B179" s="214">
        <f>B178+1</f>
        <v>3</v>
      </c>
      <c r="C179" s="226"/>
      <c r="D179" s="214" t="s">
        <v>33</v>
      </c>
      <c r="F179" s="210" t="s">
        <v>295</v>
      </c>
      <c r="G179" s="210" t="s">
        <v>296</v>
      </c>
      <c r="H179" s="210" t="s">
        <v>295</v>
      </c>
      <c r="I179" s="210" t="s">
        <v>296</v>
      </c>
      <c r="J179" s="211">
        <f>Assumptions!D47</f>
        <v>267355</v>
      </c>
      <c r="K179" s="208">
        <v>1</v>
      </c>
      <c r="L179" s="211">
        <f t="shared" si="34"/>
        <v>267355</v>
      </c>
      <c r="M179" s="212">
        <v>8.3500000000000005E-2</v>
      </c>
      <c r="N179" s="212">
        <f>L179*M179</f>
        <v>22324.142500000002</v>
      </c>
      <c r="O179" s="212">
        <v>22324.142500000002</v>
      </c>
      <c r="P179" s="212"/>
      <c r="Q179" s="212">
        <f t="shared" si="76"/>
        <v>0</v>
      </c>
      <c r="R179" s="231">
        <f t="shared" si="35"/>
        <v>0</v>
      </c>
      <c r="S179" s="120" t="s">
        <v>297</v>
      </c>
    </row>
    <row r="180" spans="2:19" x14ac:dyDescent="0.35">
      <c r="B180" s="115"/>
      <c r="C180" s="226"/>
      <c r="D180" s="115"/>
      <c r="F180" s="287" t="s">
        <v>298</v>
      </c>
      <c r="G180" s="287"/>
      <c r="H180" s="287"/>
      <c r="I180" s="287"/>
      <c r="J180" s="14">
        <f>Assumptions!D45</f>
        <v>3599004</v>
      </c>
      <c r="K180" s="62">
        <f>L180/J180</f>
        <v>3.2542858301907973</v>
      </c>
      <c r="L180" s="14">
        <f>SUM(L177:L179)</f>
        <v>11712187.720000001</v>
      </c>
      <c r="M180" s="125">
        <f>N180/L180</f>
        <v>8.3500000000000005E-2</v>
      </c>
      <c r="N180" s="17">
        <f t="shared" ref="N180:R180" si="79">SUM(N177:N179)</f>
        <v>977967.67462000006</v>
      </c>
      <c r="O180" s="17">
        <f t="shared" si="79"/>
        <v>977967.67469999997</v>
      </c>
      <c r="P180" s="125">
        <f t="shared" si="79"/>
        <v>0</v>
      </c>
      <c r="Q180" s="125">
        <f t="shared" si="79"/>
        <v>-7.9999910667538643E-5</v>
      </c>
      <c r="R180" s="191">
        <f t="shared" si="79"/>
        <v>-7.9999910667538643E-5</v>
      </c>
      <c r="S180" s="63"/>
    </row>
    <row r="181" spans="2:19" x14ac:dyDescent="0.35">
      <c r="C181" s="226"/>
      <c r="D181" s="117"/>
      <c r="O181" s="75"/>
      <c r="S181" s="45"/>
    </row>
    <row r="182" spans="2:19" x14ac:dyDescent="0.35">
      <c r="C182" s="226"/>
      <c r="D182" s="117"/>
      <c r="O182" s="282" t="s">
        <v>5</v>
      </c>
      <c r="P182" s="282"/>
      <c r="Q182" s="282"/>
      <c r="R182" s="282"/>
    </row>
    <row r="183" spans="2:19" ht="67.400000000000006" customHeight="1" x14ac:dyDescent="0.35">
      <c r="C183" s="226"/>
      <c r="I183" s="286" t="s">
        <v>299</v>
      </c>
      <c r="J183" s="7" t="s">
        <v>10</v>
      </c>
      <c r="K183" s="8" t="s">
        <v>11</v>
      </c>
      <c r="L183" s="11" t="s">
        <v>12</v>
      </c>
      <c r="M183" s="21" t="s">
        <v>13</v>
      </c>
      <c r="N183" s="21" t="s">
        <v>14</v>
      </c>
      <c r="O183" s="21" t="s">
        <v>15</v>
      </c>
      <c r="P183" s="21" t="s">
        <v>16</v>
      </c>
      <c r="Q183" s="21" t="s">
        <v>17</v>
      </c>
      <c r="R183" s="21" t="s">
        <v>18</v>
      </c>
    </row>
    <row r="184" spans="2:19" x14ac:dyDescent="0.35">
      <c r="C184" s="226"/>
      <c r="I184" s="286"/>
      <c r="J184" s="262" t="s">
        <v>20</v>
      </c>
      <c r="K184" s="9" t="s">
        <v>21</v>
      </c>
      <c r="L184" s="12" t="s">
        <v>300</v>
      </c>
      <c r="M184" s="22" t="s">
        <v>23</v>
      </c>
      <c r="N184" s="22" t="s">
        <v>24</v>
      </c>
      <c r="O184" s="22" t="s">
        <v>25</v>
      </c>
      <c r="P184" s="22" t="s">
        <v>301</v>
      </c>
      <c r="Q184" s="22" t="s">
        <v>302</v>
      </c>
      <c r="R184" s="22" t="s">
        <v>303</v>
      </c>
    </row>
    <row r="185" spans="2:19" x14ac:dyDescent="0.35">
      <c r="C185" s="226"/>
      <c r="I185" s="13" t="s">
        <v>304</v>
      </c>
      <c r="J185" s="24">
        <f t="shared" ref="J185:R185" si="80">J118</f>
        <v>3847</v>
      </c>
      <c r="K185" s="18">
        <f t="shared" si="80"/>
        <v>218.81570054587991</v>
      </c>
      <c r="L185" s="18">
        <f t="shared" si="80"/>
        <v>841784</v>
      </c>
      <c r="M185" s="192">
        <f t="shared" si="80"/>
        <v>0.85279181607158117</v>
      </c>
      <c r="N185" s="192">
        <f t="shared" si="80"/>
        <v>717866.50609999988</v>
      </c>
      <c r="O185" s="18">
        <f t="shared" si="80"/>
        <v>424357.75599999999</v>
      </c>
      <c r="P185" s="192">
        <f t="shared" si="80"/>
        <v>0</v>
      </c>
      <c r="Q185" s="192">
        <f t="shared" si="80"/>
        <v>293508.74699999997</v>
      </c>
      <c r="R185" s="192">
        <f t="shared" si="80"/>
        <v>293508.74699999997</v>
      </c>
    </row>
    <row r="186" spans="2:19" x14ac:dyDescent="0.35">
      <c r="C186" s="226"/>
      <c r="I186" s="13" t="s">
        <v>305</v>
      </c>
      <c r="J186" s="24">
        <f t="shared" ref="J186:O186" si="81">J175</f>
        <v>238211.924</v>
      </c>
      <c r="K186" s="18">
        <f t="shared" si="81"/>
        <v>16.521476783840594</v>
      </c>
      <c r="L186" s="273">
        <f t="shared" si="81"/>
        <v>3935612.7719999999</v>
      </c>
      <c r="M186" s="192">
        <f t="shared" si="81"/>
        <v>0.68699333626921166</v>
      </c>
      <c r="N186" s="192">
        <f t="shared" si="81"/>
        <v>2703739.7485000002</v>
      </c>
      <c r="O186" s="18">
        <f t="shared" si="81"/>
        <v>2242134.3054999998</v>
      </c>
      <c r="P186" s="192">
        <f t="shared" ref="P186:R186" si="82">P175</f>
        <v>0</v>
      </c>
      <c r="Q186" s="192">
        <f t="shared" si="82"/>
        <v>461605.44299999997</v>
      </c>
      <c r="R186" s="192">
        <f t="shared" si="82"/>
        <v>461605.44299999997</v>
      </c>
    </row>
    <row r="187" spans="2:19" x14ac:dyDescent="0.35">
      <c r="C187" s="226"/>
      <c r="I187" s="13" t="s">
        <v>306</v>
      </c>
      <c r="J187" s="24">
        <f t="shared" ref="J187:O187" si="83">J180</f>
        <v>3599004</v>
      </c>
      <c r="K187" s="18">
        <f t="shared" si="83"/>
        <v>3.2542858301907973</v>
      </c>
      <c r="L187" s="273">
        <f t="shared" si="83"/>
        <v>11712187.720000001</v>
      </c>
      <c r="M187" s="192">
        <f t="shared" si="83"/>
        <v>8.3500000000000005E-2</v>
      </c>
      <c r="N187" s="192">
        <f t="shared" si="83"/>
        <v>977967.67462000006</v>
      </c>
      <c r="O187" s="18">
        <f t="shared" si="83"/>
        <v>977967.67469999997</v>
      </c>
      <c r="P187" s="192">
        <f t="shared" ref="P187:R187" si="84">P180</f>
        <v>0</v>
      </c>
      <c r="Q187" s="192">
        <f t="shared" si="84"/>
        <v>-7.9999910667538643E-5</v>
      </c>
      <c r="R187" s="192">
        <f t="shared" si="84"/>
        <v>-7.9999910667538643E-5</v>
      </c>
    </row>
    <row r="188" spans="2:19" x14ac:dyDescent="0.35">
      <c r="C188" s="226"/>
      <c r="I188" s="13" t="s">
        <v>307</v>
      </c>
      <c r="J188" s="23">
        <f>SUM(J185:J187)</f>
        <v>3841062.9240000001</v>
      </c>
      <c r="K188" s="25">
        <f>L188/J188</f>
        <v>4.2929744516728983</v>
      </c>
      <c r="L188" s="274">
        <v>16489585</v>
      </c>
      <c r="M188" s="193">
        <f>N188/L188</f>
        <v>0.26680925743249451</v>
      </c>
      <c r="N188" s="194">
        <f t="shared" ref="N188:R188" si="85">SUM(N185:N187)</f>
        <v>4399573.9292200003</v>
      </c>
      <c r="O188" s="19">
        <f t="shared" si="85"/>
        <v>3644459.7361999997</v>
      </c>
      <c r="P188" s="194">
        <f t="shared" si="85"/>
        <v>0</v>
      </c>
      <c r="Q188" s="194">
        <f t="shared" si="85"/>
        <v>755114.18992000003</v>
      </c>
      <c r="R188" s="194">
        <f t="shared" si="85"/>
        <v>755114.18992000003</v>
      </c>
    </row>
    <row r="189" spans="2:19" x14ac:dyDescent="0.35">
      <c r="C189" s="226"/>
    </row>
    <row r="190" spans="2:19" x14ac:dyDescent="0.35">
      <c r="C190" s="226"/>
    </row>
    <row r="191" spans="2:19" x14ac:dyDescent="0.35">
      <c r="C191" s="226"/>
    </row>
    <row r="192" spans="2:19" x14ac:dyDescent="0.35">
      <c r="C192" s="226"/>
      <c r="D192" s="2"/>
      <c r="F192" s="2"/>
      <c r="G192" s="2"/>
      <c r="H192" s="2"/>
      <c r="J192"/>
      <c r="K192"/>
      <c r="L192" s="150">
        <f>SUM(L175-L130-L129)</f>
        <v>3612632.7719999999</v>
      </c>
      <c r="M192" s="75"/>
      <c r="N192" s="75">
        <f>SUM(N175-N130-N129)</f>
        <v>2281091.7085000002</v>
      </c>
      <c r="O192" s="75"/>
      <c r="P192" s="75"/>
      <c r="Q192" s="75"/>
      <c r="R192" s="75"/>
    </row>
    <row r="193" spans="3:18" x14ac:dyDescent="0.35">
      <c r="C193" s="226"/>
      <c r="D193" s="2"/>
      <c r="F193" s="2"/>
      <c r="G193" s="2"/>
      <c r="H193" s="2"/>
      <c r="J193"/>
      <c r="K193"/>
      <c r="L193"/>
      <c r="M193" s="75"/>
      <c r="N193" s="75"/>
      <c r="O193" s="75"/>
      <c r="P193" s="75"/>
      <c r="Q193" s="75"/>
      <c r="R193" s="75"/>
    </row>
    <row r="194" spans="3:18" x14ac:dyDescent="0.35">
      <c r="C194" s="226"/>
      <c r="D194" s="2"/>
      <c r="F194" s="2"/>
      <c r="G194" s="2"/>
      <c r="H194" s="2"/>
      <c r="J194"/>
      <c r="K194"/>
      <c r="L194"/>
      <c r="M194" s="75"/>
      <c r="N194" s="75"/>
      <c r="O194" s="75"/>
      <c r="P194" s="75"/>
      <c r="Q194" s="75"/>
      <c r="R194" s="75"/>
    </row>
    <row r="195" spans="3:18" x14ac:dyDescent="0.35">
      <c r="C195" s="226"/>
      <c r="D195" s="2"/>
      <c r="F195" s="2"/>
      <c r="G195" s="2"/>
      <c r="H195" s="2"/>
      <c r="J195"/>
      <c r="K195"/>
      <c r="L195"/>
      <c r="M195" s="75"/>
      <c r="N195" s="75"/>
      <c r="O195" s="75"/>
      <c r="P195" s="75"/>
      <c r="Q195" s="75"/>
      <c r="R195" s="75"/>
    </row>
    <row r="196" spans="3:18" x14ac:dyDescent="0.35">
      <c r="C196" s="226"/>
      <c r="D196" s="2"/>
      <c r="F196" s="2"/>
      <c r="G196" s="2"/>
      <c r="H196" s="2"/>
      <c r="J196"/>
      <c r="K196"/>
      <c r="L196"/>
      <c r="M196" s="75"/>
      <c r="N196" s="75"/>
      <c r="O196" s="75"/>
      <c r="P196" s="75"/>
      <c r="Q196" s="75"/>
      <c r="R196" s="75"/>
    </row>
    <row r="197" spans="3:18" x14ac:dyDescent="0.35">
      <c r="C197" s="226"/>
      <c r="D197" s="2"/>
      <c r="F197" s="2"/>
      <c r="G197" s="2"/>
      <c r="H197" s="2"/>
      <c r="J197"/>
      <c r="K197"/>
      <c r="L197"/>
      <c r="M197" s="75"/>
      <c r="N197" s="75"/>
      <c r="O197" s="75"/>
      <c r="P197" s="75"/>
      <c r="Q197" s="75"/>
      <c r="R197" s="75"/>
    </row>
    <row r="198" spans="3:18" x14ac:dyDescent="0.35">
      <c r="C198" s="226"/>
      <c r="D198" s="2"/>
      <c r="F198" s="2"/>
      <c r="G198" s="2"/>
      <c r="H198" s="2"/>
      <c r="J198"/>
      <c r="K198"/>
      <c r="L198"/>
      <c r="M198" s="75"/>
      <c r="N198" s="75"/>
      <c r="O198" s="75"/>
      <c r="P198" s="75"/>
      <c r="Q198" s="75"/>
      <c r="R198" s="75"/>
    </row>
    <row r="199" spans="3:18" x14ac:dyDescent="0.35">
      <c r="C199" s="226"/>
      <c r="D199" s="2"/>
      <c r="F199" s="2"/>
      <c r="G199" s="2"/>
      <c r="H199" s="2"/>
      <c r="J199"/>
      <c r="K199"/>
      <c r="L199"/>
      <c r="M199" s="75"/>
      <c r="N199" s="75"/>
      <c r="O199" s="75"/>
      <c r="P199" s="75"/>
      <c r="Q199" s="75"/>
      <c r="R199" s="75"/>
    </row>
    <row r="200" spans="3:18" x14ac:dyDescent="0.35">
      <c r="C200" s="226"/>
      <c r="D200" s="2"/>
      <c r="F200" s="2"/>
      <c r="G200" s="2"/>
      <c r="H200" s="2"/>
      <c r="J200"/>
      <c r="K200"/>
      <c r="L200"/>
      <c r="M200" s="75"/>
      <c r="N200" s="75"/>
      <c r="O200" s="75"/>
      <c r="P200" s="75"/>
      <c r="Q200" s="75"/>
      <c r="R200" s="75"/>
    </row>
    <row r="201" spans="3:18" x14ac:dyDescent="0.35">
      <c r="C201" s="226"/>
      <c r="D201" s="2"/>
      <c r="F201" s="2"/>
      <c r="G201" s="2"/>
      <c r="H201" s="2"/>
      <c r="J201"/>
      <c r="K201"/>
      <c r="L201"/>
      <c r="M201" s="75"/>
      <c r="N201" s="75"/>
      <c r="O201" s="75"/>
      <c r="P201" s="75"/>
      <c r="Q201" s="75"/>
      <c r="R201" s="75"/>
    </row>
    <row r="202" spans="3:18" x14ac:dyDescent="0.35">
      <c r="C202" s="226"/>
      <c r="D202" s="2"/>
      <c r="F202" s="2"/>
      <c r="G202" s="2"/>
      <c r="H202" s="2"/>
      <c r="J202"/>
      <c r="K202"/>
      <c r="L202"/>
      <c r="M202" s="75"/>
      <c r="N202" s="75"/>
      <c r="O202" s="75"/>
      <c r="P202" s="75"/>
      <c r="Q202" s="75"/>
      <c r="R202" s="75"/>
    </row>
    <row r="203" spans="3:18" x14ac:dyDescent="0.35">
      <c r="C203" s="226"/>
      <c r="D203" s="2"/>
      <c r="F203" s="2"/>
      <c r="G203" s="2"/>
      <c r="H203" s="2"/>
      <c r="J203"/>
      <c r="K203"/>
      <c r="L203"/>
      <c r="M203" s="75"/>
      <c r="N203" s="75"/>
      <c r="O203" s="75"/>
      <c r="P203" s="75"/>
      <c r="Q203" s="75"/>
      <c r="R203" s="75"/>
    </row>
    <row r="204" spans="3:18" x14ac:dyDescent="0.35">
      <c r="C204" s="226"/>
      <c r="D204" s="2"/>
      <c r="F204" s="2"/>
      <c r="G204" s="2"/>
      <c r="H204" s="2"/>
      <c r="J204"/>
      <c r="K204"/>
      <c r="L204"/>
      <c r="M204" s="75"/>
      <c r="N204" s="75"/>
      <c r="O204" s="75"/>
      <c r="P204" s="75"/>
      <c r="Q204" s="75"/>
      <c r="R204" s="75"/>
    </row>
    <row r="205" spans="3:18" x14ac:dyDescent="0.35">
      <c r="C205" s="226"/>
      <c r="D205" s="2"/>
      <c r="F205" s="2"/>
      <c r="G205" s="2"/>
      <c r="H205" s="2"/>
      <c r="J205"/>
      <c r="K205"/>
      <c r="L205"/>
      <c r="M205" s="75"/>
      <c r="N205" s="75"/>
      <c r="O205" s="75"/>
      <c r="P205" s="75"/>
      <c r="Q205" s="75"/>
      <c r="R205" s="75"/>
    </row>
  </sheetData>
  <mergeCells count="30">
    <mergeCell ref="B4:B5"/>
    <mergeCell ref="D4:D5"/>
    <mergeCell ref="F3:G3"/>
    <mergeCell ref="H3:I3"/>
    <mergeCell ref="H176:R176"/>
    <mergeCell ref="O182:R182"/>
    <mergeCell ref="H162:R162"/>
    <mergeCell ref="S4:S5"/>
    <mergeCell ref="I183:I184"/>
    <mergeCell ref="F180:I180"/>
    <mergeCell ref="F118:I118"/>
    <mergeCell ref="F175:I175"/>
    <mergeCell ref="F6:G6"/>
    <mergeCell ref="F119:G119"/>
    <mergeCell ref="F176:G176"/>
    <mergeCell ref="F162:G162"/>
    <mergeCell ref="H161:I161"/>
    <mergeCell ref="H174:I174"/>
    <mergeCell ref="H6:R6"/>
    <mergeCell ref="H7:R7"/>
    <mergeCell ref="F1:Q1"/>
    <mergeCell ref="H82:I82"/>
    <mergeCell ref="H117:I117"/>
    <mergeCell ref="F7:G7"/>
    <mergeCell ref="F120:G120"/>
    <mergeCell ref="F83:G83"/>
    <mergeCell ref="H83:R83"/>
    <mergeCell ref="H119:R119"/>
    <mergeCell ref="H120:R120"/>
    <mergeCell ref="O3:R3"/>
  </mergeCells>
  <printOptions headings="1" gridLines="1"/>
  <pageMargins left="0.45" right="0.2" top="0.5" bottom="0.5" header="0.05" footer="0.05"/>
  <pageSetup paperSize="5" scale="33" fitToHeight="0" orientation="landscape" r:id="rId1"/>
  <headerFooter>
    <oddHeader>&amp;C&amp;"-,Bold"&amp;14Appendix I: Estimates of the Hour Burden of the Collection of Information Reporting – OMB Control Number 0584-0055
REPORTING</oddHeader>
    <oddFooter>&amp;CPage &amp;P</oddFooter>
  </headerFooter>
  <ignoredErrors>
    <ignoredError sqref="J32 J179 J53 M180 M174:M175 K174:K175 N188 M188 K188 M82 M118 K118" formula="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dimension ref="A1:GQ7"/>
  <sheetViews>
    <sheetView showGridLines="0" zoomScale="85" zoomScaleNormal="85" workbookViewId="0">
      <selection activeCell="S5" sqref="S5"/>
    </sheetView>
  </sheetViews>
  <sheetFormatPr defaultColWidth="8.81640625" defaultRowHeight="15.5" x14ac:dyDescent="0.35"/>
  <cols>
    <col min="1" max="1" width="11.453125" customWidth="1"/>
    <col min="2" max="2" width="12.81640625" customWidth="1"/>
    <col min="3" max="3" width="1.54296875" style="30" customWidth="1"/>
    <col min="4" max="4" width="12.81640625" customWidth="1"/>
    <col min="5" max="5" width="1.54296875" style="30" customWidth="1"/>
    <col min="6" max="6" width="12.81640625" customWidth="1"/>
    <col min="7" max="7" width="1.54296875" style="30" customWidth="1"/>
    <col min="8" max="8" width="12.81640625" customWidth="1"/>
    <col min="9" max="9" width="1.54296875" style="30" customWidth="1"/>
    <col min="10" max="10" width="12.81640625" customWidth="1"/>
    <col min="11" max="11" width="1.54296875" style="30" customWidth="1"/>
    <col min="12" max="12" width="14.1796875" customWidth="1"/>
    <col min="13" max="13" width="1.54296875" style="30" customWidth="1"/>
    <col min="14" max="14" width="12.81640625" customWidth="1"/>
    <col min="15" max="15" width="2.54296875" style="30" customWidth="1"/>
    <col min="16" max="16" width="12.81640625" customWidth="1"/>
    <col min="17" max="17" width="1.54296875" style="30" customWidth="1"/>
    <col min="18" max="18" width="12.81640625" customWidth="1"/>
    <col min="19" max="19" width="13.81640625" style="30" customWidth="1"/>
    <col min="20" max="20" width="12.81640625" customWidth="1"/>
    <col min="21" max="21" width="1.54296875" style="30" customWidth="1"/>
    <col min="22" max="22" width="12.81640625" customWidth="1"/>
    <col min="23" max="23" width="1.54296875" style="30" customWidth="1"/>
    <col min="24" max="24" width="12.81640625" customWidth="1"/>
    <col min="25" max="25" width="1.54296875" style="30" customWidth="1"/>
    <col min="26" max="26" width="12.81640625" customWidth="1"/>
    <col min="27" max="27" width="1.54296875" style="30" customWidth="1"/>
    <col min="28" max="28" width="12.81640625" customWidth="1"/>
    <col min="29" max="29" width="1.54296875" style="30" customWidth="1"/>
    <col min="30" max="30" width="12.81640625" customWidth="1"/>
    <col min="31" max="31" width="1.54296875" style="30" customWidth="1"/>
    <col min="32" max="32" width="12.81640625" customWidth="1"/>
    <col min="33" max="33" width="1.54296875" style="30" customWidth="1"/>
    <col min="34" max="34" width="12.81640625" customWidth="1"/>
    <col min="35" max="35" width="1.54296875" style="30" customWidth="1"/>
    <col min="36" max="36" width="12.81640625" customWidth="1"/>
    <col min="37" max="37" width="1.54296875" style="30" customWidth="1"/>
    <col min="38" max="38" width="12.81640625" customWidth="1"/>
    <col min="39" max="39" width="1.54296875" style="30" customWidth="1"/>
    <col min="40" max="40" width="12.81640625" customWidth="1"/>
    <col min="41" max="41" width="1.54296875" style="30" customWidth="1"/>
    <col min="42" max="42" width="12.81640625" customWidth="1"/>
    <col min="43" max="43" width="1.54296875" style="30" customWidth="1"/>
    <col min="44" max="44" width="12.81640625" customWidth="1"/>
    <col min="45" max="45" width="1.54296875" customWidth="1"/>
    <col min="46" max="46" width="12.81640625" customWidth="1"/>
    <col min="47" max="47" width="1.54296875" customWidth="1"/>
    <col min="48" max="48" width="12.81640625" customWidth="1"/>
    <col min="49" max="49" width="1.54296875" customWidth="1"/>
    <col min="50" max="50" width="12.81640625" customWidth="1"/>
    <col min="51" max="51" width="1.54296875" customWidth="1"/>
    <col min="52" max="52" width="12.81640625" customWidth="1"/>
    <col min="53" max="53" width="1.54296875" customWidth="1"/>
    <col min="54" max="54" width="12.81640625" customWidth="1"/>
    <col min="55" max="55" width="1.54296875" customWidth="1"/>
    <col min="56" max="56" width="12.81640625" customWidth="1"/>
    <col min="57" max="57" width="1.54296875" customWidth="1"/>
    <col min="58" max="58" width="12.81640625" customWidth="1"/>
    <col min="59" max="59" width="1.54296875" customWidth="1"/>
    <col min="60" max="60" width="12.81640625" customWidth="1"/>
    <col min="61" max="61" width="1.54296875" customWidth="1"/>
    <col min="62" max="62" width="12.81640625" customWidth="1"/>
    <col min="63" max="63" width="1.54296875" customWidth="1"/>
    <col min="64" max="64" width="12.81640625" customWidth="1"/>
    <col min="65" max="65" width="1.54296875" customWidth="1"/>
    <col min="66" max="66" width="12.81640625" customWidth="1"/>
    <col min="67" max="67" width="1.54296875" customWidth="1"/>
    <col min="68" max="68" width="12.81640625" customWidth="1"/>
    <col min="69" max="69" width="1.54296875" customWidth="1"/>
    <col min="70" max="70" width="12.81640625" customWidth="1"/>
    <col min="71" max="71" width="1.54296875" customWidth="1"/>
    <col min="72" max="72" width="12.81640625" customWidth="1"/>
    <col min="73" max="73" width="1.54296875" customWidth="1"/>
    <col min="74" max="74" width="12.81640625" customWidth="1"/>
    <col min="75" max="75" width="1.54296875" customWidth="1"/>
    <col min="76" max="76" width="12.81640625" customWidth="1"/>
    <col min="77" max="77" width="1.54296875" customWidth="1"/>
    <col min="78" max="78" width="12.81640625" customWidth="1"/>
    <col min="79" max="79" width="1.54296875" customWidth="1"/>
    <col min="80" max="80" width="12.81640625" customWidth="1"/>
    <col min="81" max="81" width="1.54296875" customWidth="1"/>
    <col min="82" max="82" width="12.81640625" customWidth="1"/>
    <col min="83" max="83" width="1.54296875" customWidth="1"/>
    <col min="84" max="84" width="12.81640625" customWidth="1"/>
    <col min="85" max="85" width="1.54296875" customWidth="1"/>
    <col min="86" max="86" width="12.81640625" customWidth="1"/>
    <col min="87" max="87" width="1.54296875" customWidth="1"/>
    <col min="88" max="88" width="12.81640625" customWidth="1"/>
    <col min="89" max="89" width="1.54296875" customWidth="1"/>
    <col min="90" max="90" width="12.81640625" customWidth="1"/>
    <col min="91" max="91" width="1.54296875" customWidth="1"/>
    <col min="92" max="92" width="12.81640625" customWidth="1"/>
    <col min="93" max="93" width="1.54296875" customWidth="1"/>
    <col min="94" max="94" width="12.81640625" customWidth="1"/>
    <col min="95" max="95" width="1.54296875" customWidth="1"/>
    <col min="96" max="96" width="12.81640625" customWidth="1"/>
    <col min="97" max="97" width="1.54296875" customWidth="1"/>
    <col min="98" max="98" width="12.81640625" customWidth="1"/>
    <col min="99" max="99" width="1.54296875" customWidth="1"/>
    <col min="100" max="100" width="12.81640625" customWidth="1"/>
    <col min="101" max="101" width="1.54296875" customWidth="1"/>
    <col min="102" max="102" width="12.81640625" customWidth="1"/>
    <col min="103" max="103" width="1.54296875" customWidth="1"/>
    <col min="104" max="104" width="12.81640625" customWidth="1"/>
    <col min="105" max="105" width="1.54296875" customWidth="1"/>
    <col min="106" max="106" width="12.81640625" customWidth="1"/>
    <col min="107" max="107" width="1.54296875" customWidth="1"/>
    <col min="108" max="108" width="12.81640625" customWidth="1"/>
    <col min="109" max="109" width="1.54296875" customWidth="1"/>
    <col min="110" max="110" width="12.81640625" customWidth="1"/>
    <col min="111" max="111" width="1.54296875" customWidth="1"/>
    <col min="112" max="112" width="12.81640625" customWidth="1"/>
    <col min="113" max="113" width="1.54296875" customWidth="1"/>
    <col min="114" max="114" width="12.81640625" customWidth="1"/>
    <col min="115" max="115" width="1.54296875" customWidth="1"/>
    <col min="116" max="116" width="12.81640625" customWidth="1"/>
    <col min="117" max="117" width="1.54296875" customWidth="1"/>
    <col min="118" max="118" width="12.81640625" customWidth="1"/>
    <col min="119" max="119" width="1.54296875" customWidth="1"/>
    <col min="120" max="120" width="12.81640625" customWidth="1"/>
    <col min="121" max="121" width="1.54296875" customWidth="1"/>
    <col min="122" max="122" width="12.81640625" customWidth="1"/>
    <col min="123" max="123" width="1.54296875" customWidth="1"/>
    <col min="124" max="124" width="12.81640625" customWidth="1"/>
    <col min="125" max="125" width="1.54296875" customWidth="1"/>
    <col min="126" max="126" width="12.81640625" customWidth="1"/>
    <col min="127" max="127" width="1.54296875" customWidth="1"/>
    <col min="128" max="128" width="12.81640625" customWidth="1"/>
    <col min="129" max="129" width="1.54296875" customWidth="1"/>
    <col min="130" max="130" width="12.81640625" customWidth="1"/>
    <col min="131" max="131" width="1.54296875" customWidth="1"/>
    <col min="132" max="132" width="12.81640625" customWidth="1"/>
    <col min="133" max="133" width="1.54296875" customWidth="1"/>
    <col min="134" max="134" width="12.81640625" customWidth="1"/>
    <col min="135" max="135" width="1.54296875" customWidth="1"/>
    <col min="136" max="136" width="12.81640625" customWidth="1"/>
    <col min="137" max="137" width="1.54296875" customWidth="1"/>
    <col min="138" max="138" width="12.81640625" customWidth="1"/>
    <col min="139" max="139" width="1.54296875" customWidth="1"/>
    <col min="140" max="140" width="12.81640625" customWidth="1"/>
    <col min="141" max="141" width="1.54296875" customWidth="1"/>
    <col min="142" max="142" width="12.81640625" customWidth="1"/>
    <col min="143" max="143" width="1.54296875" customWidth="1"/>
    <col min="144" max="144" width="12.81640625" customWidth="1"/>
    <col min="145" max="145" width="1.54296875" customWidth="1"/>
    <col min="146" max="146" width="12.81640625" customWidth="1"/>
    <col min="147" max="147" width="1.54296875" customWidth="1"/>
    <col min="148" max="148" width="12.81640625" customWidth="1"/>
    <col min="149" max="149" width="1.54296875" customWidth="1"/>
    <col min="150" max="150" width="12.81640625" customWidth="1"/>
    <col min="151" max="151" width="1.54296875" customWidth="1"/>
    <col min="152" max="152" width="12.81640625" customWidth="1"/>
    <col min="153" max="153" width="1.54296875" customWidth="1"/>
    <col min="154" max="154" width="12.81640625" customWidth="1"/>
    <col min="155" max="155" width="1.54296875" customWidth="1"/>
    <col min="156" max="156" width="12.81640625" customWidth="1"/>
    <col min="157" max="157" width="1.54296875" customWidth="1"/>
    <col min="158" max="158" width="12.81640625" customWidth="1"/>
    <col min="159" max="159" width="1.54296875" customWidth="1"/>
    <col min="160" max="160" width="12.81640625" customWidth="1"/>
    <col min="161" max="161" width="1.54296875" customWidth="1"/>
    <col min="162" max="162" width="12.81640625" customWidth="1"/>
    <col min="163" max="163" width="1.54296875" customWidth="1"/>
    <col min="164" max="164" width="12.81640625" customWidth="1"/>
    <col min="165" max="165" width="1.54296875" customWidth="1"/>
    <col min="166" max="166" width="12.81640625" customWidth="1"/>
    <col min="167" max="167" width="1.54296875" customWidth="1"/>
    <col min="168" max="168" width="12.81640625" customWidth="1"/>
    <col min="169" max="169" width="1.54296875" customWidth="1"/>
    <col min="170" max="170" width="12.81640625" customWidth="1"/>
    <col min="171" max="171" width="1.54296875" customWidth="1"/>
    <col min="172" max="172" width="12.81640625" customWidth="1"/>
    <col min="173" max="173" width="1.54296875" customWidth="1"/>
    <col min="174" max="174" width="12.81640625" customWidth="1"/>
    <col min="175" max="175" width="1.54296875" customWidth="1"/>
    <col min="176" max="176" width="12.81640625" customWidth="1"/>
    <col min="177" max="177" width="1.54296875" customWidth="1"/>
    <col min="178" max="178" width="12.81640625" customWidth="1"/>
    <col min="179" max="179" width="1.54296875" customWidth="1"/>
    <col min="180" max="180" width="12.81640625" customWidth="1"/>
    <col min="181" max="181" width="1.54296875" customWidth="1"/>
    <col min="182" max="182" width="12.81640625" customWidth="1"/>
    <col min="183" max="183" width="1.54296875" customWidth="1"/>
    <col min="184" max="184" width="12.81640625" customWidth="1"/>
    <col min="185" max="185" width="1.54296875" customWidth="1"/>
    <col min="186" max="186" width="12.81640625" customWidth="1"/>
    <col min="187" max="187" width="1.54296875" customWidth="1"/>
    <col min="188" max="188" width="12.81640625" customWidth="1"/>
    <col min="189" max="189" width="1.54296875" customWidth="1"/>
    <col min="190" max="190" width="12.81640625" customWidth="1"/>
    <col min="191" max="191" width="1.54296875" customWidth="1"/>
    <col min="192" max="192" width="12.81640625" customWidth="1"/>
    <col min="193" max="193" width="1.54296875" customWidth="1"/>
    <col min="194" max="194" width="12.81640625" customWidth="1"/>
    <col min="195" max="195" width="1.54296875" customWidth="1"/>
    <col min="196" max="196" width="12.81640625" customWidth="1"/>
    <col min="197" max="197" width="1.54296875" customWidth="1"/>
    <col min="198" max="198" width="12.81640625" customWidth="1"/>
    <col min="199" max="199" width="1.54296875" customWidth="1"/>
  </cols>
  <sheetData>
    <row r="1" spans="1:199" ht="12" customHeight="1" x14ac:dyDescent="0.35">
      <c r="A1" s="342" t="s">
        <v>452</v>
      </c>
      <c r="B1" s="342"/>
      <c r="C1" s="342"/>
      <c r="D1" s="342"/>
      <c r="E1" s="342"/>
      <c r="F1" s="342"/>
      <c r="G1" s="342"/>
      <c r="H1" s="342"/>
      <c r="I1" s="342"/>
      <c r="J1" s="342"/>
      <c r="K1" s="342"/>
      <c r="L1" s="342"/>
      <c r="M1" s="342"/>
      <c r="N1" s="108">
        <v>44055</v>
      </c>
      <c r="O1"/>
      <c r="P1" s="266" t="s">
        <v>453</v>
      </c>
      <c r="Q1" s="266" t="s">
        <v>453</v>
      </c>
      <c r="R1" s="266" t="s">
        <v>0</v>
      </c>
      <c r="S1" s="344" t="s">
        <v>454</v>
      </c>
      <c r="T1" s="266" t="s">
        <v>453</v>
      </c>
      <c r="U1" s="266" t="s">
        <v>453</v>
      </c>
      <c r="V1" s="266" t="s">
        <v>453</v>
      </c>
      <c r="W1" s="266" t="s">
        <v>453</v>
      </c>
      <c r="X1" s="266" t="s">
        <v>453</v>
      </c>
      <c r="Y1" s="266" t="s">
        <v>453</v>
      </c>
      <c r="Z1" s="266" t="s">
        <v>453</v>
      </c>
      <c r="AA1" s="266" t="s">
        <v>453</v>
      </c>
      <c r="AB1" s="266" t="s">
        <v>453</v>
      </c>
      <c r="AC1" s="266" t="s">
        <v>453</v>
      </c>
      <c r="AD1" s="266" t="s">
        <v>453</v>
      </c>
      <c r="AE1" s="266"/>
      <c r="AF1" s="266"/>
      <c r="AG1" s="266"/>
      <c r="AH1" s="266"/>
      <c r="AI1" s="266"/>
      <c r="AJ1" s="266"/>
      <c r="AK1" s="266"/>
      <c r="AL1" s="266"/>
      <c r="AM1" s="266"/>
      <c r="AN1" s="266"/>
      <c r="AO1" s="266"/>
      <c r="AP1" s="29"/>
    </row>
    <row r="2" spans="1:199" ht="12" customHeight="1" x14ac:dyDescent="0.35">
      <c r="A2" s="342" t="s">
        <v>455</v>
      </c>
      <c r="B2" s="342"/>
      <c r="C2" s="342"/>
      <c r="D2" s="342"/>
      <c r="E2" s="342"/>
      <c r="F2" s="342"/>
      <c r="G2" s="342"/>
      <c r="H2" s="342"/>
      <c r="I2" s="342"/>
      <c r="J2" s="342"/>
      <c r="K2" s="342"/>
      <c r="L2" s="342"/>
      <c r="M2" s="342"/>
      <c r="N2" s="29"/>
      <c r="O2"/>
      <c r="P2" s="266" t="s">
        <v>453</v>
      </c>
      <c r="Q2" s="266" t="s">
        <v>453</v>
      </c>
      <c r="R2" s="266" t="s">
        <v>453</v>
      </c>
      <c r="S2" s="345"/>
      <c r="T2" s="266" t="s">
        <v>453</v>
      </c>
      <c r="U2" s="266" t="s">
        <v>453</v>
      </c>
      <c r="V2" s="266" t="s">
        <v>453</v>
      </c>
      <c r="W2" s="266" t="s">
        <v>453</v>
      </c>
      <c r="X2" s="266" t="s">
        <v>453</v>
      </c>
      <c r="Y2" s="266" t="s">
        <v>453</v>
      </c>
      <c r="Z2" s="266" t="s">
        <v>453</v>
      </c>
      <c r="AA2" s="266" t="s">
        <v>453</v>
      </c>
      <c r="AB2" s="266" t="s">
        <v>453</v>
      </c>
      <c r="AC2" s="266" t="s">
        <v>453</v>
      </c>
      <c r="AD2" s="266" t="s">
        <v>453</v>
      </c>
      <c r="AE2" s="266"/>
      <c r="AF2" s="266"/>
      <c r="AG2" s="266"/>
      <c r="AH2" s="266"/>
      <c r="AI2" s="266"/>
      <c r="AJ2" s="266"/>
      <c r="AK2" s="266"/>
      <c r="AL2" s="266"/>
      <c r="AM2" s="266"/>
      <c r="AN2" s="266"/>
      <c r="AO2" s="266"/>
    </row>
    <row r="3" spans="1:199" ht="12" customHeight="1" thickBot="1" x14ac:dyDescent="0.4">
      <c r="A3" s="343" t="s">
        <v>456</v>
      </c>
      <c r="B3" s="343"/>
      <c r="C3" s="343"/>
      <c r="D3" s="343"/>
      <c r="E3" s="343"/>
      <c r="F3" s="343"/>
      <c r="G3" s="343"/>
      <c r="H3" s="343"/>
      <c r="I3" s="343"/>
      <c r="J3" s="343"/>
      <c r="K3" s="343"/>
      <c r="L3" s="343"/>
      <c r="M3" s="343"/>
      <c r="N3" s="32" t="s">
        <v>453</v>
      </c>
      <c r="O3" s="32" t="s">
        <v>453</v>
      </c>
      <c r="P3" s="266" t="s">
        <v>453</v>
      </c>
      <c r="Q3" s="266" t="s">
        <v>453</v>
      </c>
      <c r="R3" s="33" t="s">
        <v>453</v>
      </c>
      <c r="S3" s="345"/>
      <c r="T3" s="33" t="s">
        <v>453</v>
      </c>
      <c r="U3" s="33" t="s">
        <v>453</v>
      </c>
      <c r="V3" s="33" t="s">
        <v>453</v>
      </c>
      <c r="W3" s="33" t="s">
        <v>453</v>
      </c>
      <c r="X3" s="33" t="s">
        <v>453</v>
      </c>
      <c r="Y3" s="33" t="s">
        <v>453</v>
      </c>
      <c r="Z3" s="33" t="s">
        <v>453</v>
      </c>
      <c r="AA3" s="33" t="s">
        <v>453</v>
      </c>
      <c r="AB3" s="33" t="s">
        <v>453</v>
      </c>
      <c r="AC3" s="33" t="s">
        <v>453</v>
      </c>
      <c r="AD3" s="33" t="s">
        <v>453</v>
      </c>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row>
    <row r="4" spans="1:199" ht="63.75" customHeight="1" thickBot="1" x14ac:dyDescent="0.4">
      <c r="A4" s="34" t="s">
        <v>379</v>
      </c>
      <c r="B4" s="34" t="s">
        <v>457</v>
      </c>
      <c r="C4" s="35" t="s">
        <v>453</v>
      </c>
      <c r="D4" s="34" t="s">
        <v>458</v>
      </c>
      <c r="E4" s="35" t="s">
        <v>453</v>
      </c>
      <c r="F4" s="34" t="s">
        <v>459</v>
      </c>
      <c r="G4" s="35" t="s">
        <v>453</v>
      </c>
      <c r="H4" s="34" t="s">
        <v>460</v>
      </c>
      <c r="I4" s="35" t="s">
        <v>453</v>
      </c>
      <c r="J4" s="34" t="s">
        <v>461</v>
      </c>
      <c r="K4" s="35" t="s">
        <v>453</v>
      </c>
      <c r="L4" s="34" t="s">
        <v>462</v>
      </c>
      <c r="M4" s="35" t="s">
        <v>453</v>
      </c>
      <c r="N4" s="34" t="s">
        <v>463</v>
      </c>
      <c r="O4" s="35" t="s">
        <v>453</v>
      </c>
      <c r="P4" s="34" t="s">
        <v>464</v>
      </c>
      <c r="Q4" s="35" t="s">
        <v>453</v>
      </c>
      <c r="R4" s="33" t="s">
        <v>453</v>
      </c>
      <c r="S4" s="267" t="s">
        <v>465</v>
      </c>
      <c r="T4" s="33" t="s">
        <v>453</v>
      </c>
      <c r="U4" s="33" t="s">
        <v>453</v>
      </c>
      <c r="V4" s="33" t="s">
        <v>453</v>
      </c>
      <c r="W4" s="33" t="s">
        <v>453</v>
      </c>
      <c r="X4" s="33" t="s">
        <v>453</v>
      </c>
      <c r="Y4" s="33" t="s">
        <v>453</v>
      </c>
      <c r="Z4" s="33" t="s">
        <v>453</v>
      </c>
      <c r="AA4" s="33" t="s">
        <v>453</v>
      </c>
      <c r="AB4" s="33" t="s">
        <v>453</v>
      </c>
      <c r="AC4" s="33" t="s">
        <v>453</v>
      </c>
      <c r="AD4" s="33" t="s">
        <v>453</v>
      </c>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row>
    <row r="5" spans="1:199" ht="12.75" customHeight="1" x14ac:dyDescent="0.35">
      <c r="A5" s="36" t="s">
        <v>466</v>
      </c>
      <c r="B5" s="37">
        <v>5295763</v>
      </c>
      <c r="C5" s="38"/>
      <c r="D5" s="37">
        <v>21584.5</v>
      </c>
      <c r="E5" s="38"/>
      <c r="F5" s="37">
        <v>161717.5</v>
      </c>
      <c r="G5" s="38"/>
      <c r="H5" s="37">
        <v>607</v>
      </c>
      <c r="I5" s="38"/>
      <c r="J5" s="37">
        <v>87398</v>
      </c>
      <c r="K5" s="38"/>
      <c r="L5" s="37">
        <v>77413.5</v>
      </c>
      <c r="M5" s="38"/>
      <c r="N5" s="37">
        <v>71600.5</v>
      </c>
      <c r="O5" s="38"/>
      <c r="P5" s="37">
        <v>2719</v>
      </c>
      <c r="Q5" s="38"/>
      <c r="R5" s="33"/>
      <c r="S5" s="112"/>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row>
    <row r="6" spans="1:199" ht="12.75" customHeight="1" x14ac:dyDescent="0.35">
      <c r="A6" s="36" t="s">
        <v>467</v>
      </c>
      <c r="B6" s="39">
        <v>5141434</v>
      </c>
      <c r="C6" s="38" t="s">
        <v>453</v>
      </c>
      <c r="D6" s="37">
        <v>21493</v>
      </c>
      <c r="E6" s="38" t="s">
        <v>453</v>
      </c>
      <c r="F6" s="37">
        <v>160700.5</v>
      </c>
      <c r="G6" s="38" t="s">
        <v>453</v>
      </c>
      <c r="H6" s="37">
        <v>644</v>
      </c>
      <c r="I6" s="38" t="s">
        <v>453</v>
      </c>
      <c r="J6" s="39">
        <v>89843</v>
      </c>
      <c r="K6" s="38" t="s">
        <v>453</v>
      </c>
      <c r="L6" s="37">
        <v>79641.5</v>
      </c>
      <c r="M6" s="38" t="s">
        <v>453</v>
      </c>
      <c r="N6" s="37">
        <v>68198.5</v>
      </c>
      <c r="O6" s="38" t="s">
        <v>453</v>
      </c>
      <c r="P6" s="37">
        <v>2659</v>
      </c>
      <c r="Q6" s="38" t="s">
        <v>453</v>
      </c>
      <c r="R6" s="33" t="s">
        <v>453</v>
      </c>
      <c r="S6" s="33" t="s">
        <v>453</v>
      </c>
      <c r="T6" s="33" t="s">
        <v>453</v>
      </c>
      <c r="U6" s="33" t="s">
        <v>453</v>
      </c>
      <c r="V6" s="33" t="s">
        <v>453</v>
      </c>
      <c r="W6" s="33" t="s">
        <v>453</v>
      </c>
      <c r="X6" s="33" t="s">
        <v>453</v>
      </c>
      <c r="Y6" s="33" t="s">
        <v>453</v>
      </c>
      <c r="Z6" s="33" t="s">
        <v>453</v>
      </c>
      <c r="AA6" s="33" t="s">
        <v>453</v>
      </c>
      <c r="AB6" s="33" t="s">
        <v>453</v>
      </c>
      <c r="AC6" s="33" t="s">
        <v>453</v>
      </c>
      <c r="AD6" s="33" t="s">
        <v>453</v>
      </c>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row>
    <row r="7" spans="1:199" ht="12.75" customHeight="1" x14ac:dyDescent="0.35">
      <c r="A7" s="36" t="s">
        <v>468</v>
      </c>
      <c r="B7" s="111">
        <v>4628848.25</v>
      </c>
      <c r="C7" s="38" t="s">
        <v>453</v>
      </c>
      <c r="D7" s="37">
        <v>22128.5</v>
      </c>
      <c r="E7" s="38" t="s">
        <v>453</v>
      </c>
      <c r="F7" s="37">
        <v>165663.25</v>
      </c>
      <c r="G7" s="38" t="s">
        <v>453</v>
      </c>
      <c r="H7" s="37">
        <v>674</v>
      </c>
      <c r="I7" s="38" t="s">
        <v>453</v>
      </c>
      <c r="J7" s="111">
        <v>96778</v>
      </c>
      <c r="K7" s="38" t="s">
        <v>453</v>
      </c>
      <c r="L7" s="37">
        <v>85342.75</v>
      </c>
      <c r="M7" s="38" t="s">
        <v>453</v>
      </c>
      <c r="N7" s="37">
        <v>66146</v>
      </c>
      <c r="O7" s="38" t="s">
        <v>453</v>
      </c>
      <c r="P7" s="37">
        <v>2739.25</v>
      </c>
      <c r="Q7" s="38" t="s">
        <v>453</v>
      </c>
      <c r="R7" s="33" t="s">
        <v>453</v>
      </c>
      <c r="S7" s="33" t="s">
        <v>453</v>
      </c>
      <c r="T7" s="33" t="s">
        <v>453</v>
      </c>
      <c r="U7" s="33" t="s">
        <v>453</v>
      </c>
      <c r="V7" s="33" t="s">
        <v>453</v>
      </c>
      <c r="W7" s="33" t="s">
        <v>453</v>
      </c>
      <c r="X7" s="33" t="s">
        <v>453</v>
      </c>
      <c r="Y7" s="33" t="s">
        <v>453</v>
      </c>
      <c r="Z7" s="33" t="s">
        <v>453</v>
      </c>
      <c r="AA7" s="33" t="s">
        <v>453</v>
      </c>
      <c r="AB7" s="33" t="s">
        <v>453</v>
      </c>
      <c r="AC7" s="33" t="s">
        <v>453</v>
      </c>
      <c r="AD7" s="33" t="s">
        <v>453</v>
      </c>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row>
  </sheetData>
  <mergeCells count="4">
    <mergeCell ref="A1:M1"/>
    <mergeCell ref="A2:M2"/>
    <mergeCell ref="A3:M3"/>
    <mergeCell ref="S1:S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Q6"/>
  <sheetViews>
    <sheetView showGridLines="0" zoomScale="85" zoomScaleNormal="85" workbookViewId="0">
      <selection activeCell="R13" sqref="R13"/>
    </sheetView>
  </sheetViews>
  <sheetFormatPr defaultColWidth="8.81640625" defaultRowHeight="15.5" x14ac:dyDescent="0.35"/>
  <cols>
    <col min="1" max="1" width="11.453125" customWidth="1"/>
    <col min="2" max="2" width="12.81640625" customWidth="1"/>
    <col min="3" max="3" width="1.54296875" style="30" customWidth="1"/>
    <col min="4" max="4" width="12.81640625" customWidth="1"/>
    <col min="5" max="5" width="1.54296875" style="30" customWidth="1"/>
    <col min="6" max="6" width="12.81640625" customWidth="1"/>
    <col min="7" max="7" width="1.54296875" style="30" customWidth="1"/>
    <col min="8" max="8" width="12.81640625" customWidth="1"/>
    <col min="9" max="9" width="1.54296875" style="30" customWidth="1"/>
    <col min="10" max="10" width="12.81640625" customWidth="1"/>
    <col min="11" max="11" width="1.54296875" style="30" customWidth="1"/>
    <col min="12" max="12" width="12.81640625" customWidth="1"/>
    <col min="13" max="13" width="1.54296875" style="30" customWidth="1"/>
    <col min="14" max="14" width="12.81640625" customWidth="1"/>
    <col min="15" max="15" width="1.54296875" style="30" customWidth="1"/>
    <col min="16" max="16" width="12.81640625" customWidth="1"/>
    <col min="17" max="17" width="1.54296875" style="30" customWidth="1"/>
    <col min="18" max="18" width="12.81640625" customWidth="1"/>
    <col min="19" max="19" width="1.54296875" style="30" customWidth="1"/>
    <col min="20" max="20" width="12.81640625" customWidth="1"/>
    <col min="21" max="21" width="1.54296875" style="30" customWidth="1"/>
    <col min="22" max="22" width="12.81640625" customWidth="1"/>
    <col min="23" max="23" width="1.54296875" style="30" customWidth="1"/>
    <col min="24" max="24" width="12.81640625" customWidth="1"/>
    <col min="25" max="25" width="1.54296875" style="30" customWidth="1"/>
    <col min="26" max="26" width="12.81640625" customWidth="1"/>
    <col min="27" max="27" width="1.54296875" style="30" customWidth="1"/>
    <col min="28" max="28" width="12.81640625" customWidth="1"/>
    <col min="29" max="29" width="1.54296875" style="30" customWidth="1"/>
    <col min="30" max="30" width="12.81640625" customWidth="1"/>
    <col min="31" max="31" width="1.54296875" style="30" customWidth="1"/>
    <col min="32" max="32" width="12.81640625" customWidth="1"/>
    <col min="33" max="33" width="1.54296875" style="30" customWidth="1"/>
    <col min="34" max="34" width="12.81640625" customWidth="1"/>
    <col min="35" max="35" width="1.54296875" style="30" customWidth="1"/>
    <col min="36" max="36" width="13.81640625" customWidth="1"/>
    <col min="37" max="37" width="1.54296875" style="30" customWidth="1"/>
    <col min="38" max="38" width="12.81640625" customWidth="1"/>
    <col min="39" max="39" width="1.54296875" style="30" customWidth="1"/>
    <col min="40" max="40" width="12.81640625" customWidth="1"/>
    <col min="41" max="41" width="1.54296875" style="30" customWidth="1"/>
    <col min="42" max="42" width="12.81640625" customWidth="1"/>
    <col min="43" max="43" width="1.54296875" style="30" customWidth="1"/>
    <col min="44" max="44" width="12.81640625" customWidth="1"/>
    <col min="45" max="45" width="1.54296875" customWidth="1"/>
    <col min="46" max="46" width="12.81640625" customWidth="1"/>
    <col min="47" max="47" width="1.54296875" customWidth="1"/>
    <col min="48" max="48" width="12.81640625" customWidth="1"/>
    <col min="49" max="49" width="1.54296875" customWidth="1"/>
    <col min="50" max="50" width="12.81640625" customWidth="1"/>
    <col min="51" max="51" width="1.54296875" customWidth="1"/>
    <col min="52" max="52" width="12.81640625" customWidth="1"/>
    <col min="53" max="53" width="1.54296875" customWidth="1"/>
    <col min="54" max="54" width="12.81640625" customWidth="1"/>
    <col min="55" max="55" width="1.54296875" customWidth="1"/>
    <col min="56" max="56" width="12.81640625" customWidth="1"/>
    <col min="57" max="57" width="1.54296875" customWidth="1"/>
    <col min="58" max="58" width="12.81640625" customWidth="1"/>
    <col min="59" max="59" width="1.54296875" customWidth="1"/>
    <col min="60" max="60" width="12.81640625" customWidth="1"/>
    <col min="61" max="61" width="1.54296875" customWidth="1"/>
    <col min="62" max="62" width="12.81640625" customWidth="1"/>
    <col min="63" max="63" width="1.54296875" customWidth="1"/>
    <col min="64" max="64" width="12.81640625" customWidth="1"/>
    <col min="65" max="65" width="1.54296875" customWidth="1"/>
    <col min="66" max="66" width="12.81640625" customWidth="1"/>
    <col min="67" max="67" width="1.54296875" customWidth="1"/>
    <col min="68" max="68" width="12.81640625" customWidth="1"/>
    <col min="69" max="69" width="1.54296875" customWidth="1"/>
    <col min="70" max="70" width="12.81640625" customWidth="1"/>
    <col min="71" max="71" width="1.54296875" customWidth="1"/>
    <col min="72" max="72" width="12.81640625" customWidth="1"/>
    <col min="73" max="73" width="1.54296875" customWidth="1"/>
    <col min="74" max="74" width="12.81640625" customWidth="1"/>
    <col min="75" max="75" width="1.54296875" customWidth="1"/>
    <col min="76" max="76" width="12.81640625" customWidth="1"/>
    <col min="77" max="77" width="1.54296875" customWidth="1"/>
    <col min="78" max="78" width="12.81640625" customWidth="1"/>
    <col min="79" max="79" width="1.54296875" customWidth="1"/>
    <col min="80" max="80" width="12.81640625" customWidth="1"/>
    <col min="81" max="81" width="1.54296875" customWidth="1"/>
    <col min="82" max="82" width="12.81640625" customWidth="1"/>
    <col min="83" max="83" width="1.54296875" customWidth="1"/>
    <col min="84" max="84" width="12.81640625" customWidth="1"/>
    <col min="85" max="85" width="1.54296875" customWidth="1"/>
    <col min="86" max="86" width="12.81640625" customWidth="1"/>
    <col min="87" max="87" width="1.54296875" customWidth="1"/>
    <col min="88" max="88" width="12.81640625" customWidth="1"/>
    <col min="89" max="89" width="1.54296875" customWidth="1"/>
    <col min="90" max="90" width="12.81640625" customWidth="1"/>
    <col min="91" max="91" width="1.54296875" customWidth="1"/>
    <col min="92" max="92" width="12.81640625" customWidth="1"/>
    <col min="93" max="93" width="1.54296875" customWidth="1"/>
    <col min="94" max="94" width="12.81640625" customWidth="1"/>
    <col min="95" max="95" width="1.54296875" customWidth="1"/>
    <col min="96" max="96" width="12.81640625" customWidth="1"/>
    <col min="97" max="97" width="1.54296875" customWidth="1"/>
    <col min="98" max="98" width="12.81640625" customWidth="1"/>
    <col min="99" max="99" width="1.54296875" customWidth="1"/>
    <col min="100" max="100" width="12.81640625" customWidth="1"/>
    <col min="101" max="101" width="1.54296875" customWidth="1"/>
    <col min="102" max="102" width="12.81640625" customWidth="1"/>
    <col min="103" max="103" width="1.54296875" customWidth="1"/>
    <col min="104" max="104" width="12.81640625" customWidth="1"/>
    <col min="105" max="105" width="1.54296875" customWidth="1"/>
    <col min="106" max="106" width="12.81640625" customWidth="1"/>
    <col min="107" max="107" width="1.54296875" customWidth="1"/>
    <col min="108" max="108" width="12.81640625" customWidth="1"/>
    <col min="109" max="109" width="1.54296875" customWidth="1"/>
    <col min="110" max="110" width="12.81640625" customWidth="1"/>
    <col min="111" max="111" width="1.54296875" customWidth="1"/>
    <col min="112" max="112" width="12.81640625" customWidth="1"/>
    <col min="113" max="113" width="1.54296875" customWidth="1"/>
    <col min="114" max="114" width="12.81640625" customWidth="1"/>
    <col min="115" max="115" width="1.54296875" customWidth="1"/>
    <col min="116" max="116" width="12.81640625" customWidth="1"/>
    <col min="117" max="117" width="1.54296875" customWidth="1"/>
    <col min="118" max="118" width="12.81640625" customWidth="1"/>
    <col min="119" max="119" width="1.54296875" customWidth="1"/>
    <col min="120" max="120" width="12.81640625" customWidth="1"/>
    <col min="121" max="121" width="1.54296875" customWidth="1"/>
    <col min="122" max="122" width="12.81640625" customWidth="1"/>
    <col min="123" max="123" width="1.54296875" customWidth="1"/>
    <col min="124" max="124" width="12.81640625" customWidth="1"/>
    <col min="125" max="125" width="1.54296875" customWidth="1"/>
    <col min="126" max="126" width="12.81640625" customWidth="1"/>
    <col min="127" max="127" width="1.54296875" customWidth="1"/>
    <col min="128" max="128" width="12.81640625" customWidth="1"/>
    <col min="129" max="129" width="1.54296875" customWidth="1"/>
    <col min="130" max="130" width="12.81640625" customWidth="1"/>
    <col min="131" max="131" width="1.54296875" customWidth="1"/>
    <col min="132" max="132" width="12.81640625" customWidth="1"/>
    <col min="133" max="133" width="1.54296875" customWidth="1"/>
    <col min="134" max="134" width="12.81640625" customWidth="1"/>
    <col min="135" max="135" width="1.54296875" customWidth="1"/>
    <col min="136" max="136" width="12.81640625" customWidth="1"/>
    <col min="137" max="137" width="1.54296875" customWidth="1"/>
    <col min="138" max="138" width="12.81640625" customWidth="1"/>
    <col min="139" max="139" width="1.54296875" customWidth="1"/>
    <col min="140" max="140" width="12.81640625" customWidth="1"/>
    <col min="141" max="141" width="1.54296875" customWidth="1"/>
    <col min="142" max="142" width="12.81640625" customWidth="1"/>
    <col min="143" max="143" width="1.54296875" customWidth="1"/>
    <col min="144" max="144" width="12.81640625" customWidth="1"/>
    <col min="145" max="145" width="1.54296875" customWidth="1"/>
    <col min="146" max="146" width="12.81640625" customWidth="1"/>
    <col min="147" max="147" width="1.54296875" customWidth="1"/>
    <col min="148" max="148" width="12.81640625" customWidth="1"/>
    <col min="149" max="149" width="1.54296875" customWidth="1"/>
    <col min="150" max="150" width="12.81640625" customWidth="1"/>
    <col min="151" max="151" width="1.54296875" customWidth="1"/>
    <col min="152" max="152" width="12.81640625" customWidth="1"/>
    <col min="153" max="153" width="1.54296875" customWidth="1"/>
    <col min="154" max="154" width="12.81640625" customWidth="1"/>
    <col min="155" max="155" width="1.54296875" customWidth="1"/>
    <col min="156" max="156" width="12.81640625" customWidth="1"/>
    <col min="157" max="157" width="1.54296875" customWidth="1"/>
    <col min="158" max="158" width="12.81640625" customWidth="1"/>
    <col min="159" max="159" width="1.54296875" customWidth="1"/>
    <col min="160" max="160" width="12.81640625" customWidth="1"/>
    <col min="161" max="161" width="1.54296875" customWidth="1"/>
    <col min="162" max="162" width="12.81640625" customWidth="1"/>
    <col min="163" max="163" width="1.54296875" customWidth="1"/>
    <col min="164" max="164" width="12.81640625" customWidth="1"/>
    <col min="165" max="165" width="1.54296875" customWidth="1"/>
    <col min="166" max="166" width="12.81640625" customWidth="1"/>
    <col min="167" max="167" width="1.54296875" customWidth="1"/>
    <col min="168" max="168" width="12.81640625" customWidth="1"/>
    <col min="169" max="169" width="1.54296875" customWidth="1"/>
    <col min="170" max="170" width="12.81640625" customWidth="1"/>
    <col min="171" max="171" width="1.54296875" customWidth="1"/>
    <col min="172" max="172" width="12.81640625" customWidth="1"/>
    <col min="173" max="173" width="1.54296875" customWidth="1"/>
    <col min="174" max="174" width="12.81640625" customWidth="1"/>
    <col min="175" max="175" width="1.54296875" customWidth="1"/>
    <col min="176" max="176" width="12.81640625" customWidth="1"/>
    <col min="177" max="177" width="1.54296875" customWidth="1"/>
    <col min="178" max="178" width="12.81640625" customWidth="1"/>
    <col min="179" max="179" width="1.54296875" customWidth="1"/>
    <col min="180" max="180" width="12.81640625" customWidth="1"/>
    <col min="181" max="181" width="1.54296875" customWidth="1"/>
    <col min="182" max="182" width="12.81640625" customWidth="1"/>
    <col min="183" max="183" width="1.54296875" customWidth="1"/>
    <col min="184" max="184" width="12.81640625" customWidth="1"/>
    <col min="185" max="185" width="1.54296875" customWidth="1"/>
    <col min="186" max="186" width="12.81640625" customWidth="1"/>
    <col min="187" max="187" width="1.54296875" customWidth="1"/>
    <col min="188" max="188" width="12.81640625" customWidth="1"/>
    <col min="189" max="189" width="1.54296875" customWidth="1"/>
    <col min="190" max="190" width="12.81640625" customWidth="1"/>
    <col min="191" max="191" width="1.54296875" customWidth="1"/>
    <col min="192" max="192" width="12.81640625" customWidth="1"/>
    <col min="193" max="193" width="1.54296875" customWidth="1"/>
    <col min="194" max="194" width="12.81640625" customWidth="1"/>
    <col min="195" max="195" width="1.54296875" customWidth="1"/>
    <col min="196" max="196" width="12.81640625" customWidth="1"/>
    <col min="197" max="197" width="1.54296875" customWidth="1"/>
    <col min="198" max="198" width="12.81640625" customWidth="1"/>
    <col min="199" max="199" width="1.54296875" customWidth="1"/>
  </cols>
  <sheetData>
    <row r="1" spans="1:199" ht="12" customHeight="1" x14ac:dyDescent="0.35">
      <c r="A1" s="342" t="s">
        <v>469</v>
      </c>
      <c r="B1" s="342"/>
      <c r="C1" s="342"/>
      <c r="D1" s="342"/>
      <c r="E1" s="342"/>
      <c r="F1" s="342"/>
      <c r="G1" s="342"/>
      <c r="H1" s="342"/>
      <c r="I1" s="342"/>
      <c r="J1" s="342"/>
      <c r="K1" s="342"/>
      <c r="L1" s="342"/>
      <c r="M1" s="342"/>
      <c r="N1" s="109">
        <v>44055</v>
      </c>
      <c r="O1" s="110"/>
      <c r="P1" s="110"/>
      <c r="Q1" s="110"/>
      <c r="R1" s="266" t="s">
        <v>0</v>
      </c>
      <c r="S1" s="347" t="s">
        <v>454</v>
      </c>
      <c r="T1" s="348"/>
      <c r="U1" s="348"/>
      <c r="V1" s="348"/>
      <c r="W1" s="348"/>
      <c r="X1" s="348"/>
      <c r="Y1" s="266"/>
      <c r="Z1" s="266"/>
      <c r="AA1" s="266"/>
      <c r="AB1" s="266"/>
      <c r="AC1" s="266"/>
      <c r="AD1" s="266"/>
      <c r="AE1" s="266"/>
      <c r="AF1" s="266"/>
      <c r="AG1" s="266"/>
      <c r="AH1" s="266"/>
      <c r="AI1" s="266"/>
      <c r="AJ1" s="266"/>
      <c r="AK1" s="266"/>
      <c r="AL1" s="266"/>
      <c r="AM1" s="266"/>
      <c r="AN1" s="266"/>
      <c r="AO1" s="266"/>
      <c r="AP1" s="29"/>
    </row>
    <row r="2" spans="1:199" ht="12" customHeight="1" x14ac:dyDescent="0.35">
      <c r="A2" s="342" t="s">
        <v>470</v>
      </c>
      <c r="B2" s="342"/>
      <c r="C2" s="342"/>
      <c r="D2" s="342"/>
      <c r="E2" s="342"/>
      <c r="F2" s="342"/>
      <c r="G2" s="342"/>
      <c r="H2" s="342"/>
      <c r="I2" s="342"/>
      <c r="J2" s="342"/>
      <c r="K2" s="342"/>
      <c r="L2" s="342"/>
      <c r="M2" s="342"/>
      <c r="N2" s="31"/>
      <c r="O2" s="29"/>
      <c r="P2" s="266"/>
      <c r="Q2" s="266"/>
      <c r="R2" s="266"/>
      <c r="S2" s="346" t="s">
        <v>465</v>
      </c>
      <c r="T2" s="346"/>
      <c r="U2" s="346"/>
      <c r="V2" s="346"/>
      <c r="W2" s="346"/>
      <c r="X2" s="346"/>
      <c r="Y2"/>
      <c r="Z2" s="266"/>
      <c r="AA2" s="266"/>
      <c r="AB2" s="266"/>
      <c r="AC2" s="266"/>
      <c r="AD2" s="266"/>
      <c r="AE2" s="266"/>
      <c r="AF2" s="266"/>
      <c r="AG2" s="266"/>
      <c r="AH2" s="266"/>
      <c r="AI2" s="266"/>
      <c r="AJ2" s="266"/>
      <c r="AK2" s="266"/>
      <c r="AL2" s="266"/>
      <c r="AM2" s="266"/>
      <c r="AN2" s="266"/>
      <c r="AO2" s="266"/>
    </row>
    <row r="3" spans="1:199" ht="12" customHeight="1" thickBot="1" x14ac:dyDescent="0.4">
      <c r="A3" s="343" t="s">
        <v>456</v>
      </c>
      <c r="B3" s="343"/>
      <c r="C3" s="343"/>
      <c r="D3" s="343"/>
      <c r="E3" s="343"/>
      <c r="F3" s="343"/>
      <c r="G3" s="343"/>
      <c r="H3" s="343"/>
      <c r="I3" s="343"/>
      <c r="J3" s="343"/>
      <c r="K3" s="343"/>
      <c r="L3" s="343"/>
      <c r="M3" s="343"/>
      <c r="N3" s="32"/>
      <c r="O3" s="32"/>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row>
    <row r="4" spans="1:199" ht="63.75" customHeight="1" thickBot="1" x14ac:dyDescent="0.4">
      <c r="A4" s="34" t="s">
        <v>379</v>
      </c>
      <c r="B4" s="34" t="s">
        <v>471</v>
      </c>
      <c r="C4" s="35"/>
      <c r="D4" s="34" t="s">
        <v>472</v>
      </c>
      <c r="E4" s="35"/>
      <c r="F4" s="34" t="s">
        <v>460</v>
      </c>
      <c r="G4" s="35"/>
      <c r="H4" s="34" t="s">
        <v>458</v>
      </c>
      <c r="I4" s="35"/>
      <c r="J4" s="34" t="s">
        <v>473</v>
      </c>
      <c r="K4" s="35"/>
      <c r="L4" s="34" t="s">
        <v>474</v>
      </c>
      <c r="M4" s="35"/>
      <c r="N4" s="34" t="s">
        <v>475</v>
      </c>
      <c r="O4" s="35"/>
      <c r="P4" s="34" t="s">
        <v>476</v>
      </c>
      <c r="Q4" s="35"/>
      <c r="R4" s="34" t="s">
        <v>477</v>
      </c>
      <c r="S4" s="35"/>
      <c r="T4" s="34" t="s">
        <v>463</v>
      </c>
      <c r="U4" s="35"/>
      <c r="V4" s="34" t="s">
        <v>459</v>
      </c>
      <c r="W4" s="35"/>
      <c r="X4" s="34" t="s">
        <v>478</v>
      </c>
      <c r="Y4" s="35"/>
      <c r="Z4" s="34" t="s">
        <v>479</v>
      </c>
      <c r="AA4" s="35"/>
      <c r="AB4" s="34" t="s">
        <v>480</v>
      </c>
      <c r="AC4" s="35"/>
      <c r="AD4" s="34" t="s">
        <v>481</v>
      </c>
      <c r="AE4" s="35"/>
      <c r="AF4" s="34" t="s">
        <v>482</v>
      </c>
      <c r="AG4" s="35"/>
      <c r="AH4" s="34" t="s">
        <v>483</v>
      </c>
      <c r="AI4" s="35"/>
      <c r="AJ4" s="34" t="s">
        <v>462</v>
      </c>
      <c r="AK4" s="35"/>
      <c r="AL4" s="34" t="s">
        <v>484</v>
      </c>
      <c r="AM4" s="35"/>
      <c r="AN4" s="34" t="s">
        <v>485</v>
      </c>
      <c r="AO4" s="35"/>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row>
    <row r="5" spans="1:199" ht="12.75" customHeight="1" x14ac:dyDescent="0.35">
      <c r="A5" s="36" t="s">
        <v>467</v>
      </c>
      <c r="B5" s="37">
        <v>19391.25</v>
      </c>
      <c r="C5" s="38"/>
      <c r="D5" s="37">
        <v>269.5</v>
      </c>
      <c r="E5" s="38"/>
      <c r="F5" s="39">
        <v>634</v>
      </c>
      <c r="G5" s="38"/>
      <c r="H5" s="39">
        <v>21857.5</v>
      </c>
      <c r="I5" s="38"/>
      <c r="J5" s="39">
        <v>8567</v>
      </c>
      <c r="K5" s="38"/>
      <c r="L5" s="39">
        <v>1003</v>
      </c>
      <c r="M5" s="38"/>
      <c r="N5" s="39">
        <v>1875.5</v>
      </c>
      <c r="O5" s="38"/>
      <c r="P5" s="39">
        <v>327.5</v>
      </c>
      <c r="Q5" s="38"/>
      <c r="R5" s="39">
        <v>3784</v>
      </c>
      <c r="S5" s="38"/>
      <c r="T5" s="39">
        <v>66938.5</v>
      </c>
      <c r="U5" s="38"/>
      <c r="V5" s="37">
        <v>160608.25</v>
      </c>
      <c r="W5" s="38"/>
      <c r="X5" s="39">
        <v>2708.5</v>
      </c>
      <c r="Y5" s="38"/>
      <c r="Z5" s="37">
        <v>12674</v>
      </c>
      <c r="AA5" s="38"/>
      <c r="AB5" s="37">
        <v>399.5</v>
      </c>
      <c r="AC5" s="38"/>
      <c r="AD5" s="37">
        <v>26495</v>
      </c>
      <c r="AE5" s="38"/>
      <c r="AF5" s="37">
        <v>19391.25</v>
      </c>
      <c r="AG5" s="38"/>
      <c r="AH5" s="37">
        <v>500.5</v>
      </c>
      <c r="AI5" s="38"/>
      <c r="AJ5" s="39">
        <v>80522.25</v>
      </c>
      <c r="AK5" s="38"/>
      <c r="AL5" s="37">
        <v>8747</v>
      </c>
      <c r="AM5" s="38"/>
      <c r="AN5" s="37">
        <v>1131</v>
      </c>
      <c r="AO5" s="38"/>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row>
    <row r="6" spans="1:199" ht="12.75" customHeight="1" x14ac:dyDescent="0.35">
      <c r="A6" s="36" t="s">
        <v>468</v>
      </c>
      <c r="B6" s="37">
        <v>19662.5</v>
      </c>
      <c r="C6" s="38"/>
      <c r="D6" s="37">
        <v>269.25</v>
      </c>
      <c r="E6" s="38"/>
      <c r="F6" s="111">
        <v>674</v>
      </c>
      <c r="G6" s="38"/>
      <c r="H6" s="111">
        <v>22130.25</v>
      </c>
      <c r="I6" s="38"/>
      <c r="J6" s="111">
        <v>8681.5</v>
      </c>
      <c r="K6" s="38"/>
      <c r="L6" s="111">
        <v>1028.5</v>
      </c>
      <c r="M6" s="38"/>
      <c r="N6" s="111">
        <v>1857</v>
      </c>
      <c r="O6" s="38"/>
      <c r="P6" s="111">
        <v>338</v>
      </c>
      <c r="Q6" s="38"/>
      <c r="R6" s="111">
        <v>3643.5</v>
      </c>
      <c r="S6" s="38"/>
      <c r="T6" s="111">
        <v>66146.25</v>
      </c>
      <c r="U6" s="38"/>
      <c r="V6" s="37">
        <v>165668.5</v>
      </c>
      <c r="W6" s="38"/>
      <c r="X6" s="111">
        <v>2793</v>
      </c>
      <c r="Y6" s="38"/>
      <c r="Z6" s="37">
        <v>12778</v>
      </c>
      <c r="AA6" s="38"/>
      <c r="AB6" s="37">
        <v>516</v>
      </c>
      <c r="AC6" s="38"/>
      <c r="AD6" s="37">
        <v>24995.5</v>
      </c>
      <c r="AE6" s="38"/>
      <c r="AF6" s="37">
        <v>19662.5</v>
      </c>
      <c r="AG6" s="38"/>
      <c r="AH6" s="37">
        <v>565.25</v>
      </c>
      <c r="AI6" s="38"/>
      <c r="AJ6" s="111">
        <v>85342.75</v>
      </c>
      <c r="AK6" s="38"/>
      <c r="AL6" s="37">
        <v>9532.5</v>
      </c>
      <c r="AM6" s="38"/>
      <c r="AN6" s="37">
        <v>1337.5</v>
      </c>
      <c r="AO6" s="38"/>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row>
  </sheetData>
  <mergeCells count="5">
    <mergeCell ref="A1:M1"/>
    <mergeCell ref="A2:M2"/>
    <mergeCell ref="A3:M3"/>
    <mergeCell ref="S2:X2"/>
    <mergeCell ref="S1:X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1:S827"/>
  <sheetViews>
    <sheetView showGridLines="0" topLeftCell="I29" zoomScale="80" zoomScaleNormal="80" zoomScalePageLayoutView="90" workbookViewId="0">
      <selection activeCell="L43" sqref="L43"/>
    </sheetView>
  </sheetViews>
  <sheetFormatPr defaultColWidth="9.453125" defaultRowHeight="14.5" x14ac:dyDescent="0.35"/>
  <cols>
    <col min="3" max="3" width="9.453125" customWidth="1"/>
    <col min="4" max="4" width="25.453125" style="4" customWidth="1"/>
    <col min="5" max="5" width="7.54296875" customWidth="1"/>
    <col min="6" max="6" width="27.453125" style="114" customWidth="1"/>
    <col min="7" max="7" width="46.1796875" customWidth="1"/>
    <col min="8" max="8" width="39" style="119" customWidth="1"/>
    <col min="9" max="9" width="89.1796875" style="3" customWidth="1"/>
    <col min="10" max="10" width="19.81640625" style="4" customWidth="1"/>
    <col min="11" max="11" width="17.1796875" style="10" customWidth="1"/>
    <col min="12" max="12" width="20.453125" style="10" customWidth="1"/>
    <col min="13" max="13" width="22.1796875" style="20" customWidth="1"/>
    <col min="14" max="14" width="20.1796875" style="20" customWidth="1"/>
    <col min="15" max="15" width="17.54296875" style="20" customWidth="1"/>
    <col min="16" max="16" width="21" style="20" customWidth="1"/>
    <col min="17" max="17" width="20.54296875" style="20" customWidth="1"/>
    <col min="18" max="18" width="20.81640625" style="20" customWidth="1"/>
    <col min="19" max="19" width="35.81640625" style="3" customWidth="1"/>
  </cols>
  <sheetData>
    <row r="1" spans="2:19" ht="51.65" customHeight="1" x14ac:dyDescent="0.35">
      <c r="C1" s="16" t="s">
        <v>0</v>
      </c>
      <c r="D1" s="189" t="s">
        <v>1</v>
      </c>
      <c r="F1" s="276" t="s">
        <v>2</v>
      </c>
      <c r="G1" s="276"/>
      <c r="H1" s="276"/>
      <c r="I1" s="276"/>
      <c r="J1" s="276"/>
      <c r="K1" s="276"/>
      <c r="L1" s="276"/>
      <c r="M1" s="276"/>
      <c r="N1" s="276"/>
      <c r="O1" s="276"/>
      <c r="P1" s="276"/>
      <c r="Q1" s="276"/>
    </row>
    <row r="2" spans="2:19" ht="14.5" customHeight="1" x14ac:dyDescent="0.35">
      <c r="C2" s="2"/>
      <c r="D2"/>
      <c r="F2" s="118"/>
      <c r="G2" s="113"/>
      <c r="H2" s="118"/>
      <c r="I2" s="113"/>
      <c r="J2" s="113"/>
      <c r="K2" s="113"/>
      <c r="L2" s="113"/>
      <c r="M2" s="195"/>
      <c r="N2" s="195"/>
      <c r="O2" s="195"/>
      <c r="P2" s="195"/>
      <c r="Q2" s="195"/>
    </row>
    <row r="3" spans="2:19" x14ac:dyDescent="0.35">
      <c r="D3"/>
      <c r="F3" s="289" t="s">
        <v>3</v>
      </c>
      <c r="G3" s="289"/>
      <c r="H3" s="290" t="s">
        <v>4</v>
      </c>
      <c r="I3" s="290"/>
      <c r="J3"/>
      <c r="K3"/>
      <c r="L3"/>
      <c r="M3" s="75"/>
      <c r="N3" s="75"/>
      <c r="O3" s="282" t="s">
        <v>5</v>
      </c>
      <c r="P3" s="282"/>
      <c r="Q3" s="282"/>
      <c r="R3" s="282"/>
      <c r="S3"/>
    </row>
    <row r="4" spans="2:19" s="2" customFormat="1" ht="43.5" x14ac:dyDescent="0.35">
      <c r="B4" s="285" t="s">
        <v>6</v>
      </c>
      <c r="D4" s="296" t="s">
        <v>7</v>
      </c>
      <c r="F4" s="261" t="s">
        <v>308</v>
      </c>
      <c r="G4" s="261" t="s">
        <v>9</v>
      </c>
      <c r="H4" s="261" t="s">
        <v>8</v>
      </c>
      <c r="I4" s="57" t="s">
        <v>9</v>
      </c>
      <c r="J4" s="7" t="s">
        <v>10</v>
      </c>
      <c r="K4" s="8" t="s">
        <v>11</v>
      </c>
      <c r="L4" s="11" t="s">
        <v>12</v>
      </c>
      <c r="M4" s="21" t="s">
        <v>13</v>
      </c>
      <c r="N4" s="21" t="s">
        <v>14</v>
      </c>
      <c r="O4" s="21" t="s">
        <v>15</v>
      </c>
      <c r="P4" s="21" t="s">
        <v>16</v>
      </c>
      <c r="Q4" s="21" t="s">
        <v>17</v>
      </c>
      <c r="R4" s="21" t="s">
        <v>18</v>
      </c>
      <c r="S4" s="285" t="s">
        <v>19</v>
      </c>
    </row>
    <row r="5" spans="2:19" s="2" customFormat="1" ht="21" customHeight="1" x14ac:dyDescent="0.35">
      <c r="B5" s="285"/>
      <c r="D5" s="297"/>
      <c r="F5" s="27"/>
      <c r="G5" s="262"/>
      <c r="H5" s="27" t="s">
        <v>20</v>
      </c>
      <c r="I5" s="27" t="s">
        <v>21</v>
      </c>
      <c r="J5" s="262" t="s">
        <v>22</v>
      </c>
      <c r="K5" s="9" t="s">
        <v>23</v>
      </c>
      <c r="L5" s="12" t="s">
        <v>24</v>
      </c>
      <c r="M5" s="22" t="s">
        <v>25</v>
      </c>
      <c r="N5" s="22" t="s">
        <v>26</v>
      </c>
      <c r="O5" s="22" t="s">
        <v>27</v>
      </c>
      <c r="P5" s="22" t="s">
        <v>28</v>
      </c>
      <c r="Q5" s="22" t="s">
        <v>309</v>
      </c>
      <c r="R5" s="22" t="s">
        <v>310</v>
      </c>
      <c r="S5" s="285"/>
    </row>
    <row r="6" spans="2:19" s="2" customFormat="1" ht="35.25" customHeight="1" x14ac:dyDescent="0.35">
      <c r="B6" s="115"/>
      <c r="D6" s="115"/>
      <c r="F6" s="293" t="s">
        <v>31</v>
      </c>
      <c r="G6" s="294"/>
      <c r="H6" s="300" t="s">
        <v>31</v>
      </c>
      <c r="I6" s="301"/>
      <c r="J6" s="301"/>
      <c r="K6" s="301"/>
      <c r="L6" s="301"/>
      <c r="M6" s="301"/>
      <c r="N6" s="301"/>
      <c r="O6" s="301"/>
      <c r="P6" s="301"/>
      <c r="Q6" s="301"/>
      <c r="R6" s="301"/>
      <c r="S6" s="115"/>
    </row>
    <row r="7" spans="2:19" s="2" customFormat="1" ht="35.25" customHeight="1" x14ac:dyDescent="0.35">
      <c r="B7" s="115"/>
      <c r="D7" s="115"/>
      <c r="F7" s="293" t="s">
        <v>32</v>
      </c>
      <c r="G7" s="294"/>
      <c r="H7" s="293" t="s">
        <v>32</v>
      </c>
      <c r="I7" s="295"/>
      <c r="J7" s="295"/>
      <c r="K7" s="295"/>
      <c r="L7" s="295"/>
      <c r="M7" s="295"/>
      <c r="N7" s="295"/>
      <c r="O7" s="295"/>
      <c r="P7" s="295"/>
      <c r="Q7" s="295"/>
      <c r="R7" s="295"/>
      <c r="S7" s="115"/>
    </row>
    <row r="8" spans="2:19" s="203" customFormat="1" ht="122.25" customHeight="1" x14ac:dyDescent="0.35">
      <c r="B8" s="217">
        <f>1</f>
        <v>1</v>
      </c>
      <c r="D8" s="217" t="s">
        <v>33</v>
      </c>
      <c r="F8" s="204" t="s">
        <v>311</v>
      </c>
      <c r="G8" s="204" t="s">
        <v>312</v>
      </c>
      <c r="H8" s="204" t="s">
        <v>311</v>
      </c>
      <c r="I8" s="204" t="s">
        <v>540</v>
      </c>
      <c r="J8" s="202">
        <f>Assumptions!D10</f>
        <v>56</v>
      </c>
      <c r="K8" s="205">
        <v>1</v>
      </c>
      <c r="L8" s="205">
        <f>J8*K8</f>
        <v>56</v>
      </c>
      <c r="M8" s="206">
        <v>16</v>
      </c>
      <c r="N8" s="206">
        <f>L8*M8</f>
        <v>896</v>
      </c>
      <c r="O8" s="206">
        <v>896</v>
      </c>
      <c r="P8" s="206">
        <v>0</v>
      </c>
      <c r="Q8" s="206">
        <f t="shared" ref="Q8:Q10" si="0">N8-O8</f>
        <v>0</v>
      </c>
      <c r="R8" s="206">
        <f>P8+Q8</f>
        <v>0</v>
      </c>
      <c r="S8" s="218"/>
    </row>
    <row r="9" spans="2:19" s="1" customFormat="1" ht="62.75" customHeight="1" x14ac:dyDescent="0.35">
      <c r="B9" s="116">
        <f t="shared" ref="B9:B10" si="1">B8+1</f>
        <v>2</v>
      </c>
      <c r="D9" s="116" t="s">
        <v>33</v>
      </c>
      <c r="F9" s="44" t="s">
        <v>193</v>
      </c>
      <c r="G9" s="49" t="s">
        <v>313</v>
      </c>
      <c r="H9" s="44" t="s">
        <v>193</v>
      </c>
      <c r="I9" s="49" t="s">
        <v>313</v>
      </c>
      <c r="J9" s="5">
        <f>Assumptions!D10</f>
        <v>56</v>
      </c>
      <c r="K9" s="47">
        <v>21</v>
      </c>
      <c r="L9" s="47">
        <f t="shared" ref="L9" si="2">J9*K9</f>
        <v>1176</v>
      </c>
      <c r="M9" s="48">
        <v>1.5</v>
      </c>
      <c r="N9" s="48">
        <f t="shared" ref="N9" si="3">L9*M9</f>
        <v>1764</v>
      </c>
      <c r="O9" s="48">
        <v>1764</v>
      </c>
      <c r="P9" s="48">
        <v>0</v>
      </c>
      <c r="Q9" s="48">
        <f t="shared" si="0"/>
        <v>0</v>
      </c>
      <c r="R9" s="48">
        <f t="shared" ref="R9" si="4">P9+Q9</f>
        <v>0</v>
      </c>
      <c r="S9" s="49"/>
    </row>
    <row r="10" spans="2:19" s="203" customFormat="1" ht="75.75" customHeight="1" x14ac:dyDescent="0.35">
      <c r="B10" s="217">
        <f t="shared" si="1"/>
        <v>3</v>
      </c>
      <c r="D10" s="217" t="s">
        <v>33</v>
      </c>
      <c r="F10" s="204" t="s">
        <v>314</v>
      </c>
      <c r="G10" s="207" t="s">
        <v>315</v>
      </c>
      <c r="H10" s="204" t="s">
        <v>314</v>
      </c>
      <c r="I10" s="207" t="s">
        <v>315</v>
      </c>
      <c r="J10" s="202">
        <f>Assumptions!D10</f>
        <v>56</v>
      </c>
      <c r="K10" s="205">
        <v>1</v>
      </c>
      <c r="L10" s="205">
        <f>J10*K10</f>
        <v>56</v>
      </c>
      <c r="M10" s="206">
        <v>80</v>
      </c>
      <c r="N10" s="206">
        <f>L10*M10</f>
        <v>4480</v>
      </c>
      <c r="O10" s="206">
        <v>4480</v>
      </c>
      <c r="P10" s="206">
        <v>0</v>
      </c>
      <c r="Q10" s="206">
        <f t="shared" si="0"/>
        <v>0</v>
      </c>
      <c r="R10" s="206">
        <f>P10+Q10</f>
        <v>0</v>
      </c>
      <c r="S10" s="207"/>
    </row>
    <row r="11" spans="2:19" s="245" customFormat="1" ht="68" customHeight="1" x14ac:dyDescent="0.35">
      <c r="B11" s="242">
        <f>B10+1</f>
        <v>4</v>
      </c>
      <c r="D11" s="242" t="s">
        <v>33</v>
      </c>
      <c r="F11" s="235">
        <v>226.6</v>
      </c>
      <c r="G11" s="235" t="s">
        <v>316</v>
      </c>
      <c r="H11" s="235" t="s">
        <v>488</v>
      </c>
      <c r="I11" s="235" t="s">
        <v>546</v>
      </c>
      <c r="J11" s="243">
        <f>Assumptions!D10</f>
        <v>56</v>
      </c>
      <c r="K11" s="237">
        <v>5</v>
      </c>
      <c r="L11" s="237">
        <f>J11*K11</f>
        <v>280</v>
      </c>
      <c r="M11" s="239">
        <v>5</v>
      </c>
      <c r="N11" s="239">
        <f>L11*M11</f>
        <v>1400</v>
      </c>
      <c r="O11" s="239">
        <v>1400</v>
      </c>
      <c r="P11" s="239">
        <v>0</v>
      </c>
      <c r="Q11" s="239">
        <f t="shared" ref="Q11" si="5">N11-O11</f>
        <v>0</v>
      </c>
      <c r="R11" s="239">
        <f>P11+Q11</f>
        <v>0</v>
      </c>
      <c r="S11" s="244" t="s">
        <v>317</v>
      </c>
    </row>
    <row r="12" spans="2:19" s="203" customFormat="1" ht="59.5" customHeight="1" x14ac:dyDescent="0.35">
      <c r="B12" s="242">
        <f>B11+1</f>
        <v>5</v>
      </c>
      <c r="D12" s="242" t="s">
        <v>43</v>
      </c>
      <c r="F12" s="235"/>
      <c r="G12" s="244"/>
      <c r="H12" s="235" t="s">
        <v>318</v>
      </c>
      <c r="I12" s="244" t="s">
        <v>547</v>
      </c>
      <c r="J12" s="243">
        <f>Assumptions!D10</f>
        <v>56</v>
      </c>
      <c r="K12" s="237">
        <v>3</v>
      </c>
      <c r="L12" s="237">
        <f>J12*K12</f>
        <v>168</v>
      </c>
      <c r="M12" s="239">
        <v>1.5</v>
      </c>
      <c r="N12" s="239">
        <f>L12*M12</f>
        <v>252</v>
      </c>
      <c r="O12" s="239">
        <v>0</v>
      </c>
      <c r="P12" s="239">
        <v>0</v>
      </c>
      <c r="Q12" s="239">
        <f>N12-O12</f>
        <v>252</v>
      </c>
      <c r="R12" s="239">
        <f>P12+Q12</f>
        <v>252</v>
      </c>
      <c r="S12" s="244"/>
    </row>
    <row r="13" spans="2:19" s="1" customFormat="1" x14ac:dyDescent="0.35">
      <c r="B13" s="115"/>
      <c r="D13" s="115"/>
      <c r="F13" s="58"/>
      <c r="G13" s="59"/>
      <c r="H13" s="292" t="s">
        <v>183</v>
      </c>
      <c r="I13" s="292"/>
      <c r="J13" s="101">
        <f>Assumptions!D10</f>
        <v>56</v>
      </c>
      <c r="K13" s="102">
        <f>L13/J13</f>
        <v>31</v>
      </c>
      <c r="L13" s="102">
        <f>SUM(L8:L12)</f>
        <v>1736</v>
      </c>
      <c r="M13" s="105">
        <f>N13/L13</f>
        <v>5.064516129032258</v>
      </c>
      <c r="N13" s="105">
        <f>SUM(N8:N12)</f>
        <v>8792</v>
      </c>
      <c r="O13" s="105">
        <f>SUM(O8:O12)</f>
        <v>8540</v>
      </c>
      <c r="P13" s="105">
        <f t="shared" ref="P13:R13" si="6">SUM(P8:P12)</f>
        <v>0</v>
      </c>
      <c r="Q13" s="105">
        <f t="shared" si="6"/>
        <v>252</v>
      </c>
      <c r="R13" s="105">
        <f t="shared" si="6"/>
        <v>252</v>
      </c>
      <c r="S13" s="115"/>
    </row>
    <row r="14" spans="2:19" ht="35.25" customHeight="1" x14ac:dyDescent="0.35">
      <c r="B14" s="115"/>
      <c r="D14" s="115"/>
      <c r="F14" s="279" t="s">
        <v>184</v>
      </c>
      <c r="G14" s="279"/>
      <c r="H14" s="280" t="s">
        <v>184</v>
      </c>
      <c r="I14" s="281"/>
      <c r="J14" s="281"/>
      <c r="K14" s="281"/>
      <c r="L14" s="281"/>
      <c r="M14" s="281"/>
      <c r="N14" s="281"/>
      <c r="O14" s="281"/>
      <c r="P14" s="281"/>
      <c r="Q14" s="281"/>
      <c r="R14" s="281"/>
      <c r="S14" s="115"/>
    </row>
    <row r="15" spans="2:19" s="1" customFormat="1" ht="125.25" customHeight="1" x14ac:dyDescent="0.35">
      <c r="B15" s="116">
        <v>1</v>
      </c>
      <c r="D15" s="116" t="s">
        <v>33</v>
      </c>
      <c r="F15" s="44" t="s">
        <v>319</v>
      </c>
      <c r="G15" s="49" t="s">
        <v>320</v>
      </c>
      <c r="H15" s="44" t="s">
        <v>319</v>
      </c>
      <c r="I15" s="49" t="s">
        <v>320</v>
      </c>
      <c r="J15" s="47">
        <f>ROUND(Assumptions!$D$33*Assumptions!D21,0)</f>
        <v>3791</v>
      </c>
      <c r="K15" s="47">
        <v>3</v>
      </c>
      <c r="L15" s="47">
        <f t="shared" ref="L15:L17" si="7">J15*K15</f>
        <v>11373</v>
      </c>
      <c r="M15" s="48">
        <v>1</v>
      </c>
      <c r="N15" s="48">
        <f t="shared" ref="N15:N17" si="8">L15*M15</f>
        <v>11373</v>
      </c>
      <c r="O15" s="48">
        <v>11373</v>
      </c>
      <c r="P15" s="48"/>
      <c r="Q15" s="48">
        <f t="shared" ref="Q15:Q17" si="9">N15-O15</f>
        <v>0</v>
      </c>
      <c r="R15" s="48">
        <f t="shared" ref="R15:R17" si="10">P15+Q15</f>
        <v>0</v>
      </c>
      <c r="S15" s="49"/>
    </row>
    <row r="16" spans="2:19" s="1" customFormat="1" ht="29" x14ac:dyDescent="0.35">
      <c r="B16" s="116">
        <f>B15+1</f>
        <v>2</v>
      </c>
      <c r="D16" s="116" t="s">
        <v>33</v>
      </c>
      <c r="F16" s="58" t="s">
        <v>321</v>
      </c>
      <c r="G16" s="64" t="s">
        <v>322</v>
      </c>
      <c r="H16" s="58" t="s">
        <v>321</v>
      </c>
      <c r="I16" s="64" t="s">
        <v>322</v>
      </c>
      <c r="J16" s="5">
        <f>ROUND(Assumptions!$D$28*Assumptions!$D$23,0)</f>
        <v>83</v>
      </c>
      <c r="K16" s="47">
        <f>Assumptions!D41</f>
        <v>127</v>
      </c>
      <c r="L16" s="47">
        <f t="shared" ref="L16" si="11">J16*K16</f>
        <v>10541</v>
      </c>
      <c r="M16" s="48">
        <v>2.5000000000000001E-2</v>
      </c>
      <c r="N16" s="48">
        <f t="shared" ref="N16" si="12">L16*M16</f>
        <v>263.52500000000003</v>
      </c>
      <c r="O16" s="48">
        <v>263.52499999999998</v>
      </c>
      <c r="P16" s="48"/>
      <c r="Q16" s="48">
        <f t="shared" si="9"/>
        <v>0</v>
      </c>
      <c r="R16" s="48">
        <f t="shared" ref="R16" si="13">P16+Q16</f>
        <v>0</v>
      </c>
      <c r="S16" s="67"/>
    </row>
    <row r="17" spans="2:19" s="1" customFormat="1" ht="43.5" x14ac:dyDescent="0.35">
      <c r="B17" s="116">
        <f>B16+1</f>
        <v>3</v>
      </c>
      <c r="D17" s="116" t="s">
        <v>33</v>
      </c>
      <c r="F17" s="65" t="s">
        <v>323</v>
      </c>
      <c r="G17" s="49" t="s">
        <v>324</v>
      </c>
      <c r="H17" s="65" t="s">
        <v>323</v>
      </c>
      <c r="I17" s="49" t="s">
        <v>324</v>
      </c>
      <c r="J17" s="5">
        <f>ROUND(Assumptions!$D$28*Assumptions!$D$23,0)</f>
        <v>83</v>
      </c>
      <c r="K17" s="47">
        <f>ROUND(Assumptions!D41/3,0)</f>
        <v>42</v>
      </c>
      <c r="L17" s="47">
        <f t="shared" si="7"/>
        <v>3486</v>
      </c>
      <c r="M17" s="48">
        <v>2.5000000000000001E-2</v>
      </c>
      <c r="N17" s="48">
        <f t="shared" si="8"/>
        <v>87.15</v>
      </c>
      <c r="O17" s="48">
        <v>87.15</v>
      </c>
      <c r="P17" s="48"/>
      <c r="Q17" s="48">
        <f t="shared" si="9"/>
        <v>0</v>
      </c>
      <c r="R17" s="48">
        <f t="shared" si="10"/>
        <v>0</v>
      </c>
      <c r="S17" s="67"/>
    </row>
    <row r="18" spans="2:19" s="1" customFormat="1" x14ac:dyDescent="0.35">
      <c r="B18" s="115"/>
      <c r="D18" s="115"/>
      <c r="F18" s="58"/>
      <c r="G18" s="64"/>
      <c r="H18" s="292" t="s">
        <v>183</v>
      </c>
      <c r="I18" s="292"/>
      <c r="J18" s="102">
        <f>J15</f>
        <v>3791</v>
      </c>
      <c r="K18" s="102">
        <f>L18/J18</f>
        <v>6.7000791347929303</v>
      </c>
      <c r="L18" s="102">
        <f>SUM(L15:L17)</f>
        <v>25400</v>
      </c>
      <c r="M18" s="105">
        <f>N18/L18</f>
        <v>0.46156200787401575</v>
      </c>
      <c r="N18" s="105">
        <f>SUM(N15:N17)</f>
        <v>11723.674999999999</v>
      </c>
      <c r="O18" s="102">
        <f t="shared" ref="O18:R18" si="14">SUM(O15:O17)</f>
        <v>11723.674999999999</v>
      </c>
      <c r="P18" s="105">
        <f t="shared" si="14"/>
        <v>0</v>
      </c>
      <c r="Q18" s="105">
        <f t="shared" si="14"/>
        <v>0</v>
      </c>
      <c r="R18" s="105">
        <f t="shared" si="14"/>
        <v>0</v>
      </c>
      <c r="S18" s="115"/>
    </row>
    <row r="19" spans="2:19" s="1" customFormat="1" x14ac:dyDescent="0.35">
      <c r="B19" s="115"/>
      <c r="D19" s="115"/>
      <c r="F19" s="298" t="s">
        <v>242</v>
      </c>
      <c r="G19" s="298"/>
      <c r="H19" s="298"/>
      <c r="I19" s="298"/>
      <c r="J19" s="14">
        <f>J13+J18</f>
        <v>3847</v>
      </c>
      <c r="K19" s="17">
        <f>L19/J19</f>
        <v>7.0538081622043149</v>
      </c>
      <c r="L19" s="17">
        <f>L13+L18</f>
        <v>27136</v>
      </c>
      <c r="M19" s="125">
        <f>N19/L19</f>
        <v>0.75603165536556605</v>
      </c>
      <c r="N19" s="125">
        <f>N13+N18</f>
        <v>20515.674999999999</v>
      </c>
      <c r="O19" s="17">
        <f t="shared" ref="O19:R19" si="15">O13+O18</f>
        <v>20263.674999999999</v>
      </c>
      <c r="P19" s="125">
        <f t="shared" si="15"/>
        <v>0</v>
      </c>
      <c r="Q19" s="125">
        <f t="shared" si="15"/>
        <v>252</v>
      </c>
      <c r="R19" s="125">
        <f t="shared" si="15"/>
        <v>252</v>
      </c>
      <c r="S19" s="115"/>
    </row>
    <row r="20" spans="2:19" ht="35.25" customHeight="1" x14ac:dyDescent="0.35">
      <c r="B20" s="115"/>
      <c r="D20" s="115"/>
      <c r="F20" s="299" t="s">
        <v>243</v>
      </c>
      <c r="G20" s="299"/>
      <c r="H20" s="293" t="s">
        <v>243</v>
      </c>
      <c r="I20" s="295"/>
      <c r="J20" s="295"/>
      <c r="K20" s="295"/>
      <c r="L20" s="295"/>
      <c r="M20" s="295"/>
      <c r="N20" s="295"/>
      <c r="O20" s="295"/>
      <c r="P20" s="295"/>
      <c r="Q20" s="295"/>
      <c r="R20" s="295"/>
      <c r="S20" s="115"/>
    </row>
    <row r="21" spans="2:19" ht="35.25" customHeight="1" x14ac:dyDescent="0.35">
      <c r="B21" s="115"/>
      <c r="D21" s="115"/>
      <c r="F21" s="279" t="s">
        <v>244</v>
      </c>
      <c r="G21" s="279"/>
      <c r="H21" s="280" t="s">
        <v>244</v>
      </c>
      <c r="I21" s="281"/>
      <c r="J21" s="281"/>
      <c r="K21" s="281"/>
      <c r="L21" s="281"/>
      <c r="M21" s="281"/>
      <c r="N21" s="281"/>
      <c r="O21" s="281"/>
      <c r="P21" s="281"/>
      <c r="Q21" s="281"/>
      <c r="R21" s="281"/>
      <c r="S21" s="115"/>
    </row>
    <row r="22" spans="2:19" s="1" customFormat="1" ht="174" x14ac:dyDescent="0.35">
      <c r="B22" s="116">
        <v>1</v>
      </c>
      <c r="D22" s="116" t="s">
        <v>33</v>
      </c>
      <c r="F22" s="44" t="s">
        <v>319</v>
      </c>
      <c r="G22" s="49" t="s">
        <v>325</v>
      </c>
      <c r="H22" s="44" t="s">
        <v>319</v>
      </c>
      <c r="I22" s="49" t="s">
        <v>325</v>
      </c>
      <c r="J22" s="47">
        <f>ROUND(Assumptions!$D$33*Assumptions!D22,0)</f>
        <v>21650</v>
      </c>
      <c r="K22" s="47">
        <v>3</v>
      </c>
      <c r="L22" s="47">
        <f t="shared" ref="L22:L24" si="16">J22*K22</f>
        <v>64950</v>
      </c>
      <c r="M22" s="48">
        <v>1</v>
      </c>
      <c r="N22" s="48">
        <f t="shared" ref="N22:N24" si="17">L22*M22</f>
        <v>64950</v>
      </c>
      <c r="O22" s="48">
        <v>64950</v>
      </c>
      <c r="P22" s="48"/>
      <c r="Q22" s="48">
        <f t="shared" ref="Q22:Q24" si="18">N22-O22</f>
        <v>0</v>
      </c>
      <c r="R22" s="48">
        <f t="shared" ref="R22:R25" si="19">P22+Q22</f>
        <v>0</v>
      </c>
      <c r="S22" s="49"/>
    </row>
    <row r="23" spans="2:19" s="1" customFormat="1" ht="29" x14ac:dyDescent="0.35">
      <c r="B23" s="116">
        <f>B22+1</f>
        <v>2</v>
      </c>
      <c r="D23" s="116" t="s">
        <v>33</v>
      </c>
      <c r="F23" s="58" t="s">
        <v>321</v>
      </c>
      <c r="G23" s="64" t="s">
        <v>322</v>
      </c>
      <c r="H23" s="58" t="s">
        <v>321</v>
      </c>
      <c r="I23" s="64" t="s">
        <v>322</v>
      </c>
      <c r="J23" s="5">
        <f>ROUND(Assumptions!$D$28*Assumptions!$D$24,0)</f>
        <v>551</v>
      </c>
      <c r="K23" s="47">
        <f>Assumptions!D41</f>
        <v>127</v>
      </c>
      <c r="L23" s="47">
        <f t="shared" si="16"/>
        <v>69977</v>
      </c>
      <c r="M23" s="48">
        <v>2.5000000000000001E-2</v>
      </c>
      <c r="N23" s="48">
        <f t="shared" si="17"/>
        <v>1749.4250000000002</v>
      </c>
      <c r="O23" s="48">
        <v>1749.425</v>
      </c>
      <c r="P23" s="48"/>
      <c r="Q23" s="48">
        <f t="shared" si="18"/>
        <v>0</v>
      </c>
      <c r="R23" s="48">
        <f t="shared" si="19"/>
        <v>0</v>
      </c>
      <c r="S23" s="67"/>
    </row>
    <row r="24" spans="2:19" s="1" customFormat="1" ht="43.5" x14ac:dyDescent="0.35">
      <c r="B24" s="116">
        <f>B23+1</f>
        <v>3</v>
      </c>
      <c r="D24" s="116" t="s">
        <v>33</v>
      </c>
      <c r="F24" s="65" t="s">
        <v>323</v>
      </c>
      <c r="G24" s="49" t="s">
        <v>324</v>
      </c>
      <c r="H24" s="65" t="s">
        <v>323</v>
      </c>
      <c r="I24" s="49" t="s">
        <v>324</v>
      </c>
      <c r="J24" s="5">
        <f>ROUND(Assumptions!$D$28*Assumptions!$D$24,0)</f>
        <v>551</v>
      </c>
      <c r="K24" s="47">
        <f>ROUND(Assumptions!D41/3,0)</f>
        <v>42</v>
      </c>
      <c r="L24" s="47">
        <f t="shared" si="16"/>
        <v>23142</v>
      </c>
      <c r="M24" s="48">
        <v>2.5000000000000001E-2</v>
      </c>
      <c r="N24" s="48">
        <f t="shared" si="17"/>
        <v>578.55000000000007</v>
      </c>
      <c r="O24" s="48">
        <v>578.54999999999995</v>
      </c>
      <c r="P24" s="48"/>
      <c r="Q24" s="48">
        <f t="shared" si="18"/>
        <v>0</v>
      </c>
      <c r="R24" s="48">
        <f t="shared" si="19"/>
        <v>0</v>
      </c>
      <c r="S24" s="67"/>
    </row>
    <row r="25" spans="2:19" s="1" customFormat="1" ht="60.5" customHeight="1" x14ac:dyDescent="0.35">
      <c r="B25" s="116"/>
      <c r="D25" s="116"/>
      <c r="F25" s="65" t="s">
        <v>541</v>
      </c>
      <c r="G25" s="49" t="s">
        <v>543</v>
      </c>
      <c r="H25" s="65" t="s">
        <v>541</v>
      </c>
      <c r="I25" s="49" t="s">
        <v>542</v>
      </c>
      <c r="J25" s="5">
        <v>70</v>
      </c>
      <c r="K25" s="47">
        <v>1</v>
      </c>
      <c r="L25" s="47">
        <f>J25*K25</f>
        <v>70</v>
      </c>
      <c r="M25" s="272">
        <v>1.25</v>
      </c>
      <c r="N25" s="48">
        <f>L25*M25</f>
        <v>87.5</v>
      </c>
      <c r="O25" s="48">
        <v>87.5</v>
      </c>
      <c r="P25" s="47"/>
      <c r="Q25" s="48">
        <f>N25-O25</f>
        <v>0</v>
      </c>
      <c r="R25" s="47">
        <f t="shared" si="19"/>
        <v>0</v>
      </c>
      <c r="S25" s="67"/>
    </row>
    <row r="26" spans="2:19" s="1" customFormat="1" x14ac:dyDescent="0.35">
      <c r="B26" s="115"/>
      <c r="D26" s="115"/>
      <c r="F26" s="58"/>
      <c r="G26" s="64"/>
      <c r="H26" s="292" t="s">
        <v>183</v>
      </c>
      <c r="I26" s="292"/>
      <c r="J26" s="102">
        <f>J22</f>
        <v>21650</v>
      </c>
      <c r="K26" s="105">
        <f>L26/J26</f>
        <v>7.3043418013856813</v>
      </c>
      <c r="L26" s="102">
        <f>SUM(L22:L25)</f>
        <v>158139</v>
      </c>
      <c r="M26" s="105">
        <f>N26/L26</f>
        <v>0.42599232320932851</v>
      </c>
      <c r="N26" s="105">
        <v>67366</v>
      </c>
      <c r="O26" s="102">
        <v>67366</v>
      </c>
      <c r="P26" s="105">
        <f>SUM(P22:P24)</f>
        <v>0</v>
      </c>
      <c r="Q26" s="105">
        <f>SUM(Q22:Q24)</f>
        <v>0</v>
      </c>
      <c r="R26" s="105">
        <f>SUM(R22:R24)</f>
        <v>0</v>
      </c>
      <c r="S26" s="115"/>
    </row>
    <row r="27" spans="2:19" s="2" customFormat="1" ht="35.25" customHeight="1" x14ac:dyDescent="0.35">
      <c r="B27" s="115"/>
      <c r="D27" s="115"/>
      <c r="F27" s="299" t="s">
        <v>275</v>
      </c>
      <c r="G27" s="299"/>
      <c r="H27" s="293" t="s">
        <v>275</v>
      </c>
      <c r="I27" s="295"/>
      <c r="J27" s="295"/>
      <c r="K27" s="295"/>
      <c r="L27" s="295"/>
      <c r="M27" s="295"/>
      <c r="N27" s="295"/>
      <c r="O27" s="295"/>
      <c r="P27" s="295"/>
      <c r="Q27" s="295"/>
      <c r="R27" s="295"/>
      <c r="S27" s="115"/>
    </row>
    <row r="28" spans="2:19" s="1" customFormat="1" ht="174" x14ac:dyDescent="0.35">
      <c r="B28" s="116">
        <v>1</v>
      </c>
      <c r="D28" s="116" t="s">
        <v>33</v>
      </c>
      <c r="F28" s="257" t="s">
        <v>326</v>
      </c>
      <c r="G28" s="59" t="s">
        <v>327</v>
      </c>
      <c r="H28" s="187" t="s">
        <v>326</v>
      </c>
      <c r="I28" s="59" t="s">
        <v>327</v>
      </c>
      <c r="J28" s="47">
        <f>Assumptions!D36+Assumptions!D39</f>
        <v>159490</v>
      </c>
      <c r="K28" s="47">
        <v>3</v>
      </c>
      <c r="L28" s="47">
        <f t="shared" ref="L28" si="20">J28*K28</f>
        <v>478470</v>
      </c>
      <c r="M28" s="48">
        <v>1</v>
      </c>
      <c r="N28" s="48">
        <f t="shared" ref="N28" si="21">L28*M28</f>
        <v>478470</v>
      </c>
      <c r="O28" s="48">
        <v>478470</v>
      </c>
      <c r="P28" s="48"/>
      <c r="Q28" s="48">
        <f>N28-O28</f>
        <v>0</v>
      </c>
      <c r="R28" s="48">
        <f t="shared" ref="R28:R29" si="22">P28+Q28</f>
        <v>0</v>
      </c>
      <c r="S28" s="49"/>
    </row>
    <row r="29" spans="2:19" s="1" customFormat="1" ht="90" customHeight="1" x14ac:dyDescent="0.35">
      <c r="B29" s="116"/>
      <c r="D29" s="116"/>
      <c r="F29" s="257" t="s">
        <v>541</v>
      </c>
      <c r="G29" s="59" t="s">
        <v>545</v>
      </c>
      <c r="H29" s="257" t="s">
        <v>541</v>
      </c>
      <c r="I29" s="59" t="s">
        <v>544</v>
      </c>
      <c r="J29" s="47">
        <v>540</v>
      </c>
      <c r="K29" s="47">
        <v>1</v>
      </c>
      <c r="L29" s="47">
        <f>J29*K29</f>
        <v>540</v>
      </c>
      <c r="M29" s="48">
        <v>1.25</v>
      </c>
      <c r="N29" s="47">
        <f>L29*M29</f>
        <v>675</v>
      </c>
      <c r="O29" s="47">
        <v>675</v>
      </c>
      <c r="P29" s="47"/>
      <c r="Q29" s="47">
        <f>N29-O29</f>
        <v>0</v>
      </c>
      <c r="R29" s="47">
        <f t="shared" si="22"/>
        <v>0</v>
      </c>
      <c r="S29" s="49"/>
    </row>
    <row r="30" spans="2:19" s="1" customFormat="1" x14ac:dyDescent="0.35">
      <c r="B30" s="115"/>
      <c r="D30" s="115"/>
      <c r="F30" s="59"/>
      <c r="G30" s="59"/>
      <c r="H30" s="292" t="s">
        <v>183</v>
      </c>
      <c r="I30" s="292"/>
      <c r="J30" s="102">
        <f>J28</f>
        <v>159490</v>
      </c>
      <c r="K30" s="105">
        <f>L30/J30</f>
        <v>3.0033857922126779</v>
      </c>
      <c r="L30" s="102">
        <f>SUM(L28:L29)</f>
        <v>479010</v>
      </c>
      <c r="M30" s="105">
        <f>N30/L30</f>
        <v>1.0002818312770088</v>
      </c>
      <c r="N30" s="105">
        <f>SUM(N28:N29)</f>
        <v>479145</v>
      </c>
      <c r="O30" s="105">
        <f>SUM(O28:O29)</f>
        <v>479145</v>
      </c>
      <c r="P30" s="105">
        <f t="shared" ref="P30:R30" si="23">P28</f>
        <v>0</v>
      </c>
      <c r="Q30" s="105">
        <f t="shared" si="23"/>
        <v>0</v>
      </c>
      <c r="R30" s="105">
        <f t="shared" si="23"/>
        <v>0</v>
      </c>
      <c r="S30" s="115"/>
    </row>
    <row r="31" spans="2:19" s="1" customFormat="1" x14ac:dyDescent="0.35">
      <c r="B31" s="115"/>
      <c r="D31" s="115"/>
      <c r="F31" s="298" t="s">
        <v>287</v>
      </c>
      <c r="G31" s="298"/>
      <c r="H31" s="298"/>
      <c r="I31" s="298"/>
      <c r="J31" s="14">
        <f>J26+J30</f>
        <v>181140</v>
      </c>
      <c r="K31" s="17">
        <f>L31/J31</f>
        <v>3.5174395495197084</v>
      </c>
      <c r="L31" s="17">
        <f>L26+L30</f>
        <v>637149</v>
      </c>
      <c r="M31" s="125">
        <f>N31/L31</f>
        <v>0.85774438161246425</v>
      </c>
      <c r="N31" s="17">
        <v>546510.97499999998</v>
      </c>
      <c r="O31" s="17">
        <v>546510.97499999998</v>
      </c>
      <c r="P31" s="125">
        <f t="shared" ref="P31:R31" si="24">P26+P30</f>
        <v>0</v>
      </c>
      <c r="Q31" s="125">
        <f t="shared" si="24"/>
        <v>0</v>
      </c>
      <c r="R31" s="125">
        <f t="shared" si="24"/>
        <v>0</v>
      </c>
      <c r="S31" s="115"/>
    </row>
    <row r="32" spans="2:19" x14ac:dyDescent="0.35">
      <c r="B32" s="117"/>
      <c r="D32" s="117"/>
    </row>
    <row r="33" spans="2:18" x14ac:dyDescent="0.35">
      <c r="B33" s="117"/>
      <c r="D33" s="117"/>
    </row>
    <row r="34" spans="2:18" x14ac:dyDescent="0.35">
      <c r="B34" s="117"/>
      <c r="D34" s="117"/>
      <c r="H34" s="114"/>
      <c r="I34" s="68"/>
      <c r="J34" s="68"/>
      <c r="K34" s="68"/>
      <c r="L34" s="68"/>
      <c r="M34" s="196"/>
      <c r="N34" s="196"/>
      <c r="O34" s="282" t="s">
        <v>5</v>
      </c>
      <c r="P34" s="282"/>
      <c r="Q34" s="282"/>
      <c r="R34" s="282"/>
    </row>
    <row r="35" spans="2:18" ht="43.5" x14ac:dyDescent="0.35">
      <c r="B35" s="117"/>
      <c r="D35" s="117"/>
      <c r="H35" s="114"/>
      <c r="I35" s="286" t="s">
        <v>328</v>
      </c>
      <c r="J35" s="7" t="s">
        <v>10</v>
      </c>
      <c r="K35" s="8" t="s">
        <v>11</v>
      </c>
      <c r="L35" s="11" t="s">
        <v>12</v>
      </c>
      <c r="M35" s="21" t="s">
        <v>13</v>
      </c>
      <c r="N35" s="21" t="s">
        <v>14</v>
      </c>
      <c r="O35" s="21" t="s">
        <v>15</v>
      </c>
      <c r="P35" s="21" t="s">
        <v>16</v>
      </c>
      <c r="Q35" s="21" t="s">
        <v>17</v>
      </c>
      <c r="R35" s="21" t="s">
        <v>18</v>
      </c>
    </row>
    <row r="36" spans="2:18" x14ac:dyDescent="0.35">
      <c r="B36" s="117"/>
      <c r="D36" s="117"/>
      <c r="H36" s="114"/>
      <c r="I36" s="286"/>
      <c r="J36" s="9" t="s">
        <v>20</v>
      </c>
      <c r="K36" s="9" t="s">
        <v>21</v>
      </c>
      <c r="L36" s="9" t="s">
        <v>329</v>
      </c>
      <c r="M36" s="197" t="s">
        <v>23</v>
      </c>
      <c r="N36" s="197" t="s">
        <v>24</v>
      </c>
      <c r="O36" s="197" t="s">
        <v>25</v>
      </c>
      <c r="P36" s="197" t="s">
        <v>301</v>
      </c>
      <c r="Q36" s="197" t="s">
        <v>27</v>
      </c>
      <c r="R36" s="197" t="s">
        <v>330</v>
      </c>
    </row>
    <row r="37" spans="2:18" x14ac:dyDescent="0.35">
      <c r="B37" s="117"/>
      <c r="D37" s="117"/>
      <c r="H37" s="114"/>
      <c r="I37" s="13" t="s">
        <v>304</v>
      </c>
      <c r="J37" s="71">
        <f t="shared" ref="J37:R37" si="25">J19</f>
        <v>3847</v>
      </c>
      <c r="K37" s="60">
        <f t="shared" si="25"/>
        <v>7.0538081622043149</v>
      </c>
      <c r="L37" s="60">
        <f t="shared" si="25"/>
        <v>27136</v>
      </c>
      <c r="M37" s="198">
        <f t="shared" si="25"/>
        <v>0.75603165536556605</v>
      </c>
      <c r="N37" s="60">
        <f t="shared" si="25"/>
        <v>20515.674999999999</v>
      </c>
      <c r="O37" s="60">
        <f t="shared" si="25"/>
        <v>20263.674999999999</v>
      </c>
      <c r="P37" s="198">
        <f t="shared" si="25"/>
        <v>0</v>
      </c>
      <c r="Q37" s="198">
        <f t="shared" si="25"/>
        <v>252</v>
      </c>
      <c r="R37" s="198">
        <f t="shared" si="25"/>
        <v>252</v>
      </c>
    </row>
    <row r="38" spans="2:18" x14ac:dyDescent="0.35">
      <c r="B38" s="117"/>
      <c r="D38" s="117"/>
      <c r="H38" s="114"/>
      <c r="I38" s="70" t="s">
        <v>305</v>
      </c>
      <c r="J38" s="71">
        <f t="shared" ref="J38:P38" si="26">J31</f>
        <v>181140</v>
      </c>
      <c r="K38" s="60">
        <f t="shared" si="26"/>
        <v>3.5174395495197084</v>
      </c>
      <c r="L38" s="60">
        <f t="shared" si="26"/>
        <v>637149</v>
      </c>
      <c r="M38" s="198">
        <f t="shared" si="26"/>
        <v>0.85774438161246425</v>
      </c>
      <c r="N38" s="60">
        <f t="shared" si="26"/>
        <v>546510.97499999998</v>
      </c>
      <c r="O38" s="60">
        <f t="shared" si="26"/>
        <v>546510.97499999998</v>
      </c>
      <c r="P38" s="198">
        <f t="shared" si="26"/>
        <v>0</v>
      </c>
      <c r="Q38" s="198">
        <f t="shared" ref="Q38" si="27">Q31</f>
        <v>0</v>
      </c>
      <c r="R38" s="198">
        <f>R31</f>
        <v>0</v>
      </c>
    </row>
    <row r="39" spans="2:18" x14ac:dyDescent="0.35">
      <c r="B39" s="117"/>
      <c r="D39" s="117"/>
      <c r="H39" s="114"/>
      <c r="I39" s="70" t="s">
        <v>331</v>
      </c>
      <c r="J39" s="72">
        <f>SUM(J37:J38)</f>
        <v>184987</v>
      </c>
      <c r="K39" s="73">
        <f>L39/J39</f>
        <v>3.5909820690102547</v>
      </c>
      <c r="L39" s="61">
        <v>664285</v>
      </c>
      <c r="M39" s="200">
        <f>N39/L39</f>
        <v>0.85358942321443365</v>
      </c>
      <c r="N39" s="61">
        <f t="shared" ref="N39:R39" si="28">SUM(N37:N38)</f>
        <v>567026.65</v>
      </c>
      <c r="O39" s="61">
        <f t="shared" si="28"/>
        <v>566774.65</v>
      </c>
      <c r="P39" s="199">
        <f t="shared" si="28"/>
        <v>0</v>
      </c>
      <c r="Q39" s="199">
        <f t="shared" si="28"/>
        <v>252</v>
      </c>
      <c r="R39" s="199">
        <f t="shared" si="28"/>
        <v>252</v>
      </c>
    </row>
    <row r="40" spans="2:18" x14ac:dyDescent="0.35">
      <c r="B40" s="117"/>
      <c r="D40" s="117"/>
      <c r="H40" s="114"/>
    </row>
    <row r="41" spans="2:18" x14ac:dyDescent="0.35">
      <c r="B41" s="117"/>
      <c r="D41" s="117"/>
      <c r="H41" s="114"/>
    </row>
    <row r="42" spans="2:18" x14ac:dyDescent="0.35">
      <c r="B42" s="117"/>
      <c r="D42" s="117"/>
      <c r="H42" s="114"/>
    </row>
    <row r="43" spans="2:18" x14ac:dyDescent="0.35">
      <c r="B43" s="117"/>
      <c r="D43" s="117"/>
      <c r="H43" s="114"/>
      <c r="I43"/>
      <c r="J43"/>
      <c r="K43"/>
      <c r="L43"/>
      <c r="M43" s="75"/>
      <c r="N43" s="75"/>
      <c r="O43" s="75"/>
      <c r="P43" s="75"/>
      <c r="Q43" s="75"/>
      <c r="R43" s="75"/>
    </row>
    <row r="44" spans="2:18" x14ac:dyDescent="0.35">
      <c r="B44" s="117"/>
      <c r="D44" s="117"/>
      <c r="H44" s="114"/>
      <c r="I44"/>
      <c r="J44"/>
      <c r="K44"/>
      <c r="L44"/>
      <c r="M44" s="75"/>
      <c r="N44" s="75"/>
      <c r="O44" s="75"/>
      <c r="P44" s="75"/>
      <c r="Q44" s="75"/>
      <c r="R44" s="75"/>
    </row>
    <row r="45" spans="2:18" x14ac:dyDescent="0.35">
      <c r="B45" s="117"/>
      <c r="D45" s="117"/>
      <c r="H45" s="114"/>
      <c r="I45"/>
      <c r="J45"/>
      <c r="K45"/>
      <c r="L45"/>
      <c r="M45" s="75"/>
      <c r="N45" s="75"/>
      <c r="O45" s="75"/>
      <c r="P45" s="75"/>
      <c r="Q45" s="75"/>
      <c r="R45" s="75"/>
    </row>
    <row r="46" spans="2:18" x14ac:dyDescent="0.35">
      <c r="B46" s="117"/>
      <c r="D46" s="117"/>
      <c r="H46" s="114"/>
      <c r="I46"/>
      <c r="J46"/>
      <c r="K46"/>
      <c r="L46"/>
      <c r="M46" s="75"/>
      <c r="N46" s="75"/>
      <c r="O46" s="75"/>
      <c r="P46" s="75"/>
      <c r="Q46" s="75"/>
      <c r="R46" s="75"/>
    </row>
    <row r="47" spans="2:18" x14ac:dyDescent="0.35">
      <c r="B47" s="117"/>
      <c r="D47" s="117"/>
      <c r="H47" s="114"/>
      <c r="I47"/>
      <c r="J47"/>
      <c r="K47"/>
      <c r="L47"/>
      <c r="M47" s="75"/>
      <c r="N47" s="75"/>
      <c r="O47" s="75"/>
      <c r="P47" s="75"/>
      <c r="Q47" s="75"/>
      <c r="R47" s="75"/>
    </row>
    <row r="48" spans="2:18" x14ac:dyDescent="0.35">
      <c r="B48" s="117"/>
      <c r="D48" s="117"/>
      <c r="H48" s="114"/>
      <c r="I48"/>
      <c r="J48"/>
      <c r="K48"/>
      <c r="L48"/>
      <c r="M48" s="75"/>
      <c r="N48" s="75"/>
      <c r="O48" s="75"/>
      <c r="P48" s="75"/>
      <c r="Q48" s="75"/>
      <c r="R48" s="75"/>
    </row>
    <row r="49" spans="2:18" x14ac:dyDescent="0.35">
      <c r="B49" s="117"/>
      <c r="D49" s="117"/>
      <c r="H49" s="114"/>
      <c r="I49"/>
      <c r="J49"/>
      <c r="K49"/>
      <c r="L49"/>
      <c r="M49" s="75"/>
      <c r="N49" s="75"/>
      <c r="O49" s="75"/>
      <c r="P49" s="75"/>
      <c r="Q49" s="75"/>
      <c r="R49" s="75"/>
    </row>
    <row r="50" spans="2:18" x14ac:dyDescent="0.35">
      <c r="B50" s="117"/>
      <c r="D50" s="117"/>
      <c r="H50" s="114"/>
      <c r="I50"/>
      <c r="J50"/>
      <c r="K50"/>
      <c r="L50"/>
      <c r="M50" s="75"/>
      <c r="N50" s="75"/>
      <c r="O50" s="75"/>
      <c r="P50" s="75"/>
      <c r="Q50" s="75"/>
      <c r="R50" s="75"/>
    </row>
    <row r="51" spans="2:18" x14ac:dyDescent="0.35">
      <c r="B51" s="117"/>
      <c r="D51" s="117"/>
      <c r="H51" s="114"/>
      <c r="I51"/>
      <c r="J51"/>
      <c r="K51"/>
      <c r="L51"/>
      <c r="M51" s="75"/>
      <c r="N51" s="75"/>
      <c r="O51" s="75"/>
      <c r="P51" s="75"/>
      <c r="Q51" s="75"/>
      <c r="R51" s="75"/>
    </row>
    <row r="52" spans="2:18" x14ac:dyDescent="0.35">
      <c r="B52" s="117"/>
      <c r="D52" s="117"/>
      <c r="H52" s="114"/>
      <c r="I52"/>
      <c r="J52"/>
      <c r="K52"/>
      <c r="L52"/>
      <c r="M52" s="75"/>
      <c r="N52" s="75"/>
      <c r="O52" s="75"/>
      <c r="P52" s="75"/>
      <c r="Q52" s="75"/>
      <c r="R52" s="75"/>
    </row>
    <row r="53" spans="2:18" x14ac:dyDescent="0.35">
      <c r="B53" s="117"/>
      <c r="D53" s="117"/>
    </row>
    <row r="54" spans="2:18" x14ac:dyDescent="0.35">
      <c r="B54" s="117"/>
      <c r="D54" s="117"/>
    </row>
    <row r="55" spans="2:18" x14ac:dyDescent="0.35">
      <c r="B55" s="117"/>
      <c r="D55" s="117"/>
    </row>
    <row r="56" spans="2:18" x14ac:dyDescent="0.35">
      <c r="B56" s="117"/>
      <c r="D56" s="117"/>
    </row>
    <row r="57" spans="2:18" x14ac:dyDescent="0.35">
      <c r="B57" s="117"/>
      <c r="D57" s="117"/>
    </row>
    <row r="58" spans="2:18" x14ac:dyDescent="0.35">
      <c r="B58" s="117"/>
      <c r="D58" s="117"/>
    </row>
    <row r="59" spans="2:18" x14ac:dyDescent="0.35">
      <c r="B59" s="117"/>
      <c r="D59" s="117"/>
    </row>
    <row r="60" spans="2:18" x14ac:dyDescent="0.35">
      <c r="B60" s="117"/>
      <c r="D60" s="117"/>
    </row>
    <row r="61" spans="2:18" x14ac:dyDescent="0.35">
      <c r="B61" s="117"/>
      <c r="D61" s="117"/>
    </row>
    <row r="62" spans="2:18" x14ac:dyDescent="0.35">
      <c r="B62" s="117"/>
      <c r="D62" s="117"/>
    </row>
    <row r="63" spans="2:18" x14ac:dyDescent="0.35">
      <c r="B63" s="117"/>
      <c r="D63" s="117"/>
    </row>
    <row r="64" spans="2:18" x14ac:dyDescent="0.35">
      <c r="B64" s="117"/>
      <c r="D64" s="117"/>
    </row>
    <row r="65" spans="2:4" x14ac:dyDescent="0.35">
      <c r="B65" s="117"/>
      <c r="D65" s="117"/>
    </row>
    <row r="66" spans="2:4" x14ac:dyDescent="0.35">
      <c r="B66" s="117"/>
      <c r="D66" s="117"/>
    </row>
    <row r="67" spans="2:4" x14ac:dyDescent="0.35">
      <c r="B67" s="117"/>
      <c r="D67" s="117"/>
    </row>
    <row r="68" spans="2:4" x14ac:dyDescent="0.35">
      <c r="B68" s="117"/>
      <c r="D68" s="117"/>
    </row>
    <row r="69" spans="2:4" x14ac:dyDescent="0.35">
      <c r="B69" s="117"/>
      <c r="D69" s="117"/>
    </row>
    <row r="70" spans="2:4" x14ac:dyDescent="0.35">
      <c r="B70" s="117"/>
      <c r="D70" s="117"/>
    </row>
    <row r="71" spans="2:4" x14ac:dyDescent="0.35">
      <c r="B71" s="117"/>
      <c r="D71" s="117"/>
    </row>
    <row r="72" spans="2:4" x14ac:dyDescent="0.35">
      <c r="B72" s="117"/>
      <c r="D72" s="117"/>
    </row>
    <row r="73" spans="2:4" x14ac:dyDescent="0.35">
      <c r="B73" s="117"/>
      <c r="D73" s="117"/>
    </row>
    <row r="74" spans="2:4" x14ac:dyDescent="0.35">
      <c r="B74" s="117"/>
      <c r="D74" s="117"/>
    </row>
    <row r="75" spans="2:4" x14ac:dyDescent="0.35">
      <c r="B75" s="117"/>
      <c r="D75" s="117"/>
    </row>
    <row r="76" spans="2:4" x14ac:dyDescent="0.35">
      <c r="B76" s="117"/>
      <c r="D76" s="117"/>
    </row>
    <row r="77" spans="2:4" x14ac:dyDescent="0.35">
      <c r="B77" s="117"/>
      <c r="D77" s="117"/>
    </row>
    <row r="78" spans="2:4" x14ac:dyDescent="0.35">
      <c r="B78" s="117"/>
      <c r="D78" s="117"/>
    </row>
    <row r="79" spans="2:4" x14ac:dyDescent="0.35">
      <c r="B79" s="117"/>
      <c r="D79" s="117"/>
    </row>
    <row r="80" spans="2:4" x14ac:dyDescent="0.35">
      <c r="B80" s="117"/>
      <c r="D80" s="117"/>
    </row>
    <row r="81" spans="2:4" x14ac:dyDescent="0.35">
      <c r="B81" s="117"/>
      <c r="D81" s="117"/>
    </row>
    <row r="82" spans="2:4" x14ac:dyDescent="0.35">
      <c r="B82" s="117"/>
      <c r="D82" s="117"/>
    </row>
    <row r="83" spans="2:4" x14ac:dyDescent="0.35">
      <c r="B83" s="117"/>
      <c r="D83" s="117"/>
    </row>
    <row r="84" spans="2:4" x14ac:dyDescent="0.35">
      <c r="B84" s="117"/>
      <c r="D84" s="117"/>
    </row>
    <row r="85" spans="2:4" x14ac:dyDescent="0.35">
      <c r="B85" s="117"/>
      <c r="D85" s="117"/>
    </row>
    <row r="86" spans="2:4" x14ac:dyDescent="0.35">
      <c r="B86" s="117"/>
      <c r="D86" s="117"/>
    </row>
    <row r="87" spans="2:4" x14ac:dyDescent="0.35">
      <c r="B87" s="117"/>
      <c r="D87" s="117"/>
    </row>
    <row r="88" spans="2:4" x14ac:dyDescent="0.35">
      <c r="B88" s="117"/>
      <c r="D88" s="117"/>
    </row>
    <row r="89" spans="2:4" x14ac:dyDescent="0.35">
      <c r="B89" s="117"/>
      <c r="D89" s="117"/>
    </row>
    <row r="90" spans="2:4" x14ac:dyDescent="0.35">
      <c r="B90" s="117"/>
      <c r="D90" s="117"/>
    </row>
    <row r="91" spans="2:4" x14ac:dyDescent="0.35">
      <c r="B91" s="117"/>
      <c r="D91" s="117"/>
    </row>
    <row r="92" spans="2:4" x14ac:dyDescent="0.35">
      <c r="B92" s="117"/>
      <c r="D92" s="117"/>
    </row>
    <row r="93" spans="2:4" x14ac:dyDescent="0.35">
      <c r="B93" s="117"/>
      <c r="D93" s="117"/>
    </row>
    <row r="94" spans="2:4" x14ac:dyDescent="0.35">
      <c r="B94" s="117"/>
      <c r="D94" s="117"/>
    </row>
    <row r="95" spans="2:4" x14ac:dyDescent="0.35">
      <c r="B95" s="117"/>
      <c r="D95" s="117"/>
    </row>
    <row r="96" spans="2:4" x14ac:dyDescent="0.35">
      <c r="B96" s="117"/>
      <c r="D96" s="117"/>
    </row>
    <row r="97" spans="2:4" x14ac:dyDescent="0.35">
      <c r="B97" s="117"/>
      <c r="D97" s="117"/>
    </row>
    <row r="98" spans="2:4" x14ac:dyDescent="0.35">
      <c r="B98" s="117"/>
      <c r="D98" s="117"/>
    </row>
    <row r="99" spans="2:4" x14ac:dyDescent="0.35">
      <c r="B99" s="117"/>
      <c r="D99" s="117"/>
    </row>
    <row r="100" spans="2:4" x14ac:dyDescent="0.35">
      <c r="B100" s="117"/>
      <c r="D100" s="117"/>
    </row>
    <row r="101" spans="2:4" x14ac:dyDescent="0.35">
      <c r="B101" s="117"/>
      <c r="D101" s="117"/>
    </row>
    <row r="102" spans="2:4" x14ac:dyDescent="0.35">
      <c r="B102" s="117"/>
      <c r="D102" s="117"/>
    </row>
    <row r="103" spans="2:4" x14ac:dyDescent="0.35">
      <c r="B103" s="117"/>
      <c r="D103" s="117"/>
    </row>
    <row r="104" spans="2:4" x14ac:dyDescent="0.35">
      <c r="B104" s="117"/>
      <c r="D104" s="117"/>
    </row>
    <row r="105" spans="2:4" x14ac:dyDescent="0.35">
      <c r="B105" s="117"/>
      <c r="D105" s="117"/>
    </row>
    <row r="106" spans="2:4" x14ac:dyDescent="0.35">
      <c r="B106" s="117"/>
      <c r="D106" s="117"/>
    </row>
    <row r="107" spans="2:4" x14ac:dyDescent="0.35">
      <c r="B107" s="117"/>
      <c r="D107" s="117"/>
    </row>
    <row r="108" spans="2:4" x14ac:dyDescent="0.35">
      <c r="B108" s="117"/>
      <c r="D108" s="117"/>
    </row>
    <row r="109" spans="2:4" x14ac:dyDescent="0.35">
      <c r="B109" s="117"/>
      <c r="D109" s="117"/>
    </row>
    <row r="110" spans="2:4" x14ac:dyDescent="0.35">
      <c r="B110" s="117"/>
      <c r="D110" s="117"/>
    </row>
    <row r="111" spans="2:4" x14ac:dyDescent="0.35">
      <c r="B111" s="117"/>
      <c r="D111" s="117"/>
    </row>
    <row r="112" spans="2:4" x14ac:dyDescent="0.35">
      <c r="B112" s="117"/>
      <c r="D112" s="117"/>
    </row>
    <row r="113" spans="2:4" x14ac:dyDescent="0.35">
      <c r="B113" s="117"/>
      <c r="D113" s="117"/>
    </row>
    <row r="114" spans="2:4" x14ac:dyDescent="0.35">
      <c r="B114" s="117"/>
      <c r="D114" s="117"/>
    </row>
    <row r="115" spans="2:4" x14ac:dyDescent="0.35">
      <c r="B115" s="117"/>
      <c r="D115" s="117"/>
    </row>
    <row r="116" spans="2:4" x14ac:dyDescent="0.35">
      <c r="B116" s="117"/>
      <c r="D116" s="117"/>
    </row>
    <row r="117" spans="2:4" x14ac:dyDescent="0.35">
      <c r="B117" s="117"/>
      <c r="D117" s="117"/>
    </row>
    <row r="118" spans="2:4" x14ac:dyDescent="0.35">
      <c r="B118" s="117"/>
      <c r="D118" s="117"/>
    </row>
    <row r="119" spans="2:4" x14ac:dyDescent="0.35">
      <c r="B119" s="117"/>
      <c r="D119" s="117"/>
    </row>
    <row r="120" spans="2:4" x14ac:dyDescent="0.35">
      <c r="B120" s="117"/>
      <c r="D120" s="117"/>
    </row>
    <row r="121" spans="2:4" x14ac:dyDescent="0.35">
      <c r="B121" s="117"/>
      <c r="D121" s="117"/>
    </row>
    <row r="122" spans="2:4" x14ac:dyDescent="0.35">
      <c r="B122" s="117"/>
      <c r="D122" s="117"/>
    </row>
    <row r="123" spans="2:4" x14ac:dyDescent="0.35">
      <c r="B123" s="117"/>
      <c r="D123" s="117"/>
    </row>
    <row r="124" spans="2:4" x14ac:dyDescent="0.35">
      <c r="B124" s="117"/>
      <c r="D124" s="117"/>
    </row>
    <row r="125" spans="2:4" x14ac:dyDescent="0.35">
      <c r="B125" s="117"/>
      <c r="D125" s="117"/>
    </row>
    <row r="126" spans="2:4" x14ac:dyDescent="0.35">
      <c r="B126" s="117"/>
      <c r="D126" s="117"/>
    </row>
    <row r="127" spans="2:4" x14ac:dyDescent="0.35">
      <c r="B127" s="117"/>
      <c r="D127" s="117"/>
    </row>
    <row r="128" spans="2:4" x14ac:dyDescent="0.35">
      <c r="B128" s="117"/>
      <c r="D128" s="117"/>
    </row>
    <row r="129" spans="2:4" x14ac:dyDescent="0.35">
      <c r="B129" s="117"/>
      <c r="D129" s="117"/>
    </row>
    <row r="130" spans="2:4" x14ac:dyDescent="0.35">
      <c r="B130" s="117"/>
      <c r="D130" s="117"/>
    </row>
    <row r="131" spans="2:4" x14ac:dyDescent="0.35">
      <c r="B131" s="117"/>
      <c r="D131" s="117"/>
    </row>
    <row r="132" spans="2:4" x14ac:dyDescent="0.35">
      <c r="B132" s="117"/>
      <c r="D132" s="117"/>
    </row>
    <row r="133" spans="2:4" x14ac:dyDescent="0.35">
      <c r="B133" s="117"/>
      <c r="D133" s="117"/>
    </row>
    <row r="134" spans="2:4" x14ac:dyDescent="0.35">
      <c r="B134" s="117"/>
      <c r="D134" s="117"/>
    </row>
    <row r="135" spans="2:4" x14ac:dyDescent="0.35">
      <c r="B135" s="117"/>
      <c r="D135" s="117"/>
    </row>
    <row r="136" spans="2:4" x14ac:dyDescent="0.35">
      <c r="B136" s="117"/>
      <c r="D136" s="117"/>
    </row>
    <row r="137" spans="2:4" x14ac:dyDescent="0.35">
      <c r="B137" s="117"/>
      <c r="D137" s="117"/>
    </row>
    <row r="138" spans="2:4" x14ac:dyDescent="0.35">
      <c r="B138" s="117"/>
      <c r="D138" s="117"/>
    </row>
    <row r="139" spans="2:4" x14ac:dyDescent="0.35">
      <c r="B139" s="117"/>
      <c r="D139" s="117"/>
    </row>
    <row r="140" spans="2:4" x14ac:dyDescent="0.35">
      <c r="B140" s="117"/>
      <c r="D140" s="117"/>
    </row>
    <row r="141" spans="2:4" x14ac:dyDescent="0.35">
      <c r="B141" s="117"/>
      <c r="D141" s="117"/>
    </row>
    <row r="142" spans="2:4" x14ac:dyDescent="0.35">
      <c r="B142" s="117"/>
      <c r="D142" s="117"/>
    </row>
    <row r="143" spans="2:4" x14ac:dyDescent="0.35">
      <c r="B143" s="117"/>
      <c r="D143" s="117"/>
    </row>
    <row r="144" spans="2:4" x14ac:dyDescent="0.35">
      <c r="D144"/>
    </row>
    <row r="145" spans="4:4" x14ac:dyDescent="0.35">
      <c r="D145"/>
    </row>
    <row r="146" spans="4:4" x14ac:dyDescent="0.35">
      <c r="D146"/>
    </row>
    <row r="147" spans="4:4" x14ac:dyDescent="0.35">
      <c r="D147"/>
    </row>
    <row r="148" spans="4:4" x14ac:dyDescent="0.35">
      <c r="D148"/>
    </row>
    <row r="149" spans="4:4" x14ac:dyDescent="0.35">
      <c r="D149"/>
    </row>
    <row r="150" spans="4:4" x14ac:dyDescent="0.35">
      <c r="D150"/>
    </row>
    <row r="151" spans="4:4" x14ac:dyDescent="0.35">
      <c r="D151"/>
    </row>
    <row r="152" spans="4:4" x14ac:dyDescent="0.35">
      <c r="D152"/>
    </row>
    <row r="153" spans="4:4" x14ac:dyDescent="0.35">
      <c r="D153"/>
    </row>
    <row r="154" spans="4:4" x14ac:dyDescent="0.35">
      <c r="D154"/>
    </row>
    <row r="155" spans="4:4" x14ac:dyDescent="0.35">
      <c r="D155"/>
    </row>
    <row r="156" spans="4:4" x14ac:dyDescent="0.35">
      <c r="D156"/>
    </row>
    <row r="157" spans="4:4" x14ac:dyDescent="0.35">
      <c r="D157"/>
    </row>
    <row r="158" spans="4:4" x14ac:dyDescent="0.35">
      <c r="D158"/>
    </row>
    <row r="159" spans="4:4" x14ac:dyDescent="0.35">
      <c r="D159"/>
    </row>
    <row r="160" spans="4:4" x14ac:dyDescent="0.35">
      <c r="D160"/>
    </row>
    <row r="161" spans="4:4" x14ac:dyDescent="0.35">
      <c r="D161"/>
    </row>
    <row r="162" spans="4:4" x14ac:dyDescent="0.35">
      <c r="D162"/>
    </row>
    <row r="163" spans="4:4" x14ac:dyDescent="0.35">
      <c r="D163"/>
    </row>
    <row r="164" spans="4:4" x14ac:dyDescent="0.35">
      <c r="D164"/>
    </row>
    <row r="165" spans="4:4" x14ac:dyDescent="0.35">
      <c r="D165"/>
    </row>
    <row r="166" spans="4:4" x14ac:dyDescent="0.35">
      <c r="D166"/>
    </row>
    <row r="167" spans="4:4" x14ac:dyDescent="0.35">
      <c r="D167"/>
    </row>
    <row r="168" spans="4:4" x14ac:dyDescent="0.35">
      <c r="D168"/>
    </row>
    <row r="169" spans="4:4" x14ac:dyDescent="0.35">
      <c r="D169"/>
    </row>
    <row r="170" spans="4:4" x14ac:dyDescent="0.35">
      <c r="D170"/>
    </row>
    <row r="171" spans="4:4" x14ac:dyDescent="0.35">
      <c r="D171"/>
    </row>
    <row r="172" spans="4:4" x14ac:dyDescent="0.35">
      <c r="D172"/>
    </row>
    <row r="173" spans="4:4" x14ac:dyDescent="0.35">
      <c r="D173"/>
    </row>
    <row r="174" spans="4:4" x14ac:dyDescent="0.35">
      <c r="D174"/>
    </row>
    <row r="175" spans="4:4" x14ac:dyDescent="0.35">
      <c r="D175"/>
    </row>
    <row r="176" spans="4:4" x14ac:dyDescent="0.35">
      <c r="D176"/>
    </row>
    <row r="177" spans="4:4" x14ac:dyDescent="0.35">
      <c r="D177"/>
    </row>
    <row r="178" spans="4:4" x14ac:dyDescent="0.35">
      <c r="D178"/>
    </row>
    <row r="179" spans="4:4" x14ac:dyDescent="0.35">
      <c r="D179"/>
    </row>
    <row r="180" spans="4:4" x14ac:dyDescent="0.35">
      <c r="D180"/>
    </row>
    <row r="181" spans="4:4" x14ac:dyDescent="0.35">
      <c r="D181"/>
    </row>
    <row r="182" spans="4:4" x14ac:dyDescent="0.35">
      <c r="D182"/>
    </row>
    <row r="183" spans="4:4" x14ac:dyDescent="0.35">
      <c r="D183"/>
    </row>
    <row r="184" spans="4:4" x14ac:dyDescent="0.35">
      <c r="D184"/>
    </row>
    <row r="185" spans="4:4" x14ac:dyDescent="0.35">
      <c r="D185"/>
    </row>
    <row r="186" spans="4:4" x14ac:dyDescent="0.35">
      <c r="D186"/>
    </row>
    <row r="187" spans="4:4" x14ac:dyDescent="0.35">
      <c r="D187"/>
    </row>
    <row r="188" spans="4:4" x14ac:dyDescent="0.35">
      <c r="D188"/>
    </row>
    <row r="189" spans="4:4" x14ac:dyDescent="0.35">
      <c r="D189"/>
    </row>
    <row r="190" spans="4:4" x14ac:dyDescent="0.35">
      <c r="D190"/>
    </row>
    <row r="191" spans="4:4" x14ac:dyDescent="0.35">
      <c r="D191"/>
    </row>
    <row r="192" spans="4:4" x14ac:dyDescent="0.35">
      <c r="D192"/>
    </row>
    <row r="193" spans="4:4" x14ac:dyDescent="0.35">
      <c r="D193"/>
    </row>
    <row r="194" spans="4:4" x14ac:dyDescent="0.35">
      <c r="D194"/>
    </row>
    <row r="195" spans="4:4" x14ac:dyDescent="0.35">
      <c r="D195"/>
    </row>
    <row r="196" spans="4:4" x14ac:dyDescent="0.35">
      <c r="D196"/>
    </row>
    <row r="197" spans="4:4" x14ac:dyDescent="0.35">
      <c r="D197"/>
    </row>
    <row r="198" spans="4:4" x14ac:dyDescent="0.35">
      <c r="D198"/>
    </row>
    <row r="199" spans="4:4" x14ac:dyDescent="0.35">
      <c r="D199"/>
    </row>
    <row r="200" spans="4:4" x14ac:dyDescent="0.35">
      <c r="D200"/>
    </row>
    <row r="201" spans="4:4" x14ac:dyDescent="0.35">
      <c r="D201"/>
    </row>
    <row r="202" spans="4:4" x14ac:dyDescent="0.35">
      <c r="D202"/>
    </row>
    <row r="203" spans="4:4" x14ac:dyDescent="0.35">
      <c r="D203"/>
    </row>
    <row r="204" spans="4:4" x14ac:dyDescent="0.35">
      <c r="D204"/>
    </row>
    <row r="205" spans="4:4" x14ac:dyDescent="0.35">
      <c r="D205"/>
    </row>
    <row r="206" spans="4:4" x14ac:dyDescent="0.35">
      <c r="D206"/>
    </row>
    <row r="207" spans="4:4" x14ac:dyDescent="0.35">
      <c r="D207"/>
    </row>
    <row r="208" spans="4:4" x14ac:dyDescent="0.35">
      <c r="D208"/>
    </row>
    <row r="209" spans="4:4" x14ac:dyDescent="0.35">
      <c r="D209"/>
    </row>
    <row r="210" spans="4:4" x14ac:dyDescent="0.35">
      <c r="D210"/>
    </row>
    <row r="211" spans="4:4" x14ac:dyDescent="0.35">
      <c r="D211"/>
    </row>
    <row r="212" spans="4:4" x14ac:dyDescent="0.35">
      <c r="D212"/>
    </row>
    <row r="213" spans="4:4" x14ac:dyDescent="0.35">
      <c r="D213"/>
    </row>
    <row r="214" spans="4:4" x14ac:dyDescent="0.35">
      <c r="D214"/>
    </row>
    <row r="215" spans="4:4" x14ac:dyDescent="0.35">
      <c r="D215"/>
    </row>
    <row r="216" spans="4:4" x14ac:dyDescent="0.35">
      <c r="D216"/>
    </row>
    <row r="217" spans="4:4" x14ac:dyDescent="0.35">
      <c r="D217"/>
    </row>
    <row r="218" spans="4:4" x14ac:dyDescent="0.35">
      <c r="D218"/>
    </row>
    <row r="219" spans="4:4" x14ac:dyDescent="0.35">
      <c r="D219"/>
    </row>
    <row r="220" spans="4:4" x14ac:dyDescent="0.35">
      <c r="D220"/>
    </row>
    <row r="221" spans="4:4" x14ac:dyDescent="0.35">
      <c r="D221"/>
    </row>
    <row r="222" spans="4:4" x14ac:dyDescent="0.35">
      <c r="D222"/>
    </row>
    <row r="223" spans="4:4" x14ac:dyDescent="0.35">
      <c r="D223"/>
    </row>
    <row r="224" spans="4:4" x14ac:dyDescent="0.35">
      <c r="D224"/>
    </row>
    <row r="225" spans="4:4" x14ac:dyDescent="0.35">
      <c r="D225"/>
    </row>
    <row r="226" spans="4:4" x14ac:dyDescent="0.35">
      <c r="D226"/>
    </row>
    <row r="227" spans="4:4" x14ac:dyDescent="0.35">
      <c r="D227"/>
    </row>
    <row r="228" spans="4:4" x14ac:dyDescent="0.35">
      <c r="D228"/>
    </row>
    <row r="229" spans="4:4" x14ac:dyDescent="0.35">
      <c r="D229"/>
    </row>
    <row r="230" spans="4:4" x14ac:dyDescent="0.35">
      <c r="D230"/>
    </row>
    <row r="231" spans="4:4" x14ac:dyDescent="0.35">
      <c r="D231"/>
    </row>
    <row r="232" spans="4:4" x14ac:dyDescent="0.35">
      <c r="D232"/>
    </row>
    <row r="233" spans="4:4" x14ac:dyDescent="0.35">
      <c r="D233"/>
    </row>
    <row r="234" spans="4:4" x14ac:dyDescent="0.35">
      <c r="D234"/>
    </row>
    <row r="235" spans="4:4" x14ac:dyDescent="0.35">
      <c r="D235"/>
    </row>
    <row r="236" spans="4:4" x14ac:dyDescent="0.35">
      <c r="D236"/>
    </row>
    <row r="237" spans="4:4" x14ac:dyDescent="0.35">
      <c r="D237"/>
    </row>
    <row r="238" spans="4:4" x14ac:dyDescent="0.35">
      <c r="D238"/>
    </row>
    <row r="239" spans="4:4" x14ac:dyDescent="0.35">
      <c r="D239"/>
    </row>
    <row r="240" spans="4:4" x14ac:dyDescent="0.35">
      <c r="D240"/>
    </row>
    <row r="241" spans="4:4" x14ac:dyDescent="0.35">
      <c r="D241"/>
    </row>
    <row r="242" spans="4:4" x14ac:dyDescent="0.35">
      <c r="D242"/>
    </row>
    <row r="243" spans="4:4" x14ac:dyDescent="0.35">
      <c r="D243"/>
    </row>
    <row r="244" spans="4:4" x14ac:dyDescent="0.35">
      <c r="D244"/>
    </row>
    <row r="245" spans="4:4" x14ac:dyDescent="0.35">
      <c r="D245"/>
    </row>
    <row r="246" spans="4:4" x14ac:dyDescent="0.35">
      <c r="D246"/>
    </row>
    <row r="247" spans="4:4" x14ac:dyDescent="0.35">
      <c r="D247"/>
    </row>
    <row r="248" spans="4:4" x14ac:dyDescent="0.35">
      <c r="D248"/>
    </row>
    <row r="249" spans="4:4" x14ac:dyDescent="0.35">
      <c r="D249"/>
    </row>
    <row r="250" spans="4:4" x14ac:dyDescent="0.35">
      <c r="D250"/>
    </row>
    <row r="251" spans="4:4" x14ac:dyDescent="0.35">
      <c r="D251"/>
    </row>
    <row r="252" spans="4:4" x14ac:dyDescent="0.35">
      <c r="D252"/>
    </row>
    <row r="253" spans="4:4" x14ac:dyDescent="0.35">
      <c r="D253"/>
    </row>
    <row r="254" spans="4:4" x14ac:dyDescent="0.35">
      <c r="D254"/>
    </row>
    <row r="255" spans="4:4" x14ac:dyDescent="0.35">
      <c r="D255"/>
    </row>
    <row r="256" spans="4:4" x14ac:dyDescent="0.35">
      <c r="D256"/>
    </row>
    <row r="257" spans="4:4" x14ac:dyDescent="0.35">
      <c r="D257"/>
    </row>
    <row r="258" spans="4:4" x14ac:dyDescent="0.35">
      <c r="D258"/>
    </row>
    <row r="259" spans="4:4" x14ac:dyDescent="0.35">
      <c r="D259"/>
    </row>
    <row r="260" spans="4:4" x14ac:dyDescent="0.35">
      <c r="D260"/>
    </row>
    <row r="261" spans="4:4" x14ac:dyDescent="0.35">
      <c r="D261"/>
    </row>
    <row r="262" spans="4:4" x14ac:dyDescent="0.35">
      <c r="D262"/>
    </row>
    <row r="263" spans="4:4" x14ac:dyDescent="0.35">
      <c r="D263"/>
    </row>
    <row r="264" spans="4:4" x14ac:dyDescent="0.35">
      <c r="D264"/>
    </row>
    <row r="265" spans="4:4" x14ac:dyDescent="0.35">
      <c r="D265"/>
    </row>
    <row r="266" spans="4:4" x14ac:dyDescent="0.35">
      <c r="D266"/>
    </row>
    <row r="267" spans="4:4" x14ac:dyDescent="0.35">
      <c r="D267"/>
    </row>
    <row r="268" spans="4:4" x14ac:dyDescent="0.35">
      <c r="D268"/>
    </row>
    <row r="269" spans="4:4" x14ac:dyDescent="0.35">
      <c r="D269"/>
    </row>
    <row r="270" spans="4:4" x14ac:dyDescent="0.35">
      <c r="D270"/>
    </row>
    <row r="271" spans="4:4" x14ac:dyDescent="0.35">
      <c r="D271"/>
    </row>
    <row r="272" spans="4:4" x14ac:dyDescent="0.35">
      <c r="D272"/>
    </row>
    <row r="273" spans="4:4" x14ac:dyDescent="0.35">
      <c r="D273"/>
    </row>
    <row r="274" spans="4:4" x14ac:dyDescent="0.35">
      <c r="D274"/>
    </row>
    <row r="275" spans="4:4" x14ac:dyDescent="0.35">
      <c r="D275"/>
    </row>
    <row r="276" spans="4:4" x14ac:dyDescent="0.35">
      <c r="D276"/>
    </row>
    <row r="277" spans="4:4" x14ac:dyDescent="0.35">
      <c r="D277"/>
    </row>
    <row r="278" spans="4:4" x14ac:dyDescent="0.35">
      <c r="D278"/>
    </row>
    <row r="279" spans="4:4" x14ac:dyDescent="0.35">
      <c r="D279"/>
    </row>
    <row r="280" spans="4:4" x14ac:dyDescent="0.35">
      <c r="D280"/>
    </row>
    <row r="281" spans="4:4" x14ac:dyDescent="0.35">
      <c r="D281"/>
    </row>
    <row r="282" spans="4:4" x14ac:dyDescent="0.35">
      <c r="D282"/>
    </row>
    <row r="283" spans="4:4" x14ac:dyDescent="0.35">
      <c r="D283"/>
    </row>
    <row r="284" spans="4:4" x14ac:dyDescent="0.35">
      <c r="D284"/>
    </row>
    <row r="285" spans="4:4" x14ac:dyDescent="0.35">
      <c r="D285"/>
    </row>
    <row r="286" spans="4:4" x14ac:dyDescent="0.35">
      <c r="D286"/>
    </row>
    <row r="287" spans="4:4" x14ac:dyDescent="0.35">
      <c r="D287"/>
    </row>
    <row r="288" spans="4:4" x14ac:dyDescent="0.35">
      <c r="D288"/>
    </row>
    <row r="289" spans="4:4" x14ac:dyDescent="0.35">
      <c r="D289"/>
    </row>
    <row r="290" spans="4:4" x14ac:dyDescent="0.35">
      <c r="D290"/>
    </row>
    <row r="291" spans="4:4" x14ac:dyDescent="0.35">
      <c r="D291"/>
    </row>
    <row r="292" spans="4:4" x14ac:dyDescent="0.35">
      <c r="D292"/>
    </row>
    <row r="293" spans="4:4" x14ac:dyDescent="0.35">
      <c r="D293"/>
    </row>
    <row r="294" spans="4:4" x14ac:dyDescent="0.35">
      <c r="D294"/>
    </row>
    <row r="295" spans="4:4" x14ac:dyDescent="0.35">
      <c r="D295"/>
    </row>
    <row r="296" spans="4:4" x14ac:dyDescent="0.35">
      <c r="D296"/>
    </row>
    <row r="297" spans="4:4" x14ac:dyDescent="0.35">
      <c r="D297"/>
    </row>
    <row r="298" spans="4:4" x14ac:dyDescent="0.35">
      <c r="D298"/>
    </row>
    <row r="299" spans="4:4" x14ac:dyDescent="0.35">
      <c r="D299"/>
    </row>
    <row r="300" spans="4:4" x14ac:dyDescent="0.35">
      <c r="D300"/>
    </row>
    <row r="301" spans="4:4" x14ac:dyDescent="0.35">
      <c r="D301"/>
    </row>
    <row r="302" spans="4:4" x14ac:dyDescent="0.35">
      <c r="D302"/>
    </row>
    <row r="303" spans="4:4" x14ac:dyDescent="0.35">
      <c r="D303"/>
    </row>
    <row r="304" spans="4:4" x14ac:dyDescent="0.35">
      <c r="D304"/>
    </row>
    <row r="305" spans="4:4" x14ac:dyDescent="0.35">
      <c r="D305"/>
    </row>
    <row r="306" spans="4:4" x14ac:dyDescent="0.35">
      <c r="D306"/>
    </row>
    <row r="307" spans="4:4" x14ac:dyDescent="0.35">
      <c r="D307"/>
    </row>
    <row r="308" spans="4:4" x14ac:dyDescent="0.35">
      <c r="D308"/>
    </row>
    <row r="309" spans="4:4" x14ac:dyDescent="0.35">
      <c r="D309"/>
    </row>
    <row r="310" spans="4:4" x14ac:dyDescent="0.35">
      <c r="D310"/>
    </row>
    <row r="311" spans="4:4" x14ac:dyDescent="0.35">
      <c r="D311"/>
    </row>
    <row r="312" spans="4:4" x14ac:dyDescent="0.35">
      <c r="D312"/>
    </row>
    <row r="313" spans="4:4" x14ac:dyDescent="0.35">
      <c r="D313"/>
    </row>
    <row r="314" spans="4:4" x14ac:dyDescent="0.35">
      <c r="D314"/>
    </row>
    <row r="315" spans="4:4" x14ac:dyDescent="0.35">
      <c r="D315"/>
    </row>
    <row r="316" spans="4:4" x14ac:dyDescent="0.35">
      <c r="D316"/>
    </row>
    <row r="317" spans="4:4" x14ac:dyDescent="0.35">
      <c r="D317"/>
    </row>
    <row r="318" spans="4:4" x14ac:dyDescent="0.35">
      <c r="D318"/>
    </row>
    <row r="319" spans="4:4" x14ac:dyDescent="0.35">
      <c r="D319"/>
    </row>
    <row r="320" spans="4:4" x14ac:dyDescent="0.35">
      <c r="D320"/>
    </row>
    <row r="321" spans="4:4" x14ac:dyDescent="0.35">
      <c r="D321"/>
    </row>
    <row r="322" spans="4:4" x14ac:dyDescent="0.35">
      <c r="D322"/>
    </row>
    <row r="323" spans="4:4" x14ac:dyDescent="0.35">
      <c r="D323"/>
    </row>
    <row r="324" spans="4:4" x14ac:dyDescent="0.35">
      <c r="D324"/>
    </row>
    <row r="325" spans="4:4" x14ac:dyDescent="0.35">
      <c r="D325"/>
    </row>
    <row r="326" spans="4:4" x14ac:dyDescent="0.35">
      <c r="D326"/>
    </row>
    <row r="327" spans="4:4" x14ac:dyDescent="0.35">
      <c r="D327"/>
    </row>
    <row r="328" spans="4:4" x14ac:dyDescent="0.35">
      <c r="D328"/>
    </row>
    <row r="329" spans="4:4" x14ac:dyDescent="0.35">
      <c r="D329"/>
    </row>
    <row r="330" spans="4:4" x14ac:dyDescent="0.35">
      <c r="D330"/>
    </row>
    <row r="331" spans="4:4" x14ac:dyDescent="0.35">
      <c r="D331"/>
    </row>
    <row r="332" spans="4:4" x14ac:dyDescent="0.35">
      <c r="D332"/>
    </row>
    <row r="333" spans="4:4" x14ac:dyDescent="0.35">
      <c r="D333"/>
    </row>
    <row r="334" spans="4:4" x14ac:dyDescent="0.35">
      <c r="D334"/>
    </row>
    <row r="335" spans="4:4" x14ac:dyDescent="0.35">
      <c r="D335"/>
    </row>
    <row r="336" spans="4:4" x14ac:dyDescent="0.35">
      <c r="D336"/>
    </row>
    <row r="337" spans="4:4" x14ac:dyDescent="0.35">
      <c r="D337"/>
    </row>
    <row r="338" spans="4:4" x14ac:dyDescent="0.35">
      <c r="D338"/>
    </row>
    <row r="339" spans="4:4" x14ac:dyDescent="0.35">
      <c r="D339"/>
    </row>
    <row r="340" spans="4:4" x14ac:dyDescent="0.35">
      <c r="D340"/>
    </row>
    <row r="341" spans="4:4" x14ac:dyDescent="0.35">
      <c r="D341"/>
    </row>
    <row r="342" spans="4:4" x14ac:dyDescent="0.35">
      <c r="D342"/>
    </row>
    <row r="343" spans="4:4" x14ac:dyDescent="0.35">
      <c r="D343"/>
    </row>
    <row r="344" spans="4:4" x14ac:dyDescent="0.35">
      <c r="D344"/>
    </row>
    <row r="345" spans="4:4" x14ac:dyDescent="0.35">
      <c r="D345"/>
    </row>
    <row r="346" spans="4:4" x14ac:dyDescent="0.35">
      <c r="D346"/>
    </row>
    <row r="347" spans="4:4" x14ac:dyDescent="0.35">
      <c r="D347"/>
    </row>
    <row r="348" spans="4:4" x14ac:dyDescent="0.35">
      <c r="D348"/>
    </row>
    <row r="349" spans="4:4" x14ac:dyDescent="0.35">
      <c r="D349"/>
    </row>
    <row r="350" spans="4:4" x14ac:dyDescent="0.35">
      <c r="D350"/>
    </row>
    <row r="351" spans="4:4" x14ac:dyDescent="0.35">
      <c r="D351"/>
    </row>
    <row r="352" spans="4:4" x14ac:dyDescent="0.35">
      <c r="D352"/>
    </row>
    <row r="353" spans="4:4" x14ac:dyDescent="0.35">
      <c r="D353"/>
    </row>
    <row r="354" spans="4:4" x14ac:dyDescent="0.35">
      <c r="D354"/>
    </row>
    <row r="355" spans="4:4" x14ac:dyDescent="0.35">
      <c r="D355"/>
    </row>
    <row r="356" spans="4:4" x14ac:dyDescent="0.35">
      <c r="D356"/>
    </row>
    <row r="357" spans="4:4" x14ac:dyDescent="0.35">
      <c r="D357"/>
    </row>
    <row r="358" spans="4:4" x14ac:dyDescent="0.35">
      <c r="D358"/>
    </row>
    <row r="359" spans="4:4" x14ac:dyDescent="0.35">
      <c r="D359"/>
    </row>
    <row r="360" spans="4:4" x14ac:dyDescent="0.35">
      <c r="D360"/>
    </row>
    <row r="361" spans="4:4" x14ac:dyDescent="0.35">
      <c r="D361"/>
    </row>
    <row r="362" spans="4:4" x14ac:dyDescent="0.35">
      <c r="D362"/>
    </row>
    <row r="363" spans="4:4" x14ac:dyDescent="0.35">
      <c r="D363"/>
    </row>
    <row r="364" spans="4:4" x14ac:dyDescent="0.35">
      <c r="D364"/>
    </row>
    <row r="365" spans="4:4" x14ac:dyDescent="0.35">
      <c r="D365"/>
    </row>
    <row r="366" spans="4:4" x14ac:dyDescent="0.35">
      <c r="D366"/>
    </row>
    <row r="367" spans="4:4" x14ac:dyDescent="0.35">
      <c r="D367"/>
    </row>
    <row r="368" spans="4:4" x14ac:dyDescent="0.35">
      <c r="D368"/>
    </row>
    <row r="369" spans="4:4" x14ac:dyDescent="0.35">
      <c r="D369"/>
    </row>
    <row r="370" spans="4:4" x14ac:dyDescent="0.35">
      <c r="D370"/>
    </row>
    <row r="371" spans="4:4" x14ac:dyDescent="0.35">
      <c r="D371"/>
    </row>
    <row r="372" spans="4:4" x14ac:dyDescent="0.35">
      <c r="D372"/>
    </row>
    <row r="373" spans="4:4" x14ac:dyDescent="0.35">
      <c r="D373"/>
    </row>
    <row r="374" spans="4:4" x14ac:dyDescent="0.35">
      <c r="D374"/>
    </row>
    <row r="375" spans="4:4" x14ac:dyDescent="0.35">
      <c r="D375"/>
    </row>
    <row r="376" spans="4:4" x14ac:dyDescent="0.35">
      <c r="D376"/>
    </row>
    <row r="377" spans="4:4" x14ac:dyDescent="0.35">
      <c r="D377"/>
    </row>
    <row r="378" spans="4:4" x14ac:dyDescent="0.35">
      <c r="D378"/>
    </row>
    <row r="379" spans="4:4" x14ac:dyDescent="0.35">
      <c r="D379"/>
    </row>
    <row r="380" spans="4:4" x14ac:dyDescent="0.35">
      <c r="D380"/>
    </row>
    <row r="381" spans="4:4" x14ac:dyDescent="0.35">
      <c r="D381"/>
    </row>
    <row r="382" spans="4:4" x14ac:dyDescent="0.35">
      <c r="D382"/>
    </row>
    <row r="383" spans="4:4" x14ac:dyDescent="0.35">
      <c r="D383"/>
    </row>
    <row r="384" spans="4:4" x14ac:dyDescent="0.35">
      <c r="D384"/>
    </row>
    <row r="385" spans="4:4" x14ac:dyDescent="0.35">
      <c r="D385"/>
    </row>
    <row r="386" spans="4:4" x14ac:dyDescent="0.35">
      <c r="D386"/>
    </row>
    <row r="387" spans="4:4" x14ac:dyDescent="0.35">
      <c r="D387"/>
    </row>
    <row r="388" spans="4:4" x14ac:dyDescent="0.35">
      <c r="D388"/>
    </row>
    <row r="389" spans="4:4" x14ac:dyDescent="0.35">
      <c r="D389"/>
    </row>
    <row r="390" spans="4:4" x14ac:dyDescent="0.35">
      <c r="D390"/>
    </row>
    <row r="391" spans="4:4" x14ac:dyDescent="0.35">
      <c r="D391"/>
    </row>
    <row r="392" spans="4:4" x14ac:dyDescent="0.35">
      <c r="D392"/>
    </row>
    <row r="393" spans="4:4" x14ac:dyDescent="0.35">
      <c r="D393"/>
    </row>
    <row r="394" spans="4:4" x14ac:dyDescent="0.35">
      <c r="D394"/>
    </row>
    <row r="395" spans="4:4" x14ac:dyDescent="0.35">
      <c r="D395"/>
    </row>
    <row r="396" spans="4:4" x14ac:dyDescent="0.35">
      <c r="D396"/>
    </row>
    <row r="397" spans="4:4" x14ac:dyDescent="0.35">
      <c r="D397"/>
    </row>
    <row r="398" spans="4:4" x14ac:dyDescent="0.35">
      <c r="D398"/>
    </row>
    <row r="399" spans="4:4" x14ac:dyDescent="0.35">
      <c r="D399"/>
    </row>
    <row r="400" spans="4:4" x14ac:dyDescent="0.35">
      <c r="D400"/>
    </row>
    <row r="401" spans="4:4" x14ac:dyDescent="0.35">
      <c r="D401"/>
    </row>
    <row r="402" spans="4:4" x14ac:dyDescent="0.35">
      <c r="D402"/>
    </row>
    <row r="403" spans="4:4" x14ac:dyDescent="0.35">
      <c r="D403"/>
    </row>
    <row r="404" spans="4:4" x14ac:dyDescent="0.35">
      <c r="D404"/>
    </row>
    <row r="405" spans="4:4" x14ac:dyDescent="0.35">
      <c r="D405"/>
    </row>
    <row r="406" spans="4:4" x14ac:dyDescent="0.35">
      <c r="D406"/>
    </row>
    <row r="407" spans="4:4" x14ac:dyDescent="0.35">
      <c r="D407"/>
    </row>
    <row r="408" spans="4:4" x14ac:dyDescent="0.35">
      <c r="D408"/>
    </row>
    <row r="409" spans="4:4" x14ac:dyDescent="0.35">
      <c r="D409"/>
    </row>
    <row r="410" spans="4:4" x14ac:dyDescent="0.35">
      <c r="D410"/>
    </row>
    <row r="411" spans="4:4" x14ac:dyDescent="0.35">
      <c r="D411"/>
    </row>
    <row r="412" spans="4:4" x14ac:dyDescent="0.35">
      <c r="D412"/>
    </row>
    <row r="413" spans="4:4" x14ac:dyDescent="0.35">
      <c r="D413"/>
    </row>
    <row r="414" spans="4:4" x14ac:dyDescent="0.35">
      <c r="D414"/>
    </row>
    <row r="415" spans="4:4" x14ac:dyDescent="0.35">
      <c r="D415"/>
    </row>
    <row r="416" spans="4:4" x14ac:dyDescent="0.35">
      <c r="D416"/>
    </row>
    <row r="417" spans="4:4" x14ac:dyDescent="0.35">
      <c r="D417"/>
    </row>
    <row r="418" spans="4:4" x14ac:dyDescent="0.35">
      <c r="D418"/>
    </row>
    <row r="419" spans="4:4" x14ac:dyDescent="0.35">
      <c r="D419"/>
    </row>
    <row r="420" spans="4:4" x14ac:dyDescent="0.35">
      <c r="D420"/>
    </row>
    <row r="421" spans="4:4" x14ac:dyDescent="0.35">
      <c r="D421"/>
    </row>
    <row r="422" spans="4:4" x14ac:dyDescent="0.35">
      <c r="D422"/>
    </row>
    <row r="423" spans="4:4" x14ac:dyDescent="0.35">
      <c r="D423"/>
    </row>
    <row r="424" spans="4:4" x14ac:dyDescent="0.35">
      <c r="D424"/>
    </row>
    <row r="425" spans="4:4" x14ac:dyDescent="0.35">
      <c r="D425"/>
    </row>
    <row r="426" spans="4:4" x14ac:dyDescent="0.35">
      <c r="D426"/>
    </row>
    <row r="427" spans="4:4" x14ac:dyDescent="0.35">
      <c r="D427"/>
    </row>
    <row r="428" spans="4:4" x14ac:dyDescent="0.35">
      <c r="D428"/>
    </row>
    <row r="429" spans="4:4" x14ac:dyDescent="0.35">
      <c r="D429"/>
    </row>
    <row r="430" spans="4:4" x14ac:dyDescent="0.35">
      <c r="D430"/>
    </row>
    <row r="431" spans="4:4" x14ac:dyDescent="0.35">
      <c r="D431"/>
    </row>
    <row r="432" spans="4:4" x14ac:dyDescent="0.35">
      <c r="D432"/>
    </row>
    <row r="433" spans="4:4" x14ac:dyDescent="0.35">
      <c r="D433"/>
    </row>
    <row r="434" spans="4:4" x14ac:dyDescent="0.35">
      <c r="D434"/>
    </row>
    <row r="435" spans="4:4" x14ac:dyDescent="0.35">
      <c r="D435"/>
    </row>
    <row r="436" spans="4:4" x14ac:dyDescent="0.35">
      <c r="D436"/>
    </row>
    <row r="437" spans="4:4" x14ac:dyDescent="0.35">
      <c r="D437"/>
    </row>
    <row r="438" spans="4:4" x14ac:dyDescent="0.35">
      <c r="D438"/>
    </row>
    <row r="439" spans="4:4" x14ac:dyDescent="0.35">
      <c r="D439"/>
    </row>
    <row r="440" spans="4:4" x14ac:dyDescent="0.35">
      <c r="D440"/>
    </row>
    <row r="441" spans="4:4" x14ac:dyDescent="0.35">
      <c r="D441"/>
    </row>
    <row r="442" spans="4:4" x14ac:dyDescent="0.35">
      <c r="D442"/>
    </row>
    <row r="443" spans="4:4" x14ac:dyDescent="0.35">
      <c r="D443"/>
    </row>
    <row r="444" spans="4:4" x14ac:dyDescent="0.35">
      <c r="D444"/>
    </row>
    <row r="445" spans="4:4" x14ac:dyDescent="0.35">
      <c r="D445"/>
    </row>
    <row r="446" spans="4:4" x14ac:dyDescent="0.35">
      <c r="D446"/>
    </row>
    <row r="447" spans="4:4" x14ac:dyDescent="0.35">
      <c r="D447"/>
    </row>
    <row r="448" spans="4:4" x14ac:dyDescent="0.35">
      <c r="D448"/>
    </row>
    <row r="449" spans="4:4" x14ac:dyDescent="0.35">
      <c r="D449"/>
    </row>
    <row r="450" spans="4:4" x14ac:dyDescent="0.35">
      <c r="D450"/>
    </row>
    <row r="451" spans="4:4" x14ac:dyDescent="0.35">
      <c r="D451"/>
    </row>
    <row r="452" spans="4:4" x14ac:dyDescent="0.35">
      <c r="D452"/>
    </row>
    <row r="453" spans="4:4" x14ac:dyDescent="0.35">
      <c r="D453"/>
    </row>
    <row r="454" spans="4:4" x14ac:dyDescent="0.35">
      <c r="D454"/>
    </row>
    <row r="455" spans="4:4" x14ac:dyDescent="0.35">
      <c r="D455"/>
    </row>
    <row r="456" spans="4:4" x14ac:dyDescent="0.35">
      <c r="D456"/>
    </row>
    <row r="457" spans="4:4" x14ac:dyDescent="0.35">
      <c r="D457"/>
    </row>
    <row r="458" spans="4:4" x14ac:dyDescent="0.35">
      <c r="D458"/>
    </row>
    <row r="459" spans="4:4" x14ac:dyDescent="0.35">
      <c r="D459"/>
    </row>
    <row r="460" spans="4:4" x14ac:dyDescent="0.35">
      <c r="D460"/>
    </row>
    <row r="461" spans="4:4" x14ac:dyDescent="0.35">
      <c r="D461"/>
    </row>
    <row r="462" spans="4:4" x14ac:dyDescent="0.35">
      <c r="D462"/>
    </row>
    <row r="463" spans="4:4" x14ac:dyDescent="0.35">
      <c r="D463"/>
    </row>
    <row r="464" spans="4:4" x14ac:dyDescent="0.35">
      <c r="D464"/>
    </row>
    <row r="465" spans="4:4" x14ac:dyDescent="0.35">
      <c r="D465"/>
    </row>
    <row r="466" spans="4:4" x14ac:dyDescent="0.35">
      <c r="D466"/>
    </row>
    <row r="467" spans="4:4" x14ac:dyDescent="0.35">
      <c r="D467"/>
    </row>
    <row r="468" spans="4:4" x14ac:dyDescent="0.35">
      <c r="D468"/>
    </row>
    <row r="469" spans="4:4" x14ac:dyDescent="0.35">
      <c r="D469"/>
    </row>
    <row r="470" spans="4:4" x14ac:dyDescent="0.35">
      <c r="D470"/>
    </row>
    <row r="471" spans="4:4" x14ac:dyDescent="0.35">
      <c r="D471"/>
    </row>
    <row r="472" spans="4:4" x14ac:dyDescent="0.35">
      <c r="D472"/>
    </row>
    <row r="473" spans="4:4" x14ac:dyDescent="0.35">
      <c r="D473"/>
    </row>
    <row r="474" spans="4:4" x14ac:dyDescent="0.35">
      <c r="D474"/>
    </row>
    <row r="475" spans="4:4" x14ac:dyDescent="0.35">
      <c r="D475"/>
    </row>
    <row r="476" spans="4:4" x14ac:dyDescent="0.35">
      <c r="D476"/>
    </row>
    <row r="477" spans="4:4" x14ac:dyDescent="0.35">
      <c r="D477"/>
    </row>
    <row r="478" spans="4:4" x14ac:dyDescent="0.35">
      <c r="D478"/>
    </row>
    <row r="479" spans="4:4" x14ac:dyDescent="0.35">
      <c r="D479"/>
    </row>
    <row r="480" spans="4:4" x14ac:dyDescent="0.35">
      <c r="D480"/>
    </row>
    <row r="481" spans="4:4" x14ac:dyDescent="0.35">
      <c r="D481"/>
    </row>
    <row r="482" spans="4:4" x14ac:dyDescent="0.35">
      <c r="D482"/>
    </row>
    <row r="483" spans="4:4" x14ac:dyDescent="0.35">
      <c r="D483"/>
    </row>
    <row r="484" spans="4:4" x14ac:dyDescent="0.35">
      <c r="D484"/>
    </row>
    <row r="485" spans="4:4" x14ac:dyDescent="0.35">
      <c r="D485"/>
    </row>
    <row r="486" spans="4:4" x14ac:dyDescent="0.35">
      <c r="D486"/>
    </row>
    <row r="487" spans="4:4" x14ac:dyDescent="0.35">
      <c r="D487"/>
    </row>
    <row r="488" spans="4:4" x14ac:dyDescent="0.35">
      <c r="D488"/>
    </row>
    <row r="489" spans="4:4" x14ac:dyDescent="0.35">
      <c r="D489"/>
    </row>
    <row r="490" spans="4:4" x14ac:dyDescent="0.35">
      <c r="D490"/>
    </row>
    <row r="491" spans="4:4" x14ac:dyDescent="0.35">
      <c r="D491"/>
    </row>
    <row r="492" spans="4:4" x14ac:dyDescent="0.35">
      <c r="D492"/>
    </row>
    <row r="493" spans="4:4" x14ac:dyDescent="0.35">
      <c r="D493"/>
    </row>
    <row r="494" spans="4:4" x14ac:dyDescent="0.35">
      <c r="D494"/>
    </row>
    <row r="495" spans="4:4" x14ac:dyDescent="0.35">
      <c r="D495"/>
    </row>
    <row r="496" spans="4:4" x14ac:dyDescent="0.35">
      <c r="D496"/>
    </row>
    <row r="497" spans="4:4" x14ac:dyDescent="0.35">
      <c r="D497"/>
    </row>
    <row r="498" spans="4:4" x14ac:dyDescent="0.35">
      <c r="D498"/>
    </row>
    <row r="499" spans="4:4" x14ac:dyDescent="0.35">
      <c r="D499"/>
    </row>
    <row r="500" spans="4:4" x14ac:dyDescent="0.35">
      <c r="D500"/>
    </row>
    <row r="501" spans="4:4" x14ac:dyDescent="0.35">
      <c r="D501"/>
    </row>
    <row r="502" spans="4:4" x14ac:dyDescent="0.35">
      <c r="D502"/>
    </row>
    <row r="503" spans="4:4" x14ac:dyDescent="0.35">
      <c r="D503"/>
    </row>
    <row r="504" spans="4:4" x14ac:dyDescent="0.35">
      <c r="D504"/>
    </row>
    <row r="505" spans="4:4" x14ac:dyDescent="0.35">
      <c r="D505"/>
    </row>
    <row r="506" spans="4:4" x14ac:dyDescent="0.35">
      <c r="D506"/>
    </row>
    <row r="507" spans="4:4" x14ac:dyDescent="0.35">
      <c r="D507"/>
    </row>
    <row r="508" spans="4:4" x14ac:dyDescent="0.35">
      <c r="D508"/>
    </row>
    <row r="509" spans="4:4" x14ac:dyDescent="0.35">
      <c r="D509"/>
    </row>
    <row r="510" spans="4:4" x14ac:dyDescent="0.35">
      <c r="D510"/>
    </row>
    <row r="511" spans="4:4" x14ac:dyDescent="0.35">
      <c r="D511"/>
    </row>
    <row r="512" spans="4:4" x14ac:dyDescent="0.35">
      <c r="D512"/>
    </row>
    <row r="513" spans="4:4" x14ac:dyDescent="0.35">
      <c r="D513"/>
    </row>
    <row r="514" spans="4:4" x14ac:dyDescent="0.35">
      <c r="D514"/>
    </row>
    <row r="515" spans="4:4" x14ac:dyDescent="0.35">
      <c r="D515"/>
    </row>
    <row r="516" spans="4:4" x14ac:dyDescent="0.35">
      <c r="D516"/>
    </row>
    <row r="517" spans="4:4" x14ac:dyDescent="0.35">
      <c r="D517"/>
    </row>
    <row r="518" spans="4:4" x14ac:dyDescent="0.35">
      <c r="D518"/>
    </row>
    <row r="519" spans="4:4" x14ac:dyDescent="0.35">
      <c r="D519"/>
    </row>
    <row r="520" spans="4:4" x14ac:dyDescent="0.35">
      <c r="D520"/>
    </row>
    <row r="521" spans="4:4" x14ac:dyDescent="0.35">
      <c r="D521"/>
    </row>
    <row r="522" spans="4:4" x14ac:dyDescent="0.35">
      <c r="D522"/>
    </row>
    <row r="523" spans="4:4" x14ac:dyDescent="0.35">
      <c r="D523"/>
    </row>
    <row r="524" spans="4:4" x14ac:dyDescent="0.35">
      <c r="D524"/>
    </row>
    <row r="525" spans="4:4" x14ac:dyDescent="0.35">
      <c r="D525"/>
    </row>
    <row r="526" spans="4:4" x14ac:dyDescent="0.35">
      <c r="D526"/>
    </row>
    <row r="527" spans="4:4" x14ac:dyDescent="0.35">
      <c r="D527"/>
    </row>
    <row r="528" spans="4:4" x14ac:dyDescent="0.35">
      <c r="D528"/>
    </row>
    <row r="529" spans="4:4" x14ac:dyDescent="0.35">
      <c r="D529"/>
    </row>
    <row r="530" spans="4:4" x14ac:dyDescent="0.35">
      <c r="D530"/>
    </row>
    <row r="531" spans="4:4" x14ac:dyDescent="0.35">
      <c r="D531"/>
    </row>
    <row r="532" spans="4:4" x14ac:dyDescent="0.35">
      <c r="D532"/>
    </row>
    <row r="533" spans="4:4" x14ac:dyDescent="0.35">
      <c r="D533"/>
    </row>
    <row r="534" spans="4:4" x14ac:dyDescent="0.35">
      <c r="D534"/>
    </row>
    <row r="535" spans="4:4" x14ac:dyDescent="0.35">
      <c r="D535"/>
    </row>
    <row r="536" spans="4:4" x14ac:dyDescent="0.35">
      <c r="D536"/>
    </row>
    <row r="537" spans="4:4" x14ac:dyDescent="0.35">
      <c r="D537"/>
    </row>
    <row r="538" spans="4:4" x14ac:dyDescent="0.35">
      <c r="D538"/>
    </row>
    <row r="539" spans="4:4" x14ac:dyDescent="0.35">
      <c r="D539"/>
    </row>
    <row r="540" spans="4:4" x14ac:dyDescent="0.35">
      <c r="D540"/>
    </row>
    <row r="541" spans="4:4" x14ac:dyDescent="0.35">
      <c r="D541"/>
    </row>
    <row r="542" spans="4:4" x14ac:dyDescent="0.35">
      <c r="D542"/>
    </row>
    <row r="543" spans="4:4" x14ac:dyDescent="0.35">
      <c r="D543"/>
    </row>
    <row r="544" spans="4:4" x14ac:dyDescent="0.35">
      <c r="D544"/>
    </row>
    <row r="545" spans="4:4" x14ac:dyDescent="0.35">
      <c r="D545"/>
    </row>
    <row r="546" spans="4:4" x14ac:dyDescent="0.35">
      <c r="D546"/>
    </row>
    <row r="547" spans="4:4" x14ac:dyDescent="0.35">
      <c r="D547"/>
    </row>
    <row r="548" spans="4:4" x14ac:dyDescent="0.35">
      <c r="D548"/>
    </row>
    <row r="549" spans="4:4" x14ac:dyDescent="0.35">
      <c r="D549"/>
    </row>
    <row r="550" spans="4:4" x14ac:dyDescent="0.35">
      <c r="D550"/>
    </row>
    <row r="551" spans="4:4" x14ac:dyDescent="0.35">
      <c r="D551"/>
    </row>
    <row r="552" spans="4:4" x14ac:dyDescent="0.35">
      <c r="D552"/>
    </row>
    <row r="553" spans="4:4" x14ac:dyDescent="0.35">
      <c r="D553"/>
    </row>
    <row r="554" spans="4:4" x14ac:dyDescent="0.35">
      <c r="D554"/>
    </row>
    <row r="555" spans="4:4" x14ac:dyDescent="0.35">
      <c r="D555"/>
    </row>
    <row r="556" spans="4:4" x14ac:dyDescent="0.35">
      <c r="D556"/>
    </row>
    <row r="557" spans="4:4" x14ac:dyDescent="0.35">
      <c r="D557"/>
    </row>
    <row r="558" spans="4:4" x14ac:dyDescent="0.35">
      <c r="D558"/>
    </row>
    <row r="559" spans="4:4" x14ac:dyDescent="0.35">
      <c r="D559"/>
    </row>
    <row r="560" spans="4:4" x14ac:dyDescent="0.35">
      <c r="D560"/>
    </row>
    <row r="561" spans="4:4" x14ac:dyDescent="0.35">
      <c r="D561"/>
    </row>
    <row r="562" spans="4:4" x14ac:dyDescent="0.35">
      <c r="D562"/>
    </row>
    <row r="563" spans="4:4" x14ac:dyDescent="0.35">
      <c r="D563"/>
    </row>
    <row r="564" spans="4:4" x14ac:dyDescent="0.35">
      <c r="D564"/>
    </row>
    <row r="565" spans="4:4" x14ac:dyDescent="0.35">
      <c r="D565"/>
    </row>
    <row r="566" spans="4:4" x14ac:dyDescent="0.35">
      <c r="D566"/>
    </row>
    <row r="567" spans="4:4" x14ac:dyDescent="0.35">
      <c r="D567"/>
    </row>
    <row r="568" spans="4:4" x14ac:dyDescent="0.35">
      <c r="D568"/>
    </row>
    <row r="569" spans="4:4" x14ac:dyDescent="0.35">
      <c r="D569"/>
    </row>
    <row r="570" spans="4:4" x14ac:dyDescent="0.35">
      <c r="D570"/>
    </row>
    <row r="571" spans="4:4" x14ac:dyDescent="0.35">
      <c r="D571"/>
    </row>
    <row r="572" spans="4:4" x14ac:dyDescent="0.35">
      <c r="D572"/>
    </row>
    <row r="573" spans="4:4" x14ac:dyDescent="0.35">
      <c r="D573"/>
    </row>
    <row r="574" spans="4:4" x14ac:dyDescent="0.35">
      <c r="D574"/>
    </row>
    <row r="575" spans="4:4" x14ac:dyDescent="0.35">
      <c r="D575"/>
    </row>
    <row r="576" spans="4:4" x14ac:dyDescent="0.35">
      <c r="D576"/>
    </row>
    <row r="577" spans="4:4" x14ac:dyDescent="0.35">
      <c r="D577"/>
    </row>
    <row r="578" spans="4:4" x14ac:dyDescent="0.35">
      <c r="D578"/>
    </row>
    <row r="579" spans="4:4" x14ac:dyDescent="0.35">
      <c r="D579"/>
    </row>
    <row r="580" spans="4:4" x14ac:dyDescent="0.35">
      <c r="D580"/>
    </row>
    <row r="581" spans="4:4" x14ac:dyDescent="0.35">
      <c r="D581"/>
    </row>
    <row r="582" spans="4:4" x14ac:dyDescent="0.35">
      <c r="D582"/>
    </row>
    <row r="583" spans="4:4" x14ac:dyDescent="0.35">
      <c r="D583"/>
    </row>
    <row r="584" spans="4:4" x14ac:dyDescent="0.35">
      <c r="D584"/>
    </row>
    <row r="585" spans="4:4" x14ac:dyDescent="0.35">
      <c r="D585"/>
    </row>
    <row r="586" spans="4:4" x14ac:dyDescent="0.35">
      <c r="D586"/>
    </row>
    <row r="587" spans="4:4" x14ac:dyDescent="0.35">
      <c r="D587"/>
    </row>
    <row r="588" spans="4:4" x14ac:dyDescent="0.35">
      <c r="D588"/>
    </row>
    <row r="589" spans="4:4" x14ac:dyDescent="0.35">
      <c r="D589"/>
    </row>
    <row r="590" spans="4:4" x14ac:dyDescent="0.35">
      <c r="D590"/>
    </row>
    <row r="591" spans="4:4" x14ac:dyDescent="0.35">
      <c r="D591"/>
    </row>
    <row r="592" spans="4:4" x14ac:dyDescent="0.35">
      <c r="D592"/>
    </row>
    <row r="593" spans="4:4" x14ac:dyDescent="0.35">
      <c r="D593"/>
    </row>
    <row r="594" spans="4:4" x14ac:dyDescent="0.35">
      <c r="D594"/>
    </row>
    <row r="595" spans="4:4" x14ac:dyDescent="0.35">
      <c r="D595"/>
    </row>
    <row r="596" spans="4:4" x14ac:dyDescent="0.35">
      <c r="D596"/>
    </row>
    <row r="597" spans="4:4" x14ac:dyDescent="0.35">
      <c r="D597"/>
    </row>
    <row r="598" spans="4:4" x14ac:dyDescent="0.35">
      <c r="D598"/>
    </row>
    <row r="599" spans="4:4" x14ac:dyDescent="0.35">
      <c r="D599"/>
    </row>
    <row r="600" spans="4:4" x14ac:dyDescent="0.35">
      <c r="D600"/>
    </row>
    <row r="601" spans="4:4" x14ac:dyDescent="0.35">
      <c r="D601"/>
    </row>
    <row r="602" spans="4:4" x14ac:dyDescent="0.35">
      <c r="D602"/>
    </row>
    <row r="603" spans="4:4" x14ac:dyDescent="0.35">
      <c r="D603"/>
    </row>
    <row r="604" spans="4:4" x14ac:dyDescent="0.35">
      <c r="D604"/>
    </row>
    <row r="605" spans="4:4" x14ac:dyDescent="0.35">
      <c r="D605"/>
    </row>
    <row r="606" spans="4:4" x14ac:dyDescent="0.35">
      <c r="D606"/>
    </row>
    <row r="607" spans="4:4" x14ac:dyDescent="0.35">
      <c r="D607"/>
    </row>
    <row r="608" spans="4:4" x14ac:dyDescent="0.35">
      <c r="D608"/>
    </row>
    <row r="609" spans="4:4" x14ac:dyDescent="0.35">
      <c r="D609"/>
    </row>
    <row r="610" spans="4:4" x14ac:dyDescent="0.35">
      <c r="D610"/>
    </row>
    <row r="611" spans="4:4" x14ac:dyDescent="0.35">
      <c r="D611"/>
    </row>
    <row r="612" spans="4:4" x14ac:dyDescent="0.35">
      <c r="D612"/>
    </row>
    <row r="613" spans="4:4" x14ac:dyDescent="0.35">
      <c r="D613"/>
    </row>
    <row r="614" spans="4:4" x14ac:dyDescent="0.35">
      <c r="D614"/>
    </row>
    <row r="615" spans="4:4" x14ac:dyDescent="0.35">
      <c r="D615"/>
    </row>
    <row r="616" spans="4:4" x14ac:dyDescent="0.35">
      <c r="D616"/>
    </row>
    <row r="617" spans="4:4" x14ac:dyDescent="0.35">
      <c r="D617"/>
    </row>
    <row r="618" spans="4:4" x14ac:dyDescent="0.35">
      <c r="D618"/>
    </row>
    <row r="619" spans="4:4" x14ac:dyDescent="0.35">
      <c r="D619"/>
    </row>
    <row r="620" spans="4:4" x14ac:dyDescent="0.35">
      <c r="D620"/>
    </row>
    <row r="621" spans="4:4" x14ac:dyDescent="0.35">
      <c r="D621"/>
    </row>
    <row r="622" spans="4:4" x14ac:dyDescent="0.35">
      <c r="D622"/>
    </row>
    <row r="623" spans="4:4" x14ac:dyDescent="0.35">
      <c r="D623"/>
    </row>
    <row r="624" spans="4:4" x14ac:dyDescent="0.35">
      <c r="D624"/>
    </row>
    <row r="625" spans="4:4" x14ac:dyDescent="0.35">
      <c r="D625"/>
    </row>
    <row r="626" spans="4:4" x14ac:dyDescent="0.35">
      <c r="D626"/>
    </row>
    <row r="627" spans="4:4" x14ac:dyDescent="0.35">
      <c r="D627"/>
    </row>
    <row r="628" spans="4:4" x14ac:dyDescent="0.35">
      <c r="D628"/>
    </row>
    <row r="629" spans="4:4" x14ac:dyDescent="0.35">
      <c r="D629"/>
    </row>
    <row r="630" spans="4:4" x14ac:dyDescent="0.35">
      <c r="D630"/>
    </row>
    <row r="631" spans="4:4" x14ac:dyDescent="0.35">
      <c r="D631"/>
    </row>
    <row r="632" spans="4:4" x14ac:dyDescent="0.35">
      <c r="D632"/>
    </row>
    <row r="633" spans="4:4" x14ac:dyDescent="0.35">
      <c r="D633"/>
    </row>
    <row r="634" spans="4:4" x14ac:dyDescent="0.35">
      <c r="D634"/>
    </row>
    <row r="635" spans="4:4" x14ac:dyDescent="0.35">
      <c r="D635"/>
    </row>
    <row r="636" spans="4:4" x14ac:dyDescent="0.35">
      <c r="D636"/>
    </row>
    <row r="637" spans="4:4" x14ac:dyDescent="0.35">
      <c r="D637"/>
    </row>
    <row r="638" spans="4:4" x14ac:dyDescent="0.35">
      <c r="D638"/>
    </row>
    <row r="639" spans="4:4" x14ac:dyDescent="0.35">
      <c r="D639"/>
    </row>
    <row r="640" spans="4:4" x14ac:dyDescent="0.35">
      <c r="D640"/>
    </row>
    <row r="641" spans="4:4" x14ac:dyDescent="0.35">
      <c r="D641"/>
    </row>
    <row r="642" spans="4:4" x14ac:dyDescent="0.35">
      <c r="D642"/>
    </row>
    <row r="643" spans="4:4" x14ac:dyDescent="0.35">
      <c r="D643"/>
    </row>
    <row r="644" spans="4:4" x14ac:dyDescent="0.35">
      <c r="D644"/>
    </row>
    <row r="645" spans="4:4" x14ac:dyDescent="0.35">
      <c r="D645"/>
    </row>
    <row r="646" spans="4:4" x14ac:dyDescent="0.35">
      <c r="D646"/>
    </row>
    <row r="647" spans="4:4" x14ac:dyDescent="0.35">
      <c r="D647"/>
    </row>
    <row r="648" spans="4:4" x14ac:dyDescent="0.35">
      <c r="D648"/>
    </row>
    <row r="649" spans="4:4" x14ac:dyDescent="0.35">
      <c r="D649"/>
    </row>
    <row r="650" spans="4:4" x14ac:dyDescent="0.35">
      <c r="D650"/>
    </row>
    <row r="651" spans="4:4" x14ac:dyDescent="0.35">
      <c r="D651"/>
    </row>
    <row r="652" spans="4:4" x14ac:dyDescent="0.35">
      <c r="D652"/>
    </row>
    <row r="653" spans="4:4" x14ac:dyDescent="0.35">
      <c r="D653"/>
    </row>
    <row r="654" spans="4:4" x14ac:dyDescent="0.35">
      <c r="D654"/>
    </row>
    <row r="655" spans="4:4" x14ac:dyDescent="0.35">
      <c r="D655"/>
    </row>
    <row r="656" spans="4:4" x14ac:dyDescent="0.35">
      <c r="D656"/>
    </row>
    <row r="657" spans="4:4" x14ac:dyDescent="0.35">
      <c r="D657"/>
    </row>
    <row r="658" spans="4:4" x14ac:dyDescent="0.35">
      <c r="D658"/>
    </row>
    <row r="659" spans="4:4" x14ac:dyDescent="0.35">
      <c r="D659"/>
    </row>
    <row r="660" spans="4:4" x14ac:dyDescent="0.35">
      <c r="D660"/>
    </row>
    <row r="661" spans="4:4" x14ac:dyDescent="0.35">
      <c r="D661"/>
    </row>
    <row r="662" spans="4:4" x14ac:dyDescent="0.35">
      <c r="D662"/>
    </row>
    <row r="663" spans="4:4" x14ac:dyDescent="0.35">
      <c r="D663"/>
    </row>
    <row r="664" spans="4:4" x14ac:dyDescent="0.35">
      <c r="D664"/>
    </row>
    <row r="665" spans="4:4" x14ac:dyDescent="0.35">
      <c r="D665"/>
    </row>
    <row r="666" spans="4:4" x14ac:dyDescent="0.35">
      <c r="D666"/>
    </row>
    <row r="667" spans="4:4" x14ac:dyDescent="0.35">
      <c r="D667"/>
    </row>
    <row r="668" spans="4:4" x14ac:dyDescent="0.35">
      <c r="D668"/>
    </row>
    <row r="669" spans="4:4" x14ac:dyDescent="0.35">
      <c r="D669"/>
    </row>
    <row r="670" spans="4:4" x14ac:dyDescent="0.35">
      <c r="D670"/>
    </row>
    <row r="671" spans="4:4" x14ac:dyDescent="0.35">
      <c r="D671"/>
    </row>
    <row r="672" spans="4:4" x14ac:dyDescent="0.35">
      <c r="D672"/>
    </row>
    <row r="673" spans="4:4" x14ac:dyDescent="0.35">
      <c r="D673"/>
    </row>
    <row r="674" spans="4:4" x14ac:dyDescent="0.35">
      <c r="D674"/>
    </row>
    <row r="675" spans="4:4" x14ac:dyDescent="0.35">
      <c r="D675"/>
    </row>
    <row r="676" spans="4:4" x14ac:dyDescent="0.35">
      <c r="D676"/>
    </row>
    <row r="677" spans="4:4" x14ac:dyDescent="0.35">
      <c r="D677"/>
    </row>
    <row r="678" spans="4:4" x14ac:dyDescent="0.35">
      <c r="D678"/>
    </row>
    <row r="679" spans="4:4" x14ac:dyDescent="0.35">
      <c r="D679"/>
    </row>
    <row r="680" spans="4:4" x14ac:dyDescent="0.35">
      <c r="D680"/>
    </row>
    <row r="681" spans="4:4" x14ac:dyDescent="0.35">
      <c r="D681"/>
    </row>
    <row r="682" spans="4:4" x14ac:dyDescent="0.35">
      <c r="D682"/>
    </row>
    <row r="683" spans="4:4" x14ac:dyDescent="0.35">
      <c r="D683"/>
    </row>
    <row r="684" spans="4:4" x14ac:dyDescent="0.35">
      <c r="D684"/>
    </row>
    <row r="685" spans="4:4" x14ac:dyDescent="0.35">
      <c r="D685"/>
    </row>
    <row r="686" spans="4:4" x14ac:dyDescent="0.35">
      <c r="D686"/>
    </row>
    <row r="687" spans="4:4" x14ac:dyDescent="0.35">
      <c r="D687"/>
    </row>
    <row r="688" spans="4:4" x14ac:dyDescent="0.35">
      <c r="D688"/>
    </row>
    <row r="689" spans="4:4" x14ac:dyDescent="0.35">
      <c r="D689"/>
    </row>
    <row r="690" spans="4:4" x14ac:dyDescent="0.35">
      <c r="D690"/>
    </row>
    <row r="691" spans="4:4" x14ac:dyDescent="0.35">
      <c r="D691"/>
    </row>
    <row r="692" spans="4:4" x14ac:dyDescent="0.35">
      <c r="D692"/>
    </row>
    <row r="693" spans="4:4" x14ac:dyDescent="0.35">
      <c r="D693"/>
    </row>
    <row r="694" spans="4:4" x14ac:dyDescent="0.35">
      <c r="D694"/>
    </row>
    <row r="695" spans="4:4" x14ac:dyDescent="0.35">
      <c r="D695"/>
    </row>
    <row r="696" spans="4:4" x14ac:dyDescent="0.35">
      <c r="D696"/>
    </row>
    <row r="697" spans="4:4" x14ac:dyDescent="0.35">
      <c r="D697"/>
    </row>
    <row r="698" spans="4:4" x14ac:dyDescent="0.35">
      <c r="D698"/>
    </row>
    <row r="699" spans="4:4" x14ac:dyDescent="0.35">
      <c r="D699"/>
    </row>
    <row r="700" spans="4:4" x14ac:dyDescent="0.35">
      <c r="D700"/>
    </row>
    <row r="701" spans="4:4" x14ac:dyDescent="0.35">
      <c r="D701"/>
    </row>
    <row r="702" spans="4:4" x14ac:dyDescent="0.35">
      <c r="D702"/>
    </row>
    <row r="703" spans="4:4" x14ac:dyDescent="0.35">
      <c r="D703"/>
    </row>
    <row r="704" spans="4:4" x14ac:dyDescent="0.35">
      <c r="D704"/>
    </row>
    <row r="705" spans="4:4" x14ac:dyDescent="0.35">
      <c r="D705"/>
    </row>
    <row r="706" spans="4:4" x14ac:dyDescent="0.35">
      <c r="D706"/>
    </row>
    <row r="707" spans="4:4" x14ac:dyDescent="0.35">
      <c r="D707"/>
    </row>
    <row r="708" spans="4:4" x14ac:dyDescent="0.35">
      <c r="D708"/>
    </row>
    <row r="709" spans="4:4" x14ac:dyDescent="0.35">
      <c r="D709"/>
    </row>
    <row r="710" spans="4:4" x14ac:dyDescent="0.35">
      <c r="D710"/>
    </row>
    <row r="711" spans="4:4" x14ac:dyDescent="0.35">
      <c r="D711"/>
    </row>
    <row r="712" spans="4:4" x14ac:dyDescent="0.35">
      <c r="D712"/>
    </row>
    <row r="713" spans="4:4" x14ac:dyDescent="0.35">
      <c r="D713"/>
    </row>
    <row r="714" spans="4:4" x14ac:dyDescent="0.35">
      <c r="D714"/>
    </row>
    <row r="715" spans="4:4" x14ac:dyDescent="0.35">
      <c r="D715"/>
    </row>
    <row r="716" spans="4:4" x14ac:dyDescent="0.35">
      <c r="D716"/>
    </row>
    <row r="717" spans="4:4" x14ac:dyDescent="0.35">
      <c r="D717"/>
    </row>
    <row r="718" spans="4:4" x14ac:dyDescent="0.35">
      <c r="D718"/>
    </row>
    <row r="719" spans="4:4" x14ac:dyDescent="0.35">
      <c r="D719"/>
    </row>
    <row r="720" spans="4:4" x14ac:dyDescent="0.35">
      <c r="D720"/>
    </row>
    <row r="721" spans="4:4" x14ac:dyDescent="0.35">
      <c r="D721"/>
    </row>
    <row r="722" spans="4:4" x14ac:dyDescent="0.35">
      <c r="D722"/>
    </row>
    <row r="723" spans="4:4" x14ac:dyDescent="0.35">
      <c r="D723"/>
    </row>
    <row r="724" spans="4:4" x14ac:dyDescent="0.35">
      <c r="D724"/>
    </row>
    <row r="725" spans="4:4" x14ac:dyDescent="0.35">
      <c r="D725"/>
    </row>
    <row r="726" spans="4:4" x14ac:dyDescent="0.35">
      <c r="D726"/>
    </row>
    <row r="727" spans="4:4" x14ac:dyDescent="0.35">
      <c r="D727"/>
    </row>
    <row r="728" spans="4:4" x14ac:dyDescent="0.35">
      <c r="D728"/>
    </row>
    <row r="729" spans="4:4" x14ac:dyDescent="0.35">
      <c r="D729"/>
    </row>
    <row r="730" spans="4:4" x14ac:dyDescent="0.35">
      <c r="D730"/>
    </row>
    <row r="731" spans="4:4" x14ac:dyDescent="0.35">
      <c r="D731"/>
    </row>
    <row r="732" spans="4:4" x14ac:dyDescent="0.35">
      <c r="D732"/>
    </row>
    <row r="733" spans="4:4" x14ac:dyDescent="0.35">
      <c r="D733"/>
    </row>
    <row r="734" spans="4:4" x14ac:dyDescent="0.35">
      <c r="D734"/>
    </row>
    <row r="735" spans="4:4" x14ac:dyDescent="0.35">
      <c r="D735"/>
    </row>
    <row r="736" spans="4:4" x14ac:dyDescent="0.35">
      <c r="D736"/>
    </row>
    <row r="737" spans="4:4" x14ac:dyDescent="0.35">
      <c r="D737"/>
    </row>
    <row r="738" spans="4:4" x14ac:dyDescent="0.35">
      <c r="D738"/>
    </row>
    <row r="739" spans="4:4" x14ac:dyDescent="0.35">
      <c r="D739"/>
    </row>
    <row r="740" spans="4:4" x14ac:dyDescent="0.35">
      <c r="D740"/>
    </row>
    <row r="741" spans="4:4" x14ac:dyDescent="0.35">
      <c r="D741"/>
    </row>
    <row r="742" spans="4:4" x14ac:dyDescent="0.35">
      <c r="D742"/>
    </row>
    <row r="743" spans="4:4" x14ac:dyDescent="0.35">
      <c r="D743"/>
    </row>
    <row r="744" spans="4:4" x14ac:dyDescent="0.35">
      <c r="D744"/>
    </row>
    <row r="745" spans="4:4" x14ac:dyDescent="0.35">
      <c r="D745"/>
    </row>
    <row r="746" spans="4:4" x14ac:dyDescent="0.35">
      <c r="D746"/>
    </row>
    <row r="747" spans="4:4" x14ac:dyDescent="0.35">
      <c r="D747"/>
    </row>
    <row r="748" spans="4:4" x14ac:dyDescent="0.35">
      <c r="D748"/>
    </row>
    <row r="749" spans="4:4" x14ac:dyDescent="0.35">
      <c r="D749"/>
    </row>
    <row r="750" spans="4:4" x14ac:dyDescent="0.35">
      <c r="D750"/>
    </row>
    <row r="751" spans="4:4" x14ac:dyDescent="0.35">
      <c r="D751"/>
    </row>
    <row r="752" spans="4:4" x14ac:dyDescent="0.35">
      <c r="D752"/>
    </row>
    <row r="753" spans="4:4" x14ac:dyDescent="0.35">
      <c r="D753"/>
    </row>
    <row r="754" spans="4:4" x14ac:dyDescent="0.35">
      <c r="D754"/>
    </row>
    <row r="755" spans="4:4" x14ac:dyDescent="0.35">
      <c r="D755"/>
    </row>
    <row r="756" spans="4:4" x14ac:dyDescent="0.35">
      <c r="D756"/>
    </row>
    <row r="757" spans="4:4" x14ac:dyDescent="0.35">
      <c r="D757"/>
    </row>
    <row r="758" spans="4:4" x14ac:dyDescent="0.35">
      <c r="D758"/>
    </row>
    <row r="759" spans="4:4" x14ac:dyDescent="0.35">
      <c r="D759"/>
    </row>
    <row r="760" spans="4:4" x14ac:dyDescent="0.35">
      <c r="D760"/>
    </row>
    <row r="761" spans="4:4" x14ac:dyDescent="0.35">
      <c r="D761"/>
    </row>
    <row r="762" spans="4:4" x14ac:dyDescent="0.35">
      <c r="D762"/>
    </row>
    <row r="763" spans="4:4" x14ac:dyDescent="0.35">
      <c r="D763"/>
    </row>
    <row r="764" spans="4:4" x14ac:dyDescent="0.35">
      <c r="D764"/>
    </row>
    <row r="765" spans="4:4" x14ac:dyDescent="0.35">
      <c r="D765"/>
    </row>
    <row r="766" spans="4:4" x14ac:dyDescent="0.35">
      <c r="D766"/>
    </row>
    <row r="767" spans="4:4" x14ac:dyDescent="0.35">
      <c r="D767"/>
    </row>
    <row r="768" spans="4:4" x14ac:dyDescent="0.35">
      <c r="D768"/>
    </row>
    <row r="769" spans="4:4" x14ac:dyDescent="0.35">
      <c r="D769"/>
    </row>
    <row r="770" spans="4:4" x14ac:dyDescent="0.35">
      <c r="D770"/>
    </row>
    <row r="771" spans="4:4" x14ac:dyDescent="0.35">
      <c r="D771"/>
    </row>
    <row r="772" spans="4:4" x14ac:dyDescent="0.35">
      <c r="D772"/>
    </row>
    <row r="773" spans="4:4" x14ac:dyDescent="0.35">
      <c r="D773"/>
    </row>
    <row r="774" spans="4:4" x14ac:dyDescent="0.35">
      <c r="D774"/>
    </row>
    <row r="775" spans="4:4" x14ac:dyDescent="0.35">
      <c r="D775"/>
    </row>
    <row r="776" spans="4:4" x14ac:dyDescent="0.35">
      <c r="D776"/>
    </row>
    <row r="777" spans="4:4" x14ac:dyDescent="0.35">
      <c r="D777"/>
    </row>
    <row r="778" spans="4:4" x14ac:dyDescent="0.35">
      <c r="D778"/>
    </row>
    <row r="779" spans="4:4" x14ac:dyDescent="0.35">
      <c r="D779"/>
    </row>
    <row r="780" spans="4:4" x14ac:dyDescent="0.35">
      <c r="D780"/>
    </row>
    <row r="781" spans="4:4" x14ac:dyDescent="0.35">
      <c r="D781"/>
    </row>
    <row r="782" spans="4:4" x14ac:dyDescent="0.35">
      <c r="D782"/>
    </row>
    <row r="783" spans="4:4" x14ac:dyDescent="0.35">
      <c r="D783"/>
    </row>
    <row r="784" spans="4:4" x14ac:dyDescent="0.35">
      <c r="D784"/>
    </row>
    <row r="785" spans="4:4" x14ac:dyDescent="0.35">
      <c r="D785"/>
    </row>
    <row r="786" spans="4:4" x14ac:dyDescent="0.35">
      <c r="D786"/>
    </row>
    <row r="787" spans="4:4" x14ac:dyDescent="0.35">
      <c r="D787"/>
    </row>
    <row r="788" spans="4:4" x14ac:dyDescent="0.35">
      <c r="D788"/>
    </row>
    <row r="789" spans="4:4" x14ac:dyDescent="0.35">
      <c r="D789"/>
    </row>
    <row r="790" spans="4:4" x14ac:dyDescent="0.35">
      <c r="D790"/>
    </row>
    <row r="791" spans="4:4" x14ac:dyDescent="0.35">
      <c r="D791"/>
    </row>
    <row r="792" spans="4:4" x14ac:dyDescent="0.35">
      <c r="D792"/>
    </row>
    <row r="793" spans="4:4" x14ac:dyDescent="0.35">
      <c r="D793"/>
    </row>
    <row r="794" spans="4:4" x14ac:dyDescent="0.35">
      <c r="D794"/>
    </row>
    <row r="795" spans="4:4" x14ac:dyDescent="0.35">
      <c r="D795"/>
    </row>
    <row r="796" spans="4:4" x14ac:dyDescent="0.35">
      <c r="D796"/>
    </row>
    <row r="797" spans="4:4" x14ac:dyDescent="0.35">
      <c r="D797"/>
    </row>
    <row r="798" spans="4:4" x14ac:dyDescent="0.35">
      <c r="D798"/>
    </row>
    <row r="799" spans="4:4" x14ac:dyDescent="0.35">
      <c r="D799"/>
    </row>
    <row r="800" spans="4:4" x14ac:dyDescent="0.35">
      <c r="D800"/>
    </row>
    <row r="801" spans="4:4" x14ac:dyDescent="0.35">
      <c r="D801"/>
    </row>
    <row r="802" spans="4:4" x14ac:dyDescent="0.35">
      <c r="D802"/>
    </row>
    <row r="803" spans="4:4" x14ac:dyDescent="0.35">
      <c r="D803"/>
    </row>
    <row r="804" spans="4:4" x14ac:dyDescent="0.35">
      <c r="D804"/>
    </row>
    <row r="805" spans="4:4" x14ac:dyDescent="0.35">
      <c r="D805"/>
    </row>
    <row r="806" spans="4:4" x14ac:dyDescent="0.35">
      <c r="D806"/>
    </row>
    <row r="807" spans="4:4" x14ac:dyDescent="0.35">
      <c r="D807"/>
    </row>
    <row r="808" spans="4:4" x14ac:dyDescent="0.35">
      <c r="D808"/>
    </row>
    <row r="809" spans="4:4" x14ac:dyDescent="0.35">
      <c r="D809"/>
    </row>
    <row r="810" spans="4:4" x14ac:dyDescent="0.35">
      <c r="D810"/>
    </row>
    <row r="811" spans="4:4" x14ac:dyDescent="0.35">
      <c r="D811"/>
    </row>
    <row r="812" spans="4:4" x14ac:dyDescent="0.35">
      <c r="D812"/>
    </row>
    <row r="813" spans="4:4" x14ac:dyDescent="0.35">
      <c r="D813"/>
    </row>
    <row r="814" spans="4:4" x14ac:dyDescent="0.35">
      <c r="D814"/>
    </row>
    <row r="815" spans="4:4" x14ac:dyDescent="0.35">
      <c r="D815"/>
    </row>
    <row r="816" spans="4:4" x14ac:dyDescent="0.35">
      <c r="D816"/>
    </row>
    <row r="817" spans="4:4" x14ac:dyDescent="0.35">
      <c r="D817"/>
    </row>
    <row r="818" spans="4:4" x14ac:dyDescent="0.35">
      <c r="D818"/>
    </row>
    <row r="819" spans="4:4" x14ac:dyDescent="0.35">
      <c r="D819"/>
    </row>
    <row r="820" spans="4:4" x14ac:dyDescent="0.35">
      <c r="D820"/>
    </row>
    <row r="821" spans="4:4" x14ac:dyDescent="0.35">
      <c r="D821"/>
    </row>
    <row r="822" spans="4:4" x14ac:dyDescent="0.35">
      <c r="D822"/>
    </row>
    <row r="823" spans="4:4" x14ac:dyDescent="0.35">
      <c r="D823"/>
    </row>
    <row r="824" spans="4:4" x14ac:dyDescent="0.35">
      <c r="D824"/>
    </row>
    <row r="825" spans="4:4" x14ac:dyDescent="0.35">
      <c r="D825"/>
    </row>
    <row r="826" spans="4:4" x14ac:dyDescent="0.35">
      <c r="D826"/>
    </row>
    <row r="827" spans="4:4" x14ac:dyDescent="0.35">
      <c r="D827"/>
    </row>
  </sheetData>
  <mergeCells count="27">
    <mergeCell ref="S4:S5"/>
    <mergeCell ref="I35:I36"/>
    <mergeCell ref="F31:I31"/>
    <mergeCell ref="F19:I19"/>
    <mergeCell ref="F20:G20"/>
    <mergeCell ref="F27:G27"/>
    <mergeCell ref="F21:G21"/>
    <mergeCell ref="H20:R20"/>
    <mergeCell ref="H21:R21"/>
    <mergeCell ref="H27:R27"/>
    <mergeCell ref="H6:R6"/>
    <mergeCell ref="O34:R34"/>
    <mergeCell ref="B4:B5"/>
    <mergeCell ref="F1:Q1"/>
    <mergeCell ref="H13:I13"/>
    <mergeCell ref="H18:I18"/>
    <mergeCell ref="H30:I30"/>
    <mergeCell ref="H26:I26"/>
    <mergeCell ref="F6:G6"/>
    <mergeCell ref="F14:G14"/>
    <mergeCell ref="F7:G7"/>
    <mergeCell ref="H7:R7"/>
    <mergeCell ref="H14:R14"/>
    <mergeCell ref="D4:D5"/>
    <mergeCell ref="F3:G3"/>
    <mergeCell ref="H3:I3"/>
    <mergeCell ref="O3:R3"/>
  </mergeCells>
  <printOptions horizontalCentered="1"/>
  <pageMargins left="0.2" right="0.2" top="0.75" bottom="0.5" header="0.3" footer="0.3"/>
  <pageSetup paperSize="5" scale="34" fitToHeight="0" orientation="landscape" r:id="rId1"/>
  <headerFooter>
    <oddHeader>&amp;C&amp;"-,Bold"&amp;14Appendix I: Estimates of the Hour Burden of the Collection of Information Reporting – OMB Control Number 0584-0055
RECORDKEEPING</oddHeader>
    <oddFooter>&amp;CPage &amp;P</oddFooter>
  </headerFooter>
  <ignoredErrors>
    <ignoredError sqref="N39 M39 K39 M26 M18:N18 N19 L18:L19 K19 K30:K31 M30:M31 M13 L31"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B1:S832"/>
  <sheetViews>
    <sheetView showGridLines="0" topLeftCell="G15" zoomScale="80" zoomScaleNormal="80" zoomScalePageLayoutView="75" workbookViewId="0">
      <selection activeCell="N13" sqref="N13"/>
    </sheetView>
  </sheetViews>
  <sheetFormatPr defaultColWidth="9.453125" defaultRowHeight="14.5" x14ac:dyDescent="0.35"/>
  <cols>
    <col min="3" max="3" width="10.81640625" customWidth="1"/>
    <col min="4" max="4" width="27.81640625" style="4" customWidth="1"/>
    <col min="5" max="5" width="7.54296875" customWidth="1"/>
    <col min="6" max="6" width="28.453125" customWidth="1"/>
    <col min="7" max="7" width="40" customWidth="1"/>
    <col min="8" max="8" width="26.81640625" bestFit="1" customWidth="1"/>
    <col min="9" max="9" width="49" customWidth="1"/>
    <col min="10" max="10" width="17.81640625" style="4" customWidth="1"/>
    <col min="11" max="12" width="17.1796875" style="4" customWidth="1"/>
    <col min="13" max="13" width="23.453125" style="20" customWidth="1"/>
    <col min="14" max="14" width="17.1796875" style="20" customWidth="1"/>
    <col min="15" max="15" width="19" style="20" customWidth="1"/>
    <col min="16" max="16" width="22.1796875" style="20" customWidth="1"/>
    <col min="17" max="17" width="23" style="20" customWidth="1"/>
    <col min="18" max="18" width="17.1796875" style="20" customWidth="1"/>
    <col min="19" max="19" width="39.453125" customWidth="1"/>
  </cols>
  <sheetData>
    <row r="1" spans="2:19" ht="50.15" customHeight="1" x14ac:dyDescent="0.35">
      <c r="C1" s="16" t="s">
        <v>0</v>
      </c>
      <c r="D1" s="189" t="s">
        <v>1</v>
      </c>
      <c r="F1" s="276" t="s">
        <v>2</v>
      </c>
      <c r="G1" s="276"/>
      <c r="H1" s="276"/>
      <c r="I1" s="276"/>
      <c r="J1" s="276"/>
      <c r="K1" s="276"/>
      <c r="L1" s="276"/>
      <c r="M1" s="276"/>
      <c r="N1" s="276"/>
      <c r="O1" s="276"/>
      <c r="P1" s="276"/>
      <c r="Q1" s="276"/>
      <c r="R1" s="276"/>
    </row>
    <row r="4" spans="2:19" x14ac:dyDescent="0.35">
      <c r="F4" s="303" t="s">
        <v>3</v>
      </c>
      <c r="G4" s="289"/>
      <c r="H4" s="304" t="s">
        <v>4</v>
      </c>
      <c r="I4" s="304"/>
      <c r="O4" s="282" t="s">
        <v>5</v>
      </c>
      <c r="P4" s="282"/>
      <c r="Q4" s="282"/>
      <c r="R4" s="282"/>
    </row>
    <row r="5" spans="2:19" s="2" customFormat="1" ht="56.15" customHeight="1" x14ac:dyDescent="0.35">
      <c r="B5" s="285" t="s">
        <v>6</v>
      </c>
      <c r="D5" s="296" t="s">
        <v>7</v>
      </c>
      <c r="F5" s="261" t="s">
        <v>308</v>
      </c>
      <c r="G5" s="261" t="s">
        <v>9</v>
      </c>
      <c r="H5" s="261" t="s">
        <v>8</v>
      </c>
      <c r="I5" s="57" t="s">
        <v>9</v>
      </c>
      <c r="J5" s="7" t="s">
        <v>10</v>
      </c>
      <c r="K5" s="8" t="s">
        <v>11</v>
      </c>
      <c r="L5" s="11" t="s">
        <v>12</v>
      </c>
      <c r="M5" s="21" t="s">
        <v>13</v>
      </c>
      <c r="N5" s="21" t="s">
        <v>14</v>
      </c>
      <c r="O5" s="21" t="s">
        <v>15</v>
      </c>
      <c r="P5" s="21" t="s">
        <v>16</v>
      </c>
      <c r="Q5" s="21" t="s">
        <v>17</v>
      </c>
      <c r="R5" s="21" t="s">
        <v>18</v>
      </c>
      <c r="S5" s="285" t="s">
        <v>19</v>
      </c>
    </row>
    <row r="6" spans="2:19" s="2" customFormat="1" ht="21" customHeight="1" x14ac:dyDescent="0.35">
      <c r="B6" s="285"/>
      <c r="D6" s="297"/>
      <c r="F6" s="27"/>
      <c r="G6" s="262"/>
      <c r="H6" s="27" t="s">
        <v>20</v>
      </c>
      <c r="I6" s="27" t="s">
        <v>21</v>
      </c>
      <c r="J6" s="262" t="s">
        <v>22</v>
      </c>
      <c r="K6" s="9" t="s">
        <v>23</v>
      </c>
      <c r="L6" s="12" t="s">
        <v>24</v>
      </c>
      <c r="M6" s="22" t="s">
        <v>25</v>
      </c>
      <c r="N6" s="22" t="s">
        <v>26</v>
      </c>
      <c r="O6" s="22" t="s">
        <v>27</v>
      </c>
      <c r="P6" s="22" t="s">
        <v>28</v>
      </c>
      <c r="Q6" s="22" t="s">
        <v>309</v>
      </c>
      <c r="R6" s="22" t="s">
        <v>310</v>
      </c>
      <c r="S6" s="285"/>
    </row>
    <row r="7" spans="2:19" ht="35.25" customHeight="1" x14ac:dyDescent="0.35">
      <c r="B7" s="6"/>
      <c r="D7" s="6"/>
      <c r="F7" s="305" t="s">
        <v>31</v>
      </c>
      <c r="G7" s="305"/>
      <c r="H7" s="305" t="s">
        <v>31</v>
      </c>
      <c r="I7" s="305"/>
      <c r="J7" s="305"/>
      <c r="K7" s="305"/>
      <c r="L7" s="305"/>
      <c r="M7" s="305"/>
      <c r="N7" s="305"/>
      <c r="O7" s="305"/>
      <c r="P7" s="305"/>
      <c r="Q7" s="305"/>
      <c r="R7" s="305"/>
      <c r="S7" s="66"/>
    </row>
    <row r="8" spans="2:19" ht="35.25" customHeight="1" x14ac:dyDescent="0.35">
      <c r="B8" s="6"/>
      <c r="D8" s="6"/>
      <c r="F8" s="305" t="s">
        <v>32</v>
      </c>
      <c r="G8" s="305"/>
      <c r="H8" s="305" t="s">
        <v>32</v>
      </c>
      <c r="I8" s="305"/>
      <c r="J8" s="305"/>
      <c r="K8" s="305"/>
      <c r="L8" s="305"/>
      <c r="M8" s="305"/>
      <c r="N8" s="305"/>
      <c r="O8" s="305"/>
      <c r="P8" s="305"/>
      <c r="Q8" s="305"/>
      <c r="R8" s="305"/>
      <c r="S8" s="66"/>
    </row>
    <row r="9" spans="2:19" ht="93.65" customHeight="1" x14ac:dyDescent="0.35">
      <c r="B9" s="243">
        <f>1</f>
        <v>1</v>
      </c>
      <c r="D9" s="243" t="s">
        <v>43</v>
      </c>
      <c r="F9" s="252"/>
      <c r="G9" s="252"/>
      <c r="H9" s="252" t="s">
        <v>519</v>
      </c>
      <c r="I9" s="258" t="s">
        <v>526</v>
      </c>
      <c r="J9" s="243">
        <v>56</v>
      </c>
      <c r="K9" s="243">
        <f>ROUND(((Assumptions!D27 * Assumptions!D26)/J9), 0)</f>
        <v>23</v>
      </c>
      <c r="L9" s="237">
        <f>J9*K9</f>
        <v>1288</v>
      </c>
      <c r="M9" s="243">
        <v>0.25</v>
      </c>
      <c r="N9" s="243">
        <f>L9*M9</f>
        <v>322</v>
      </c>
      <c r="O9" s="243">
        <v>0</v>
      </c>
      <c r="P9" s="243"/>
      <c r="Q9" s="243">
        <f>N9</f>
        <v>322</v>
      </c>
      <c r="R9" s="243">
        <f>N9</f>
        <v>322</v>
      </c>
      <c r="S9" s="259"/>
    </row>
    <row r="10" spans="2:19" s="203" customFormat="1" ht="127" customHeight="1" x14ac:dyDescent="0.35">
      <c r="B10" s="202">
        <f>2</f>
        <v>2</v>
      </c>
      <c r="D10" s="202" t="s">
        <v>33</v>
      </c>
      <c r="F10" s="204" t="s">
        <v>332</v>
      </c>
      <c r="G10" s="204" t="s">
        <v>333</v>
      </c>
      <c r="H10" s="204" t="s">
        <v>332</v>
      </c>
      <c r="I10" s="204" t="s">
        <v>333</v>
      </c>
      <c r="J10" s="205">
        <f>ROUND(Assumptions!D10*0.5,0)</f>
        <v>28</v>
      </c>
      <c r="K10" s="205">
        <v>1</v>
      </c>
      <c r="L10" s="205">
        <f>J10*K10</f>
        <v>28</v>
      </c>
      <c r="M10" s="206">
        <v>0.25</v>
      </c>
      <c r="N10" s="206">
        <f>L10*M10</f>
        <v>7</v>
      </c>
      <c r="O10" s="206">
        <v>7</v>
      </c>
      <c r="P10" s="206"/>
      <c r="Q10" s="206">
        <f>N10-O10</f>
        <v>0</v>
      </c>
      <c r="R10" s="206">
        <f>P10+Q10</f>
        <v>0</v>
      </c>
      <c r="S10" s="207"/>
    </row>
    <row r="11" spans="2:19" ht="35.25" customHeight="1" x14ac:dyDescent="0.35">
      <c r="B11" s="6"/>
      <c r="D11" s="6"/>
      <c r="F11" s="305" t="s">
        <v>184</v>
      </c>
      <c r="G11" s="305"/>
      <c r="H11" s="305" t="s">
        <v>184</v>
      </c>
      <c r="I11" s="305"/>
      <c r="J11" s="305"/>
      <c r="K11" s="305"/>
      <c r="L11" s="305"/>
      <c r="M11" s="305"/>
      <c r="N11" s="305"/>
      <c r="O11" s="305"/>
      <c r="P11" s="305"/>
      <c r="Q11" s="305"/>
      <c r="R11" s="305"/>
      <c r="S11" s="66"/>
    </row>
    <row r="12" spans="2:19" s="203" customFormat="1" ht="101.5" customHeight="1" x14ac:dyDescent="0.35">
      <c r="B12" s="202">
        <v>1</v>
      </c>
      <c r="D12" s="202" t="s">
        <v>33</v>
      </c>
      <c r="F12" s="204" t="s">
        <v>332</v>
      </c>
      <c r="G12" s="204" t="s">
        <v>334</v>
      </c>
      <c r="H12" s="204" t="s">
        <v>332</v>
      </c>
      <c r="I12" s="204" t="s">
        <v>334</v>
      </c>
      <c r="J12" s="205">
        <f>ROUND(ROUND(Assumptions!$D$27*Assumptions!D21,0)*0.5,0)</f>
        <v>1629</v>
      </c>
      <c r="K12" s="205">
        <v>1</v>
      </c>
      <c r="L12" s="205">
        <f>J12*K12</f>
        <v>1629</v>
      </c>
      <c r="M12" s="206">
        <v>0.25</v>
      </c>
      <c r="N12" s="206">
        <f>L12*M12</f>
        <v>407.25</v>
      </c>
      <c r="O12" s="206">
        <v>407.25</v>
      </c>
      <c r="P12" s="206"/>
      <c r="Q12" s="206">
        <f>N12-O12</f>
        <v>0</v>
      </c>
      <c r="R12" s="206">
        <f>P12+Q12</f>
        <v>0</v>
      </c>
      <c r="S12" s="207"/>
    </row>
    <row r="13" spans="2:19" ht="22.5" customHeight="1" x14ac:dyDescent="0.35">
      <c r="B13" s="6"/>
      <c r="D13" s="6"/>
      <c r="F13" s="302" t="s">
        <v>242</v>
      </c>
      <c r="G13" s="302"/>
      <c r="H13" s="302"/>
      <c r="I13" s="302"/>
      <c r="J13" s="14">
        <f>SUM(J9:J12)</f>
        <v>1713</v>
      </c>
      <c r="K13" s="17">
        <f>L13/J13</f>
        <v>1.7192060712200816</v>
      </c>
      <c r="L13" s="17">
        <f>SUM(L9:L12)</f>
        <v>2945</v>
      </c>
      <c r="M13" s="125">
        <f>N13/L13</f>
        <v>0.25</v>
      </c>
      <c r="N13" s="125">
        <f>SUM(N9:N12)</f>
        <v>736.25</v>
      </c>
      <c r="O13" s="125">
        <f>SUM(O9:O12)</f>
        <v>414.25</v>
      </c>
      <c r="P13" s="125">
        <f>SUM(P9:P12)</f>
        <v>0</v>
      </c>
      <c r="Q13" s="125">
        <f>SUM(Q9:Q12)</f>
        <v>322</v>
      </c>
      <c r="R13" s="125">
        <f>SUM(R9:R12)</f>
        <v>322</v>
      </c>
      <c r="S13" s="15"/>
    </row>
    <row r="14" spans="2:19" ht="35.25" customHeight="1" x14ac:dyDescent="0.35">
      <c r="B14" s="6"/>
      <c r="D14" s="6"/>
      <c r="F14" s="305" t="s">
        <v>243</v>
      </c>
      <c r="G14" s="305"/>
      <c r="H14" s="305" t="s">
        <v>243</v>
      </c>
      <c r="I14" s="305"/>
      <c r="J14" s="305"/>
      <c r="K14" s="305"/>
      <c r="L14" s="305"/>
      <c r="M14" s="305"/>
      <c r="N14" s="305"/>
      <c r="O14" s="305"/>
      <c r="P14" s="305"/>
      <c r="Q14" s="305"/>
      <c r="R14" s="305"/>
      <c r="S14" s="66"/>
    </row>
    <row r="15" spans="2:19" ht="35.25" customHeight="1" x14ac:dyDescent="0.35">
      <c r="B15" s="6"/>
      <c r="D15" s="6"/>
      <c r="F15" s="305" t="s">
        <v>244</v>
      </c>
      <c r="G15" s="305"/>
      <c r="H15" s="305" t="s">
        <v>244</v>
      </c>
      <c r="I15" s="305"/>
      <c r="J15" s="305"/>
      <c r="K15" s="305"/>
      <c r="L15" s="305"/>
      <c r="M15" s="305"/>
      <c r="N15" s="305"/>
      <c r="O15" s="305"/>
      <c r="P15" s="305"/>
      <c r="Q15" s="305"/>
      <c r="R15" s="305"/>
      <c r="S15" s="66"/>
    </row>
    <row r="16" spans="2:19" s="203" customFormat="1" ht="100.5" customHeight="1" x14ac:dyDescent="0.35">
      <c r="B16" s="202">
        <v>1</v>
      </c>
      <c r="D16" s="202" t="s">
        <v>33</v>
      </c>
      <c r="F16" s="204" t="s">
        <v>332</v>
      </c>
      <c r="G16" s="204" t="s">
        <v>334</v>
      </c>
      <c r="H16" s="204" t="s">
        <v>332</v>
      </c>
      <c r="I16" s="204" t="s">
        <v>334</v>
      </c>
      <c r="J16" s="205">
        <f>ROUND(ROUND(Assumptions!$D$27*Assumptions!D22,0)*0.5,0)</f>
        <v>9301</v>
      </c>
      <c r="K16" s="205">
        <v>1</v>
      </c>
      <c r="L16" s="205">
        <f>J16*K16</f>
        <v>9301</v>
      </c>
      <c r="M16" s="206">
        <v>0.25</v>
      </c>
      <c r="N16" s="206">
        <f>L16*M16</f>
        <v>2325.25</v>
      </c>
      <c r="O16" s="206">
        <v>2325.25</v>
      </c>
      <c r="P16" s="206"/>
      <c r="Q16" s="206">
        <f>N16-O16</f>
        <v>0</v>
      </c>
      <c r="R16" s="206">
        <f>P16+Q16</f>
        <v>0</v>
      </c>
      <c r="S16" s="207"/>
    </row>
    <row r="17" spans="2:19" ht="21" customHeight="1" x14ac:dyDescent="0.35">
      <c r="B17" s="6"/>
      <c r="D17" s="6"/>
      <c r="F17" s="302" t="s">
        <v>287</v>
      </c>
      <c r="G17" s="302"/>
      <c r="H17" s="302"/>
      <c r="I17" s="302"/>
      <c r="J17" s="14">
        <f>J16</f>
        <v>9301</v>
      </c>
      <c r="K17" s="17">
        <f>L17/J17</f>
        <v>1</v>
      </c>
      <c r="L17" s="14">
        <f>L16</f>
        <v>9301</v>
      </c>
      <c r="M17" s="125">
        <f>N17/L17</f>
        <v>0.25</v>
      </c>
      <c r="N17" s="125">
        <f>N16</f>
        <v>2325.25</v>
      </c>
      <c r="O17" s="125">
        <f>O16</f>
        <v>2325.25</v>
      </c>
      <c r="P17" s="125">
        <f t="shared" ref="P17:R17" si="0">P16</f>
        <v>0</v>
      </c>
      <c r="Q17" s="125">
        <f t="shared" si="0"/>
        <v>0</v>
      </c>
      <c r="R17" s="125">
        <f t="shared" si="0"/>
        <v>0</v>
      </c>
      <c r="S17" s="15"/>
    </row>
    <row r="18" spans="2:19" x14ac:dyDescent="0.35">
      <c r="D18"/>
    </row>
    <row r="19" spans="2:19" x14ac:dyDescent="0.35">
      <c r="D19"/>
    </row>
    <row r="20" spans="2:19" x14ac:dyDescent="0.35">
      <c r="D20"/>
      <c r="O20" s="282" t="s">
        <v>5</v>
      </c>
      <c r="P20" s="282"/>
      <c r="Q20" s="282"/>
      <c r="R20" s="282"/>
    </row>
    <row r="21" spans="2:19" ht="43.5" x14ac:dyDescent="0.35">
      <c r="D21"/>
      <c r="I21" s="286" t="s">
        <v>335</v>
      </c>
      <c r="J21" s="7" t="s">
        <v>10</v>
      </c>
      <c r="K21" s="8" t="s">
        <v>11</v>
      </c>
      <c r="L21" s="11" t="s">
        <v>12</v>
      </c>
      <c r="M21" s="21" t="s">
        <v>13</v>
      </c>
      <c r="N21" s="21" t="s">
        <v>14</v>
      </c>
      <c r="O21" s="21" t="s">
        <v>15</v>
      </c>
      <c r="P21" s="21" t="s">
        <v>16</v>
      </c>
      <c r="Q21" s="21" t="s">
        <v>17</v>
      </c>
      <c r="R21" s="21" t="s">
        <v>18</v>
      </c>
    </row>
    <row r="22" spans="2:19" x14ac:dyDescent="0.35">
      <c r="D22"/>
      <c r="I22" s="286"/>
      <c r="J22" s="262" t="s">
        <v>20</v>
      </c>
      <c r="K22" s="9" t="s">
        <v>21</v>
      </c>
      <c r="L22" s="12" t="s">
        <v>300</v>
      </c>
      <c r="M22" s="22" t="s">
        <v>23</v>
      </c>
      <c r="N22" s="22" t="s">
        <v>24</v>
      </c>
      <c r="O22" s="22" t="s">
        <v>25</v>
      </c>
      <c r="P22" s="22" t="s">
        <v>301</v>
      </c>
      <c r="Q22" s="22" t="s">
        <v>302</v>
      </c>
      <c r="R22" s="22" t="s">
        <v>303</v>
      </c>
    </row>
    <row r="23" spans="2:19" x14ac:dyDescent="0.35">
      <c r="D23"/>
      <c r="I23" s="13" t="s">
        <v>304</v>
      </c>
      <c r="J23" s="24">
        <f>J13</f>
        <v>1713</v>
      </c>
      <c r="K23" s="18">
        <f t="shared" ref="K23:R23" si="1">K13</f>
        <v>1.7192060712200816</v>
      </c>
      <c r="L23" s="28">
        <f t="shared" si="1"/>
        <v>2945</v>
      </c>
      <c r="M23" s="192">
        <f t="shared" si="1"/>
        <v>0.25</v>
      </c>
      <c r="N23" s="192">
        <f t="shared" si="1"/>
        <v>736.25</v>
      </c>
      <c r="O23" s="201">
        <f t="shared" si="1"/>
        <v>414.25</v>
      </c>
      <c r="P23" s="201">
        <f t="shared" ref="P23" si="2">P13</f>
        <v>0</v>
      </c>
      <c r="Q23" s="201">
        <f t="shared" si="1"/>
        <v>322</v>
      </c>
      <c r="R23" s="201">
        <f t="shared" si="1"/>
        <v>322</v>
      </c>
    </row>
    <row r="24" spans="2:19" x14ac:dyDescent="0.35">
      <c r="D24"/>
      <c r="I24" s="13" t="s">
        <v>305</v>
      </c>
      <c r="J24" s="24">
        <f>J17</f>
        <v>9301</v>
      </c>
      <c r="K24" s="18">
        <f t="shared" ref="K24:R24" si="3">K17</f>
        <v>1</v>
      </c>
      <c r="L24" s="28">
        <f t="shared" si="3"/>
        <v>9301</v>
      </c>
      <c r="M24" s="192">
        <f t="shared" si="3"/>
        <v>0.25</v>
      </c>
      <c r="N24" s="192">
        <f t="shared" si="3"/>
        <v>2325.25</v>
      </c>
      <c r="O24" s="201">
        <f t="shared" si="3"/>
        <v>2325.25</v>
      </c>
      <c r="P24" s="201">
        <f t="shared" ref="P24" si="4">P17</f>
        <v>0</v>
      </c>
      <c r="Q24" s="201">
        <f t="shared" si="3"/>
        <v>0</v>
      </c>
      <c r="R24" s="201">
        <f t="shared" si="3"/>
        <v>0</v>
      </c>
    </row>
    <row r="25" spans="2:19" x14ac:dyDescent="0.35">
      <c r="D25"/>
      <c r="I25" s="13" t="s">
        <v>336</v>
      </c>
      <c r="J25" s="23">
        <f>SUM(J23:J24)</f>
        <v>11014</v>
      </c>
      <c r="K25" s="25">
        <f>L25/J25</f>
        <v>1.1118576357363357</v>
      </c>
      <c r="L25" s="19">
        <f>SUM(L23:L24)</f>
        <v>12246</v>
      </c>
      <c r="M25" s="193">
        <f>N25/L25</f>
        <v>0.25</v>
      </c>
      <c r="N25" s="194">
        <f t="shared" ref="N25:R25" si="5">SUM(N23:N24)</f>
        <v>3061.5</v>
      </c>
      <c r="O25" s="194">
        <f t="shared" si="5"/>
        <v>2739.5</v>
      </c>
      <c r="P25" s="194">
        <f t="shared" si="5"/>
        <v>0</v>
      </c>
      <c r="Q25" s="194">
        <f t="shared" si="5"/>
        <v>322</v>
      </c>
      <c r="R25" s="194">
        <f t="shared" si="5"/>
        <v>322</v>
      </c>
    </row>
    <row r="26" spans="2:19" x14ac:dyDescent="0.35">
      <c r="D26"/>
    </row>
    <row r="27" spans="2:19" x14ac:dyDescent="0.35">
      <c r="D27"/>
    </row>
    <row r="28" spans="2:19" x14ac:dyDescent="0.35">
      <c r="D28"/>
    </row>
    <row r="29" spans="2:19" x14ac:dyDescent="0.35">
      <c r="D29"/>
    </row>
    <row r="30" spans="2:19" x14ac:dyDescent="0.35">
      <c r="D30"/>
    </row>
    <row r="31" spans="2:19" x14ac:dyDescent="0.35">
      <c r="D31"/>
    </row>
    <row r="32" spans="2:19" x14ac:dyDescent="0.35">
      <c r="D32"/>
    </row>
    <row r="33" spans="4:4" x14ac:dyDescent="0.35">
      <c r="D33"/>
    </row>
    <row r="34" spans="4:4" x14ac:dyDescent="0.35">
      <c r="D34"/>
    </row>
    <row r="35" spans="4:4" x14ac:dyDescent="0.35">
      <c r="D35"/>
    </row>
    <row r="36" spans="4:4" x14ac:dyDescent="0.35">
      <c r="D36"/>
    </row>
    <row r="37" spans="4:4" x14ac:dyDescent="0.35">
      <c r="D37"/>
    </row>
    <row r="38" spans="4:4" x14ac:dyDescent="0.35">
      <c r="D38"/>
    </row>
    <row r="39" spans="4:4" x14ac:dyDescent="0.35">
      <c r="D39"/>
    </row>
    <row r="40" spans="4:4" x14ac:dyDescent="0.35">
      <c r="D40"/>
    </row>
    <row r="41" spans="4:4" x14ac:dyDescent="0.35">
      <c r="D41"/>
    </row>
    <row r="42" spans="4:4" x14ac:dyDescent="0.35">
      <c r="D42"/>
    </row>
    <row r="43" spans="4:4" x14ac:dyDescent="0.35">
      <c r="D43"/>
    </row>
    <row r="44" spans="4:4" x14ac:dyDescent="0.35">
      <c r="D44"/>
    </row>
    <row r="45" spans="4:4" x14ac:dyDescent="0.35">
      <c r="D45"/>
    </row>
    <row r="46" spans="4:4" x14ac:dyDescent="0.35">
      <c r="D46"/>
    </row>
    <row r="47" spans="4:4" x14ac:dyDescent="0.35">
      <c r="D47"/>
    </row>
    <row r="48" spans="4:4" x14ac:dyDescent="0.35">
      <c r="D48"/>
    </row>
    <row r="49" spans="4:4" x14ac:dyDescent="0.35">
      <c r="D49"/>
    </row>
    <row r="50" spans="4:4" x14ac:dyDescent="0.35">
      <c r="D50"/>
    </row>
    <row r="51" spans="4:4" x14ac:dyDescent="0.35">
      <c r="D51"/>
    </row>
    <row r="52" spans="4:4" x14ac:dyDescent="0.35">
      <c r="D52"/>
    </row>
    <row r="53" spans="4:4" x14ac:dyDescent="0.35">
      <c r="D53"/>
    </row>
    <row r="54" spans="4:4" x14ac:dyDescent="0.35">
      <c r="D54"/>
    </row>
    <row r="55" spans="4:4" x14ac:dyDescent="0.35">
      <c r="D55"/>
    </row>
    <row r="56" spans="4:4" x14ac:dyDescent="0.35">
      <c r="D56"/>
    </row>
    <row r="57" spans="4:4" x14ac:dyDescent="0.35">
      <c r="D57"/>
    </row>
    <row r="58" spans="4:4" x14ac:dyDescent="0.35">
      <c r="D58"/>
    </row>
    <row r="59" spans="4:4" x14ac:dyDescent="0.35">
      <c r="D59"/>
    </row>
    <row r="60" spans="4:4" x14ac:dyDescent="0.35">
      <c r="D60"/>
    </row>
    <row r="61" spans="4:4" x14ac:dyDescent="0.35">
      <c r="D61"/>
    </row>
    <row r="62" spans="4:4" x14ac:dyDescent="0.35">
      <c r="D62"/>
    </row>
    <row r="63" spans="4:4" x14ac:dyDescent="0.35">
      <c r="D63"/>
    </row>
    <row r="64" spans="4:4" x14ac:dyDescent="0.35">
      <c r="D64"/>
    </row>
    <row r="65" spans="4:4" x14ac:dyDescent="0.35">
      <c r="D65"/>
    </row>
    <row r="66" spans="4:4" x14ac:dyDescent="0.35">
      <c r="D66"/>
    </row>
    <row r="67" spans="4:4" x14ac:dyDescent="0.35">
      <c r="D67"/>
    </row>
    <row r="68" spans="4:4" x14ac:dyDescent="0.35">
      <c r="D68"/>
    </row>
    <row r="69" spans="4:4" x14ac:dyDescent="0.35">
      <c r="D69"/>
    </row>
    <row r="70" spans="4:4" x14ac:dyDescent="0.35">
      <c r="D70"/>
    </row>
    <row r="71" spans="4:4" x14ac:dyDescent="0.35">
      <c r="D71"/>
    </row>
    <row r="72" spans="4:4" x14ac:dyDescent="0.35">
      <c r="D72"/>
    </row>
    <row r="73" spans="4:4" x14ac:dyDescent="0.35">
      <c r="D73"/>
    </row>
    <row r="74" spans="4:4" x14ac:dyDescent="0.35">
      <c r="D74"/>
    </row>
    <row r="75" spans="4:4" x14ac:dyDescent="0.35">
      <c r="D75"/>
    </row>
    <row r="76" spans="4:4" x14ac:dyDescent="0.35">
      <c r="D76"/>
    </row>
    <row r="77" spans="4:4" x14ac:dyDescent="0.35">
      <c r="D77"/>
    </row>
    <row r="78" spans="4:4" x14ac:dyDescent="0.35">
      <c r="D78"/>
    </row>
    <row r="79" spans="4:4" x14ac:dyDescent="0.35">
      <c r="D79"/>
    </row>
    <row r="80" spans="4:4" x14ac:dyDescent="0.35">
      <c r="D80"/>
    </row>
    <row r="81" spans="4:4" x14ac:dyDescent="0.35">
      <c r="D81"/>
    </row>
    <row r="82" spans="4:4" x14ac:dyDescent="0.35">
      <c r="D82"/>
    </row>
    <row r="83" spans="4:4" x14ac:dyDescent="0.35">
      <c r="D83"/>
    </row>
    <row r="84" spans="4:4" x14ac:dyDescent="0.35">
      <c r="D84"/>
    </row>
    <row r="85" spans="4:4" x14ac:dyDescent="0.35">
      <c r="D85"/>
    </row>
    <row r="86" spans="4:4" x14ac:dyDescent="0.35">
      <c r="D86"/>
    </row>
    <row r="87" spans="4:4" x14ac:dyDescent="0.35">
      <c r="D87"/>
    </row>
    <row r="88" spans="4:4" x14ac:dyDescent="0.35">
      <c r="D88"/>
    </row>
    <row r="89" spans="4:4" x14ac:dyDescent="0.35">
      <c r="D89"/>
    </row>
    <row r="90" spans="4:4" x14ac:dyDescent="0.35">
      <c r="D90"/>
    </row>
    <row r="91" spans="4:4" x14ac:dyDescent="0.35">
      <c r="D91"/>
    </row>
    <row r="92" spans="4:4" x14ac:dyDescent="0.35">
      <c r="D92"/>
    </row>
    <row r="93" spans="4:4" x14ac:dyDescent="0.35">
      <c r="D93"/>
    </row>
    <row r="94" spans="4:4" x14ac:dyDescent="0.35">
      <c r="D94"/>
    </row>
    <row r="95" spans="4:4" x14ac:dyDescent="0.35">
      <c r="D95"/>
    </row>
    <row r="96" spans="4:4" x14ac:dyDescent="0.35">
      <c r="D96"/>
    </row>
    <row r="97" spans="4:4" x14ac:dyDescent="0.35">
      <c r="D97"/>
    </row>
    <row r="98" spans="4:4" x14ac:dyDescent="0.35">
      <c r="D98"/>
    </row>
    <row r="99" spans="4:4" x14ac:dyDescent="0.35">
      <c r="D99"/>
    </row>
    <row r="100" spans="4:4" x14ac:dyDescent="0.35">
      <c r="D100"/>
    </row>
    <row r="101" spans="4:4" x14ac:dyDescent="0.35">
      <c r="D101"/>
    </row>
    <row r="102" spans="4:4" x14ac:dyDescent="0.35">
      <c r="D102"/>
    </row>
    <row r="103" spans="4:4" x14ac:dyDescent="0.35">
      <c r="D103"/>
    </row>
    <row r="104" spans="4:4" x14ac:dyDescent="0.35">
      <c r="D104"/>
    </row>
    <row r="105" spans="4:4" x14ac:dyDescent="0.35">
      <c r="D105"/>
    </row>
    <row r="106" spans="4:4" x14ac:dyDescent="0.35">
      <c r="D106"/>
    </row>
    <row r="107" spans="4:4" x14ac:dyDescent="0.35">
      <c r="D107"/>
    </row>
    <row r="108" spans="4:4" x14ac:dyDescent="0.35">
      <c r="D108"/>
    </row>
    <row r="109" spans="4:4" x14ac:dyDescent="0.35">
      <c r="D109"/>
    </row>
    <row r="110" spans="4:4" x14ac:dyDescent="0.35">
      <c r="D110"/>
    </row>
    <row r="111" spans="4:4" x14ac:dyDescent="0.35">
      <c r="D111"/>
    </row>
    <row r="112" spans="4:4" x14ac:dyDescent="0.35">
      <c r="D112"/>
    </row>
    <row r="113" spans="4:4" x14ac:dyDescent="0.35">
      <c r="D113"/>
    </row>
    <row r="114" spans="4:4" x14ac:dyDescent="0.35">
      <c r="D114"/>
    </row>
    <row r="115" spans="4:4" x14ac:dyDescent="0.35">
      <c r="D115"/>
    </row>
    <row r="116" spans="4:4" x14ac:dyDescent="0.35">
      <c r="D116"/>
    </row>
    <row r="117" spans="4:4" x14ac:dyDescent="0.35">
      <c r="D117"/>
    </row>
    <row r="118" spans="4:4" x14ac:dyDescent="0.35">
      <c r="D118"/>
    </row>
    <row r="119" spans="4:4" x14ac:dyDescent="0.35">
      <c r="D119"/>
    </row>
    <row r="120" spans="4:4" x14ac:dyDescent="0.35">
      <c r="D120"/>
    </row>
    <row r="121" spans="4:4" x14ac:dyDescent="0.35">
      <c r="D121"/>
    </row>
    <row r="122" spans="4:4" x14ac:dyDescent="0.35">
      <c r="D122"/>
    </row>
    <row r="123" spans="4:4" x14ac:dyDescent="0.35">
      <c r="D123"/>
    </row>
    <row r="124" spans="4:4" x14ac:dyDescent="0.35">
      <c r="D124"/>
    </row>
    <row r="125" spans="4:4" x14ac:dyDescent="0.35">
      <c r="D125"/>
    </row>
    <row r="126" spans="4:4" x14ac:dyDescent="0.35">
      <c r="D126"/>
    </row>
    <row r="127" spans="4:4" x14ac:dyDescent="0.35">
      <c r="D127"/>
    </row>
    <row r="128" spans="4:4" x14ac:dyDescent="0.35">
      <c r="D128"/>
    </row>
    <row r="129" spans="4:4" x14ac:dyDescent="0.35">
      <c r="D129"/>
    </row>
    <row r="130" spans="4:4" x14ac:dyDescent="0.35">
      <c r="D130"/>
    </row>
    <row r="131" spans="4:4" x14ac:dyDescent="0.35">
      <c r="D131"/>
    </row>
    <row r="132" spans="4:4" x14ac:dyDescent="0.35">
      <c r="D132"/>
    </row>
    <row r="133" spans="4:4" x14ac:dyDescent="0.35">
      <c r="D133"/>
    </row>
    <row r="134" spans="4:4" x14ac:dyDescent="0.35">
      <c r="D134"/>
    </row>
    <row r="135" spans="4:4" x14ac:dyDescent="0.35">
      <c r="D135"/>
    </row>
    <row r="136" spans="4:4" x14ac:dyDescent="0.35">
      <c r="D136"/>
    </row>
    <row r="137" spans="4:4" x14ac:dyDescent="0.35">
      <c r="D137"/>
    </row>
    <row r="138" spans="4:4" x14ac:dyDescent="0.35">
      <c r="D138"/>
    </row>
    <row r="139" spans="4:4" x14ac:dyDescent="0.35">
      <c r="D139"/>
    </row>
    <row r="140" spans="4:4" x14ac:dyDescent="0.35">
      <c r="D140"/>
    </row>
    <row r="141" spans="4:4" x14ac:dyDescent="0.35">
      <c r="D141"/>
    </row>
    <row r="142" spans="4:4" x14ac:dyDescent="0.35">
      <c r="D142"/>
    </row>
    <row r="143" spans="4:4" x14ac:dyDescent="0.35">
      <c r="D143"/>
    </row>
    <row r="144" spans="4:4" x14ac:dyDescent="0.35">
      <c r="D144"/>
    </row>
    <row r="145" spans="4:4" x14ac:dyDescent="0.35">
      <c r="D145"/>
    </row>
    <row r="146" spans="4:4" x14ac:dyDescent="0.35">
      <c r="D146"/>
    </row>
    <row r="147" spans="4:4" x14ac:dyDescent="0.35">
      <c r="D147"/>
    </row>
    <row r="148" spans="4:4" x14ac:dyDescent="0.35">
      <c r="D148"/>
    </row>
    <row r="149" spans="4:4" x14ac:dyDescent="0.35">
      <c r="D149"/>
    </row>
    <row r="150" spans="4:4" x14ac:dyDescent="0.35">
      <c r="D150"/>
    </row>
    <row r="151" spans="4:4" x14ac:dyDescent="0.35">
      <c r="D151"/>
    </row>
    <row r="152" spans="4:4" x14ac:dyDescent="0.35">
      <c r="D152"/>
    </row>
    <row r="153" spans="4:4" x14ac:dyDescent="0.35">
      <c r="D153"/>
    </row>
    <row r="154" spans="4:4" x14ac:dyDescent="0.35">
      <c r="D154"/>
    </row>
    <row r="155" spans="4:4" x14ac:dyDescent="0.35">
      <c r="D155"/>
    </row>
    <row r="156" spans="4:4" x14ac:dyDescent="0.35">
      <c r="D156"/>
    </row>
    <row r="157" spans="4:4" x14ac:dyDescent="0.35">
      <c r="D157"/>
    </row>
    <row r="158" spans="4:4" x14ac:dyDescent="0.35">
      <c r="D158"/>
    </row>
    <row r="159" spans="4:4" x14ac:dyDescent="0.35">
      <c r="D159"/>
    </row>
    <row r="160" spans="4:4" x14ac:dyDescent="0.35">
      <c r="D160"/>
    </row>
    <row r="161" spans="4:4" x14ac:dyDescent="0.35">
      <c r="D161"/>
    </row>
    <row r="162" spans="4:4" x14ac:dyDescent="0.35">
      <c r="D162"/>
    </row>
    <row r="163" spans="4:4" x14ac:dyDescent="0.35">
      <c r="D163"/>
    </row>
    <row r="164" spans="4:4" x14ac:dyDescent="0.35">
      <c r="D164"/>
    </row>
    <row r="165" spans="4:4" x14ac:dyDescent="0.35">
      <c r="D165"/>
    </row>
    <row r="166" spans="4:4" x14ac:dyDescent="0.35">
      <c r="D166"/>
    </row>
    <row r="167" spans="4:4" x14ac:dyDescent="0.35">
      <c r="D167"/>
    </row>
    <row r="168" spans="4:4" x14ac:dyDescent="0.35">
      <c r="D168"/>
    </row>
    <row r="169" spans="4:4" x14ac:dyDescent="0.35">
      <c r="D169"/>
    </row>
    <row r="170" spans="4:4" x14ac:dyDescent="0.35">
      <c r="D170"/>
    </row>
    <row r="171" spans="4:4" x14ac:dyDescent="0.35">
      <c r="D171"/>
    </row>
    <row r="172" spans="4:4" x14ac:dyDescent="0.35">
      <c r="D172"/>
    </row>
    <row r="173" spans="4:4" x14ac:dyDescent="0.35">
      <c r="D173"/>
    </row>
    <row r="174" spans="4:4" x14ac:dyDescent="0.35">
      <c r="D174"/>
    </row>
    <row r="175" spans="4:4" x14ac:dyDescent="0.35">
      <c r="D175"/>
    </row>
    <row r="176" spans="4:4" x14ac:dyDescent="0.35">
      <c r="D176"/>
    </row>
    <row r="177" spans="4:4" x14ac:dyDescent="0.35">
      <c r="D177"/>
    </row>
    <row r="178" spans="4:4" x14ac:dyDescent="0.35">
      <c r="D178"/>
    </row>
    <row r="179" spans="4:4" x14ac:dyDescent="0.35">
      <c r="D179"/>
    </row>
    <row r="180" spans="4:4" x14ac:dyDescent="0.35">
      <c r="D180"/>
    </row>
    <row r="181" spans="4:4" x14ac:dyDescent="0.35">
      <c r="D181"/>
    </row>
    <row r="182" spans="4:4" x14ac:dyDescent="0.35">
      <c r="D182"/>
    </row>
    <row r="183" spans="4:4" x14ac:dyDescent="0.35">
      <c r="D183"/>
    </row>
    <row r="184" spans="4:4" x14ac:dyDescent="0.35">
      <c r="D184"/>
    </row>
    <row r="185" spans="4:4" x14ac:dyDescent="0.35">
      <c r="D185"/>
    </row>
    <row r="186" spans="4:4" x14ac:dyDescent="0.35">
      <c r="D186"/>
    </row>
    <row r="187" spans="4:4" x14ac:dyDescent="0.35">
      <c r="D187"/>
    </row>
    <row r="188" spans="4:4" x14ac:dyDescent="0.35">
      <c r="D188"/>
    </row>
    <row r="189" spans="4:4" x14ac:dyDescent="0.35">
      <c r="D189"/>
    </row>
    <row r="190" spans="4:4" x14ac:dyDescent="0.35">
      <c r="D190"/>
    </row>
    <row r="191" spans="4:4" x14ac:dyDescent="0.35">
      <c r="D191"/>
    </row>
    <row r="192" spans="4:4" x14ac:dyDescent="0.35">
      <c r="D192"/>
    </row>
    <row r="193" spans="4:4" x14ac:dyDescent="0.35">
      <c r="D193"/>
    </row>
    <row r="194" spans="4:4" x14ac:dyDescent="0.35">
      <c r="D194"/>
    </row>
    <row r="195" spans="4:4" x14ac:dyDescent="0.35">
      <c r="D195"/>
    </row>
    <row r="196" spans="4:4" x14ac:dyDescent="0.35">
      <c r="D196"/>
    </row>
    <row r="197" spans="4:4" x14ac:dyDescent="0.35">
      <c r="D197"/>
    </row>
    <row r="198" spans="4:4" x14ac:dyDescent="0.35">
      <c r="D198"/>
    </row>
    <row r="199" spans="4:4" x14ac:dyDescent="0.35">
      <c r="D199"/>
    </row>
    <row r="200" spans="4:4" x14ac:dyDescent="0.35">
      <c r="D200"/>
    </row>
    <row r="201" spans="4:4" x14ac:dyDescent="0.35">
      <c r="D201"/>
    </row>
    <row r="202" spans="4:4" x14ac:dyDescent="0.35">
      <c r="D202"/>
    </row>
    <row r="203" spans="4:4" x14ac:dyDescent="0.35">
      <c r="D203"/>
    </row>
    <row r="204" spans="4:4" x14ac:dyDescent="0.35">
      <c r="D204"/>
    </row>
    <row r="205" spans="4:4" x14ac:dyDescent="0.35">
      <c r="D205"/>
    </row>
    <row r="206" spans="4:4" x14ac:dyDescent="0.35">
      <c r="D206"/>
    </row>
    <row r="207" spans="4:4" x14ac:dyDescent="0.35">
      <c r="D207"/>
    </row>
    <row r="208" spans="4:4" x14ac:dyDescent="0.35">
      <c r="D208"/>
    </row>
    <row r="209" spans="4:4" x14ac:dyDescent="0.35">
      <c r="D209"/>
    </row>
    <row r="210" spans="4:4" x14ac:dyDescent="0.35">
      <c r="D210"/>
    </row>
    <row r="211" spans="4:4" x14ac:dyDescent="0.35">
      <c r="D211"/>
    </row>
    <row r="212" spans="4:4" x14ac:dyDescent="0.35">
      <c r="D212"/>
    </row>
    <row r="213" spans="4:4" x14ac:dyDescent="0.35">
      <c r="D213"/>
    </row>
    <row r="214" spans="4:4" x14ac:dyDescent="0.35">
      <c r="D214"/>
    </row>
    <row r="215" spans="4:4" x14ac:dyDescent="0.35">
      <c r="D215"/>
    </row>
    <row r="216" spans="4:4" x14ac:dyDescent="0.35">
      <c r="D216"/>
    </row>
    <row r="217" spans="4:4" x14ac:dyDescent="0.35">
      <c r="D217"/>
    </row>
    <row r="218" spans="4:4" x14ac:dyDescent="0.35">
      <c r="D218"/>
    </row>
    <row r="219" spans="4:4" x14ac:dyDescent="0.35">
      <c r="D219"/>
    </row>
    <row r="220" spans="4:4" x14ac:dyDescent="0.35">
      <c r="D220"/>
    </row>
    <row r="221" spans="4:4" x14ac:dyDescent="0.35">
      <c r="D221"/>
    </row>
    <row r="222" spans="4:4" x14ac:dyDescent="0.35">
      <c r="D222"/>
    </row>
    <row r="223" spans="4:4" x14ac:dyDescent="0.35">
      <c r="D223"/>
    </row>
    <row r="224" spans="4:4" x14ac:dyDescent="0.35">
      <c r="D224"/>
    </row>
    <row r="225" spans="4:4" x14ac:dyDescent="0.35">
      <c r="D225"/>
    </row>
    <row r="226" spans="4:4" x14ac:dyDescent="0.35">
      <c r="D226"/>
    </row>
    <row r="227" spans="4:4" x14ac:dyDescent="0.35">
      <c r="D227"/>
    </row>
    <row r="228" spans="4:4" x14ac:dyDescent="0.35">
      <c r="D228"/>
    </row>
    <row r="229" spans="4:4" x14ac:dyDescent="0.35">
      <c r="D229"/>
    </row>
    <row r="230" spans="4:4" x14ac:dyDescent="0.35">
      <c r="D230"/>
    </row>
    <row r="231" spans="4:4" x14ac:dyDescent="0.35">
      <c r="D231"/>
    </row>
    <row r="232" spans="4:4" x14ac:dyDescent="0.35">
      <c r="D232"/>
    </row>
    <row r="233" spans="4:4" x14ac:dyDescent="0.35">
      <c r="D233"/>
    </row>
    <row r="234" spans="4:4" x14ac:dyDescent="0.35">
      <c r="D234"/>
    </row>
    <row r="235" spans="4:4" x14ac:dyDescent="0.35">
      <c r="D235"/>
    </row>
    <row r="236" spans="4:4" x14ac:dyDescent="0.35">
      <c r="D236"/>
    </row>
    <row r="237" spans="4:4" x14ac:dyDescent="0.35">
      <c r="D237"/>
    </row>
    <row r="238" spans="4:4" x14ac:dyDescent="0.35">
      <c r="D238"/>
    </row>
    <row r="239" spans="4:4" x14ac:dyDescent="0.35">
      <c r="D239"/>
    </row>
    <row r="240" spans="4:4" x14ac:dyDescent="0.35">
      <c r="D240"/>
    </row>
    <row r="241" spans="4:4" x14ac:dyDescent="0.35">
      <c r="D241"/>
    </row>
    <row r="242" spans="4:4" x14ac:dyDescent="0.35">
      <c r="D242"/>
    </row>
    <row r="243" spans="4:4" x14ac:dyDescent="0.35">
      <c r="D243"/>
    </row>
    <row r="244" spans="4:4" x14ac:dyDescent="0.35">
      <c r="D244"/>
    </row>
    <row r="245" spans="4:4" x14ac:dyDescent="0.35">
      <c r="D245"/>
    </row>
    <row r="246" spans="4:4" x14ac:dyDescent="0.35">
      <c r="D246"/>
    </row>
    <row r="247" spans="4:4" x14ac:dyDescent="0.35">
      <c r="D247"/>
    </row>
    <row r="248" spans="4:4" x14ac:dyDescent="0.35">
      <c r="D248"/>
    </row>
    <row r="249" spans="4:4" x14ac:dyDescent="0.35">
      <c r="D249"/>
    </row>
    <row r="250" spans="4:4" x14ac:dyDescent="0.35">
      <c r="D250"/>
    </row>
    <row r="251" spans="4:4" x14ac:dyDescent="0.35">
      <c r="D251"/>
    </row>
    <row r="252" spans="4:4" x14ac:dyDescent="0.35">
      <c r="D252"/>
    </row>
    <row r="253" spans="4:4" x14ac:dyDescent="0.35">
      <c r="D253"/>
    </row>
    <row r="254" spans="4:4" x14ac:dyDescent="0.35">
      <c r="D254"/>
    </row>
    <row r="255" spans="4:4" x14ac:dyDescent="0.35">
      <c r="D255"/>
    </row>
    <row r="256" spans="4:4" x14ac:dyDescent="0.35">
      <c r="D256"/>
    </row>
    <row r="257" spans="4:4" x14ac:dyDescent="0.35">
      <c r="D257"/>
    </row>
    <row r="258" spans="4:4" x14ac:dyDescent="0.35">
      <c r="D258"/>
    </row>
    <row r="259" spans="4:4" x14ac:dyDescent="0.35">
      <c r="D259"/>
    </row>
    <row r="260" spans="4:4" x14ac:dyDescent="0.35">
      <c r="D260"/>
    </row>
    <row r="261" spans="4:4" x14ac:dyDescent="0.35">
      <c r="D261"/>
    </row>
    <row r="262" spans="4:4" x14ac:dyDescent="0.35">
      <c r="D262"/>
    </row>
    <row r="263" spans="4:4" x14ac:dyDescent="0.35">
      <c r="D263"/>
    </row>
    <row r="264" spans="4:4" x14ac:dyDescent="0.35">
      <c r="D264"/>
    </row>
    <row r="265" spans="4:4" x14ac:dyDescent="0.35">
      <c r="D265"/>
    </row>
    <row r="266" spans="4:4" x14ac:dyDescent="0.35">
      <c r="D266"/>
    </row>
    <row r="267" spans="4:4" x14ac:dyDescent="0.35">
      <c r="D267"/>
    </row>
    <row r="268" spans="4:4" x14ac:dyDescent="0.35">
      <c r="D268"/>
    </row>
    <row r="269" spans="4:4" x14ac:dyDescent="0.35">
      <c r="D269"/>
    </row>
    <row r="270" spans="4:4" x14ac:dyDescent="0.35">
      <c r="D270"/>
    </row>
    <row r="271" spans="4:4" x14ac:dyDescent="0.35">
      <c r="D271"/>
    </row>
    <row r="272" spans="4:4" x14ac:dyDescent="0.35">
      <c r="D272"/>
    </row>
    <row r="273" spans="4:4" x14ac:dyDescent="0.35">
      <c r="D273"/>
    </row>
    <row r="274" spans="4:4" x14ac:dyDescent="0.35">
      <c r="D274"/>
    </row>
    <row r="275" spans="4:4" x14ac:dyDescent="0.35">
      <c r="D275"/>
    </row>
    <row r="276" spans="4:4" x14ac:dyDescent="0.35">
      <c r="D276"/>
    </row>
    <row r="277" spans="4:4" x14ac:dyDescent="0.35">
      <c r="D277"/>
    </row>
    <row r="278" spans="4:4" x14ac:dyDescent="0.35">
      <c r="D278"/>
    </row>
    <row r="279" spans="4:4" x14ac:dyDescent="0.35">
      <c r="D279"/>
    </row>
    <row r="280" spans="4:4" x14ac:dyDescent="0.35">
      <c r="D280"/>
    </row>
    <row r="281" spans="4:4" x14ac:dyDescent="0.35">
      <c r="D281"/>
    </row>
    <row r="282" spans="4:4" x14ac:dyDescent="0.35">
      <c r="D282"/>
    </row>
    <row r="283" spans="4:4" x14ac:dyDescent="0.35">
      <c r="D283"/>
    </row>
    <row r="284" spans="4:4" x14ac:dyDescent="0.35">
      <c r="D284"/>
    </row>
    <row r="285" spans="4:4" x14ac:dyDescent="0.35">
      <c r="D285"/>
    </row>
    <row r="286" spans="4:4" x14ac:dyDescent="0.35">
      <c r="D286"/>
    </row>
    <row r="287" spans="4:4" x14ac:dyDescent="0.35">
      <c r="D287"/>
    </row>
    <row r="288" spans="4:4" x14ac:dyDescent="0.35">
      <c r="D288"/>
    </row>
    <row r="289" spans="4:4" x14ac:dyDescent="0.35">
      <c r="D289"/>
    </row>
    <row r="290" spans="4:4" x14ac:dyDescent="0.35">
      <c r="D290"/>
    </row>
    <row r="291" spans="4:4" x14ac:dyDescent="0.35">
      <c r="D291"/>
    </row>
    <row r="292" spans="4:4" x14ac:dyDescent="0.35">
      <c r="D292"/>
    </row>
    <row r="293" spans="4:4" x14ac:dyDescent="0.35">
      <c r="D293"/>
    </row>
    <row r="294" spans="4:4" x14ac:dyDescent="0.35">
      <c r="D294"/>
    </row>
    <row r="295" spans="4:4" x14ac:dyDescent="0.35">
      <c r="D295"/>
    </row>
    <row r="296" spans="4:4" x14ac:dyDescent="0.35">
      <c r="D296"/>
    </row>
    <row r="297" spans="4:4" x14ac:dyDescent="0.35">
      <c r="D297"/>
    </row>
    <row r="298" spans="4:4" x14ac:dyDescent="0.35">
      <c r="D298"/>
    </row>
    <row r="299" spans="4:4" x14ac:dyDescent="0.35">
      <c r="D299"/>
    </row>
    <row r="300" spans="4:4" x14ac:dyDescent="0.35">
      <c r="D300"/>
    </row>
    <row r="301" spans="4:4" x14ac:dyDescent="0.35">
      <c r="D301"/>
    </row>
    <row r="302" spans="4:4" x14ac:dyDescent="0.35">
      <c r="D302"/>
    </row>
    <row r="303" spans="4:4" x14ac:dyDescent="0.35">
      <c r="D303"/>
    </row>
    <row r="304" spans="4:4" x14ac:dyDescent="0.35">
      <c r="D304"/>
    </row>
    <row r="305" spans="4:4" x14ac:dyDescent="0.35">
      <c r="D305"/>
    </row>
    <row r="306" spans="4:4" x14ac:dyDescent="0.35">
      <c r="D306"/>
    </row>
    <row r="307" spans="4:4" x14ac:dyDescent="0.35">
      <c r="D307"/>
    </row>
    <row r="308" spans="4:4" x14ac:dyDescent="0.35">
      <c r="D308"/>
    </row>
    <row r="309" spans="4:4" x14ac:dyDescent="0.35">
      <c r="D309"/>
    </row>
    <row r="310" spans="4:4" x14ac:dyDescent="0.35">
      <c r="D310"/>
    </row>
    <row r="311" spans="4:4" x14ac:dyDescent="0.35">
      <c r="D311"/>
    </row>
    <row r="312" spans="4:4" x14ac:dyDescent="0.35">
      <c r="D312"/>
    </row>
    <row r="313" spans="4:4" x14ac:dyDescent="0.35">
      <c r="D313"/>
    </row>
    <row r="314" spans="4:4" x14ac:dyDescent="0.35">
      <c r="D314"/>
    </row>
    <row r="315" spans="4:4" x14ac:dyDescent="0.35">
      <c r="D315"/>
    </row>
    <row r="316" spans="4:4" x14ac:dyDescent="0.35">
      <c r="D316"/>
    </row>
    <row r="317" spans="4:4" x14ac:dyDescent="0.35">
      <c r="D317"/>
    </row>
    <row r="318" spans="4:4" x14ac:dyDescent="0.35">
      <c r="D318"/>
    </row>
    <row r="319" spans="4:4" x14ac:dyDescent="0.35">
      <c r="D319"/>
    </row>
    <row r="320" spans="4:4" x14ac:dyDescent="0.35">
      <c r="D320"/>
    </row>
    <row r="321" spans="4:4" x14ac:dyDescent="0.35">
      <c r="D321"/>
    </row>
    <row r="322" spans="4:4" x14ac:dyDescent="0.35">
      <c r="D322"/>
    </row>
    <row r="323" spans="4:4" x14ac:dyDescent="0.35">
      <c r="D323"/>
    </row>
    <row r="324" spans="4:4" x14ac:dyDescent="0.35">
      <c r="D324"/>
    </row>
    <row r="325" spans="4:4" x14ac:dyDescent="0.35">
      <c r="D325"/>
    </row>
    <row r="326" spans="4:4" x14ac:dyDescent="0.35">
      <c r="D326"/>
    </row>
    <row r="327" spans="4:4" x14ac:dyDescent="0.35">
      <c r="D327"/>
    </row>
    <row r="328" spans="4:4" x14ac:dyDescent="0.35">
      <c r="D328"/>
    </row>
    <row r="329" spans="4:4" x14ac:dyDescent="0.35">
      <c r="D329"/>
    </row>
    <row r="330" spans="4:4" x14ac:dyDescent="0.35">
      <c r="D330"/>
    </row>
    <row r="331" spans="4:4" x14ac:dyDescent="0.35">
      <c r="D331"/>
    </row>
    <row r="332" spans="4:4" x14ac:dyDescent="0.35">
      <c r="D332"/>
    </row>
    <row r="333" spans="4:4" x14ac:dyDescent="0.35">
      <c r="D333"/>
    </row>
    <row r="334" spans="4:4" x14ac:dyDescent="0.35">
      <c r="D334"/>
    </row>
    <row r="335" spans="4:4" x14ac:dyDescent="0.35">
      <c r="D335"/>
    </row>
    <row r="336" spans="4:4" x14ac:dyDescent="0.35">
      <c r="D336"/>
    </row>
    <row r="337" spans="4:4" x14ac:dyDescent="0.35">
      <c r="D337"/>
    </row>
    <row r="338" spans="4:4" x14ac:dyDescent="0.35">
      <c r="D338"/>
    </row>
    <row r="339" spans="4:4" x14ac:dyDescent="0.35">
      <c r="D339"/>
    </row>
    <row r="340" spans="4:4" x14ac:dyDescent="0.35">
      <c r="D340"/>
    </row>
    <row r="341" spans="4:4" x14ac:dyDescent="0.35">
      <c r="D341"/>
    </row>
    <row r="342" spans="4:4" x14ac:dyDescent="0.35">
      <c r="D342"/>
    </row>
    <row r="343" spans="4:4" x14ac:dyDescent="0.35">
      <c r="D343"/>
    </row>
    <row r="344" spans="4:4" x14ac:dyDescent="0.35">
      <c r="D344"/>
    </row>
    <row r="345" spans="4:4" x14ac:dyDescent="0.35">
      <c r="D345"/>
    </row>
    <row r="346" spans="4:4" x14ac:dyDescent="0.35">
      <c r="D346"/>
    </row>
    <row r="347" spans="4:4" x14ac:dyDescent="0.35">
      <c r="D347"/>
    </row>
    <row r="348" spans="4:4" x14ac:dyDescent="0.35">
      <c r="D348"/>
    </row>
    <row r="349" spans="4:4" x14ac:dyDescent="0.35">
      <c r="D349"/>
    </row>
    <row r="350" spans="4:4" x14ac:dyDescent="0.35">
      <c r="D350"/>
    </row>
    <row r="351" spans="4:4" x14ac:dyDescent="0.35">
      <c r="D351"/>
    </row>
    <row r="352" spans="4:4" x14ac:dyDescent="0.35">
      <c r="D352"/>
    </row>
    <row r="353" spans="4:4" x14ac:dyDescent="0.35">
      <c r="D353"/>
    </row>
    <row r="354" spans="4:4" x14ac:dyDescent="0.35">
      <c r="D354"/>
    </row>
    <row r="355" spans="4:4" x14ac:dyDescent="0.35">
      <c r="D355"/>
    </row>
    <row r="356" spans="4:4" x14ac:dyDescent="0.35">
      <c r="D356"/>
    </row>
    <row r="357" spans="4:4" x14ac:dyDescent="0.35">
      <c r="D357"/>
    </row>
    <row r="358" spans="4:4" x14ac:dyDescent="0.35">
      <c r="D358"/>
    </row>
    <row r="359" spans="4:4" x14ac:dyDescent="0.35">
      <c r="D359"/>
    </row>
    <row r="360" spans="4:4" x14ac:dyDescent="0.35">
      <c r="D360"/>
    </row>
    <row r="361" spans="4:4" x14ac:dyDescent="0.35">
      <c r="D361"/>
    </row>
    <row r="362" spans="4:4" x14ac:dyDescent="0.35">
      <c r="D362"/>
    </row>
    <row r="363" spans="4:4" x14ac:dyDescent="0.35">
      <c r="D363"/>
    </row>
    <row r="364" spans="4:4" x14ac:dyDescent="0.35">
      <c r="D364"/>
    </row>
    <row r="365" spans="4:4" x14ac:dyDescent="0.35">
      <c r="D365"/>
    </row>
    <row r="366" spans="4:4" x14ac:dyDescent="0.35">
      <c r="D366"/>
    </row>
    <row r="367" spans="4:4" x14ac:dyDescent="0.35">
      <c r="D367"/>
    </row>
    <row r="368" spans="4:4" x14ac:dyDescent="0.35">
      <c r="D368"/>
    </row>
    <row r="369" spans="4:4" x14ac:dyDescent="0.35">
      <c r="D369"/>
    </row>
    <row r="370" spans="4:4" x14ac:dyDescent="0.35">
      <c r="D370"/>
    </row>
    <row r="371" spans="4:4" x14ac:dyDescent="0.35">
      <c r="D371"/>
    </row>
    <row r="372" spans="4:4" x14ac:dyDescent="0.35">
      <c r="D372"/>
    </row>
    <row r="373" spans="4:4" x14ac:dyDescent="0.35">
      <c r="D373"/>
    </row>
    <row r="374" spans="4:4" x14ac:dyDescent="0.35">
      <c r="D374"/>
    </row>
    <row r="375" spans="4:4" x14ac:dyDescent="0.35">
      <c r="D375"/>
    </row>
    <row r="376" spans="4:4" x14ac:dyDescent="0.35">
      <c r="D376"/>
    </row>
    <row r="377" spans="4:4" x14ac:dyDescent="0.35">
      <c r="D377"/>
    </row>
    <row r="378" spans="4:4" x14ac:dyDescent="0.35">
      <c r="D378"/>
    </row>
    <row r="379" spans="4:4" x14ac:dyDescent="0.35">
      <c r="D379"/>
    </row>
    <row r="380" spans="4:4" x14ac:dyDescent="0.35">
      <c r="D380"/>
    </row>
    <row r="381" spans="4:4" x14ac:dyDescent="0.35">
      <c r="D381"/>
    </row>
    <row r="382" spans="4:4" x14ac:dyDescent="0.35">
      <c r="D382"/>
    </row>
    <row r="383" spans="4:4" x14ac:dyDescent="0.35">
      <c r="D383"/>
    </row>
    <row r="384" spans="4:4" x14ac:dyDescent="0.35">
      <c r="D384"/>
    </row>
    <row r="385" spans="4:4" x14ac:dyDescent="0.35">
      <c r="D385"/>
    </row>
    <row r="386" spans="4:4" x14ac:dyDescent="0.35">
      <c r="D386"/>
    </row>
    <row r="387" spans="4:4" x14ac:dyDescent="0.35">
      <c r="D387"/>
    </row>
    <row r="388" spans="4:4" x14ac:dyDescent="0.35">
      <c r="D388"/>
    </row>
    <row r="389" spans="4:4" x14ac:dyDescent="0.35">
      <c r="D389"/>
    </row>
    <row r="390" spans="4:4" x14ac:dyDescent="0.35">
      <c r="D390"/>
    </row>
    <row r="391" spans="4:4" x14ac:dyDescent="0.35">
      <c r="D391"/>
    </row>
    <row r="392" spans="4:4" x14ac:dyDescent="0.35">
      <c r="D392"/>
    </row>
    <row r="393" spans="4:4" x14ac:dyDescent="0.35">
      <c r="D393"/>
    </row>
    <row r="394" spans="4:4" x14ac:dyDescent="0.35">
      <c r="D394"/>
    </row>
    <row r="395" spans="4:4" x14ac:dyDescent="0.35">
      <c r="D395"/>
    </row>
    <row r="396" spans="4:4" x14ac:dyDescent="0.35">
      <c r="D396"/>
    </row>
    <row r="397" spans="4:4" x14ac:dyDescent="0.35">
      <c r="D397"/>
    </row>
    <row r="398" spans="4:4" x14ac:dyDescent="0.35">
      <c r="D398"/>
    </row>
    <row r="399" spans="4:4" x14ac:dyDescent="0.35">
      <c r="D399"/>
    </row>
    <row r="400" spans="4:4" x14ac:dyDescent="0.35">
      <c r="D400"/>
    </row>
    <row r="401" spans="4:4" x14ac:dyDescent="0.35">
      <c r="D401"/>
    </row>
    <row r="402" spans="4:4" x14ac:dyDescent="0.35">
      <c r="D402"/>
    </row>
    <row r="403" spans="4:4" x14ac:dyDescent="0.35">
      <c r="D403"/>
    </row>
    <row r="404" spans="4:4" x14ac:dyDescent="0.35">
      <c r="D404"/>
    </row>
    <row r="405" spans="4:4" x14ac:dyDescent="0.35">
      <c r="D405"/>
    </row>
    <row r="406" spans="4:4" x14ac:dyDescent="0.35">
      <c r="D406"/>
    </row>
    <row r="407" spans="4:4" x14ac:dyDescent="0.35">
      <c r="D407"/>
    </row>
    <row r="408" spans="4:4" x14ac:dyDescent="0.35">
      <c r="D408"/>
    </row>
    <row r="409" spans="4:4" x14ac:dyDescent="0.35">
      <c r="D409"/>
    </row>
    <row r="410" spans="4:4" x14ac:dyDescent="0.35">
      <c r="D410"/>
    </row>
    <row r="411" spans="4:4" x14ac:dyDescent="0.35">
      <c r="D411"/>
    </row>
    <row r="412" spans="4:4" x14ac:dyDescent="0.35">
      <c r="D412"/>
    </row>
    <row r="413" spans="4:4" x14ac:dyDescent="0.35">
      <c r="D413"/>
    </row>
    <row r="414" spans="4:4" x14ac:dyDescent="0.35">
      <c r="D414"/>
    </row>
    <row r="415" spans="4:4" x14ac:dyDescent="0.35">
      <c r="D415"/>
    </row>
    <row r="416" spans="4:4" x14ac:dyDescent="0.35">
      <c r="D416"/>
    </row>
    <row r="417" spans="4:4" x14ac:dyDescent="0.35">
      <c r="D417"/>
    </row>
    <row r="418" spans="4:4" x14ac:dyDescent="0.35">
      <c r="D418"/>
    </row>
    <row r="419" spans="4:4" x14ac:dyDescent="0.35">
      <c r="D419"/>
    </row>
    <row r="420" spans="4:4" x14ac:dyDescent="0.35">
      <c r="D420"/>
    </row>
    <row r="421" spans="4:4" x14ac:dyDescent="0.35">
      <c r="D421"/>
    </row>
    <row r="422" spans="4:4" x14ac:dyDescent="0.35">
      <c r="D422"/>
    </row>
    <row r="423" spans="4:4" x14ac:dyDescent="0.35">
      <c r="D423"/>
    </row>
    <row r="424" spans="4:4" x14ac:dyDescent="0.35">
      <c r="D424"/>
    </row>
    <row r="425" spans="4:4" x14ac:dyDescent="0.35">
      <c r="D425"/>
    </row>
    <row r="426" spans="4:4" x14ac:dyDescent="0.35">
      <c r="D426"/>
    </row>
    <row r="427" spans="4:4" x14ac:dyDescent="0.35">
      <c r="D427"/>
    </row>
    <row r="428" spans="4:4" x14ac:dyDescent="0.35">
      <c r="D428"/>
    </row>
    <row r="429" spans="4:4" x14ac:dyDescent="0.35">
      <c r="D429"/>
    </row>
    <row r="430" spans="4:4" x14ac:dyDescent="0.35">
      <c r="D430"/>
    </row>
    <row r="431" spans="4:4" x14ac:dyDescent="0.35">
      <c r="D431"/>
    </row>
    <row r="432" spans="4:4" x14ac:dyDescent="0.35">
      <c r="D432"/>
    </row>
    <row r="433" spans="4:4" x14ac:dyDescent="0.35">
      <c r="D433"/>
    </row>
    <row r="434" spans="4:4" x14ac:dyDescent="0.35">
      <c r="D434"/>
    </row>
    <row r="435" spans="4:4" x14ac:dyDescent="0.35">
      <c r="D435"/>
    </row>
    <row r="436" spans="4:4" x14ac:dyDescent="0.35">
      <c r="D436"/>
    </row>
    <row r="437" spans="4:4" x14ac:dyDescent="0.35">
      <c r="D437"/>
    </row>
    <row r="438" spans="4:4" x14ac:dyDescent="0.35">
      <c r="D438"/>
    </row>
    <row r="439" spans="4:4" x14ac:dyDescent="0.35">
      <c r="D439"/>
    </row>
    <row r="440" spans="4:4" x14ac:dyDescent="0.35">
      <c r="D440"/>
    </row>
    <row r="441" spans="4:4" x14ac:dyDescent="0.35">
      <c r="D441"/>
    </row>
    <row r="442" spans="4:4" x14ac:dyDescent="0.35">
      <c r="D442"/>
    </row>
    <row r="443" spans="4:4" x14ac:dyDescent="0.35">
      <c r="D443"/>
    </row>
    <row r="444" spans="4:4" x14ac:dyDescent="0.35">
      <c r="D444"/>
    </row>
    <row r="445" spans="4:4" x14ac:dyDescent="0.35">
      <c r="D445"/>
    </row>
    <row r="446" spans="4:4" x14ac:dyDescent="0.35">
      <c r="D446"/>
    </row>
    <row r="447" spans="4:4" x14ac:dyDescent="0.35">
      <c r="D447"/>
    </row>
    <row r="448" spans="4:4" x14ac:dyDescent="0.35">
      <c r="D448"/>
    </row>
    <row r="449" spans="4:4" x14ac:dyDescent="0.35">
      <c r="D449"/>
    </row>
    <row r="450" spans="4:4" x14ac:dyDescent="0.35">
      <c r="D450"/>
    </row>
    <row r="451" spans="4:4" x14ac:dyDescent="0.35">
      <c r="D451"/>
    </row>
    <row r="452" spans="4:4" x14ac:dyDescent="0.35">
      <c r="D452"/>
    </row>
    <row r="453" spans="4:4" x14ac:dyDescent="0.35">
      <c r="D453"/>
    </row>
    <row r="454" spans="4:4" x14ac:dyDescent="0.35">
      <c r="D454"/>
    </row>
    <row r="455" spans="4:4" x14ac:dyDescent="0.35">
      <c r="D455"/>
    </row>
    <row r="456" spans="4:4" x14ac:dyDescent="0.35">
      <c r="D456"/>
    </row>
    <row r="457" spans="4:4" x14ac:dyDescent="0.35">
      <c r="D457"/>
    </row>
    <row r="458" spans="4:4" x14ac:dyDescent="0.35">
      <c r="D458"/>
    </row>
    <row r="459" spans="4:4" x14ac:dyDescent="0.35">
      <c r="D459"/>
    </row>
    <row r="460" spans="4:4" x14ac:dyDescent="0.35">
      <c r="D460"/>
    </row>
    <row r="461" spans="4:4" x14ac:dyDescent="0.35">
      <c r="D461"/>
    </row>
    <row r="462" spans="4:4" x14ac:dyDescent="0.35">
      <c r="D462"/>
    </row>
    <row r="463" spans="4:4" x14ac:dyDescent="0.35">
      <c r="D463"/>
    </row>
    <row r="464" spans="4:4" x14ac:dyDescent="0.35">
      <c r="D464"/>
    </row>
    <row r="465" spans="4:4" x14ac:dyDescent="0.35">
      <c r="D465"/>
    </row>
    <row r="466" spans="4:4" x14ac:dyDescent="0.35">
      <c r="D466"/>
    </row>
    <row r="467" spans="4:4" x14ac:dyDescent="0.35">
      <c r="D467"/>
    </row>
    <row r="468" spans="4:4" x14ac:dyDescent="0.35">
      <c r="D468"/>
    </row>
    <row r="469" spans="4:4" x14ac:dyDescent="0.35">
      <c r="D469"/>
    </row>
    <row r="470" spans="4:4" x14ac:dyDescent="0.35">
      <c r="D470"/>
    </row>
    <row r="471" spans="4:4" x14ac:dyDescent="0.35">
      <c r="D471"/>
    </row>
    <row r="472" spans="4:4" x14ac:dyDescent="0.35">
      <c r="D472"/>
    </row>
    <row r="473" spans="4:4" x14ac:dyDescent="0.35">
      <c r="D473"/>
    </row>
    <row r="474" spans="4:4" x14ac:dyDescent="0.35">
      <c r="D474"/>
    </row>
    <row r="475" spans="4:4" x14ac:dyDescent="0.35">
      <c r="D475"/>
    </row>
    <row r="476" spans="4:4" x14ac:dyDescent="0.35">
      <c r="D476"/>
    </row>
    <row r="477" spans="4:4" x14ac:dyDescent="0.35">
      <c r="D477"/>
    </row>
    <row r="478" spans="4:4" x14ac:dyDescent="0.35">
      <c r="D478"/>
    </row>
    <row r="479" spans="4:4" x14ac:dyDescent="0.35">
      <c r="D479"/>
    </row>
    <row r="480" spans="4:4" x14ac:dyDescent="0.35">
      <c r="D480"/>
    </row>
    <row r="481" spans="4:4" x14ac:dyDescent="0.35">
      <c r="D481"/>
    </row>
    <row r="482" spans="4:4" x14ac:dyDescent="0.35">
      <c r="D482"/>
    </row>
    <row r="483" spans="4:4" x14ac:dyDescent="0.35">
      <c r="D483"/>
    </row>
    <row r="484" spans="4:4" x14ac:dyDescent="0.35">
      <c r="D484"/>
    </row>
    <row r="485" spans="4:4" x14ac:dyDescent="0.35">
      <c r="D485"/>
    </row>
    <row r="486" spans="4:4" x14ac:dyDescent="0.35">
      <c r="D486"/>
    </row>
    <row r="487" spans="4:4" x14ac:dyDescent="0.35">
      <c r="D487"/>
    </row>
    <row r="488" spans="4:4" x14ac:dyDescent="0.35">
      <c r="D488"/>
    </row>
    <row r="489" spans="4:4" x14ac:dyDescent="0.35">
      <c r="D489"/>
    </row>
    <row r="490" spans="4:4" x14ac:dyDescent="0.35">
      <c r="D490"/>
    </row>
    <row r="491" spans="4:4" x14ac:dyDescent="0.35">
      <c r="D491"/>
    </row>
    <row r="492" spans="4:4" x14ac:dyDescent="0.35">
      <c r="D492"/>
    </row>
    <row r="493" spans="4:4" x14ac:dyDescent="0.35">
      <c r="D493"/>
    </row>
    <row r="494" spans="4:4" x14ac:dyDescent="0.35">
      <c r="D494"/>
    </row>
    <row r="495" spans="4:4" x14ac:dyDescent="0.35">
      <c r="D495"/>
    </row>
    <row r="496" spans="4:4" x14ac:dyDescent="0.35">
      <c r="D496"/>
    </row>
    <row r="497" spans="4:4" x14ac:dyDescent="0.35">
      <c r="D497"/>
    </row>
    <row r="498" spans="4:4" x14ac:dyDescent="0.35">
      <c r="D498"/>
    </row>
    <row r="499" spans="4:4" x14ac:dyDescent="0.35">
      <c r="D499"/>
    </row>
    <row r="500" spans="4:4" x14ac:dyDescent="0.35">
      <c r="D500"/>
    </row>
    <row r="501" spans="4:4" x14ac:dyDescent="0.35">
      <c r="D501"/>
    </row>
    <row r="502" spans="4:4" x14ac:dyDescent="0.35">
      <c r="D502"/>
    </row>
    <row r="503" spans="4:4" x14ac:dyDescent="0.35">
      <c r="D503"/>
    </row>
    <row r="504" spans="4:4" x14ac:dyDescent="0.35">
      <c r="D504"/>
    </row>
    <row r="505" spans="4:4" x14ac:dyDescent="0.35">
      <c r="D505"/>
    </row>
    <row r="506" spans="4:4" x14ac:dyDescent="0.35">
      <c r="D506"/>
    </row>
    <row r="507" spans="4:4" x14ac:dyDescent="0.35">
      <c r="D507"/>
    </row>
    <row r="508" spans="4:4" x14ac:dyDescent="0.35">
      <c r="D508"/>
    </row>
    <row r="509" spans="4:4" x14ac:dyDescent="0.35">
      <c r="D509"/>
    </row>
    <row r="510" spans="4:4" x14ac:dyDescent="0.35">
      <c r="D510"/>
    </row>
    <row r="511" spans="4:4" x14ac:dyDescent="0.35">
      <c r="D511"/>
    </row>
    <row r="512" spans="4:4" x14ac:dyDescent="0.35">
      <c r="D512"/>
    </row>
    <row r="513" spans="4:4" x14ac:dyDescent="0.35">
      <c r="D513"/>
    </row>
    <row r="514" spans="4:4" x14ac:dyDescent="0.35">
      <c r="D514"/>
    </row>
    <row r="515" spans="4:4" x14ac:dyDescent="0.35">
      <c r="D515"/>
    </row>
    <row r="516" spans="4:4" x14ac:dyDescent="0.35">
      <c r="D516"/>
    </row>
    <row r="517" spans="4:4" x14ac:dyDescent="0.35">
      <c r="D517"/>
    </row>
    <row r="518" spans="4:4" x14ac:dyDescent="0.35">
      <c r="D518"/>
    </row>
    <row r="519" spans="4:4" x14ac:dyDescent="0.35">
      <c r="D519"/>
    </row>
    <row r="520" spans="4:4" x14ac:dyDescent="0.35">
      <c r="D520"/>
    </row>
    <row r="521" spans="4:4" x14ac:dyDescent="0.35">
      <c r="D521"/>
    </row>
    <row r="522" spans="4:4" x14ac:dyDescent="0.35">
      <c r="D522"/>
    </row>
    <row r="523" spans="4:4" x14ac:dyDescent="0.35">
      <c r="D523"/>
    </row>
    <row r="524" spans="4:4" x14ac:dyDescent="0.35">
      <c r="D524"/>
    </row>
    <row r="525" spans="4:4" x14ac:dyDescent="0.35">
      <c r="D525"/>
    </row>
    <row r="526" spans="4:4" x14ac:dyDescent="0.35">
      <c r="D526"/>
    </row>
    <row r="527" spans="4:4" x14ac:dyDescent="0.35">
      <c r="D527"/>
    </row>
    <row r="528" spans="4:4" x14ac:dyDescent="0.35">
      <c r="D528"/>
    </row>
    <row r="529" spans="4:4" x14ac:dyDescent="0.35">
      <c r="D529"/>
    </row>
    <row r="530" spans="4:4" x14ac:dyDescent="0.35">
      <c r="D530"/>
    </row>
    <row r="531" spans="4:4" x14ac:dyDescent="0.35">
      <c r="D531"/>
    </row>
    <row r="532" spans="4:4" x14ac:dyDescent="0.35">
      <c r="D532"/>
    </row>
    <row r="533" spans="4:4" x14ac:dyDescent="0.35">
      <c r="D533"/>
    </row>
    <row r="534" spans="4:4" x14ac:dyDescent="0.35">
      <c r="D534"/>
    </row>
    <row r="535" spans="4:4" x14ac:dyDescent="0.35">
      <c r="D535"/>
    </row>
    <row r="536" spans="4:4" x14ac:dyDescent="0.35">
      <c r="D536"/>
    </row>
    <row r="537" spans="4:4" x14ac:dyDescent="0.35">
      <c r="D537"/>
    </row>
    <row r="538" spans="4:4" x14ac:dyDescent="0.35">
      <c r="D538"/>
    </row>
    <row r="539" spans="4:4" x14ac:dyDescent="0.35">
      <c r="D539"/>
    </row>
    <row r="540" spans="4:4" x14ac:dyDescent="0.35">
      <c r="D540"/>
    </row>
    <row r="541" spans="4:4" x14ac:dyDescent="0.35">
      <c r="D541"/>
    </row>
    <row r="542" spans="4:4" x14ac:dyDescent="0.35">
      <c r="D542"/>
    </row>
    <row r="543" spans="4:4" x14ac:dyDescent="0.35">
      <c r="D543"/>
    </row>
    <row r="544" spans="4:4" x14ac:dyDescent="0.35">
      <c r="D544"/>
    </row>
    <row r="545" spans="4:4" x14ac:dyDescent="0.35">
      <c r="D545"/>
    </row>
    <row r="546" spans="4:4" x14ac:dyDescent="0.35">
      <c r="D546"/>
    </row>
    <row r="547" spans="4:4" x14ac:dyDescent="0.35">
      <c r="D547"/>
    </row>
    <row r="548" spans="4:4" x14ac:dyDescent="0.35">
      <c r="D548"/>
    </row>
    <row r="549" spans="4:4" x14ac:dyDescent="0.35">
      <c r="D549"/>
    </row>
    <row r="550" spans="4:4" x14ac:dyDescent="0.35">
      <c r="D550"/>
    </row>
    <row r="551" spans="4:4" x14ac:dyDescent="0.35">
      <c r="D551"/>
    </row>
    <row r="552" spans="4:4" x14ac:dyDescent="0.35">
      <c r="D552"/>
    </row>
    <row r="553" spans="4:4" x14ac:dyDescent="0.35">
      <c r="D553"/>
    </row>
    <row r="554" spans="4:4" x14ac:dyDescent="0.35">
      <c r="D554"/>
    </row>
    <row r="555" spans="4:4" x14ac:dyDescent="0.35">
      <c r="D555"/>
    </row>
    <row r="556" spans="4:4" x14ac:dyDescent="0.35">
      <c r="D556"/>
    </row>
    <row r="557" spans="4:4" x14ac:dyDescent="0.35">
      <c r="D557"/>
    </row>
    <row r="558" spans="4:4" x14ac:dyDescent="0.35">
      <c r="D558"/>
    </row>
    <row r="559" spans="4:4" x14ac:dyDescent="0.35">
      <c r="D559"/>
    </row>
    <row r="560" spans="4:4" x14ac:dyDescent="0.35">
      <c r="D560"/>
    </row>
    <row r="561" spans="4:4" x14ac:dyDescent="0.35">
      <c r="D561"/>
    </row>
    <row r="562" spans="4:4" x14ac:dyDescent="0.35">
      <c r="D562"/>
    </row>
    <row r="563" spans="4:4" x14ac:dyDescent="0.35">
      <c r="D563"/>
    </row>
    <row r="564" spans="4:4" x14ac:dyDescent="0.35">
      <c r="D564"/>
    </row>
    <row r="565" spans="4:4" x14ac:dyDescent="0.35">
      <c r="D565"/>
    </row>
    <row r="566" spans="4:4" x14ac:dyDescent="0.35">
      <c r="D566"/>
    </row>
    <row r="567" spans="4:4" x14ac:dyDescent="0.35">
      <c r="D567"/>
    </row>
    <row r="568" spans="4:4" x14ac:dyDescent="0.35">
      <c r="D568"/>
    </row>
    <row r="569" spans="4:4" x14ac:dyDescent="0.35">
      <c r="D569"/>
    </row>
    <row r="570" spans="4:4" x14ac:dyDescent="0.35">
      <c r="D570"/>
    </row>
    <row r="571" spans="4:4" x14ac:dyDescent="0.35">
      <c r="D571"/>
    </row>
    <row r="572" spans="4:4" x14ac:dyDescent="0.35">
      <c r="D572"/>
    </row>
    <row r="573" spans="4:4" x14ac:dyDescent="0.35">
      <c r="D573"/>
    </row>
    <row r="574" spans="4:4" x14ac:dyDescent="0.35">
      <c r="D574"/>
    </row>
    <row r="575" spans="4:4" x14ac:dyDescent="0.35">
      <c r="D575"/>
    </row>
    <row r="576" spans="4:4" x14ac:dyDescent="0.35">
      <c r="D576"/>
    </row>
    <row r="577" spans="4:4" x14ac:dyDescent="0.35">
      <c r="D577"/>
    </row>
    <row r="578" spans="4:4" x14ac:dyDescent="0.35">
      <c r="D578"/>
    </row>
    <row r="579" spans="4:4" x14ac:dyDescent="0.35">
      <c r="D579"/>
    </row>
    <row r="580" spans="4:4" x14ac:dyDescent="0.35">
      <c r="D580"/>
    </row>
    <row r="581" spans="4:4" x14ac:dyDescent="0.35">
      <c r="D581"/>
    </row>
    <row r="582" spans="4:4" x14ac:dyDescent="0.35">
      <c r="D582"/>
    </row>
    <row r="583" spans="4:4" x14ac:dyDescent="0.35">
      <c r="D583"/>
    </row>
    <row r="584" spans="4:4" x14ac:dyDescent="0.35">
      <c r="D584"/>
    </row>
    <row r="585" spans="4:4" x14ac:dyDescent="0.35">
      <c r="D585"/>
    </row>
    <row r="586" spans="4:4" x14ac:dyDescent="0.35">
      <c r="D586"/>
    </row>
    <row r="587" spans="4:4" x14ac:dyDescent="0.35">
      <c r="D587"/>
    </row>
    <row r="588" spans="4:4" x14ac:dyDescent="0.35">
      <c r="D588"/>
    </row>
    <row r="589" spans="4:4" x14ac:dyDescent="0.35">
      <c r="D589"/>
    </row>
    <row r="590" spans="4:4" x14ac:dyDescent="0.35">
      <c r="D590"/>
    </row>
    <row r="591" spans="4:4" x14ac:dyDescent="0.35">
      <c r="D591"/>
    </row>
    <row r="592" spans="4:4" x14ac:dyDescent="0.35">
      <c r="D592"/>
    </row>
    <row r="593" spans="4:4" x14ac:dyDescent="0.35">
      <c r="D593"/>
    </row>
    <row r="594" spans="4:4" x14ac:dyDescent="0.35">
      <c r="D594"/>
    </row>
    <row r="595" spans="4:4" x14ac:dyDescent="0.35">
      <c r="D595"/>
    </row>
    <row r="596" spans="4:4" x14ac:dyDescent="0.35">
      <c r="D596"/>
    </row>
    <row r="597" spans="4:4" x14ac:dyDescent="0.35">
      <c r="D597"/>
    </row>
    <row r="598" spans="4:4" x14ac:dyDescent="0.35">
      <c r="D598"/>
    </row>
    <row r="599" spans="4:4" x14ac:dyDescent="0.35">
      <c r="D599"/>
    </row>
    <row r="600" spans="4:4" x14ac:dyDescent="0.35">
      <c r="D600"/>
    </row>
    <row r="601" spans="4:4" x14ac:dyDescent="0.35">
      <c r="D601"/>
    </row>
    <row r="602" spans="4:4" x14ac:dyDescent="0.35">
      <c r="D602"/>
    </row>
    <row r="603" spans="4:4" x14ac:dyDescent="0.35">
      <c r="D603"/>
    </row>
    <row r="604" spans="4:4" x14ac:dyDescent="0.35">
      <c r="D604"/>
    </row>
    <row r="605" spans="4:4" x14ac:dyDescent="0.35">
      <c r="D605"/>
    </row>
    <row r="606" spans="4:4" x14ac:dyDescent="0.35">
      <c r="D606"/>
    </row>
    <row r="607" spans="4:4" x14ac:dyDescent="0.35">
      <c r="D607"/>
    </row>
    <row r="608" spans="4:4" x14ac:dyDescent="0.35">
      <c r="D608"/>
    </row>
    <row r="609" spans="4:4" x14ac:dyDescent="0.35">
      <c r="D609"/>
    </row>
    <row r="610" spans="4:4" x14ac:dyDescent="0.35">
      <c r="D610"/>
    </row>
    <row r="611" spans="4:4" x14ac:dyDescent="0.35">
      <c r="D611"/>
    </row>
    <row r="612" spans="4:4" x14ac:dyDescent="0.35">
      <c r="D612"/>
    </row>
    <row r="613" spans="4:4" x14ac:dyDescent="0.35">
      <c r="D613"/>
    </row>
    <row r="614" spans="4:4" x14ac:dyDescent="0.35">
      <c r="D614"/>
    </row>
    <row r="615" spans="4:4" x14ac:dyDescent="0.35">
      <c r="D615"/>
    </row>
    <row r="616" spans="4:4" x14ac:dyDescent="0.35">
      <c r="D616"/>
    </row>
    <row r="617" spans="4:4" x14ac:dyDescent="0.35">
      <c r="D617"/>
    </row>
    <row r="618" spans="4:4" x14ac:dyDescent="0.35">
      <c r="D618"/>
    </row>
    <row r="619" spans="4:4" x14ac:dyDescent="0.35">
      <c r="D619"/>
    </row>
    <row r="620" spans="4:4" x14ac:dyDescent="0.35">
      <c r="D620"/>
    </row>
    <row r="621" spans="4:4" x14ac:dyDescent="0.35">
      <c r="D621"/>
    </row>
    <row r="622" spans="4:4" x14ac:dyDescent="0.35">
      <c r="D622"/>
    </row>
    <row r="623" spans="4:4" x14ac:dyDescent="0.35">
      <c r="D623"/>
    </row>
    <row r="624" spans="4:4" x14ac:dyDescent="0.35">
      <c r="D624"/>
    </row>
    <row r="625" spans="4:4" x14ac:dyDescent="0.35">
      <c r="D625"/>
    </row>
    <row r="626" spans="4:4" x14ac:dyDescent="0.35">
      <c r="D626"/>
    </row>
    <row r="627" spans="4:4" x14ac:dyDescent="0.35">
      <c r="D627"/>
    </row>
    <row r="628" spans="4:4" x14ac:dyDescent="0.35">
      <c r="D628"/>
    </row>
    <row r="629" spans="4:4" x14ac:dyDescent="0.35">
      <c r="D629"/>
    </row>
    <row r="630" spans="4:4" x14ac:dyDescent="0.35">
      <c r="D630"/>
    </row>
    <row r="631" spans="4:4" x14ac:dyDescent="0.35">
      <c r="D631"/>
    </row>
    <row r="632" spans="4:4" x14ac:dyDescent="0.35">
      <c r="D632"/>
    </row>
    <row r="633" spans="4:4" x14ac:dyDescent="0.35">
      <c r="D633"/>
    </row>
    <row r="634" spans="4:4" x14ac:dyDescent="0.35">
      <c r="D634"/>
    </row>
    <row r="635" spans="4:4" x14ac:dyDescent="0.35">
      <c r="D635"/>
    </row>
    <row r="636" spans="4:4" x14ac:dyDescent="0.35">
      <c r="D636"/>
    </row>
    <row r="637" spans="4:4" x14ac:dyDescent="0.35">
      <c r="D637"/>
    </row>
    <row r="638" spans="4:4" x14ac:dyDescent="0.35">
      <c r="D638"/>
    </row>
    <row r="639" spans="4:4" x14ac:dyDescent="0.35">
      <c r="D639"/>
    </row>
    <row r="640" spans="4:4" x14ac:dyDescent="0.35">
      <c r="D640"/>
    </row>
    <row r="641" spans="4:4" x14ac:dyDescent="0.35">
      <c r="D641"/>
    </row>
    <row r="642" spans="4:4" x14ac:dyDescent="0.35">
      <c r="D642"/>
    </row>
    <row r="643" spans="4:4" x14ac:dyDescent="0.35">
      <c r="D643"/>
    </row>
    <row r="644" spans="4:4" x14ac:dyDescent="0.35">
      <c r="D644"/>
    </row>
    <row r="645" spans="4:4" x14ac:dyDescent="0.35">
      <c r="D645"/>
    </row>
    <row r="646" spans="4:4" x14ac:dyDescent="0.35">
      <c r="D646"/>
    </row>
    <row r="647" spans="4:4" x14ac:dyDescent="0.35">
      <c r="D647"/>
    </row>
    <row r="648" spans="4:4" x14ac:dyDescent="0.35">
      <c r="D648"/>
    </row>
    <row r="649" spans="4:4" x14ac:dyDescent="0.35">
      <c r="D649"/>
    </row>
    <row r="650" spans="4:4" x14ac:dyDescent="0.35">
      <c r="D650"/>
    </row>
    <row r="651" spans="4:4" x14ac:dyDescent="0.35">
      <c r="D651"/>
    </row>
    <row r="652" spans="4:4" x14ac:dyDescent="0.35">
      <c r="D652"/>
    </row>
    <row r="653" spans="4:4" x14ac:dyDescent="0.35">
      <c r="D653"/>
    </row>
    <row r="654" spans="4:4" x14ac:dyDescent="0.35">
      <c r="D654"/>
    </row>
    <row r="655" spans="4:4" x14ac:dyDescent="0.35">
      <c r="D655"/>
    </row>
    <row r="656" spans="4:4" x14ac:dyDescent="0.35">
      <c r="D656"/>
    </row>
    <row r="657" spans="4:4" x14ac:dyDescent="0.35">
      <c r="D657"/>
    </row>
    <row r="658" spans="4:4" x14ac:dyDescent="0.35">
      <c r="D658"/>
    </row>
    <row r="659" spans="4:4" x14ac:dyDescent="0.35">
      <c r="D659"/>
    </row>
    <row r="660" spans="4:4" x14ac:dyDescent="0.35">
      <c r="D660"/>
    </row>
    <row r="661" spans="4:4" x14ac:dyDescent="0.35">
      <c r="D661"/>
    </row>
    <row r="662" spans="4:4" x14ac:dyDescent="0.35">
      <c r="D662"/>
    </row>
    <row r="663" spans="4:4" x14ac:dyDescent="0.35">
      <c r="D663"/>
    </row>
    <row r="664" spans="4:4" x14ac:dyDescent="0.35">
      <c r="D664"/>
    </row>
    <row r="665" spans="4:4" x14ac:dyDescent="0.35">
      <c r="D665"/>
    </row>
    <row r="666" spans="4:4" x14ac:dyDescent="0.35">
      <c r="D666"/>
    </row>
    <row r="667" spans="4:4" x14ac:dyDescent="0.35">
      <c r="D667"/>
    </row>
    <row r="668" spans="4:4" x14ac:dyDescent="0.35">
      <c r="D668"/>
    </row>
    <row r="669" spans="4:4" x14ac:dyDescent="0.35">
      <c r="D669"/>
    </row>
    <row r="670" spans="4:4" x14ac:dyDescent="0.35">
      <c r="D670"/>
    </row>
    <row r="671" spans="4:4" x14ac:dyDescent="0.35">
      <c r="D671"/>
    </row>
    <row r="672" spans="4:4" x14ac:dyDescent="0.35">
      <c r="D672"/>
    </row>
    <row r="673" spans="4:4" x14ac:dyDescent="0.35">
      <c r="D673"/>
    </row>
    <row r="674" spans="4:4" x14ac:dyDescent="0.35">
      <c r="D674"/>
    </row>
    <row r="675" spans="4:4" x14ac:dyDescent="0.35">
      <c r="D675"/>
    </row>
    <row r="676" spans="4:4" x14ac:dyDescent="0.35">
      <c r="D676"/>
    </row>
    <row r="677" spans="4:4" x14ac:dyDescent="0.35">
      <c r="D677"/>
    </row>
    <row r="678" spans="4:4" x14ac:dyDescent="0.35">
      <c r="D678"/>
    </row>
    <row r="679" spans="4:4" x14ac:dyDescent="0.35">
      <c r="D679"/>
    </row>
    <row r="680" spans="4:4" x14ac:dyDescent="0.35">
      <c r="D680"/>
    </row>
    <row r="681" spans="4:4" x14ac:dyDescent="0.35">
      <c r="D681"/>
    </row>
    <row r="682" spans="4:4" x14ac:dyDescent="0.35">
      <c r="D682"/>
    </row>
    <row r="683" spans="4:4" x14ac:dyDescent="0.35">
      <c r="D683"/>
    </row>
    <row r="684" spans="4:4" x14ac:dyDescent="0.35">
      <c r="D684"/>
    </row>
    <row r="685" spans="4:4" x14ac:dyDescent="0.35">
      <c r="D685"/>
    </row>
    <row r="686" spans="4:4" x14ac:dyDescent="0.35">
      <c r="D686"/>
    </row>
    <row r="687" spans="4:4" x14ac:dyDescent="0.35">
      <c r="D687"/>
    </row>
    <row r="688" spans="4:4" x14ac:dyDescent="0.35">
      <c r="D688"/>
    </row>
    <row r="689" spans="4:4" x14ac:dyDescent="0.35">
      <c r="D689"/>
    </row>
    <row r="690" spans="4:4" x14ac:dyDescent="0.35">
      <c r="D690"/>
    </row>
    <row r="691" spans="4:4" x14ac:dyDescent="0.35">
      <c r="D691"/>
    </row>
    <row r="692" spans="4:4" x14ac:dyDescent="0.35">
      <c r="D692"/>
    </row>
    <row r="693" spans="4:4" x14ac:dyDescent="0.35">
      <c r="D693"/>
    </row>
    <row r="694" spans="4:4" x14ac:dyDescent="0.35">
      <c r="D694"/>
    </row>
    <row r="695" spans="4:4" x14ac:dyDescent="0.35">
      <c r="D695"/>
    </row>
    <row r="696" spans="4:4" x14ac:dyDescent="0.35">
      <c r="D696"/>
    </row>
    <row r="697" spans="4:4" x14ac:dyDescent="0.35">
      <c r="D697"/>
    </row>
    <row r="698" spans="4:4" x14ac:dyDescent="0.35">
      <c r="D698"/>
    </row>
    <row r="699" spans="4:4" x14ac:dyDescent="0.35">
      <c r="D699"/>
    </row>
    <row r="700" spans="4:4" x14ac:dyDescent="0.35">
      <c r="D700"/>
    </row>
    <row r="701" spans="4:4" x14ac:dyDescent="0.35">
      <c r="D701"/>
    </row>
    <row r="702" spans="4:4" x14ac:dyDescent="0.35">
      <c r="D702"/>
    </row>
    <row r="703" spans="4:4" x14ac:dyDescent="0.35">
      <c r="D703"/>
    </row>
    <row r="704" spans="4:4" x14ac:dyDescent="0.35">
      <c r="D704"/>
    </row>
    <row r="705" spans="4:4" x14ac:dyDescent="0.35">
      <c r="D705"/>
    </row>
    <row r="706" spans="4:4" x14ac:dyDescent="0.35">
      <c r="D706"/>
    </row>
    <row r="707" spans="4:4" x14ac:dyDescent="0.35">
      <c r="D707"/>
    </row>
    <row r="708" spans="4:4" x14ac:dyDescent="0.35">
      <c r="D708"/>
    </row>
    <row r="709" spans="4:4" x14ac:dyDescent="0.35">
      <c r="D709"/>
    </row>
    <row r="710" spans="4:4" x14ac:dyDescent="0.35">
      <c r="D710"/>
    </row>
    <row r="711" spans="4:4" x14ac:dyDescent="0.35">
      <c r="D711"/>
    </row>
    <row r="712" spans="4:4" x14ac:dyDescent="0.35">
      <c r="D712"/>
    </row>
    <row r="713" spans="4:4" x14ac:dyDescent="0.35">
      <c r="D713"/>
    </row>
    <row r="714" spans="4:4" x14ac:dyDescent="0.35">
      <c r="D714"/>
    </row>
    <row r="715" spans="4:4" x14ac:dyDescent="0.35">
      <c r="D715"/>
    </row>
    <row r="716" spans="4:4" x14ac:dyDescent="0.35">
      <c r="D716"/>
    </row>
    <row r="717" spans="4:4" x14ac:dyDescent="0.35">
      <c r="D717"/>
    </row>
    <row r="718" spans="4:4" x14ac:dyDescent="0.35">
      <c r="D718"/>
    </row>
    <row r="719" spans="4:4" x14ac:dyDescent="0.35">
      <c r="D719"/>
    </row>
    <row r="720" spans="4:4" x14ac:dyDescent="0.35">
      <c r="D720"/>
    </row>
    <row r="721" spans="4:4" x14ac:dyDescent="0.35">
      <c r="D721"/>
    </row>
    <row r="722" spans="4:4" x14ac:dyDescent="0.35">
      <c r="D722"/>
    </row>
    <row r="723" spans="4:4" x14ac:dyDescent="0.35">
      <c r="D723"/>
    </row>
    <row r="724" spans="4:4" x14ac:dyDescent="0.35">
      <c r="D724"/>
    </row>
    <row r="725" spans="4:4" x14ac:dyDescent="0.35">
      <c r="D725"/>
    </row>
    <row r="726" spans="4:4" x14ac:dyDescent="0.35">
      <c r="D726"/>
    </row>
    <row r="727" spans="4:4" x14ac:dyDescent="0.35">
      <c r="D727"/>
    </row>
    <row r="728" spans="4:4" x14ac:dyDescent="0.35">
      <c r="D728"/>
    </row>
    <row r="729" spans="4:4" x14ac:dyDescent="0.35">
      <c r="D729"/>
    </row>
    <row r="730" spans="4:4" x14ac:dyDescent="0.35">
      <c r="D730"/>
    </row>
    <row r="731" spans="4:4" x14ac:dyDescent="0.35">
      <c r="D731"/>
    </row>
    <row r="732" spans="4:4" x14ac:dyDescent="0.35">
      <c r="D732"/>
    </row>
    <row r="733" spans="4:4" x14ac:dyDescent="0.35">
      <c r="D733"/>
    </row>
    <row r="734" spans="4:4" x14ac:dyDescent="0.35">
      <c r="D734"/>
    </row>
    <row r="735" spans="4:4" x14ac:dyDescent="0.35">
      <c r="D735"/>
    </row>
    <row r="736" spans="4:4" x14ac:dyDescent="0.35">
      <c r="D736"/>
    </row>
    <row r="737" spans="4:4" x14ac:dyDescent="0.35">
      <c r="D737"/>
    </row>
    <row r="738" spans="4:4" x14ac:dyDescent="0.35">
      <c r="D738"/>
    </row>
    <row r="739" spans="4:4" x14ac:dyDescent="0.35">
      <c r="D739"/>
    </row>
    <row r="740" spans="4:4" x14ac:dyDescent="0.35">
      <c r="D740"/>
    </row>
    <row r="741" spans="4:4" x14ac:dyDescent="0.35">
      <c r="D741"/>
    </row>
    <row r="742" spans="4:4" x14ac:dyDescent="0.35">
      <c r="D742"/>
    </row>
    <row r="743" spans="4:4" x14ac:dyDescent="0.35">
      <c r="D743"/>
    </row>
    <row r="744" spans="4:4" x14ac:dyDescent="0.35">
      <c r="D744"/>
    </row>
    <row r="745" spans="4:4" x14ac:dyDescent="0.35">
      <c r="D745"/>
    </row>
    <row r="746" spans="4:4" x14ac:dyDescent="0.35">
      <c r="D746"/>
    </row>
    <row r="747" spans="4:4" x14ac:dyDescent="0.35">
      <c r="D747"/>
    </row>
    <row r="748" spans="4:4" x14ac:dyDescent="0.35">
      <c r="D748"/>
    </row>
    <row r="749" spans="4:4" x14ac:dyDescent="0.35">
      <c r="D749"/>
    </row>
    <row r="750" spans="4:4" x14ac:dyDescent="0.35">
      <c r="D750"/>
    </row>
    <row r="751" spans="4:4" x14ac:dyDescent="0.35">
      <c r="D751"/>
    </row>
    <row r="752" spans="4:4" x14ac:dyDescent="0.35">
      <c r="D752"/>
    </row>
    <row r="753" spans="4:4" x14ac:dyDescent="0.35">
      <c r="D753"/>
    </row>
    <row r="754" spans="4:4" x14ac:dyDescent="0.35">
      <c r="D754"/>
    </row>
    <row r="755" spans="4:4" x14ac:dyDescent="0.35">
      <c r="D755"/>
    </row>
    <row r="756" spans="4:4" x14ac:dyDescent="0.35">
      <c r="D756"/>
    </row>
    <row r="757" spans="4:4" x14ac:dyDescent="0.35">
      <c r="D757"/>
    </row>
    <row r="758" spans="4:4" x14ac:dyDescent="0.35">
      <c r="D758"/>
    </row>
    <row r="759" spans="4:4" x14ac:dyDescent="0.35">
      <c r="D759"/>
    </row>
    <row r="760" spans="4:4" x14ac:dyDescent="0.35">
      <c r="D760"/>
    </row>
    <row r="761" spans="4:4" x14ac:dyDescent="0.35">
      <c r="D761"/>
    </row>
    <row r="762" spans="4:4" x14ac:dyDescent="0.35">
      <c r="D762"/>
    </row>
    <row r="763" spans="4:4" x14ac:dyDescent="0.35">
      <c r="D763"/>
    </row>
    <row r="764" spans="4:4" x14ac:dyDescent="0.35">
      <c r="D764"/>
    </row>
    <row r="765" spans="4:4" x14ac:dyDescent="0.35">
      <c r="D765"/>
    </row>
    <row r="766" spans="4:4" x14ac:dyDescent="0.35">
      <c r="D766"/>
    </row>
    <row r="767" spans="4:4" x14ac:dyDescent="0.35">
      <c r="D767"/>
    </row>
    <row r="768" spans="4:4" x14ac:dyDescent="0.35">
      <c r="D768"/>
    </row>
    <row r="769" spans="4:4" x14ac:dyDescent="0.35">
      <c r="D769"/>
    </row>
    <row r="770" spans="4:4" x14ac:dyDescent="0.35">
      <c r="D770"/>
    </row>
    <row r="771" spans="4:4" x14ac:dyDescent="0.35">
      <c r="D771"/>
    </row>
    <row r="772" spans="4:4" x14ac:dyDescent="0.35">
      <c r="D772"/>
    </row>
    <row r="773" spans="4:4" x14ac:dyDescent="0.35">
      <c r="D773"/>
    </row>
    <row r="774" spans="4:4" x14ac:dyDescent="0.35">
      <c r="D774"/>
    </row>
    <row r="775" spans="4:4" x14ac:dyDescent="0.35">
      <c r="D775"/>
    </row>
    <row r="776" spans="4:4" x14ac:dyDescent="0.35">
      <c r="D776"/>
    </row>
    <row r="777" spans="4:4" x14ac:dyDescent="0.35">
      <c r="D777"/>
    </row>
    <row r="778" spans="4:4" x14ac:dyDescent="0.35">
      <c r="D778"/>
    </row>
    <row r="779" spans="4:4" x14ac:dyDescent="0.35">
      <c r="D779"/>
    </row>
    <row r="780" spans="4:4" x14ac:dyDescent="0.35">
      <c r="D780"/>
    </row>
    <row r="781" spans="4:4" x14ac:dyDescent="0.35">
      <c r="D781"/>
    </row>
    <row r="782" spans="4:4" x14ac:dyDescent="0.35">
      <c r="D782"/>
    </row>
    <row r="783" spans="4:4" x14ac:dyDescent="0.35">
      <c r="D783"/>
    </row>
    <row r="784" spans="4:4" x14ac:dyDescent="0.35">
      <c r="D784"/>
    </row>
    <row r="785" spans="4:4" x14ac:dyDescent="0.35">
      <c r="D785"/>
    </row>
    <row r="786" spans="4:4" x14ac:dyDescent="0.35">
      <c r="D786"/>
    </row>
    <row r="787" spans="4:4" x14ac:dyDescent="0.35">
      <c r="D787"/>
    </row>
    <row r="788" spans="4:4" x14ac:dyDescent="0.35">
      <c r="D788"/>
    </row>
    <row r="789" spans="4:4" x14ac:dyDescent="0.35">
      <c r="D789"/>
    </row>
    <row r="790" spans="4:4" x14ac:dyDescent="0.35">
      <c r="D790"/>
    </row>
    <row r="791" spans="4:4" x14ac:dyDescent="0.35">
      <c r="D791"/>
    </row>
    <row r="792" spans="4:4" x14ac:dyDescent="0.35">
      <c r="D792"/>
    </row>
    <row r="793" spans="4:4" x14ac:dyDescent="0.35">
      <c r="D793"/>
    </row>
    <row r="794" spans="4:4" x14ac:dyDescent="0.35">
      <c r="D794"/>
    </row>
    <row r="795" spans="4:4" x14ac:dyDescent="0.35">
      <c r="D795"/>
    </row>
    <row r="796" spans="4:4" x14ac:dyDescent="0.35">
      <c r="D796"/>
    </row>
    <row r="797" spans="4:4" x14ac:dyDescent="0.35">
      <c r="D797"/>
    </row>
    <row r="798" spans="4:4" x14ac:dyDescent="0.35">
      <c r="D798"/>
    </row>
    <row r="799" spans="4:4" x14ac:dyDescent="0.35">
      <c r="D799"/>
    </row>
    <row r="800" spans="4:4" x14ac:dyDescent="0.35">
      <c r="D800"/>
    </row>
    <row r="801" spans="4:4" x14ac:dyDescent="0.35">
      <c r="D801"/>
    </row>
    <row r="802" spans="4:4" x14ac:dyDescent="0.35">
      <c r="D802"/>
    </row>
    <row r="803" spans="4:4" x14ac:dyDescent="0.35">
      <c r="D803"/>
    </row>
    <row r="804" spans="4:4" x14ac:dyDescent="0.35">
      <c r="D804"/>
    </row>
    <row r="805" spans="4:4" x14ac:dyDescent="0.35">
      <c r="D805"/>
    </row>
    <row r="806" spans="4:4" x14ac:dyDescent="0.35">
      <c r="D806"/>
    </row>
    <row r="807" spans="4:4" x14ac:dyDescent="0.35">
      <c r="D807"/>
    </row>
    <row r="808" spans="4:4" x14ac:dyDescent="0.35">
      <c r="D808"/>
    </row>
    <row r="809" spans="4:4" x14ac:dyDescent="0.35">
      <c r="D809"/>
    </row>
    <row r="810" spans="4:4" x14ac:dyDescent="0.35">
      <c r="D810"/>
    </row>
    <row r="811" spans="4:4" x14ac:dyDescent="0.35">
      <c r="D811"/>
    </row>
    <row r="812" spans="4:4" x14ac:dyDescent="0.35">
      <c r="D812"/>
    </row>
    <row r="813" spans="4:4" x14ac:dyDescent="0.35">
      <c r="D813"/>
    </row>
    <row r="814" spans="4:4" x14ac:dyDescent="0.35">
      <c r="D814"/>
    </row>
    <row r="815" spans="4:4" x14ac:dyDescent="0.35">
      <c r="D815"/>
    </row>
    <row r="816" spans="4:4" x14ac:dyDescent="0.35">
      <c r="D816"/>
    </row>
    <row r="817" spans="4:4" x14ac:dyDescent="0.35">
      <c r="D817"/>
    </row>
    <row r="818" spans="4:4" x14ac:dyDescent="0.35">
      <c r="D818"/>
    </row>
    <row r="819" spans="4:4" x14ac:dyDescent="0.35">
      <c r="D819"/>
    </row>
    <row r="820" spans="4:4" x14ac:dyDescent="0.35">
      <c r="D820"/>
    </row>
    <row r="821" spans="4:4" x14ac:dyDescent="0.35">
      <c r="D821"/>
    </row>
    <row r="822" spans="4:4" x14ac:dyDescent="0.35">
      <c r="D822"/>
    </row>
    <row r="823" spans="4:4" x14ac:dyDescent="0.35">
      <c r="D823"/>
    </row>
    <row r="824" spans="4:4" x14ac:dyDescent="0.35">
      <c r="D824"/>
    </row>
    <row r="825" spans="4:4" x14ac:dyDescent="0.35">
      <c r="D825"/>
    </row>
    <row r="826" spans="4:4" x14ac:dyDescent="0.35">
      <c r="D826"/>
    </row>
    <row r="827" spans="4:4" x14ac:dyDescent="0.35">
      <c r="D827"/>
    </row>
    <row r="828" spans="4:4" x14ac:dyDescent="0.35">
      <c r="D828"/>
    </row>
    <row r="829" spans="4:4" x14ac:dyDescent="0.35">
      <c r="D829"/>
    </row>
    <row r="830" spans="4:4" x14ac:dyDescent="0.35">
      <c r="D830"/>
    </row>
    <row r="831" spans="4:4" x14ac:dyDescent="0.35">
      <c r="D831"/>
    </row>
    <row r="832" spans="4:4" x14ac:dyDescent="0.35">
      <c r="D832"/>
    </row>
  </sheetData>
  <mergeCells count="21">
    <mergeCell ref="I21:I22"/>
    <mergeCell ref="F17:I17"/>
    <mergeCell ref="H7:R7"/>
    <mergeCell ref="H14:R14"/>
    <mergeCell ref="F14:G14"/>
    <mergeCell ref="F8:G8"/>
    <mergeCell ref="H8:R8"/>
    <mergeCell ref="F11:G11"/>
    <mergeCell ref="H11:R11"/>
    <mergeCell ref="F15:G15"/>
    <mergeCell ref="H15:R15"/>
    <mergeCell ref="O20:R20"/>
    <mergeCell ref="F7:G7"/>
    <mergeCell ref="B5:B6"/>
    <mergeCell ref="F1:R1"/>
    <mergeCell ref="O4:R4"/>
    <mergeCell ref="S5:S6"/>
    <mergeCell ref="F13:I13"/>
    <mergeCell ref="D5:D6"/>
    <mergeCell ref="F4:G4"/>
    <mergeCell ref="H4:I4"/>
  </mergeCells>
  <printOptions horizontalCentered="1"/>
  <pageMargins left="0" right="0" top="0.75" bottom="0.5" header="0.3" footer="0.3"/>
  <pageSetup paperSize="5" scale="39" fitToHeight="0" orientation="landscape" r:id="rId1"/>
  <headerFooter>
    <oddHeader>&amp;C&amp;"-,Bold"&amp;14Appendix I: Estimates of the Hour Burden of the Collection of Information Reporting – OMB Control Number 0584-0055
PUBLIC DISCLOSURE</oddHeader>
    <oddFooter>&amp;CPage &amp;P</oddFooter>
  </headerFooter>
  <ignoredErrors>
    <ignoredError sqref="M17:N17 M13 N25 L25:M25 K25"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B1:K17"/>
  <sheetViews>
    <sheetView showGridLines="0" tabSelected="1" topLeftCell="A4" zoomScale="70" zoomScaleNormal="70" workbookViewId="0">
      <selection activeCell="E12" sqref="E12"/>
    </sheetView>
  </sheetViews>
  <sheetFormatPr defaultColWidth="8.81640625" defaultRowHeight="14.5" x14ac:dyDescent="0.35"/>
  <cols>
    <col min="1" max="1" width="4.1796875" customWidth="1"/>
    <col min="2" max="2" width="35.81640625" customWidth="1"/>
    <col min="3" max="4" width="14.54296875" customWidth="1"/>
    <col min="5" max="5" width="18.1796875" customWidth="1"/>
    <col min="6" max="6" width="14.1796875" customWidth="1"/>
    <col min="7" max="7" width="17.453125" customWidth="1"/>
    <col min="8" max="11" width="18" customWidth="1"/>
  </cols>
  <sheetData>
    <row r="1" spans="2:11" hidden="1" x14ac:dyDescent="0.35"/>
    <row r="2" spans="2:11" hidden="1" x14ac:dyDescent="0.35"/>
    <row r="3" spans="2:11" hidden="1" x14ac:dyDescent="0.35"/>
    <row r="4" spans="2:11" ht="15" thickBot="1" x14ac:dyDescent="0.4"/>
    <row r="5" spans="2:11" ht="25" customHeight="1" thickBot="1" x14ac:dyDescent="0.4">
      <c r="B5" s="311" t="s">
        <v>337</v>
      </c>
      <c r="C5" s="309"/>
      <c r="D5" s="309"/>
      <c r="E5" s="309"/>
      <c r="F5" s="309"/>
      <c r="G5" s="309"/>
      <c r="H5" s="309"/>
      <c r="I5" s="309"/>
      <c r="J5" s="309"/>
      <c r="K5" s="310"/>
    </row>
    <row r="6" spans="2:11" ht="25" customHeight="1" thickBot="1" x14ac:dyDescent="0.4">
      <c r="B6" s="312" t="s">
        <v>338</v>
      </c>
      <c r="C6" s="306" t="s">
        <v>10</v>
      </c>
      <c r="D6" s="306" t="s">
        <v>11</v>
      </c>
      <c r="E6" s="306" t="s">
        <v>12</v>
      </c>
      <c r="F6" s="306" t="s">
        <v>13</v>
      </c>
      <c r="G6" s="306" t="s">
        <v>14</v>
      </c>
      <c r="H6" s="308" t="s">
        <v>5</v>
      </c>
      <c r="I6" s="309"/>
      <c r="J6" s="309"/>
      <c r="K6" s="310"/>
    </row>
    <row r="7" spans="2:11" ht="73" customHeight="1" x14ac:dyDescent="0.35">
      <c r="B7" s="313"/>
      <c r="C7" s="307"/>
      <c r="D7" s="307"/>
      <c r="E7" s="307"/>
      <c r="F7" s="307"/>
      <c r="G7" s="307"/>
      <c r="H7" s="263" t="s">
        <v>15</v>
      </c>
      <c r="I7" s="96" t="s">
        <v>16</v>
      </c>
      <c r="J7" s="96" t="s">
        <v>17</v>
      </c>
      <c r="K7" s="97" t="s">
        <v>18</v>
      </c>
    </row>
    <row r="8" spans="2:11" ht="17.149999999999999" customHeight="1" x14ac:dyDescent="0.35">
      <c r="B8" s="314"/>
      <c r="C8" s="9" t="s">
        <v>20</v>
      </c>
      <c r="D8" s="9" t="s">
        <v>21</v>
      </c>
      <c r="E8" s="9" t="s">
        <v>329</v>
      </c>
      <c r="F8" s="69" t="s">
        <v>23</v>
      </c>
      <c r="G8" s="69" t="s">
        <v>24</v>
      </c>
      <c r="H8" s="69" t="s">
        <v>25</v>
      </c>
      <c r="I8" s="69" t="s">
        <v>301</v>
      </c>
      <c r="J8" s="69" t="s">
        <v>27</v>
      </c>
      <c r="K8" s="98" t="s">
        <v>330</v>
      </c>
    </row>
    <row r="9" spans="2:11" x14ac:dyDescent="0.35">
      <c r="B9" s="83" t="s">
        <v>307</v>
      </c>
      <c r="C9" s="71">
        <f>Reporting!J188</f>
        <v>3841062.9240000001</v>
      </c>
      <c r="D9" s="60">
        <f>Reporting!K188</f>
        <v>4.2929744516728983</v>
      </c>
      <c r="E9" s="71">
        <f>Reporting!L188</f>
        <v>16489585</v>
      </c>
      <c r="F9" s="60">
        <f>Reporting!M188</f>
        <v>0.26680925743249451</v>
      </c>
      <c r="G9" s="60">
        <f>Reporting!N188</f>
        <v>4399573.9292200003</v>
      </c>
      <c r="H9" s="60">
        <f>Reporting!O188</f>
        <v>3644459.7361999997</v>
      </c>
      <c r="I9" s="60">
        <f>Reporting!P188</f>
        <v>0</v>
      </c>
      <c r="J9" s="60">
        <f>Reporting!Q188</f>
        <v>755114.18992000003</v>
      </c>
      <c r="K9" s="84">
        <f>Reporting!R188</f>
        <v>755114.18992000003</v>
      </c>
    </row>
    <row r="10" spans="2:11" x14ac:dyDescent="0.35">
      <c r="B10" s="83" t="s">
        <v>331</v>
      </c>
      <c r="C10" s="71">
        <f>Recordkeeping!J39</f>
        <v>184987</v>
      </c>
      <c r="D10" s="60">
        <f>Recordkeeping!K39</f>
        <v>3.5909820690102547</v>
      </c>
      <c r="E10" s="71">
        <f>Recordkeeping!L39</f>
        <v>664285</v>
      </c>
      <c r="F10" s="60">
        <f>Recordkeeping!M39</f>
        <v>0.85358942321443365</v>
      </c>
      <c r="G10" s="60">
        <f>Recordkeeping!N39</f>
        <v>567026.65</v>
      </c>
      <c r="H10" s="60">
        <f>Recordkeeping!O39</f>
        <v>566774.65</v>
      </c>
      <c r="I10" s="60">
        <f>Recordkeeping!P39</f>
        <v>0</v>
      </c>
      <c r="J10" s="60">
        <f>Recordkeeping!Q39</f>
        <v>252</v>
      </c>
      <c r="K10" s="84">
        <f>Recordkeeping!R39</f>
        <v>252</v>
      </c>
    </row>
    <row r="11" spans="2:11" x14ac:dyDescent="0.35">
      <c r="B11" s="83" t="s">
        <v>336</v>
      </c>
      <c r="C11" s="71">
        <f>'Public Disclosure'!J25</f>
        <v>11014</v>
      </c>
      <c r="D11" s="60">
        <f>'Public Disclosure'!K25</f>
        <v>1.1118576357363357</v>
      </c>
      <c r="E11" s="71">
        <f>'Public Disclosure'!L25</f>
        <v>12246</v>
      </c>
      <c r="F11" s="60">
        <f>'Public Disclosure'!M25</f>
        <v>0.25</v>
      </c>
      <c r="G11" s="60">
        <f>'Public Disclosure'!N25</f>
        <v>3061.5</v>
      </c>
      <c r="H11" s="60">
        <f>'Public Disclosure'!O25</f>
        <v>2739.5</v>
      </c>
      <c r="I11" s="60">
        <f>'Public Disclosure'!P25</f>
        <v>0</v>
      </c>
      <c r="J11" s="60">
        <f>'Public Disclosure'!Q25</f>
        <v>322</v>
      </c>
      <c r="K11" s="84">
        <f>'Public Disclosure'!R25</f>
        <v>322</v>
      </c>
    </row>
    <row r="12" spans="2:11" ht="15" thickBot="1" x14ac:dyDescent="0.4">
      <c r="B12" s="85" t="s">
        <v>339</v>
      </c>
      <c r="C12" s="86">
        <f>C9+C11</f>
        <v>3852076.9240000001</v>
      </c>
      <c r="D12" s="87">
        <f>E12/C12</f>
        <v>4.4563274147118248</v>
      </c>
      <c r="E12" s="86">
        <f>SUM(E9:E11)</f>
        <v>17166116</v>
      </c>
      <c r="F12" s="87">
        <f>G12/E12</f>
        <v>0.28950416502020615</v>
      </c>
      <c r="G12" s="87">
        <f t="shared" ref="G12:K12" si="0">SUM(G9:G11)</f>
        <v>4969662.0792200007</v>
      </c>
      <c r="H12" s="87">
        <f t="shared" si="0"/>
        <v>4213973.8861999996</v>
      </c>
      <c r="I12" s="87">
        <f t="shared" si="0"/>
        <v>0</v>
      </c>
      <c r="J12" s="87">
        <f t="shared" si="0"/>
        <v>755688.18992000003</v>
      </c>
      <c r="K12" s="88">
        <f t="shared" si="0"/>
        <v>755688.18992000003</v>
      </c>
    </row>
    <row r="14" spans="2:11" ht="18.5" customHeight="1" x14ac:dyDescent="0.35">
      <c r="E14" s="89"/>
      <c r="H14" s="150"/>
    </row>
    <row r="15" spans="2:11" ht="15.5" x14ac:dyDescent="0.35">
      <c r="E15" s="149"/>
    </row>
    <row r="16" spans="2:11" x14ac:dyDescent="0.35">
      <c r="E16" s="89"/>
    </row>
    <row r="17" spans="5:5" x14ac:dyDescent="0.35">
      <c r="E17" s="89"/>
    </row>
  </sheetData>
  <mergeCells count="8">
    <mergeCell ref="G6:G7"/>
    <mergeCell ref="H6:K6"/>
    <mergeCell ref="B5:K5"/>
    <mergeCell ref="B6:B8"/>
    <mergeCell ref="C6:C7"/>
    <mergeCell ref="D6:D7"/>
    <mergeCell ref="E6:E7"/>
    <mergeCell ref="F6:F7"/>
  </mergeCells>
  <pageMargins left="0.7" right="0.7" top="0.75" bottom="0.75" header="0.3" footer="0.3"/>
  <pageSetup paperSize="5" orientation="landscape" r:id="rId1"/>
  <ignoredErrors>
    <ignoredError sqref="E12:G12"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5EDAE-407A-4BED-9D38-141F120F6AD6}">
  <sheetPr>
    <pageSetUpPr fitToPage="1"/>
  </sheetPr>
  <dimension ref="B1:L22"/>
  <sheetViews>
    <sheetView showGridLines="0" topLeftCell="A5" zoomScaleNormal="100" zoomScalePageLayoutView="80" workbookViewId="0">
      <selection activeCell="A5" sqref="A5"/>
    </sheetView>
  </sheetViews>
  <sheetFormatPr defaultColWidth="8.81640625" defaultRowHeight="14.5" x14ac:dyDescent="0.35"/>
  <cols>
    <col min="1" max="1" width="8.81640625" customWidth="1"/>
    <col min="2" max="2" width="34.1796875" bestFit="1" customWidth="1"/>
    <col min="3" max="3" width="6.1796875" style="154" customWidth="1"/>
    <col min="4" max="4" width="13.54296875" style="155" customWidth="1"/>
    <col min="5" max="5" width="7.453125" style="154" customWidth="1"/>
    <col min="6" max="6" width="2" style="154" bestFit="1" customWidth="1"/>
    <col min="7" max="7" width="8.81640625" style="156"/>
    <col min="8" max="8" width="2.1796875" style="154" bestFit="1" customWidth="1"/>
    <col min="9" max="9" width="17.1796875" style="157" customWidth="1"/>
    <col min="12" max="12" width="19.54296875" customWidth="1"/>
  </cols>
  <sheetData>
    <row r="1" spans="2:12" hidden="1" x14ac:dyDescent="0.35"/>
    <row r="2" spans="2:12" ht="14.5" hidden="1" customHeight="1" x14ac:dyDescent="0.35">
      <c r="B2" s="315"/>
      <c r="C2" s="315"/>
      <c r="D2" s="315"/>
    </row>
    <row r="3" spans="2:12" ht="14.5" hidden="1" customHeight="1" x14ac:dyDescent="0.35">
      <c r="B3" s="315"/>
      <c r="C3" s="315"/>
      <c r="D3" s="315"/>
    </row>
    <row r="4" spans="2:12" hidden="1" x14ac:dyDescent="0.35"/>
    <row r="6" spans="2:12" s="2" customFormat="1" ht="23.15" customHeight="1" x14ac:dyDescent="0.35">
      <c r="B6" s="173" t="s">
        <v>340</v>
      </c>
      <c r="C6" s="16"/>
      <c r="D6" s="158"/>
      <c r="E6" s="4"/>
      <c r="F6" s="4"/>
      <c r="G6" s="99"/>
      <c r="H6" s="4"/>
      <c r="I6" s="159"/>
      <c r="L6" s="160"/>
    </row>
    <row r="7" spans="2:12" ht="23.15" customHeight="1" x14ac:dyDescent="0.35">
      <c r="B7" s="161" t="s">
        <v>341</v>
      </c>
      <c r="C7" s="162" t="s">
        <v>342</v>
      </c>
      <c r="D7" s="155">
        <f>Reporting!R82+Recordkeeping!R13+'Public Disclosure'!R23</f>
        <v>221613.74799999999</v>
      </c>
      <c r="E7" s="154" t="s">
        <v>343</v>
      </c>
      <c r="F7" s="154" t="s">
        <v>344</v>
      </c>
      <c r="G7" s="156">
        <f>'Labor Rates'!D5</f>
        <v>50.16</v>
      </c>
      <c r="H7" s="163" t="s">
        <v>342</v>
      </c>
      <c r="I7" s="157">
        <f>D7*G7</f>
        <v>11116145.599679999</v>
      </c>
    </row>
    <row r="8" spans="2:12" ht="23.15" customHeight="1" x14ac:dyDescent="0.35">
      <c r="B8" s="161" t="s">
        <v>184</v>
      </c>
      <c r="C8" s="162" t="s">
        <v>342</v>
      </c>
      <c r="D8" s="155">
        <f>Reporting!R117+Recordkeeping!R18+'Public Disclosure'!R12</f>
        <v>72468.998999999996</v>
      </c>
      <c r="E8" s="154" t="s">
        <v>343</v>
      </c>
      <c r="F8" s="154" t="s">
        <v>344</v>
      </c>
      <c r="G8" s="156">
        <f>'Labor Rates'!D6</f>
        <v>37.840000000000003</v>
      </c>
      <c r="H8" s="163" t="s">
        <v>342</v>
      </c>
      <c r="I8" s="157">
        <f>D8*G8</f>
        <v>2742226.9221600001</v>
      </c>
    </row>
    <row r="9" spans="2:12" ht="23.15" customHeight="1" x14ac:dyDescent="0.35">
      <c r="B9" s="164" t="s">
        <v>183</v>
      </c>
      <c r="C9" s="162" t="s">
        <v>342</v>
      </c>
      <c r="D9" s="155">
        <f>SUM(D7:D8)</f>
        <v>294082.74699999997</v>
      </c>
      <c r="E9" s="154" t="s">
        <v>343</v>
      </c>
      <c r="I9" s="157">
        <f>SUM(I7:I8)</f>
        <v>13858372.521839999</v>
      </c>
    </row>
    <row r="10" spans="2:12" s="2" customFormat="1" ht="23.15" customHeight="1" x14ac:dyDescent="0.35">
      <c r="B10" s="173" t="s">
        <v>345</v>
      </c>
      <c r="C10" s="165"/>
      <c r="D10" s="158"/>
      <c r="E10" s="4"/>
      <c r="F10" s="4"/>
      <c r="G10" s="99"/>
      <c r="H10" s="4"/>
      <c r="I10" s="159"/>
    </row>
    <row r="11" spans="2:12" ht="23.15" customHeight="1" x14ac:dyDescent="0.35">
      <c r="B11" s="161" t="s">
        <v>244</v>
      </c>
      <c r="C11" s="162" t="s">
        <v>342</v>
      </c>
      <c r="D11" s="155">
        <f>Reporting!R161+Recordkeeping!R26+'Public Disclosure'!R17</f>
        <v>440203.47149999999</v>
      </c>
      <c r="E11" s="154" t="s">
        <v>343</v>
      </c>
      <c r="F11" s="154" t="s">
        <v>344</v>
      </c>
      <c r="G11" s="156">
        <f>'Labor Rates'!D7</f>
        <v>28.44</v>
      </c>
      <c r="H11" s="163" t="s">
        <v>342</v>
      </c>
      <c r="I11" s="157">
        <f>D11*G11</f>
        <v>12519386.729460001</v>
      </c>
    </row>
    <row r="12" spans="2:12" ht="23.15" customHeight="1" x14ac:dyDescent="0.35">
      <c r="B12" s="161" t="s">
        <v>275</v>
      </c>
      <c r="C12" s="162" t="s">
        <v>342</v>
      </c>
      <c r="D12" s="155">
        <f>Reporting!R174</f>
        <v>21401.971500000003</v>
      </c>
      <c r="E12" s="154" t="s">
        <v>343</v>
      </c>
      <c r="F12" s="154" t="s">
        <v>344</v>
      </c>
      <c r="G12" s="156">
        <f>'Labor Rates'!D8</f>
        <v>15.42</v>
      </c>
      <c r="H12" s="163" t="s">
        <v>342</v>
      </c>
      <c r="I12" s="157">
        <f>D12*G12</f>
        <v>330018.40053000004</v>
      </c>
      <c r="L12" s="106"/>
    </row>
    <row r="13" spans="2:12" ht="23.15" customHeight="1" x14ac:dyDescent="0.35">
      <c r="B13" s="164" t="s">
        <v>183</v>
      </c>
      <c r="C13" s="162" t="s">
        <v>342</v>
      </c>
      <c r="D13" s="155">
        <f>SUM(D11:D12)</f>
        <v>461605.44299999997</v>
      </c>
      <c r="E13" s="154" t="s">
        <v>343</v>
      </c>
      <c r="I13" s="157">
        <f>SUM(I11:I12)</f>
        <v>12849405.12999</v>
      </c>
    </row>
    <row r="14" spans="2:12" s="2" customFormat="1" ht="23.15" customHeight="1" x14ac:dyDescent="0.35">
      <c r="B14" s="173" t="s">
        <v>346</v>
      </c>
      <c r="C14" s="165"/>
      <c r="D14" s="158"/>
      <c r="E14" s="4"/>
      <c r="F14" s="4"/>
      <c r="G14" s="99"/>
      <c r="H14" s="4"/>
      <c r="I14" s="157"/>
    </row>
    <row r="15" spans="2:12" ht="23.15" customHeight="1" x14ac:dyDescent="0.35">
      <c r="B15" s="161" t="s">
        <v>347</v>
      </c>
      <c r="C15" s="162" t="s">
        <v>342</v>
      </c>
      <c r="D15" s="155">
        <f>Reporting!R180</f>
        <v>-7.9999910667538643E-5</v>
      </c>
      <c r="E15" s="154" t="s">
        <v>343</v>
      </c>
      <c r="F15" s="154" t="s">
        <v>344</v>
      </c>
      <c r="G15" s="156">
        <f>'Labor Rates'!D9</f>
        <v>7.25</v>
      </c>
      <c r="H15" s="163" t="s">
        <v>342</v>
      </c>
      <c r="I15" s="157">
        <f>D15*G15</f>
        <v>-5.7999935233965516E-4</v>
      </c>
    </row>
    <row r="16" spans="2:12" ht="23.15" customHeight="1" x14ac:dyDescent="0.35">
      <c r="B16" s="164" t="s">
        <v>183</v>
      </c>
      <c r="C16" s="162" t="s">
        <v>342</v>
      </c>
      <c r="D16" s="155">
        <f>D15</f>
        <v>-7.9999910667538643E-5</v>
      </c>
      <c r="E16" s="154" t="s">
        <v>343</v>
      </c>
      <c r="I16" s="157">
        <f>I15</f>
        <v>-5.7999935233965516E-4</v>
      </c>
    </row>
    <row r="17" spans="2:9" ht="23.15" customHeight="1" x14ac:dyDescent="0.35">
      <c r="B17" s="2"/>
      <c r="C17" s="166"/>
    </row>
    <row r="18" spans="2:9" ht="23.15" customHeight="1" x14ac:dyDescent="0.35">
      <c r="B18" s="167" t="s">
        <v>348</v>
      </c>
      <c r="C18" s="168" t="s">
        <v>342</v>
      </c>
      <c r="D18" s="169"/>
      <c r="E18" s="170"/>
      <c r="F18" s="167"/>
      <c r="G18" s="171"/>
      <c r="H18" s="167"/>
      <c r="I18" s="172">
        <f>I9+I13+I16</f>
        <v>26707777.651250001</v>
      </c>
    </row>
    <row r="19" spans="2:9" ht="23.15" customHeight="1" x14ac:dyDescent="0.35">
      <c r="B19" s="167" t="s">
        <v>349</v>
      </c>
      <c r="C19" s="168" t="s">
        <v>342</v>
      </c>
      <c r="D19" s="169"/>
      <c r="E19" s="167"/>
      <c r="F19" s="167"/>
      <c r="G19" s="171"/>
      <c r="H19" s="167"/>
      <c r="I19" s="172">
        <f>I18*0.33</f>
        <v>8813566.6249125004</v>
      </c>
    </row>
    <row r="20" spans="2:9" ht="23.15" customHeight="1" x14ac:dyDescent="0.35">
      <c r="B20" s="167" t="s">
        <v>533</v>
      </c>
      <c r="C20" s="168" t="s">
        <v>342</v>
      </c>
      <c r="D20" s="169">
        <f>D9+D13+D16</f>
        <v>755688.18992000003</v>
      </c>
      <c r="E20" s="167" t="s">
        <v>343</v>
      </c>
      <c r="F20" s="167"/>
      <c r="G20" s="171"/>
      <c r="H20" s="167"/>
      <c r="I20" s="172">
        <f>I18+I19</f>
        <v>35521344.276162505</v>
      </c>
    </row>
    <row r="21" spans="2:9" ht="28.75" customHeight="1" x14ac:dyDescent="0.35">
      <c r="B21" s="268" t="s">
        <v>532</v>
      </c>
      <c r="C21" s="168" t="s">
        <v>342</v>
      </c>
      <c r="D21" s="169">
        <v>4213210.8862199998</v>
      </c>
      <c r="E21" s="167" t="s">
        <v>343</v>
      </c>
      <c r="F21" s="167"/>
      <c r="G21" s="171"/>
      <c r="H21" s="167"/>
      <c r="I21" s="172">
        <v>99280730.134241104</v>
      </c>
    </row>
    <row r="22" spans="2:9" x14ac:dyDescent="0.35">
      <c r="B22" s="167" t="s">
        <v>350</v>
      </c>
      <c r="C22" s="167" t="s">
        <v>342</v>
      </c>
      <c r="D22" s="169">
        <f>SUM(D20:D21)</f>
        <v>4968899.0761399996</v>
      </c>
      <c r="E22" s="167" t="s">
        <v>343</v>
      </c>
      <c r="F22" s="167"/>
      <c r="G22" s="171"/>
      <c r="H22" s="167"/>
      <c r="I22" s="172">
        <f>SUM(I20:I21)</f>
        <v>134802074.41040361</v>
      </c>
    </row>
  </sheetData>
  <mergeCells count="1">
    <mergeCell ref="B2:D3"/>
  </mergeCells>
  <conditionalFormatting sqref="F7:F8 H7:H8">
    <cfRule type="dataBar" priority="5">
      <dataBar>
        <cfvo type="min"/>
        <cfvo type="max"/>
        <color rgb="FF638EC6"/>
      </dataBar>
      <extLst>
        <ext xmlns:x14="http://schemas.microsoft.com/office/spreadsheetml/2009/9/main" uri="{B025F937-C7B1-47D3-B67F-A62EFF666E3E}">
          <x14:id>{52139C31-99B9-474C-A6B7-56F0BACA056F}</x14:id>
        </ext>
      </extLst>
    </cfRule>
  </conditionalFormatting>
  <conditionalFormatting sqref="F11:F12">
    <cfRule type="dataBar" priority="4">
      <dataBar>
        <cfvo type="min"/>
        <cfvo type="max"/>
        <color rgb="FF638EC6"/>
      </dataBar>
      <extLst>
        <ext xmlns:x14="http://schemas.microsoft.com/office/spreadsheetml/2009/9/main" uri="{B025F937-C7B1-47D3-B67F-A62EFF666E3E}">
          <x14:id>{F8DBBBC2-96D3-49A1-8AF8-B428F8DF71AC}</x14:id>
        </ext>
      </extLst>
    </cfRule>
  </conditionalFormatting>
  <conditionalFormatting sqref="F15">
    <cfRule type="dataBar" priority="3">
      <dataBar>
        <cfvo type="min"/>
        <cfvo type="max"/>
        <color rgb="FF638EC6"/>
      </dataBar>
      <extLst>
        <ext xmlns:x14="http://schemas.microsoft.com/office/spreadsheetml/2009/9/main" uri="{B025F937-C7B1-47D3-B67F-A62EFF666E3E}">
          <x14:id>{EAAD2A10-C6BD-4348-82C1-7DFB9827622F}</x14:id>
        </ext>
      </extLst>
    </cfRule>
  </conditionalFormatting>
  <conditionalFormatting sqref="H11:H12">
    <cfRule type="dataBar" priority="2">
      <dataBar>
        <cfvo type="min"/>
        <cfvo type="max"/>
        <color rgb="FF638EC6"/>
      </dataBar>
      <extLst>
        <ext xmlns:x14="http://schemas.microsoft.com/office/spreadsheetml/2009/9/main" uri="{B025F937-C7B1-47D3-B67F-A62EFF666E3E}">
          <x14:id>{F1B4AFF4-A011-4D66-98B8-127231AE5EA9}</x14:id>
        </ext>
      </extLst>
    </cfRule>
  </conditionalFormatting>
  <conditionalFormatting sqref="H15">
    <cfRule type="dataBar" priority="1">
      <dataBar>
        <cfvo type="min"/>
        <cfvo type="max"/>
        <color rgb="FF638EC6"/>
      </dataBar>
      <extLst>
        <ext xmlns:x14="http://schemas.microsoft.com/office/spreadsheetml/2009/9/main" uri="{B025F937-C7B1-47D3-B67F-A62EFF666E3E}">
          <x14:id>{2F4FD4F4-BC71-4396-B040-9765295DF815}</x14:id>
        </ext>
      </extLst>
    </cfRule>
  </conditionalFormatting>
  <pageMargins left="0.7" right="0.7" top="0.75" bottom="0.75" header="0.3" footer="0.3"/>
  <pageSetup paperSize="5" orientation="landscape" r:id="rId1"/>
  <extLst>
    <ext xmlns:x14="http://schemas.microsoft.com/office/spreadsheetml/2009/9/main" uri="{78C0D931-6437-407d-A8EE-F0AAD7539E65}">
      <x14:conditionalFormattings>
        <x14:conditionalFormatting xmlns:xm="http://schemas.microsoft.com/office/excel/2006/main">
          <x14:cfRule type="dataBar" id="{52139C31-99B9-474C-A6B7-56F0BACA056F}">
            <x14:dataBar minLength="0" maxLength="100" gradient="0">
              <x14:cfvo type="autoMin"/>
              <x14:cfvo type="autoMax"/>
              <x14:negativeFillColor rgb="FFFF0000"/>
              <x14:axisColor rgb="FF000000"/>
            </x14:dataBar>
          </x14:cfRule>
          <xm:sqref>F7:F8 H7:H8</xm:sqref>
        </x14:conditionalFormatting>
        <x14:conditionalFormatting xmlns:xm="http://schemas.microsoft.com/office/excel/2006/main">
          <x14:cfRule type="dataBar" id="{F8DBBBC2-96D3-49A1-8AF8-B428F8DF71AC}">
            <x14:dataBar minLength="0" maxLength="100" gradient="0">
              <x14:cfvo type="autoMin"/>
              <x14:cfvo type="autoMax"/>
              <x14:negativeFillColor rgb="FFFF0000"/>
              <x14:axisColor rgb="FF000000"/>
            </x14:dataBar>
          </x14:cfRule>
          <xm:sqref>F11:F12</xm:sqref>
        </x14:conditionalFormatting>
        <x14:conditionalFormatting xmlns:xm="http://schemas.microsoft.com/office/excel/2006/main">
          <x14:cfRule type="dataBar" id="{EAAD2A10-C6BD-4348-82C1-7DFB9827622F}">
            <x14:dataBar minLength="0" maxLength="100" gradient="0">
              <x14:cfvo type="autoMin"/>
              <x14:cfvo type="autoMax"/>
              <x14:negativeFillColor rgb="FFFF0000"/>
              <x14:axisColor rgb="FF000000"/>
            </x14:dataBar>
          </x14:cfRule>
          <xm:sqref>F15</xm:sqref>
        </x14:conditionalFormatting>
        <x14:conditionalFormatting xmlns:xm="http://schemas.microsoft.com/office/excel/2006/main">
          <x14:cfRule type="dataBar" id="{F1B4AFF4-A011-4D66-98B8-127231AE5EA9}">
            <x14:dataBar minLength="0" maxLength="100" gradient="0">
              <x14:cfvo type="autoMin"/>
              <x14:cfvo type="autoMax"/>
              <x14:negativeFillColor rgb="FFFF0000"/>
              <x14:axisColor rgb="FF000000"/>
            </x14:dataBar>
          </x14:cfRule>
          <xm:sqref>H11:H12</xm:sqref>
        </x14:conditionalFormatting>
        <x14:conditionalFormatting xmlns:xm="http://schemas.microsoft.com/office/excel/2006/main">
          <x14:cfRule type="dataBar" id="{2F4FD4F4-BC71-4396-B040-9765295DF815}">
            <x14:dataBar minLength="0" maxLength="100" gradient="0">
              <x14:cfvo type="autoMin"/>
              <x14:cfvo type="autoMax"/>
              <x14:negativeFillColor rgb="FFFF0000"/>
              <x14:axisColor rgb="FF000000"/>
            </x14:dataBar>
          </x14:cfRule>
          <xm:sqref>H15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K32"/>
  <sheetViews>
    <sheetView showGridLines="0" topLeftCell="A5" zoomScale="75" zoomScaleNormal="75" zoomScalePageLayoutView="80" workbookViewId="0">
      <selection activeCell="H10" sqref="H10"/>
    </sheetView>
  </sheetViews>
  <sheetFormatPr defaultColWidth="8.81640625" defaultRowHeight="14.5" x14ac:dyDescent="0.35"/>
  <cols>
    <col min="1" max="1" width="8.81640625" customWidth="1"/>
    <col min="2" max="2" width="36.453125" customWidth="1"/>
    <col min="3" max="3" width="24.1796875" bestFit="1" customWidth="1"/>
    <col min="4" max="4" width="14.453125" customWidth="1"/>
    <col min="5" max="5" width="15.1796875" customWidth="1"/>
    <col min="6" max="6" width="18.453125" customWidth="1"/>
    <col min="7" max="7" width="16.54296875" customWidth="1"/>
    <col min="8" max="8" width="18" customWidth="1"/>
  </cols>
  <sheetData>
    <row r="1" spans="2:11" hidden="1" x14ac:dyDescent="0.35"/>
    <row r="2" spans="2:11" ht="14.5" hidden="1" customHeight="1" x14ac:dyDescent="0.35">
      <c r="B2" s="315" t="s">
        <v>351</v>
      </c>
      <c r="C2" s="315"/>
      <c r="D2" s="315"/>
      <c r="E2" s="315"/>
      <c r="F2" s="315"/>
      <c r="G2" s="315"/>
      <c r="H2" s="315"/>
    </row>
    <row r="3" spans="2:11" ht="14.5" hidden="1" customHeight="1" x14ac:dyDescent="0.35">
      <c r="B3" s="315"/>
      <c r="C3" s="315"/>
      <c r="D3" s="315"/>
      <c r="E3" s="315"/>
      <c r="F3" s="315"/>
      <c r="G3" s="315"/>
      <c r="H3" s="315"/>
    </row>
    <row r="4" spans="2:11" hidden="1" x14ac:dyDescent="0.35"/>
    <row r="5" spans="2:11" ht="15" thickBot="1" x14ac:dyDescent="0.4"/>
    <row r="6" spans="2:11" ht="21.65" customHeight="1" thickBot="1" x14ac:dyDescent="0.4">
      <c r="B6" s="311" t="s">
        <v>352</v>
      </c>
      <c r="C6" s="309"/>
      <c r="D6" s="309"/>
      <c r="E6" s="309"/>
      <c r="F6" s="309"/>
      <c r="G6" s="309"/>
      <c r="H6" s="310"/>
    </row>
    <row r="7" spans="2:11" ht="58" x14ac:dyDescent="0.35">
      <c r="B7" s="319" t="s">
        <v>353</v>
      </c>
      <c r="C7" s="320"/>
      <c r="D7" s="143" t="s">
        <v>354</v>
      </c>
      <c r="E7" s="143" t="s">
        <v>355</v>
      </c>
      <c r="F7" s="143" t="s">
        <v>356</v>
      </c>
      <c r="G7" s="143" t="s">
        <v>13</v>
      </c>
      <c r="H7" s="144" t="s">
        <v>357</v>
      </c>
      <c r="I7" s="74"/>
    </row>
    <row r="8" spans="2:11" x14ac:dyDescent="0.35">
      <c r="B8" s="323" t="s">
        <v>358</v>
      </c>
      <c r="C8" s="324"/>
      <c r="D8" s="324"/>
      <c r="E8" s="324"/>
      <c r="F8" s="324"/>
      <c r="G8" s="324"/>
      <c r="H8" s="325"/>
    </row>
    <row r="9" spans="2:11" x14ac:dyDescent="0.35">
      <c r="B9" s="316" t="s">
        <v>359</v>
      </c>
      <c r="C9" s="127" t="s">
        <v>360</v>
      </c>
      <c r="D9" s="128">
        <f>Reporting!J82</f>
        <v>56</v>
      </c>
      <c r="E9" s="128">
        <f>Reporting!K82</f>
        <v>12335.714285714286</v>
      </c>
      <c r="F9" s="128">
        <f>Reporting!L82</f>
        <v>690800</v>
      </c>
      <c r="G9" s="141">
        <f>Reporting!M82</f>
        <v>0.61692382570932247</v>
      </c>
      <c r="H9" s="145">
        <f>Reporting!N82</f>
        <v>426170.97879999998</v>
      </c>
      <c r="K9" s="150"/>
    </row>
    <row r="10" spans="2:11" x14ac:dyDescent="0.35">
      <c r="B10" s="317"/>
      <c r="C10" s="45" t="s">
        <v>361</v>
      </c>
      <c r="D10" s="129">
        <f>Reporting!J117</f>
        <v>3791</v>
      </c>
      <c r="E10" s="130">
        <f>Reporting!K117</f>
        <v>39.826958586125031</v>
      </c>
      <c r="F10" s="129">
        <f>Reporting!L117</f>
        <v>150984</v>
      </c>
      <c r="G10" s="130">
        <f>Reporting!M117</f>
        <v>1.9319631702696971</v>
      </c>
      <c r="H10" s="146">
        <f>Reporting!N117</f>
        <v>291695.52729999996</v>
      </c>
      <c r="K10" s="89"/>
    </row>
    <row r="11" spans="2:11" x14ac:dyDescent="0.35">
      <c r="B11" s="318" t="s">
        <v>345</v>
      </c>
      <c r="C11" s="45" t="s">
        <v>244</v>
      </c>
      <c r="D11" s="129">
        <f>Reporting!J161</f>
        <v>50185.962</v>
      </c>
      <c r="E11" s="130">
        <f>Reporting!K161</f>
        <v>19.289216494445203</v>
      </c>
      <c r="F11" s="129">
        <f>Reporting!L161</f>
        <v>968047.88600000017</v>
      </c>
      <c r="G11" s="130">
        <f>Reporting!M161</f>
        <v>1.7481774935666767</v>
      </c>
      <c r="H11" s="146">
        <f>Reporting!N161</f>
        <v>1692319.5270000002</v>
      </c>
    </row>
    <row r="12" spans="2:11" x14ac:dyDescent="0.35">
      <c r="B12" s="317"/>
      <c r="C12" s="45" t="s">
        <v>275</v>
      </c>
      <c r="D12" s="129">
        <f>Reporting!J174</f>
        <v>188025.962</v>
      </c>
      <c r="E12" s="130">
        <f>Reporting!K174</f>
        <v>15.782740077138921</v>
      </c>
      <c r="F12" s="129">
        <f>Reporting!L174</f>
        <v>2967564.8859999999</v>
      </c>
      <c r="G12" s="130">
        <f>Reporting!M174</f>
        <v>0.34082497278207785</v>
      </c>
      <c r="H12" s="146">
        <f>Reporting!N174</f>
        <v>1011420.2214999999</v>
      </c>
    </row>
    <row r="13" spans="2:11" x14ac:dyDescent="0.35">
      <c r="B13" s="152" t="s">
        <v>347</v>
      </c>
      <c r="C13" s="153"/>
      <c r="D13" s="131">
        <f>Reporting!J180</f>
        <v>3599004</v>
      </c>
      <c r="E13" s="132">
        <f>Reporting!K180</f>
        <v>3.2542858301907973</v>
      </c>
      <c r="F13" s="131">
        <f>Reporting!L180</f>
        <v>11712187.720000001</v>
      </c>
      <c r="G13" s="151">
        <f>Reporting!M180</f>
        <v>8.3500000000000005E-2</v>
      </c>
      <c r="H13" s="147">
        <f>Reporting!N180</f>
        <v>977967.67462000006</v>
      </c>
    </row>
    <row r="14" spans="2:11" x14ac:dyDescent="0.35">
      <c r="B14" s="329" t="s">
        <v>362</v>
      </c>
      <c r="C14" s="330"/>
      <c r="D14" s="133">
        <f>Reporting!J188</f>
        <v>3841062.9240000001</v>
      </c>
      <c r="E14" s="134">
        <f>Reporting!K188</f>
        <v>4.2929744516728983</v>
      </c>
      <c r="F14" s="133">
        <f>Reporting!L188</f>
        <v>16489585</v>
      </c>
      <c r="G14" s="134">
        <f>Reporting!M188</f>
        <v>0.26680925743249451</v>
      </c>
      <c r="H14" s="135">
        <f>Reporting!N188</f>
        <v>4399573.9292200003</v>
      </c>
    </row>
    <row r="15" spans="2:11" x14ac:dyDescent="0.35">
      <c r="B15" s="323" t="s">
        <v>363</v>
      </c>
      <c r="C15" s="324"/>
      <c r="D15" s="324"/>
      <c r="E15" s="324"/>
      <c r="F15" s="324"/>
      <c r="G15" s="324"/>
      <c r="H15" s="325"/>
    </row>
    <row r="16" spans="2:11" x14ac:dyDescent="0.35">
      <c r="B16" s="316" t="s">
        <v>359</v>
      </c>
      <c r="C16" s="127" t="s">
        <v>360</v>
      </c>
      <c r="D16" s="136">
        <f>Recordkeeping!J13</f>
        <v>56</v>
      </c>
      <c r="E16" s="137">
        <f>Recordkeeping!K13</f>
        <v>31</v>
      </c>
      <c r="F16" s="136">
        <f>Recordkeeping!L13</f>
        <v>1736</v>
      </c>
      <c r="G16" s="137">
        <f>Recordkeeping!M13</f>
        <v>5.064516129032258</v>
      </c>
      <c r="H16" s="148">
        <f>Recordkeeping!N13</f>
        <v>8792</v>
      </c>
    </row>
    <row r="17" spans="2:8" x14ac:dyDescent="0.35">
      <c r="B17" s="317"/>
      <c r="C17" s="45" t="s">
        <v>361</v>
      </c>
      <c r="D17" s="136">
        <f>Recordkeeping!J18</f>
        <v>3791</v>
      </c>
      <c r="E17" s="137">
        <f>Recordkeeping!K18</f>
        <v>6.7000791347929303</v>
      </c>
      <c r="F17" s="136">
        <f>Recordkeeping!L18</f>
        <v>25400</v>
      </c>
      <c r="G17" s="137">
        <f>Recordkeeping!M18</f>
        <v>0.46156200787401575</v>
      </c>
      <c r="H17" s="148">
        <f>Recordkeeping!N18</f>
        <v>11723.674999999999</v>
      </c>
    </row>
    <row r="18" spans="2:8" x14ac:dyDescent="0.35">
      <c r="B18" s="318" t="s">
        <v>345</v>
      </c>
      <c r="C18" s="45" t="s">
        <v>244</v>
      </c>
      <c r="D18" s="136">
        <f>Recordkeeping!J26</f>
        <v>21650</v>
      </c>
      <c r="E18" s="137">
        <f>Recordkeeping!K26</f>
        <v>7.3043418013856813</v>
      </c>
      <c r="F18" s="136">
        <f>Recordkeeping!L26</f>
        <v>158139</v>
      </c>
      <c r="G18" s="137">
        <f>Recordkeeping!M26</f>
        <v>0.42599232320932851</v>
      </c>
      <c r="H18" s="148">
        <f>Recordkeeping!N26</f>
        <v>67366</v>
      </c>
    </row>
    <row r="19" spans="2:8" x14ac:dyDescent="0.35">
      <c r="B19" s="317"/>
      <c r="C19" s="45" t="s">
        <v>275</v>
      </c>
      <c r="D19" s="136">
        <f>Recordkeeping!J30</f>
        <v>159490</v>
      </c>
      <c r="E19" s="137">
        <f>Recordkeeping!K30</f>
        <v>3.0033857922126779</v>
      </c>
      <c r="F19" s="136">
        <f>Recordkeeping!L30</f>
        <v>479010</v>
      </c>
      <c r="G19" s="137">
        <f>Recordkeeping!M30</f>
        <v>1.0002818312770088</v>
      </c>
      <c r="H19" s="148">
        <f>Recordkeeping!N30</f>
        <v>479145</v>
      </c>
    </row>
    <row r="20" spans="2:8" x14ac:dyDescent="0.35">
      <c r="B20" s="321" t="s">
        <v>364</v>
      </c>
      <c r="C20" s="322"/>
      <c r="D20" s="133">
        <f>Recordkeeping!J39</f>
        <v>184987</v>
      </c>
      <c r="E20" s="134">
        <f>Recordkeeping!K39</f>
        <v>3.5909820690102547</v>
      </c>
      <c r="F20" s="133">
        <f>Recordkeeping!L39</f>
        <v>664285</v>
      </c>
      <c r="G20" s="134">
        <f>Recordkeeping!M39</f>
        <v>0.85358942321443365</v>
      </c>
      <c r="H20" s="135">
        <f>Recordkeeping!N39</f>
        <v>567026.65</v>
      </c>
    </row>
    <row r="21" spans="2:8" x14ac:dyDescent="0.35">
      <c r="B21" s="326" t="s">
        <v>365</v>
      </c>
      <c r="C21" s="327"/>
      <c r="D21" s="327"/>
      <c r="E21" s="327"/>
      <c r="F21" s="327"/>
      <c r="G21" s="327"/>
      <c r="H21" s="328"/>
    </row>
    <row r="22" spans="2:8" x14ac:dyDescent="0.35">
      <c r="B22" s="316" t="s">
        <v>359</v>
      </c>
      <c r="C22" s="127" t="s">
        <v>360</v>
      </c>
      <c r="D22" s="129">
        <f>'Public Disclosure'!J10</f>
        <v>28</v>
      </c>
      <c r="E22" s="130">
        <f>'Public Disclosure'!K10</f>
        <v>1</v>
      </c>
      <c r="F22" s="129">
        <f>'Public Disclosure'!L10</f>
        <v>28</v>
      </c>
      <c r="G22" s="130">
        <f>'Public Disclosure'!M10</f>
        <v>0.25</v>
      </c>
      <c r="H22" s="146">
        <f>'Public Disclosure'!N10</f>
        <v>7</v>
      </c>
    </row>
    <row r="23" spans="2:8" x14ac:dyDescent="0.35">
      <c r="B23" s="317"/>
      <c r="C23" s="45" t="s">
        <v>361</v>
      </c>
      <c r="D23" s="129">
        <f>'Public Disclosure'!J12</f>
        <v>1629</v>
      </c>
      <c r="E23" s="130">
        <f>'Public Disclosure'!K12</f>
        <v>1</v>
      </c>
      <c r="F23" s="129">
        <f>'Public Disclosure'!L12</f>
        <v>1629</v>
      </c>
      <c r="G23" s="130">
        <f>'Public Disclosure'!M12</f>
        <v>0.25</v>
      </c>
      <c r="H23" s="146">
        <f>'Public Disclosure'!N12</f>
        <v>407.25</v>
      </c>
    </row>
    <row r="24" spans="2:8" x14ac:dyDescent="0.35">
      <c r="B24" s="142" t="s">
        <v>345</v>
      </c>
      <c r="C24" s="45" t="s">
        <v>244</v>
      </c>
      <c r="D24" s="129">
        <f>'Public Disclosure'!J16</f>
        <v>9301</v>
      </c>
      <c r="E24" s="130">
        <f>'Public Disclosure'!K16</f>
        <v>1</v>
      </c>
      <c r="F24" s="129">
        <f>'Public Disclosure'!L16</f>
        <v>9301</v>
      </c>
      <c r="G24" s="130">
        <f>'Public Disclosure'!M16</f>
        <v>0.25</v>
      </c>
      <c r="H24" s="146">
        <f>'Public Disclosure'!N16</f>
        <v>2325.25</v>
      </c>
    </row>
    <row r="25" spans="2:8" x14ac:dyDescent="0.35">
      <c r="B25" s="321" t="s">
        <v>366</v>
      </c>
      <c r="C25" s="322"/>
      <c r="D25" s="133">
        <f>'Public Disclosure'!J25</f>
        <v>11014</v>
      </c>
      <c r="E25" s="134">
        <f>'Public Disclosure'!K25</f>
        <v>1.1118576357363357</v>
      </c>
      <c r="F25" s="133">
        <f>'Public Disclosure'!L25</f>
        <v>12246</v>
      </c>
      <c r="G25" s="134">
        <f>'Public Disclosure'!M25</f>
        <v>0.25</v>
      </c>
      <c r="H25" s="135">
        <f>'Public Disclosure'!N25</f>
        <v>3061.5</v>
      </c>
    </row>
    <row r="26" spans="2:8" ht="15" thickBot="1" x14ac:dyDescent="0.4">
      <c r="B26" s="92" t="s">
        <v>367</v>
      </c>
      <c r="C26" s="126"/>
      <c r="D26" s="138">
        <f>D14+D25</f>
        <v>3852076.9240000001</v>
      </c>
      <c r="E26" s="139">
        <f>F26/D26</f>
        <v>4.4563274147118248</v>
      </c>
      <c r="F26" s="138">
        <f>F14+F20+F25</f>
        <v>17166116</v>
      </c>
      <c r="G26" s="139">
        <f>H26/F26</f>
        <v>0.28950416502020615</v>
      </c>
      <c r="H26" s="140">
        <f>H14+H20+H25</f>
        <v>4969662.0792200007</v>
      </c>
    </row>
    <row r="28" spans="2:8" x14ac:dyDescent="0.35">
      <c r="D28" s="89"/>
      <c r="E28" s="150"/>
      <c r="F28" s="150"/>
      <c r="G28" s="150"/>
      <c r="H28" s="150"/>
    </row>
    <row r="29" spans="2:8" x14ac:dyDescent="0.35">
      <c r="H29" s="75"/>
    </row>
    <row r="30" spans="2:8" x14ac:dyDescent="0.35">
      <c r="H30" s="75"/>
    </row>
    <row r="32" spans="2:8" x14ac:dyDescent="0.35">
      <c r="H32" s="150"/>
    </row>
  </sheetData>
  <mergeCells count="14">
    <mergeCell ref="B22:B23"/>
    <mergeCell ref="B20:C20"/>
    <mergeCell ref="B25:C25"/>
    <mergeCell ref="B8:H8"/>
    <mergeCell ref="B15:H15"/>
    <mergeCell ref="B21:H21"/>
    <mergeCell ref="B14:C14"/>
    <mergeCell ref="B16:B17"/>
    <mergeCell ref="B18:B19"/>
    <mergeCell ref="B2:H3"/>
    <mergeCell ref="B6:H6"/>
    <mergeCell ref="B9:B10"/>
    <mergeCell ref="B11:B12"/>
    <mergeCell ref="B7:C7"/>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38"/>
  <sheetViews>
    <sheetView showGridLines="0" topLeftCell="A5" zoomScale="75" zoomScaleNormal="75" zoomScalePageLayoutView="80" workbookViewId="0">
      <selection activeCell="D32" sqref="D32"/>
    </sheetView>
  </sheetViews>
  <sheetFormatPr defaultColWidth="8.81640625" defaultRowHeight="14.5" x14ac:dyDescent="0.35"/>
  <cols>
    <col min="1" max="1" width="8.81640625" customWidth="1"/>
    <col min="2" max="2" width="36.453125" customWidth="1"/>
    <col min="3" max="3" width="24.1796875" bestFit="1" customWidth="1"/>
    <col min="4" max="4" width="18.453125" customWidth="1"/>
    <col min="5" max="5" width="14.1796875" style="175" customWidth="1"/>
    <col min="6" max="6" width="18" style="154" customWidth="1"/>
    <col min="10" max="10" width="14.1796875" customWidth="1"/>
  </cols>
  <sheetData>
    <row r="1" spans="2:10" hidden="1" x14ac:dyDescent="0.35"/>
    <row r="2" spans="2:10" ht="14.5" hidden="1" customHeight="1" thickBot="1" x14ac:dyDescent="0.4">
      <c r="B2" s="315" t="s">
        <v>351</v>
      </c>
      <c r="C2" s="315"/>
      <c r="D2" s="315"/>
      <c r="E2" s="315"/>
      <c r="F2" s="315"/>
    </row>
    <row r="3" spans="2:10" ht="14.5" hidden="1" customHeight="1" thickBot="1" x14ac:dyDescent="0.4">
      <c r="B3" s="315"/>
      <c r="C3" s="315"/>
      <c r="D3" s="315"/>
      <c r="E3" s="315"/>
      <c r="F3" s="315"/>
    </row>
    <row r="4" spans="2:10" hidden="1" x14ac:dyDescent="0.35"/>
    <row r="5" spans="2:10" ht="15" thickBot="1" x14ac:dyDescent="0.4"/>
    <row r="6" spans="2:10" ht="21.65" customHeight="1" thickBot="1" x14ac:dyDescent="0.4">
      <c r="B6" s="311" t="s">
        <v>352</v>
      </c>
      <c r="C6" s="309"/>
      <c r="D6" s="309"/>
      <c r="E6" s="309"/>
      <c r="F6" s="310"/>
    </row>
    <row r="7" spans="2:10" ht="51.65" customHeight="1" x14ac:dyDescent="0.35">
      <c r="B7" s="319" t="s">
        <v>353</v>
      </c>
      <c r="C7" s="320"/>
      <c r="D7" s="143" t="s">
        <v>356</v>
      </c>
      <c r="E7" s="174" t="s">
        <v>368</v>
      </c>
      <c r="F7" s="144" t="s">
        <v>369</v>
      </c>
      <c r="G7" s="74"/>
    </row>
    <row r="8" spans="2:10" x14ac:dyDescent="0.35">
      <c r="B8" s="323" t="s">
        <v>370</v>
      </c>
      <c r="C8" s="324"/>
      <c r="D8" s="324"/>
      <c r="E8" s="324"/>
      <c r="F8" s="325"/>
    </row>
    <row r="9" spans="2:10" x14ac:dyDescent="0.35">
      <c r="B9" s="316" t="s">
        <v>359</v>
      </c>
      <c r="C9" s="127" t="s">
        <v>360</v>
      </c>
      <c r="D9" s="128">
        <f>Reporting!L82</f>
        <v>690800</v>
      </c>
      <c r="E9" s="176">
        <v>1</v>
      </c>
      <c r="F9" s="145">
        <f>ROUND(D9*E9,0)</f>
        <v>690800</v>
      </c>
      <c r="I9" s="150"/>
    </row>
    <row r="10" spans="2:10" ht="18.5" x14ac:dyDescent="0.45">
      <c r="B10" s="317"/>
      <c r="C10" s="45" t="s">
        <v>361</v>
      </c>
      <c r="D10" s="129">
        <f>Reporting!L117</f>
        <v>150984</v>
      </c>
      <c r="E10" s="177">
        <v>0.5</v>
      </c>
      <c r="F10" s="145">
        <f t="shared" ref="F10:F13" si="0">ROUND(D10*E10,0)</f>
        <v>75492</v>
      </c>
      <c r="H10" s="185" t="s">
        <v>371</v>
      </c>
      <c r="I10" s="183"/>
      <c r="J10" s="183"/>
    </row>
    <row r="11" spans="2:10" ht="15.5" x14ac:dyDescent="0.35">
      <c r="B11" s="318" t="s">
        <v>345</v>
      </c>
      <c r="C11" s="45" t="s">
        <v>244</v>
      </c>
      <c r="D11" s="129">
        <f>Reporting!L161</f>
        <v>968047.88600000017</v>
      </c>
      <c r="E11" s="177">
        <v>0.5</v>
      </c>
      <c r="F11" s="145">
        <f t="shared" si="0"/>
        <v>484024</v>
      </c>
      <c r="H11" s="184" t="s">
        <v>372</v>
      </c>
      <c r="J11" s="182">
        <f>F26</f>
        <v>8928697</v>
      </c>
    </row>
    <row r="12" spans="2:10" ht="15.5" x14ac:dyDescent="0.35">
      <c r="B12" s="317"/>
      <c r="C12" s="45" t="s">
        <v>275</v>
      </c>
      <c r="D12" s="129">
        <f>Reporting!L174</f>
        <v>2967564.8859999999</v>
      </c>
      <c r="E12" s="177">
        <v>0.5</v>
      </c>
      <c r="F12" s="145">
        <f t="shared" si="0"/>
        <v>1483782</v>
      </c>
      <c r="H12" s="184" t="s">
        <v>373</v>
      </c>
      <c r="J12" s="186">
        <f>J11/D26</f>
        <v>0.52013495656210174</v>
      </c>
    </row>
    <row r="13" spans="2:10" x14ac:dyDescent="0.35">
      <c r="B13" s="152" t="s">
        <v>347</v>
      </c>
      <c r="C13" s="153"/>
      <c r="D13" s="131">
        <f>Reporting!L180</f>
        <v>11712187.720000001</v>
      </c>
      <c r="E13" s="178">
        <v>0.5</v>
      </c>
      <c r="F13" s="145">
        <f t="shared" si="0"/>
        <v>5856094</v>
      </c>
    </row>
    <row r="14" spans="2:10" x14ac:dyDescent="0.35">
      <c r="B14" s="329" t="s">
        <v>362</v>
      </c>
      <c r="C14" s="330"/>
      <c r="D14" s="133">
        <f>Reporting!L188</f>
        <v>16489585</v>
      </c>
      <c r="E14" s="179"/>
      <c r="F14" s="135">
        <f>SUM(F9:F13)</f>
        <v>8590192</v>
      </c>
    </row>
    <row r="15" spans="2:10" x14ac:dyDescent="0.35">
      <c r="B15" s="323" t="s">
        <v>374</v>
      </c>
      <c r="C15" s="324"/>
      <c r="D15" s="324"/>
      <c r="E15" s="324"/>
      <c r="F15" s="325"/>
    </row>
    <row r="16" spans="2:10" x14ac:dyDescent="0.35">
      <c r="B16" s="316" t="s">
        <v>359</v>
      </c>
      <c r="C16" s="127" t="s">
        <v>360</v>
      </c>
      <c r="D16" s="136">
        <f>Recordkeeping!L13</f>
        <v>1736</v>
      </c>
      <c r="E16" s="176">
        <v>1</v>
      </c>
      <c r="F16" s="145">
        <f t="shared" ref="F16:F19" si="1">ROUND(D16*E16,0)</f>
        <v>1736</v>
      </c>
    </row>
    <row r="17" spans="2:6" x14ac:dyDescent="0.35">
      <c r="B17" s="317"/>
      <c r="C17" s="45" t="s">
        <v>361</v>
      </c>
      <c r="D17" s="136">
        <f>Recordkeeping!L18</f>
        <v>25400</v>
      </c>
      <c r="E17" s="177">
        <v>0.5</v>
      </c>
      <c r="F17" s="145">
        <f t="shared" si="1"/>
        <v>12700</v>
      </c>
    </row>
    <row r="18" spans="2:6" x14ac:dyDescent="0.35">
      <c r="B18" s="318" t="s">
        <v>345</v>
      </c>
      <c r="C18" s="45" t="s">
        <v>244</v>
      </c>
      <c r="D18" s="136">
        <f>Recordkeeping!L26</f>
        <v>158139</v>
      </c>
      <c r="E18" s="177">
        <v>0.5</v>
      </c>
      <c r="F18" s="145">
        <f t="shared" si="1"/>
        <v>79070</v>
      </c>
    </row>
    <row r="19" spans="2:6" x14ac:dyDescent="0.35">
      <c r="B19" s="317"/>
      <c r="C19" s="45" t="s">
        <v>275</v>
      </c>
      <c r="D19" s="136">
        <f>Recordkeeping!L30</f>
        <v>479010</v>
      </c>
      <c r="E19" s="177">
        <v>0.5</v>
      </c>
      <c r="F19" s="145">
        <f t="shared" si="1"/>
        <v>239505</v>
      </c>
    </row>
    <row r="20" spans="2:6" x14ac:dyDescent="0.35">
      <c r="B20" s="321" t="s">
        <v>364</v>
      </c>
      <c r="C20" s="322"/>
      <c r="D20" s="133">
        <f>Recordkeeping!L39</f>
        <v>664285</v>
      </c>
      <c r="E20" s="179"/>
      <c r="F20" s="135">
        <f>SUM(F16:F19)</f>
        <v>333011</v>
      </c>
    </row>
    <row r="21" spans="2:6" x14ac:dyDescent="0.35">
      <c r="B21" s="326" t="s">
        <v>375</v>
      </c>
      <c r="C21" s="327"/>
      <c r="D21" s="327"/>
      <c r="E21" s="327"/>
      <c r="F21" s="328"/>
    </row>
    <row r="22" spans="2:6" x14ac:dyDescent="0.35">
      <c r="B22" s="316" t="s">
        <v>359</v>
      </c>
      <c r="C22" s="127" t="s">
        <v>360</v>
      </c>
      <c r="D22" s="129">
        <f>'Public Disclosure'!L10</f>
        <v>28</v>
      </c>
      <c r="E22" s="176">
        <v>1</v>
      </c>
      <c r="F22" s="145">
        <f t="shared" ref="F22:F24" si="2">ROUND(D22*E22,0)</f>
        <v>28</v>
      </c>
    </row>
    <row r="23" spans="2:6" x14ac:dyDescent="0.35">
      <c r="B23" s="317"/>
      <c r="C23" s="45" t="s">
        <v>361</v>
      </c>
      <c r="D23" s="129">
        <f>'Public Disclosure'!L12</f>
        <v>1629</v>
      </c>
      <c r="E23" s="177">
        <v>0.5</v>
      </c>
      <c r="F23" s="145">
        <f t="shared" si="2"/>
        <v>815</v>
      </c>
    </row>
    <row r="24" spans="2:6" x14ac:dyDescent="0.35">
      <c r="B24" s="142" t="s">
        <v>345</v>
      </c>
      <c r="C24" s="45" t="s">
        <v>244</v>
      </c>
      <c r="D24" s="129">
        <f>'Public Disclosure'!L16</f>
        <v>9301</v>
      </c>
      <c r="E24" s="177">
        <v>0.5</v>
      </c>
      <c r="F24" s="145">
        <f t="shared" si="2"/>
        <v>4651</v>
      </c>
    </row>
    <row r="25" spans="2:6" x14ac:dyDescent="0.35">
      <c r="B25" s="321" t="s">
        <v>366</v>
      </c>
      <c r="C25" s="322"/>
      <c r="D25" s="133">
        <f>'Public Disclosure'!L25</f>
        <v>12246</v>
      </c>
      <c r="E25" s="179"/>
      <c r="F25" s="135">
        <f>SUM(F22:F24)</f>
        <v>5494</v>
      </c>
    </row>
    <row r="26" spans="2:6" ht="15" thickBot="1" x14ac:dyDescent="0.4">
      <c r="B26" s="92" t="s">
        <v>367</v>
      </c>
      <c r="C26" s="126"/>
      <c r="D26" s="138">
        <f>D14+D20+D25</f>
        <v>17166116</v>
      </c>
      <c r="E26" s="180"/>
      <c r="F26" s="181">
        <f>F14+F20+F25</f>
        <v>8928697</v>
      </c>
    </row>
    <row r="28" spans="2:6" x14ac:dyDescent="0.35">
      <c r="E28"/>
      <c r="F28"/>
    </row>
    <row r="29" spans="2:6" x14ac:dyDescent="0.35">
      <c r="E29"/>
      <c r="F29"/>
    </row>
    <row r="30" spans="2:6" x14ac:dyDescent="0.35">
      <c r="E30"/>
      <c r="F30"/>
    </row>
    <row r="31" spans="2:6" x14ac:dyDescent="0.35">
      <c r="E31"/>
      <c r="F31"/>
    </row>
    <row r="32" spans="2:6" x14ac:dyDescent="0.35">
      <c r="E32"/>
      <c r="F32"/>
    </row>
    <row r="33" spans="5:6" x14ac:dyDescent="0.35">
      <c r="E33"/>
      <c r="F33"/>
    </row>
    <row r="34" spans="5:6" x14ac:dyDescent="0.35">
      <c r="E34"/>
      <c r="F34"/>
    </row>
    <row r="35" spans="5:6" x14ac:dyDescent="0.35">
      <c r="E35"/>
      <c r="F35"/>
    </row>
    <row r="36" spans="5:6" x14ac:dyDescent="0.35">
      <c r="E36"/>
      <c r="F36"/>
    </row>
    <row r="37" spans="5:6" x14ac:dyDescent="0.35">
      <c r="E37"/>
      <c r="F37"/>
    </row>
    <row r="38" spans="5:6" x14ac:dyDescent="0.35">
      <c r="E38"/>
      <c r="F38"/>
    </row>
  </sheetData>
  <mergeCells count="14">
    <mergeCell ref="B22:B23"/>
    <mergeCell ref="B25:C25"/>
    <mergeCell ref="B14:C14"/>
    <mergeCell ref="B15:F15"/>
    <mergeCell ref="B16:B17"/>
    <mergeCell ref="B18:B19"/>
    <mergeCell ref="B20:C20"/>
    <mergeCell ref="B21:F21"/>
    <mergeCell ref="B11:B12"/>
    <mergeCell ref="B2:F3"/>
    <mergeCell ref="B6:F6"/>
    <mergeCell ref="B7:C7"/>
    <mergeCell ref="B8:F8"/>
    <mergeCell ref="B9:B10"/>
  </mergeCells>
  <pageMargins left="0.7" right="0.7" top="0.75" bottom="0.75" header="0.3" footer="0.3"/>
  <pageSetup paperSize="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A1:T67"/>
  <sheetViews>
    <sheetView showGridLines="0" zoomScale="60" zoomScaleNormal="60" zoomScalePageLayoutView="90" workbookViewId="0">
      <pane ySplit="8" topLeftCell="A31" activePane="bottomLeft" state="frozen"/>
      <selection pane="bottomLeft" activeCell="D33" sqref="D33"/>
    </sheetView>
  </sheetViews>
  <sheetFormatPr defaultColWidth="8.81640625" defaultRowHeight="14.5" x14ac:dyDescent="0.35"/>
  <cols>
    <col min="1" max="1" width="7.1796875" customWidth="1"/>
    <col min="2" max="2" width="46.453125" style="2" customWidth="1"/>
    <col min="3" max="3" width="17.1796875" style="4" customWidth="1"/>
    <col min="4" max="4" width="15.1796875" style="4" customWidth="1"/>
    <col min="5" max="5" width="71.453125" style="2" customWidth="1"/>
    <col min="6" max="6" width="15.453125" style="2" customWidth="1"/>
    <col min="7" max="7" width="40.453125" style="2" customWidth="1"/>
    <col min="8" max="8" width="61.453125" style="2" customWidth="1"/>
    <col min="9" max="9" width="47.453125" style="2" customWidth="1"/>
    <col min="10" max="10" width="8.81640625" style="2"/>
    <col min="11" max="11" width="12.54296875" style="2" bestFit="1" customWidth="1"/>
    <col min="12" max="16384" width="8.81640625" style="2"/>
  </cols>
  <sheetData>
    <row r="1" spans="2:9" ht="23.5" x14ac:dyDescent="0.35">
      <c r="B1" s="334" t="s">
        <v>376</v>
      </c>
      <c r="C1" s="334"/>
      <c r="D1" s="334"/>
      <c r="E1" s="334"/>
      <c r="F1" s="334"/>
      <c r="G1" s="334"/>
    </row>
    <row r="4" spans="2:9" ht="20.25" customHeight="1" x14ac:dyDescent="0.35">
      <c r="C4" s="10">
        <f>D36+D39</f>
        <v>159490</v>
      </c>
      <c r="D4" s="16" t="s">
        <v>0</v>
      </c>
      <c r="E4" s="43" t="s">
        <v>377</v>
      </c>
      <c r="F4"/>
    </row>
    <row r="5" spans="2:9" ht="20.25" customHeight="1" x14ac:dyDescent="0.35">
      <c r="D5" s="2"/>
      <c r="E5" s="264" t="s">
        <v>378</v>
      </c>
      <c r="F5"/>
    </row>
    <row r="6" spans="2:9" x14ac:dyDescent="0.35">
      <c r="E6" s="16"/>
    </row>
    <row r="7" spans="2:9" ht="22.5" customHeight="1" x14ac:dyDescent="0.35">
      <c r="B7" s="332" t="s">
        <v>379</v>
      </c>
      <c r="C7" s="285" t="s">
        <v>380</v>
      </c>
      <c r="D7" s="332" t="s">
        <v>381</v>
      </c>
      <c r="E7" s="332"/>
      <c r="F7" s="285" t="s">
        <v>382</v>
      </c>
      <c r="G7" s="332" t="s">
        <v>19</v>
      </c>
    </row>
    <row r="8" spans="2:9" ht="28.5" customHeight="1" x14ac:dyDescent="0.35">
      <c r="B8" s="332"/>
      <c r="C8" s="285"/>
      <c r="D8" s="264" t="s">
        <v>383</v>
      </c>
      <c r="E8" s="264" t="s">
        <v>384</v>
      </c>
      <c r="F8" s="285"/>
      <c r="G8" s="332"/>
    </row>
    <row r="9" spans="2:9" ht="38.15" customHeight="1" x14ac:dyDescent="0.35">
      <c r="B9" s="331" t="s">
        <v>31</v>
      </c>
      <c r="C9" s="331"/>
      <c r="D9" s="331"/>
      <c r="E9" s="331"/>
      <c r="F9" s="331"/>
      <c r="G9" s="331"/>
    </row>
    <row r="10" spans="2:9" ht="72.5" x14ac:dyDescent="0.35">
      <c r="B10" s="42" t="s">
        <v>385</v>
      </c>
      <c r="C10" s="51">
        <v>56</v>
      </c>
      <c r="D10" s="54">
        <v>56</v>
      </c>
      <c r="E10" s="45" t="s">
        <v>386</v>
      </c>
      <c r="F10" s="5">
        <f t="shared" ref="F10:F16" si="0">D10-C10</f>
        <v>0</v>
      </c>
      <c r="G10" s="42" t="s">
        <v>387</v>
      </c>
      <c r="I10"/>
    </row>
    <row r="11" spans="2:9" ht="83.25" customHeight="1" x14ac:dyDescent="0.35">
      <c r="B11" s="44" t="s">
        <v>388</v>
      </c>
      <c r="C11" s="51">
        <v>10</v>
      </c>
      <c r="D11" s="54">
        <v>10</v>
      </c>
      <c r="E11" s="45" t="s">
        <v>386</v>
      </c>
      <c r="F11" s="5">
        <f t="shared" si="0"/>
        <v>0</v>
      </c>
      <c r="G11" s="42"/>
      <c r="I11"/>
    </row>
    <row r="12" spans="2:9" ht="58.5" customHeight="1" x14ac:dyDescent="0.35">
      <c r="B12" s="44" t="s">
        <v>389</v>
      </c>
      <c r="C12" s="51">
        <v>10</v>
      </c>
      <c r="D12" s="54">
        <v>10</v>
      </c>
      <c r="E12" s="45" t="s">
        <v>386</v>
      </c>
      <c r="F12" s="5">
        <f t="shared" si="0"/>
        <v>0</v>
      </c>
      <c r="G12" s="42"/>
    </row>
    <row r="13" spans="2:9" ht="60" customHeight="1" x14ac:dyDescent="0.35">
      <c r="B13" s="44" t="s">
        <v>390</v>
      </c>
      <c r="C13" s="51">
        <v>15</v>
      </c>
      <c r="D13" s="54">
        <v>15</v>
      </c>
      <c r="E13" s="45" t="s">
        <v>386</v>
      </c>
      <c r="F13" s="5">
        <f t="shared" si="0"/>
        <v>0</v>
      </c>
      <c r="G13" s="42"/>
    </row>
    <row r="14" spans="2:9" ht="115.5" customHeight="1" x14ac:dyDescent="0.35">
      <c r="B14" s="44" t="s">
        <v>391</v>
      </c>
      <c r="C14" s="51">
        <v>18</v>
      </c>
      <c r="D14" s="54">
        <v>18</v>
      </c>
      <c r="E14" s="45" t="s">
        <v>386</v>
      </c>
      <c r="F14" s="5">
        <f t="shared" si="0"/>
        <v>0</v>
      </c>
      <c r="G14" s="42"/>
    </row>
    <row r="15" spans="2:9" ht="51.75" customHeight="1" x14ac:dyDescent="0.35">
      <c r="B15" s="44" t="s">
        <v>392</v>
      </c>
      <c r="C15" s="51">
        <v>15</v>
      </c>
      <c r="D15" s="54">
        <v>15</v>
      </c>
      <c r="E15" s="45" t="s">
        <v>386</v>
      </c>
      <c r="F15" s="5">
        <f t="shared" si="0"/>
        <v>0</v>
      </c>
      <c r="G15" s="42"/>
    </row>
    <row r="16" spans="2:9" ht="48" customHeight="1" x14ac:dyDescent="0.35">
      <c r="B16" s="44" t="s">
        <v>393</v>
      </c>
      <c r="C16" s="51">
        <v>15</v>
      </c>
      <c r="D16" s="54">
        <v>15</v>
      </c>
      <c r="E16" s="45" t="s">
        <v>386</v>
      </c>
      <c r="F16" s="5">
        <f t="shared" si="0"/>
        <v>0</v>
      </c>
      <c r="G16" s="42"/>
    </row>
    <row r="17" spans="2:13" ht="49.5" customHeight="1" x14ac:dyDescent="0.35">
      <c r="B17" s="44" t="s">
        <v>394</v>
      </c>
      <c r="C17" s="51">
        <v>0</v>
      </c>
      <c r="D17" s="54">
        <v>0</v>
      </c>
      <c r="E17" s="45" t="s">
        <v>395</v>
      </c>
      <c r="F17" s="5">
        <v>0</v>
      </c>
      <c r="G17" s="42"/>
    </row>
    <row r="18" spans="2:13" ht="48" customHeight="1" x14ac:dyDescent="0.35">
      <c r="B18" s="44" t="s">
        <v>396</v>
      </c>
      <c r="C18" s="51">
        <v>10</v>
      </c>
      <c r="D18" s="54">
        <v>10</v>
      </c>
      <c r="E18" s="45" t="s">
        <v>386</v>
      </c>
      <c r="F18" s="5">
        <f>D18-C18</f>
        <v>0</v>
      </c>
      <c r="G18" s="42"/>
    </row>
    <row r="19" spans="2:13" ht="42.65" customHeight="1" x14ac:dyDescent="0.35">
      <c r="B19" s="333" t="s">
        <v>243</v>
      </c>
      <c r="C19" s="333"/>
      <c r="D19" s="333"/>
      <c r="E19" s="333"/>
      <c r="F19" s="333"/>
      <c r="G19" s="333"/>
    </row>
    <row r="20" spans="2:13" ht="41.15" customHeight="1" x14ac:dyDescent="0.35">
      <c r="B20" s="333" t="s">
        <v>397</v>
      </c>
      <c r="C20" s="333"/>
      <c r="D20" s="333"/>
      <c r="E20" s="333"/>
      <c r="F20" s="333"/>
      <c r="G20" s="333"/>
    </row>
    <row r="21" spans="2:13" ht="116" x14ac:dyDescent="0.35">
      <c r="B21" s="42" t="s">
        <v>398</v>
      </c>
      <c r="C21" s="46">
        <v>0.14899999999999999</v>
      </c>
      <c r="D21" s="46">
        <v>0.14899999999999999</v>
      </c>
      <c r="E21" s="42" t="s">
        <v>399</v>
      </c>
      <c r="F21" s="51">
        <v>0</v>
      </c>
      <c r="G21" s="265"/>
    </row>
    <row r="22" spans="2:13" ht="31.5" customHeight="1" x14ac:dyDescent="0.35">
      <c r="B22" s="42" t="s">
        <v>400</v>
      </c>
      <c r="C22" s="124">
        <f>1-C21</f>
        <v>0.85099999999999998</v>
      </c>
      <c r="D22" s="124">
        <f>1-D21</f>
        <v>0.85099999999999998</v>
      </c>
      <c r="E22" s="265"/>
      <c r="F22" s="51">
        <v>0</v>
      </c>
      <c r="G22" s="265"/>
    </row>
    <row r="23" spans="2:13" ht="106.5" customHeight="1" x14ac:dyDescent="0.35">
      <c r="B23" s="42" t="s">
        <v>401</v>
      </c>
      <c r="C23" s="232">
        <v>0.13100000000000001</v>
      </c>
      <c r="D23" s="46">
        <v>0.13100000000000001</v>
      </c>
      <c r="E23" s="42" t="s">
        <v>399</v>
      </c>
      <c r="F23" s="51">
        <v>0</v>
      </c>
      <c r="G23" s="265"/>
    </row>
    <row r="24" spans="2:13" ht="51.65" customHeight="1" x14ac:dyDescent="0.35">
      <c r="B24" s="42" t="s">
        <v>402</v>
      </c>
      <c r="C24" s="124">
        <f>1-C23</f>
        <v>0.86899999999999999</v>
      </c>
      <c r="D24" s="46">
        <f>1-D23</f>
        <v>0.86899999999999999</v>
      </c>
      <c r="E24" s="265"/>
      <c r="F24" s="51">
        <v>0</v>
      </c>
      <c r="G24" s="265"/>
    </row>
    <row r="25" spans="2:13" ht="51.65" customHeight="1" x14ac:dyDescent="0.35">
      <c r="B25" s="42" t="s">
        <v>403</v>
      </c>
      <c r="C25" s="124" t="s">
        <v>404</v>
      </c>
      <c r="D25" s="46">
        <v>0.25600000000000001</v>
      </c>
      <c r="E25" s="42" t="s">
        <v>399</v>
      </c>
      <c r="F25" s="51" t="s">
        <v>405</v>
      </c>
      <c r="G25" s="265"/>
    </row>
    <row r="26" spans="2:13" ht="123.65" customHeight="1" x14ac:dyDescent="0.35">
      <c r="B26" s="42" t="s">
        <v>406</v>
      </c>
      <c r="C26" s="124" t="s">
        <v>404</v>
      </c>
      <c r="D26" s="46">
        <v>0.06</v>
      </c>
      <c r="E26" s="42" t="s">
        <v>407</v>
      </c>
      <c r="F26" s="51" t="s">
        <v>405</v>
      </c>
      <c r="G26" s="265"/>
    </row>
    <row r="27" spans="2:13" ht="53.25" customHeight="1" x14ac:dyDescent="0.35">
      <c r="B27" s="45" t="s">
        <v>408</v>
      </c>
      <c r="C27" s="211">
        <f>21858</f>
        <v>21858</v>
      </c>
      <c r="D27" s="55">
        <f>ROUND('National DB Data_20200812_2'!H5,0)</f>
        <v>21858</v>
      </c>
      <c r="E27" s="42" t="s">
        <v>409</v>
      </c>
      <c r="F27" s="47">
        <f t="shared" ref="F27:F34" si="1">D27-C27</f>
        <v>0</v>
      </c>
      <c r="G27" s="42"/>
      <c r="H27"/>
      <c r="I27"/>
    </row>
    <row r="28" spans="2:13" ht="51.75" customHeight="1" x14ac:dyDescent="0.35">
      <c r="B28" s="45" t="s">
        <v>410</v>
      </c>
      <c r="C28" s="5">
        <v>634</v>
      </c>
      <c r="D28" s="55">
        <f>'National DB Data_20200812_2'!F5</f>
        <v>634</v>
      </c>
      <c r="E28" s="42" t="s">
        <v>411</v>
      </c>
      <c r="F28" s="5">
        <f t="shared" si="1"/>
        <v>0</v>
      </c>
      <c r="G28" s="42"/>
      <c r="H28" s="106"/>
      <c r="I28"/>
    </row>
    <row r="29" spans="2:13" ht="72.5" x14ac:dyDescent="0.35">
      <c r="B29" s="42" t="s">
        <v>412</v>
      </c>
      <c r="C29" s="51">
        <v>60</v>
      </c>
      <c r="D29" s="54">
        <v>60</v>
      </c>
      <c r="E29" s="45" t="s">
        <v>386</v>
      </c>
      <c r="F29" s="5">
        <f t="shared" si="1"/>
        <v>0</v>
      </c>
      <c r="G29" s="42"/>
      <c r="H29"/>
      <c r="I29"/>
      <c r="J29"/>
      <c r="K29"/>
      <c r="L29"/>
      <c r="M29"/>
    </row>
    <row r="30" spans="2:13" ht="71" customHeight="1" x14ac:dyDescent="0.35">
      <c r="B30" s="42" t="s">
        <v>413</v>
      </c>
      <c r="C30" s="56">
        <v>9770</v>
      </c>
      <c r="D30" s="55">
        <v>9770</v>
      </c>
      <c r="E30" s="45" t="s">
        <v>414</v>
      </c>
      <c r="F30" s="47">
        <f t="shared" si="1"/>
        <v>0</v>
      </c>
      <c r="G30" s="42"/>
      <c r="H30"/>
      <c r="I30"/>
      <c r="J30"/>
      <c r="K30"/>
      <c r="L30"/>
      <c r="M30"/>
    </row>
    <row r="31" spans="2:13" ht="39" customHeight="1" x14ac:dyDescent="0.35">
      <c r="B31" s="42" t="s">
        <v>415</v>
      </c>
      <c r="C31" s="51">
        <v>280</v>
      </c>
      <c r="D31" s="54">
        <v>280</v>
      </c>
      <c r="E31" s="42" t="s">
        <v>416</v>
      </c>
      <c r="F31" s="5">
        <f t="shared" si="1"/>
        <v>0</v>
      </c>
      <c r="G31" s="42"/>
      <c r="H31" s="107"/>
      <c r="I31"/>
      <c r="J31"/>
      <c r="K31"/>
      <c r="L31"/>
      <c r="M31"/>
    </row>
    <row r="32" spans="2:13" ht="39" customHeight="1" x14ac:dyDescent="0.35">
      <c r="B32" s="42" t="s">
        <v>417</v>
      </c>
      <c r="C32" s="56">
        <v>3784</v>
      </c>
      <c r="D32" s="55">
        <f>'National DB Data_20200812_2'!R5</f>
        <v>3784</v>
      </c>
      <c r="E32" s="42" t="s">
        <v>418</v>
      </c>
      <c r="F32" s="5" t="s">
        <v>419</v>
      </c>
      <c r="G32" s="42"/>
      <c r="H32" s="107"/>
      <c r="I32"/>
      <c r="J32"/>
      <c r="K32"/>
      <c r="L32"/>
      <c r="M32"/>
    </row>
    <row r="33" spans="2:13" ht="116" x14ac:dyDescent="0.35">
      <c r="B33" s="44" t="s">
        <v>420</v>
      </c>
      <c r="C33" s="51">
        <v>25441</v>
      </c>
      <c r="D33" s="55">
        <f>ROUND('National DB Data_20200812_2'!H5+'National DB Data_20200812_2'!J5+'National DB Data_20200812_2'!L5-'National DB Data_20200812_2'!R5-'National DB Data_20200812_2'!N5-'National DB Data_20200812_2'!P5,0)</f>
        <v>25441</v>
      </c>
      <c r="E33" s="42" t="s">
        <v>421</v>
      </c>
      <c r="F33" s="47">
        <f t="shared" si="1"/>
        <v>0</v>
      </c>
      <c r="G33" s="42" t="s">
        <v>422</v>
      </c>
      <c r="H33" s="89"/>
      <c r="I33"/>
      <c r="J33"/>
      <c r="K33"/>
      <c r="L33"/>
      <c r="M33"/>
    </row>
    <row r="34" spans="2:13" ht="43.5" x14ac:dyDescent="0.35">
      <c r="B34" s="44" t="s">
        <v>423</v>
      </c>
      <c r="C34" s="51">
        <v>196</v>
      </c>
      <c r="D34" s="54">
        <v>196</v>
      </c>
      <c r="E34" s="45" t="s">
        <v>386</v>
      </c>
      <c r="F34" s="5">
        <f t="shared" si="1"/>
        <v>0</v>
      </c>
      <c r="G34" s="41"/>
    </row>
    <row r="35" spans="2:13" ht="38.15" customHeight="1" x14ac:dyDescent="0.35">
      <c r="B35" s="333" t="s">
        <v>424</v>
      </c>
      <c r="C35" s="333"/>
      <c r="D35" s="333"/>
      <c r="E35" s="333"/>
      <c r="F35" s="333"/>
      <c r="G35" s="333"/>
      <c r="H35"/>
      <c r="I35"/>
      <c r="J35"/>
      <c r="K35"/>
      <c r="L35"/>
      <c r="M35"/>
    </row>
    <row r="36" spans="2:13" ht="69" customHeight="1" x14ac:dyDescent="0.35">
      <c r="B36" s="42" t="s">
        <v>425</v>
      </c>
      <c r="C36" s="56">
        <v>69647</v>
      </c>
      <c r="D36" s="55">
        <f>ROUND('National DB Data_20200812_2'!T5+'National DB Data_20200812_2'!X5,0)</f>
        <v>69647</v>
      </c>
      <c r="E36" s="42" t="s">
        <v>426</v>
      </c>
      <c r="F36" s="47">
        <f>D36-C36</f>
        <v>0</v>
      </c>
      <c r="G36" s="42"/>
      <c r="H36"/>
      <c r="I36"/>
      <c r="J36"/>
      <c r="K36"/>
      <c r="L36"/>
      <c r="M36"/>
    </row>
    <row r="37" spans="2:13" ht="69" customHeight="1" x14ac:dyDescent="0.35">
      <c r="B37" s="42" t="s">
        <v>427</v>
      </c>
      <c r="C37" s="56" t="s">
        <v>404</v>
      </c>
      <c r="D37" s="55">
        <f>64561*33.6%</f>
        <v>21692.496000000003</v>
      </c>
      <c r="E37" s="42" t="s">
        <v>428</v>
      </c>
      <c r="F37" s="47" t="s">
        <v>405</v>
      </c>
      <c r="G37" s="42" t="s">
        <v>429</v>
      </c>
      <c r="H37"/>
      <c r="I37"/>
      <c r="J37"/>
      <c r="K37"/>
      <c r="L37"/>
      <c r="M37"/>
    </row>
    <row r="38" spans="2:13" ht="69" customHeight="1" x14ac:dyDescent="0.35">
      <c r="B38" s="42" t="s">
        <v>430</v>
      </c>
      <c r="C38" s="56" t="s">
        <v>404</v>
      </c>
      <c r="D38" s="55">
        <f>64561*0.106</f>
        <v>6843.4659999999994</v>
      </c>
      <c r="E38" s="42" t="s">
        <v>431</v>
      </c>
      <c r="F38" s="47" t="s">
        <v>405</v>
      </c>
      <c r="G38" s="42"/>
      <c r="H38"/>
      <c r="I38"/>
      <c r="J38"/>
      <c r="K38"/>
      <c r="L38"/>
      <c r="M38"/>
    </row>
    <row r="39" spans="2:13" ht="55.5" customHeight="1" x14ac:dyDescent="0.35">
      <c r="B39" s="42" t="s">
        <v>432</v>
      </c>
      <c r="C39" s="56">
        <v>89843</v>
      </c>
      <c r="D39" s="55">
        <f>'National DB Data_20200812_1'!J6</f>
        <v>89843</v>
      </c>
      <c r="E39" s="42" t="s">
        <v>433</v>
      </c>
      <c r="F39" s="47">
        <f>D39-C39</f>
        <v>0</v>
      </c>
      <c r="G39" s="42"/>
      <c r="H39"/>
      <c r="I39"/>
    </row>
    <row r="40" spans="2:13" ht="51" customHeight="1" x14ac:dyDescent="0.35">
      <c r="B40" s="42" t="s">
        <v>434</v>
      </c>
      <c r="C40" s="56">
        <v>80522</v>
      </c>
      <c r="D40" s="55">
        <f>'National DB Data_20200812_2'!AJ5</f>
        <v>80522.25</v>
      </c>
      <c r="E40" s="42" t="s">
        <v>435</v>
      </c>
      <c r="F40" s="47">
        <f>D40-C40</f>
        <v>0.25</v>
      </c>
      <c r="G40" s="26"/>
    </row>
    <row r="41" spans="2:13" ht="64.5" customHeight="1" x14ac:dyDescent="0.35">
      <c r="B41" s="42" t="s">
        <v>436</v>
      </c>
      <c r="C41" s="51">
        <v>127</v>
      </c>
      <c r="D41" s="54">
        <f>ROUND(D40/D28,0)</f>
        <v>127</v>
      </c>
      <c r="E41" s="42" t="s">
        <v>437</v>
      </c>
      <c r="F41" s="47">
        <f>D41-C41</f>
        <v>0</v>
      </c>
      <c r="G41" s="26"/>
    </row>
    <row r="42" spans="2:13" ht="25.4" customHeight="1" x14ac:dyDescent="0.35">
      <c r="B42" s="331" t="s">
        <v>288</v>
      </c>
      <c r="C42" s="331"/>
      <c r="D42" s="331"/>
      <c r="E42" s="331"/>
      <c r="F42" s="331"/>
      <c r="G42" s="331"/>
    </row>
    <row r="43" spans="2:13" ht="49.5" customHeight="1" x14ac:dyDescent="0.35">
      <c r="B43" s="45" t="s">
        <v>438</v>
      </c>
      <c r="C43" s="47">
        <v>5141434</v>
      </c>
      <c r="D43" s="55">
        <f>'National DB Data_20200812_1'!B6</f>
        <v>5141434</v>
      </c>
      <c r="E43" s="42" t="s">
        <v>439</v>
      </c>
      <c r="F43" s="47">
        <f>D43-C43</f>
        <v>0</v>
      </c>
      <c r="G43" s="42"/>
    </row>
    <row r="44" spans="2:13" ht="40.5" customHeight="1" x14ac:dyDescent="0.35">
      <c r="B44" s="42" t="s">
        <v>440</v>
      </c>
      <c r="C44" s="52">
        <v>0.7</v>
      </c>
      <c r="D44" s="46">
        <v>0.7</v>
      </c>
      <c r="E44" s="42" t="s">
        <v>441</v>
      </c>
      <c r="F44" s="40">
        <f>D44-C44</f>
        <v>0</v>
      </c>
      <c r="G44" s="42" t="s">
        <v>442</v>
      </c>
    </row>
    <row r="45" spans="2:13" ht="63.75" customHeight="1" x14ac:dyDescent="0.35">
      <c r="B45" s="45" t="s">
        <v>347</v>
      </c>
      <c r="C45" s="47">
        <v>3599004</v>
      </c>
      <c r="D45" s="55">
        <f>ROUND(D43*D44,0)</f>
        <v>3599004</v>
      </c>
      <c r="E45" s="42" t="s">
        <v>443</v>
      </c>
      <c r="F45" s="47">
        <f>D45-C45</f>
        <v>0</v>
      </c>
      <c r="G45" s="42"/>
      <c r="H45" s="50"/>
      <c r="I45" s="90"/>
    </row>
    <row r="46" spans="2:13" ht="132" customHeight="1" x14ac:dyDescent="0.35">
      <c r="B46" s="45" t="s">
        <v>444</v>
      </c>
      <c r="C46" s="53">
        <v>5.1999999999999998E-2</v>
      </c>
      <c r="D46" s="46">
        <v>5.1999999999999998E-2</v>
      </c>
      <c r="E46" s="42" t="s">
        <v>445</v>
      </c>
      <c r="F46" s="40">
        <f>D46-C46</f>
        <v>0</v>
      </c>
      <c r="G46" s="26"/>
    </row>
    <row r="47" spans="2:13" ht="79.5" customHeight="1" x14ac:dyDescent="0.35">
      <c r="B47" s="45" t="s">
        <v>446</v>
      </c>
      <c r="C47" s="47">
        <v>267355</v>
      </c>
      <c r="D47" s="55">
        <f>ROUND(D43*D46,0)</f>
        <v>267355</v>
      </c>
      <c r="E47" s="42" t="s">
        <v>447</v>
      </c>
      <c r="F47" s="47">
        <f>D47-C47</f>
        <v>0</v>
      </c>
      <c r="G47" s="42"/>
    </row>
    <row r="67" spans="20:20" x14ac:dyDescent="0.35">
      <c r="T67" s="91">
        <f>'National DB Data_20200812_2'!H5+'National DB Data_20200812_2'!J5+'National DB Data_20200812_2'!L5-'National DB Data_20200812_2'!R5-'National DB Data_20200812_2'!N5-'National DB Data_20200812_2'!P5</f>
        <v>25440.5</v>
      </c>
    </row>
  </sheetData>
  <mergeCells count="11">
    <mergeCell ref="B1:G1"/>
    <mergeCell ref="G7:G8"/>
    <mergeCell ref="B9:G9"/>
    <mergeCell ref="B20:G20"/>
    <mergeCell ref="B35:G35"/>
    <mergeCell ref="B42:G42"/>
    <mergeCell ref="F7:F8"/>
    <mergeCell ref="B7:B8"/>
    <mergeCell ref="C7:C8"/>
    <mergeCell ref="D7:E7"/>
    <mergeCell ref="B19:G19"/>
  </mergeCells>
  <pageMargins left="0.7" right="0.7" top="0.75" bottom="0.75" header="0.3" footer="0.3"/>
  <pageSetup paperSize="5"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B1:E9"/>
  <sheetViews>
    <sheetView showGridLines="0" zoomScale="75" zoomScaleNormal="75" workbookViewId="0">
      <selection activeCell="E9" sqref="E9"/>
    </sheetView>
  </sheetViews>
  <sheetFormatPr defaultColWidth="8.81640625" defaultRowHeight="14.5" x14ac:dyDescent="0.35"/>
  <cols>
    <col min="1" max="1" width="3.54296875" customWidth="1"/>
    <col min="2" max="2" width="31.1796875" bestFit="1" customWidth="1"/>
    <col min="3" max="4" width="14.54296875" customWidth="1"/>
    <col min="5" max="5" width="73.1796875" customWidth="1"/>
  </cols>
  <sheetData>
    <row r="1" spans="2:5" ht="15" thickBot="1" x14ac:dyDescent="0.4"/>
    <row r="2" spans="2:5" ht="34.5" customHeight="1" x14ac:dyDescent="0.35">
      <c r="B2" s="335" t="s">
        <v>376</v>
      </c>
      <c r="C2" s="336"/>
      <c r="D2" s="337"/>
      <c r="E2" s="338"/>
    </row>
    <row r="3" spans="2:5" ht="24.65" customHeight="1" x14ac:dyDescent="0.35">
      <c r="B3" s="339" t="s">
        <v>448</v>
      </c>
      <c r="C3" s="285" t="s">
        <v>380</v>
      </c>
      <c r="D3" s="340" t="s">
        <v>381</v>
      </c>
      <c r="E3" s="341"/>
    </row>
    <row r="4" spans="2:5" ht="51" customHeight="1" x14ac:dyDescent="0.35">
      <c r="B4" s="339"/>
      <c r="C4" s="285"/>
      <c r="D4" s="260" t="s">
        <v>449</v>
      </c>
      <c r="E4" s="76" t="s">
        <v>384</v>
      </c>
    </row>
    <row r="5" spans="2:5" ht="78.650000000000006" customHeight="1" x14ac:dyDescent="0.35">
      <c r="B5" s="79" t="s">
        <v>360</v>
      </c>
      <c r="C5" s="81">
        <v>41.3</v>
      </c>
      <c r="D5" s="255">
        <v>50.16</v>
      </c>
      <c r="E5" s="256" t="s">
        <v>534</v>
      </c>
    </row>
    <row r="6" spans="2:5" ht="81" customHeight="1" x14ac:dyDescent="0.35">
      <c r="B6" s="79" t="s">
        <v>450</v>
      </c>
      <c r="C6" s="81">
        <v>30.54</v>
      </c>
      <c r="D6" s="81">
        <v>37.840000000000003</v>
      </c>
      <c r="E6" s="80" t="s">
        <v>535</v>
      </c>
    </row>
    <row r="7" spans="2:5" ht="78.650000000000006" customHeight="1" x14ac:dyDescent="0.35">
      <c r="B7" s="79" t="s">
        <v>244</v>
      </c>
      <c r="C7" s="81">
        <v>24.78</v>
      </c>
      <c r="D7" s="81">
        <v>28.44</v>
      </c>
      <c r="E7" s="80" t="s">
        <v>536</v>
      </c>
    </row>
    <row r="8" spans="2:5" ht="69.650000000000006" customHeight="1" x14ac:dyDescent="0.35">
      <c r="B8" s="79" t="s">
        <v>275</v>
      </c>
      <c r="C8" s="81">
        <v>12.88</v>
      </c>
      <c r="D8" s="81">
        <v>15.42</v>
      </c>
      <c r="E8" s="80" t="s">
        <v>537</v>
      </c>
    </row>
    <row r="9" spans="2:5" ht="36" customHeight="1" thickBot="1" x14ac:dyDescent="0.4">
      <c r="B9" s="77" t="s">
        <v>347</v>
      </c>
      <c r="C9" s="82">
        <v>7.25</v>
      </c>
      <c r="D9" s="82">
        <v>7.25</v>
      </c>
      <c r="E9" s="78" t="s">
        <v>451</v>
      </c>
    </row>
  </sheetData>
  <mergeCells count="4">
    <mergeCell ref="B2:E2"/>
    <mergeCell ref="B3:B4"/>
    <mergeCell ref="C3:C4"/>
    <mergeCell ref="D3:E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63D8A803B97C449C3F4A0A11149BF6" ma:contentTypeVersion="12" ma:contentTypeDescription="Create a new document." ma:contentTypeScope="" ma:versionID="34a93b8d08d3cf2f3b36ffe5f3cce400">
  <xsd:schema xmlns:xsd="http://www.w3.org/2001/XMLSchema" xmlns:xs="http://www.w3.org/2001/XMLSchema" xmlns:p="http://schemas.microsoft.com/office/2006/metadata/properties" xmlns:ns2="190132a1-b740-41e9-a9d3-aef04dc8f2ab" xmlns:ns3="1fa27c74-dbb6-4e30-b933-9d82255035f8" xmlns:ns4="73fb875a-8af9-4255-b008-0995492d31cd" targetNamespace="http://schemas.microsoft.com/office/2006/metadata/properties" ma:root="true" ma:fieldsID="f8829a2b9a1b145c44a60c81f462162d" ns2:_="" ns3:_="" ns4:_="">
    <xsd:import namespace="190132a1-b740-41e9-a9d3-aef04dc8f2ab"/>
    <xsd:import namespace="1fa27c74-dbb6-4e30-b933-9d82255035f8"/>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0132a1-b740-41e9-a9d3-aef04dc8f2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a27c74-dbb6-4e30-b933-9d82255035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587fc19-7d4f-4113-b6f5-28a50fdb693f}" ma:internalName="TaxCatchAll" ma:showField="CatchAllData" ma:web="1fa27c74-dbb6-4e30-b933-9d82255035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0132a1-b740-41e9-a9d3-aef04dc8f2ab">
      <Terms xmlns="http://schemas.microsoft.com/office/infopath/2007/PartnerControls"/>
    </lcf76f155ced4ddcb4097134ff3c332f>
    <TaxCatchAll xmlns="73fb875a-8af9-4255-b008-0995492d31cd" xsi:nil="true"/>
    <SharedWithUsers xmlns="1fa27c74-dbb6-4e30-b933-9d82255035f8">
      <UserInfo>
        <DisplayName>Sandhu, Navneet - FNS</DisplayName>
        <AccountId>19</AccountId>
        <AccountType/>
      </UserInfo>
      <UserInfo>
        <DisplayName>Farmer, Andrea - FNS</DisplayName>
        <AccountId>27</AccountId>
        <AccountType/>
      </UserInfo>
      <UserInfo>
        <DisplayName>Fox, Ethan - FNS</DisplayName>
        <AccountId>67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4A74ED-79E3-4DF4-9234-A23EA01E1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0132a1-b740-41e9-a9d3-aef04dc8f2ab"/>
    <ds:schemaRef ds:uri="1fa27c74-dbb6-4e30-b933-9d82255035f8"/>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13D4AE-FB44-4369-93E5-3B724F3F0507}">
  <ds:schemaRefs>
    <ds:schemaRef ds:uri="http://schemas.microsoft.com/office/2006/metadata/properties"/>
    <ds:schemaRef ds:uri="http://schemas.microsoft.com/office/infopath/2007/PartnerControls"/>
    <ds:schemaRef ds:uri="http://purl.org/dc/dcmitype/"/>
    <ds:schemaRef ds:uri="190132a1-b740-41e9-a9d3-aef04dc8f2ab"/>
    <ds:schemaRef ds:uri="http://schemas.openxmlformats.org/package/2006/metadata/core-properties"/>
    <ds:schemaRef ds:uri="73fb875a-8af9-4255-b008-0995492d31cd"/>
    <ds:schemaRef ds:uri="http://purl.org/dc/elements/1.1/"/>
    <ds:schemaRef ds:uri="http://schemas.microsoft.com/office/2006/documentManagement/types"/>
    <ds:schemaRef ds:uri="http://purl.org/dc/terms/"/>
    <ds:schemaRef ds:uri="1fa27c74-dbb6-4e30-b933-9d82255035f8"/>
    <ds:schemaRef ds:uri="http://www.w3.org/XML/1998/namespace"/>
  </ds:schemaRefs>
</ds:datastoreItem>
</file>

<file path=customXml/itemProps3.xml><?xml version="1.0" encoding="utf-8"?>
<ds:datastoreItem xmlns:ds="http://schemas.openxmlformats.org/officeDocument/2006/customXml" ds:itemID="{1B87C775-8582-4E09-828D-27D196C48F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Reporting</vt:lpstr>
      <vt:lpstr>Recordkeeping</vt:lpstr>
      <vt:lpstr>Public Disclosure</vt:lpstr>
      <vt:lpstr>Burden Summary</vt:lpstr>
      <vt:lpstr>Proposed Rule Respondent Costs</vt:lpstr>
      <vt:lpstr>60-Day FRN Burden Table</vt:lpstr>
      <vt:lpstr>Electronic Responses</vt:lpstr>
      <vt:lpstr>Assumptions</vt:lpstr>
      <vt:lpstr>Labor Rates</vt:lpstr>
      <vt:lpstr>National DB Data_20200812_1</vt:lpstr>
      <vt:lpstr>National DB Data_20200812_2</vt:lpstr>
      <vt:lpstr>'60-Day FRN Burden Table'!Print_Area</vt:lpstr>
      <vt:lpstr>Assumptions!Print_Area</vt:lpstr>
      <vt:lpstr>'Electronic Responses'!Print_Area</vt:lpstr>
      <vt:lpstr>'Proposed Rule Respondent Costs'!Print_Area</vt:lpstr>
      <vt:lpstr>'Public Disclosure'!Print_Area</vt:lpstr>
      <vt:lpstr>Recordkeeping!Print_Area</vt:lpstr>
      <vt:lpstr>Reporting!Print_Area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ICF</dc:creator>
  <cp:keywords/>
  <dc:description/>
  <cp:lastModifiedBy>Sandberg, Christina - FNS</cp:lastModifiedBy>
  <cp:revision/>
  <dcterms:created xsi:type="dcterms:W3CDTF">2019-05-21T18:15:14Z</dcterms:created>
  <dcterms:modified xsi:type="dcterms:W3CDTF">2024-11-15T22:30:07Z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0x010100DD63D8A803B97C449C3F4A0A11149BF6</vt:lpwstr>
  </property>
  <property fmtid="{D5CDD505-2E9C-101B-9397-08002B2CF9AE}" pid="3" name="ESRI_WORKBOOK_ID">
    <vt:lpwstr>d869151aa554455c9746ac8a7ca53afa</vt:lpwstr>
  </property>
  <property fmtid="{D5CDD505-2E9C-101B-9397-08002B2CF9AE}" pid="4" name="MediaServiceImageTags">
    <vt:lpwstr/>
  </property>
</Properties>
</file>