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Proposed Rule for Serious Deficiency Process in CACFP and SFSP/SFSP ROCIS Submission/"/>
    </mc:Choice>
  </mc:AlternateContent>
  <xr:revisionPtr revIDLastSave="92" documentId="8_{5B5826D3-3E40-4632-813A-35D900596C80}" xr6:coauthVersionLast="47" xr6:coauthVersionMax="47" xr10:uidLastSave="{653550F3-2F4C-4B9A-9B2F-F0140A9AE54B}"/>
  <bookViews>
    <workbookView xWindow="-110" yWindow="-110" windowWidth="19420" windowHeight="10300" xr2:uid="{00000000-000D-0000-FFFF-FFFF00000000}"/>
  </bookViews>
  <sheets>
    <sheet name="Reporting" sheetId="35" r:id="rId1"/>
    <sheet name="Recordkeeping" sheetId="8" r:id="rId2"/>
    <sheet name="Public Disclosure" sheetId="30" r:id="rId3"/>
    <sheet name="Burden Summary" sheetId="4" r:id="rId4"/>
    <sheet name="Respondent Costs" sheetId="34" r:id="rId5"/>
    <sheet name="Proposed Rule Respondent Costs" sheetId="36" r:id="rId6"/>
    <sheet name="Labor Rates" sheetId="32" r:id="rId7"/>
    <sheet name="Notes" sheetId="29" r:id="rId8"/>
    <sheet name="ESRI_MAPINFO_SHEET" sheetId="31" state="veryHidden" r:id="rId9"/>
  </sheets>
  <definedNames>
    <definedName name="_xlnm._FilterDatabase" localSheetId="1" hidden="1">Recordkeeping!$F$3:$T$23</definedName>
    <definedName name="_xlnm.Print_Area" localSheetId="3">'Burden Summary'!$A$1:$F$18</definedName>
    <definedName name="_xlnm.Print_Area" localSheetId="1">Recordkeeping!$F$1:$T$47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8" l="1"/>
  <c r="J22" i="8"/>
  <c r="D13" i="36" l="1"/>
  <c r="G13" i="36" l="1"/>
  <c r="D14" i="36"/>
  <c r="G10" i="36"/>
  <c r="G7" i="36"/>
  <c r="B66" i="35"/>
  <c r="S60" i="35"/>
  <c r="T60" i="35"/>
  <c r="N60" i="35"/>
  <c r="L60" i="35"/>
  <c r="B60" i="35"/>
  <c r="B61" i="35" s="1"/>
  <c r="I13" i="36" l="1"/>
  <c r="I14" i="36" s="1"/>
  <c r="P8" i="30"/>
  <c r="Q8" i="30"/>
  <c r="R8" i="30"/>
  <c r="T8" i="30"/>
  <c r="O8" i="30"/>
  <c r="M8" i="30"/>
  <c r="K8" i="30"/>
  <c r="J14" i="8"/>
  <c r="O64" i="35"/>
  <c r="P64" i="35"/>
  <c r="Q64" i="35"/>
  <c r="K32" i="35" l="1"/>
  <c r="L32" i="35" s="1"/>
  <c r="N32" i="35" s="1"/>
  <c r="S32" i="35" l="1"/>
  <c r="T32" i="35"/>
  <c r="K31" i="35"/>
  <c r="L31" i="35" s="1"/>
  <c r="N31" i="35" s="1"/>
  <c r="T5" i="30"/>
  <c r="O5" i="30"/>
  <c r="M5" i="30"/>
  <c r="L5" i="30"/>
  <c r="B7" i="30"/>
  <c r="B6" i="30"/>
  <c r="B5" i="30"/>
  <c r="T31" i="35" l="1"/>
  <c r="S31" i="35"/>
  <c r="K24" i="35"/>
  <c r="K25" i="35"/>
  <c r="K26" i="35"/>
  <c r="K27" i="35"/>
  <c r="K28" i="35"/>
  <c r="K29" i="35"/>
  <c r="K30" i="35"/>
  <c r="K23" i="35"/>
  <c r="J69" i="35"/>
  <c r="L69" i="35" s="1"/>
  <c r="N69" i="35" s="1"/>
  <c r="K15" i="35"/>
  <c r="L55" i="35"/>
  <c r="N55" i="35" s="1"/>
  <c r="L40" i="35"/>
  <c r="N40" i="35" s="1"/>
  <c r="T40" i="35" s="1"/>
  <c r="L41" i="35"/>
  <c r="N41" i="35" s="1"/>
  <c r="T41" i="35" s="1"/>
  <c r="L42" i="35"/>
  <c r="N42" i="35" s="1"/>
  <c r="T42" i="35" s="1"/>
  <c r="L43" i="35"/>
  <c r="N43" i="35" s="1"/>
  <c r="T43" i="35" s="1"/>
  <c r="L44" i="35"/>
  <c r="N44" i="35" s="1"/>
  <c r="T44" i="35" s="1"/>
  <c r="L45" i="35"/>
  <c r="N45" i="35" s="1"/>
  <c r="T69" i="35" l="1"/>
  <c r="S69" i="35"/>
  <c r="S55" i="35"/>
  <c r="T55" i="35"/>
  <c r="T45" i="35"/>
  <c r="S45" i="35"/>
  <c r="L23" i="35" l="1"/>
  <c r="N23" i="35" s="1"/>
  <c r="L30" i="35"/>
  <c r="N30" i="35" s="1"/>
  <c r="L25" i="35"/>
  <c r="N25" i="35" s="1"/>
  <c r="L26" i="35"/>
  <c r="N26" i="35" s="1"/>
  <c r="L27" i="35"/>
  <c r="N27" i="35" s="1"/>
  <c r="L28" i="35"/>
  <c r="N28" i="35" s="1"/>
  <c r="L29" i="35"/>
  <c r="N29" i="35" s="1"/>
  <c r="L24" i="35"/>
  <c r="N24" i="35" s="1"/>
  <c r="L59" i="35"/>
  <c r="N59" i="35" s="1"/>
  <c r="S23" i="35" l="1"/>
  <c r="T23" i="35"/>
  <c r="S27" i="35"/>
  <c r="T24" i="35"/>
  <c r="S26" i="35"/>
  <c r="T29" i="35"/>
  <c r="S25" i="35"/>
  <c r="T30" i="35"/>
  <c r="S24" i="35"/>
  <c r="T28" i="35"/>
  <c r="S29" i="35"/>
  <c r="T26" i="35"/>
  <c r="S30" i="35"/>
  <c r="T27" i="35"/>
  <c r="S28" i="35"/>
  <c r="T25" i="35"/>
  <c r="S59" i="35"/>
  <c r="T59" i="35"/>
  <c r="Q82" i="35"/>
  <c r="P82" i="35"/>
  <c r="O82" i="35"/>
  <c r="G10" i="4" s="1"/>
  <c r="B15" i="35"/>
  <c r="B16" i="35" s="1"/>
  <c r="B17" i="35" s="1"/>
  <c r="Q14" i="8" l="1"/>
  <c r="Q26" i="8" s="1"/>
  <c r="P14" i="8"/>
  <c r="O14" i="8"/>
  <c r="G5" i="4" s="1"/>
  <c r="L13" i="8"/>
  <c r="N13" i="8" s="1"/>
  <c r="J81" i="35"/>
  <c r="L51" i="35"/>
  <c r="N51" i="35" s="1"/>
  <c r="L56" i="35"/>
  <c r="N56" i="35" s="1"/>
  <c r="L52" i="35"/>
  <c r="N52" i="35" s="1"/>
  <c r="S52" i="35" s="1"/>
  <c r="L53" i="35"/>
  <c r="N53" i="35" s="1"/>
  <c r="L54" i="35"/>
  <c r="N54" i="35" s="1"/>
  <c r="L62" i="35"/>
  <c r="N62" i="35" s="1"/>
  <c r="L57" i="35"/>
  <c r="N57" i="35" s="1"/>
  <c r="S57" i="35" s="1"/>
  <c r="L58" i="35"/>
  <c r="N58" i="35" s="1"/>
  <c r="T58" i="35" s="1"/>
  <c r="L61" i="35"/>
  <c r="J63" i="35"/>
  <c r="L63" i="35" s="1"/>
  <c r="N63" i="35" s="1"/>
  <c r="L81" i="35" l="1"/>
  <c r="N81" i="35" s="1"/>
  <c r="R81" i="35" s="1"/>
  <c r="J82" i="35"/>
  <c r="S14" i="8"/>
  <c r="S61" i="35"/>
  <c r="T61" i="35"/>
  <c r="S53" i="35"/>
  <c r="T53" i="35"/>
  <c r="S63" i="35"/>
  <c r="T63" i="35"/>
  <c r="S56" i="35"/>
  <c r="T56" i="35"/>
  <c r="S62" i="35"/>
  <c r="T62" i="35"/>
  <c r="T51" i="35"/>
  <c r="S51" i="35"/>
  <c r="T54" i="35"/>
  <c r="S54" i="35"/>
  <c r="T57" i="35"/>
  <c r="T52" i="35"/>
  <c r="S58" i="35"/>
  <c r="S26" i="8" l="1"/>
  <c r="I5" i="4"/>
  <c r="T81" i="35"/>
  <c r="S81" i="35"/>
  <c r="L49" i="35"/>
  <c r="N49" i="35" s="1"/>
  <c r="L50" i="35"/>
  <c r="N50" i="35" s="1"/>
  <c r="L8" i="35"/>
  <c r="N8" i="35" s="1"/>
  <c r="T8" i="35" s="1"/>
  <c r="L9" i="35"/>
  <c r="N9" i="35" s="1"/>
  <c r="T9" i="35" s="1"/>
  <c r="L10" i="35"/>
  <c r="N10" i="35" s="1"/>
  <c r="T10" i="35" s="1"/>
  <c r="L11" i="35"/>
  <c r="N11" i="35" s="1"/>
  <c r="T11" i="35" s="1"/>
  <c r="L12" i="35"/>
  <c r="N12" i="35" s="1"/>
  <c r="T12" i="35" s="1"/>
  <c r="L13" i="35"/>
  <c r="N13" i="35" s="1"/>
  <c r="T13" i="35" s="1"/>
  <c r="L14" i="35"/>
  <c r="N14" i="35" s="1"/>
  <c r="T14" i="35" s="1"/>
  <c r="L15" i="35"/>
  <c r="N15" i="35" s="1"/>
  <c r="T50" i="35" l="1"/>
  <c r="S50" i="35"/>
  <c r="T49" i="35"/>
  <c r="S49" i="35"/>
  <c r="S15" i="35"/>
  <c r="T15" i="35"/>
  <c r="L79" i="35" l="1"/>
  <c r="N79" i="35" s="1"/>
  <c r="L76" i="35"/>
  <c r="N76" i="35" s="1"/>
  <c r="T76" i="35" s="1"/>
  <c r="K33" i="35"/>
  <c r="R79" i="35" l="1"/>
  <c r="T79" i="35"/>
  <c r="B10" i="30"/>
  <c r="B6" i="8"/>
  <c r="B7" i="8" s="1"/>
  <c r="B8" i="8" s="1"/>
  <c r="B6" i="35"/>
  <c r="B7" i="35" s="1"/>
  <c r="B8" i="35" s="1"/>
  <c r="B9" i="35" s="1"/>
  <c r="B10" i="35" s="1"/>
  <c r="B11" i="35" s="1"/>
  <c r="B12" i="35" s="1"/>
  <c r="B13" i="35" s="1"/>
  <c r="B14" i="35" s="1"/>
  <c r="B18" i="35" s="1"/>
  <c r="B19" i="35" s="1"/>
  <c r="P91" i="35"/>
  <c r="O91" i="35"/>
  <c r="L80" i="35"/>
  <c r="N80" i="35" s="1"/>
  <c r="I14" i="4"/>
  <c r="I16" i="4" s="1"/>
  <c r="O86" i="35"/>
  <c r="Q91" i="35"/>
  <c r="L35" i="35"/>
  <c r="N35" i="35" s="1"/>
  <c r="T35" i="35" s="1"/>
  <c r="L75" i="35"/>
  <c r="N75" i="35" s="1"/>
  <c r="T75" i="35" s="1"/>
  <c r="L77" i="35"/>
  <c r="N77" i="35" s="1"/>
  <c r="S77" i="35" s="1"/>
  <c r="L7" i="35"/>
  <c r="N7" i="35" s="1"/>
  <c r="P99" i="35"/>
  <c r="N98" i="35"/>
  <c r="N97" i="35"/>
  <c r="N96" i="35"/>
  <c r="N95" i="35"/>
  <c r="N94" i="35"/>
  <c r="N93" i="35"/>
  <c r="N92" i="35"/>
  <c r="T89" i="35"/>
  <c r="S89" i="35"/>
  <c r="R89" i="35"/>
  <c r="Q89" i="35"/>
  <c r="O89" i="35"/>
  <c r="N89" i="35"/>
  <c r="M89" i="35"/>
  <c r="K89" i="35"/>
  <c r="J89" i="35"/>
  <c r="L85" i="35"/>
  <c r="N85" i="35" s="1"/>
  <c r="L84" i="35"/>
  <c r="L78" i="35"/>
  <c r="N78" i="35" s="1"/>
  <c r="S78" i="35" s="1"/>
  <c r="L74" i="35"/>
  <c r="N74" i="35" s="1"/>
  <c r="L73" i="35"/>
  <c r="N73" i="35" s="1"/>
  <c r="T73" i="35" s="1"/>
  <c r="L72" i="35"/>
  <c r="N72" i="35" s="1"/>
  <c r="L71" i="35"/>
  <c r="N71" i="35" s="1"/>
  <c r="L70" i="35"/>
  <c r="N70" i="35" s="1"/>
  <c r="L68" i="35"/>
  <c r="N68" i="35" s="1"/>
  <c r="L67" i="35"/>
  <c r="N67" i="35" s="1"/>
  <c r="L66" i="35"/>
  <c r="J64" i="35"/>
  <c r="B9" i="4" s="1"/>
  <c r="L48" i="35"/>
  <c r="N48" i="35" s="1"/>
  <c r="R48" i="35" s="1"/>
  <c r="L47" i="35"/>
  <c r="N47" i="35" s="1"/>
  <c r="T47" i="35" s="1"/>
  <c r="L46" i="35"/>
  <c r="N46" i="35" s="1"/>
  <c r="T46" i="35" s="1"/>
  <c r="L22" i="35"/>
  <c r="N22" i="35" s="1"/>
  <c r="L21" i="35"/>
  <c r="N21" i="35" s="1"/>
  <c r="L20" i="35"/>
  <c r="N20" i="35" s="1"/>
  <c r="L19" i="35"/>
  <c r="N19" i="35" s="1"/>
  <c r="L18" i="35"/>
  <c r="N18" i="35" s="1"/>
  <c r="L17" i="35"/>
  <c r="N17" i="35" s="1"/>
  <c r="L16" i="35"/>
  <c r="N16" i="35" s="1"/>
  <c r="S43" i="35"/>
  <c r="S42" i="35"/>
  <c r="S41" i="35"/>
  <c r="S40" i="35"/>
  <c r="L39" i="35"/>
  <c r="N39" i="35" s="1"/>
  <c r="S38" i="35"/>
  <c r="R38" i="35"/>
  <c r="L37" i="35"/>
  <c r="N37" i="35" s="1"/>
  <c r="R37" i="35" s="1"/>
  <c r="L36" i="35"/>
  <c r="N36" i="35" s="1"/>
  <c r="T36" i="35" s="1"/>
  <c r="L34" i="35"/>
  <c r="N34" i="35" s="1"/>
  <c r="T34" i="35" s="1"/>
  <c r="S14" i="35"/>
  <c r="S13" i="35"/>
  <c r="S12" i="35"/>
  <c r="S11" i="35"/>
  <c r="S10" i="35"/>
  <c r="S9" i="35"/>
  <c r="L6" i="35"/>
  <c r="N6" i="35" l="1"/>
  <c r="O90" i="35"/>
  <c r="G9" i="4"/>
  <c r="N66" i="35"/>
  <c r="T66" i="35" s="1"/>
  <c r="L82" i="35"/>
  <c r="O99" i="35"/>
  <c r="G11" i="4"/>
  <c r="I10" i="4"/>
  <c r="B20" i="35"/>
  <c r="B21" i="35" s="1"/>
  <c r="B22" i="35" s="1"/>
  <c r="B23" i="35" s="1"/>
  <c r="B24" i="35" s="1"/>
  <c r="B9" i="8"/>
  <c r="B12" i="8"/>
  <c r="B10" i="4"/>
  <c r="J86" i="35"/>
  <c r="L86" i="35"/>
  <c r="D11" i="4" s="1"/>
  <c r="L33" i="35"/>
  <c r="N33" i="35" s="1"/>
  <c r="S86" i="35"/>
  <c r="Q86" i="35"/>
  <c r="T7" i="35"/>
  <c r="S7" i="35"/>
  <c r="K95" i="35"/>
  <c r="T95" i="35"/>
  <c r="O97" i="35"/>
  <c r="K93" i="35"/>
  <c r="O93" i="35"/>
  <c r="K97" i="35"/>
  <c r="T97" i="35"/>
  <c r="O95" i="35"/>
  <c r="T71" i="35"/>
  <c r="R71" i="35"/>
  <c r="T72" i="35"/>
  <c r="R72" i="35"/>
  <c r="T6" i="35"/>
  <c r="R6" i="35"/>
  <c r="T68" i="35"/>
  <c r="R68" i="35"/>
  <c r="T74" i="35"/>
  <c r="R74" i="35"/>
  <c r="R73" i="35"/>
  <c r="T93" i="35"/>
  <c r="K92" i="35"/>
  <c r="K94" i="35"/>
  <c r="K98" i="35"/>
  <c r="O87" i="35"/>
  <c r="O92" i="35"/>
  <c r="O94" i="35"/>
  <c r="O96" i="35"/>
  <c r="O98" i="35"/>
  <c r="K96" i="35"/>
  <c r="P87" i="35"/>
  <c r="J90" i="35"/>
  <c r="T92" i="35"/>
  <c r="T94" i="35"/>
  <c r="T96" i="35"/>
  <c r="T98" i="35"/>
  <c r="R22" i="35"/>
  <c r="T22" i="35"/>
  <c r="S44" i="35"/>
  <c r="T17" i="35"/>
  <c r="R18" i="35"/>
  <c r="T18" i="35"/>
  <c r="R20" i="35"/>
  <c r="T20" i="35"/>
  <c r="R70" i="35"/>
  <c r="T70" i="35"/>
  <c r="T85" i="35"/>
  <c r="R85" i="35"/>
  <c r="T21" i="35"/>
  <c r="R21" i="35"/>
  <c r="R39" i="35"/>
  <c r="T39" i="35"/>
  <c r="R16" i="35"/>
  <c r="T16" i="35"/>
  <c r="T67" i="35"/>
  <c r="R67" i="35"/>
  <c r="T19" i="35"/>
  <c r="R19" i="35"/>
  <c r="T37" i="35"/>
  <c r="T48" i="35"/>
  <c r="P90" i="35"/>
  <c r="P100" i="35" s="1"/>
  <c r="J92" i="35"/>
  <c r="J93" i="35"/>
  <c r="J94" i="35"/>
  <c r="J95" i="35"/>
  <c r="J96" i="35"/>
  <c r="J97" i="35"/>
  <c r="J98" i="35"/>
  <c r="S34" i="35"/>
  <c r="S36" i="35"/>
  <c r="L92" i="35"/>
  <c r="L93" i="35"/>
  <c r="L94" i="35"/>
  <c r="L95" i="35"/>
  <c r="L96" i="35"/>
  <c r="L97" i="35"/>
  <c r="L98" i="35"/>
  <c r="N84" i="35"/>
  <c r="N86" i="35" s="1"/>
  <c r="F11" i="4" s="1"/>
  <c r="D13" i="34" s="1"/>
  <c r="D14" i="34" s="1"/>
  <c r="M92" i="35"/>
  <c r="M93" i="35"/>
  <c r="M94" i="35"/>
  <c r="M95" i="35"/>
  <c r="M96" i="35"/>
  <c r="M97" i="35"/>
  <c r="M98" i="35"/>
  <c r="R64" i="35" l="1"/>
  <c r="N64" i="35"/>
  <c r="N90" i="35" s="1"/>
  <c r="L64" i="35"/>
  <c r="B25" i="35"/>
  <c r="B26" i="35" s="1"/>
  <c r="B27" i="35" s="1"/>
  <c r="B28" i="35" s="1"/>
  <c r="B29" i="35" s="1"/>
  <c r="B30" i="35" s="1"/>
  <c r="B31" i="35" s="1"/>
  <c r="B32" i="35" s="1"/>
  <c r="B33" i="35" s="1"/>
  <c r="R66" i="35"/>
  <c r="R82" i="35" s="1"/>
  <c r="H10" i="4" s="1"/>
  <c r="N82" i="35"/>
  <c r="S99" i="35"/>
  <c r="I11" i="4"/>
  <c r="J10" i="4"/>
  <c r="G12" i="4"/>
  <c r="Q99" i="35"/>
  <c r="H11" i="4"/>
  <c r="O100" i="35"/>
  <c r="B10" i="8"/>
  <c r="B11" i="8" s="1"/>
  <c r="B13" i="8"/>
  <c r="B17" i="8" s="1"/>
  <c r="B20" i="8" s="1"/>
  <c r="S91" i="35"/>
  <c r="L99" i="35"/>
  <c r="B11" i="4"/>
  <c r="J99" i="35"/>
  <c r="Q90" i="35"/>
  <c r="S33" i="35"/>
  <c r="T33" i="35"/>
  <c r="L91" i="35"/>
  <c r="K86" i="35"/>
  <c r="R84" i="35"/>
  <c r="T84" i="35"/>
  <c r="T86" i="35" s="1"/>
  <c r="J11" i="4" s="1"/>
  <c r="G13" i="34"/>
  <c r="I13" i="34" s="1"/>
  <c r="I14" i="34" s="1"/>
  <c r="G10" i="34"/>
  <c r="G7" i="34"/>
  <c r="F9" i="4" l="1"/>
  <c r="I9" i="4"/>
  <c r="I12" i="4" s="1"/>
  <c r="R91" i="35"/>
  <c r="B34" i="35"/>
  <c r="B35" i="35" s="1"/>
  <c r="B36" i="35" s="1"/>
  <c r="B37" i="35" s="1"/>
  <c r="T91" i="35"/>
  <c r="R90" i="35"/>
  <c r="H9" i="4"/>
  <c r="H12" i="4" s="1"/>
  <c r="Q100" i="35"/>
  <c r="T90" i="35"/>
  <c r="J9" i="4"/>
  <c r="J12" i="4" s="1"/>
  <c r="K99" i="35"/>
  <c r="C11" i="4"/>
  <c r="M82" i="35"/>
  <c r="F10" i="4"/>
  <c r="L90" i="35"/>
  <c r="L100" i="35" s="1"/>
  <c r="D9" i="4"/>
  <c r="R86" i="35"/>
  <c r="R99" i="35" s="1"/>
  <c r="K64" i="35"/>
  <c r="L87" i="35"/>
  <c r="T99" i="35"/>
  <c r="Q87" i="35"/>
  <c r="M64" i="35"/>
  <c r="N87" i="35"/>
  <c r="N91" i="35"/>
  <c r="T87" i="35"/>
  <c r="N99" i="35"/>
  <c r="M86" i="35"/>
  <c r="S87" i="35" l="1"/>
  <c r="S90" i="35"/>
  <c r="S100" i="35" s="1"/>
  <c r="B38" i="35"/>
  <c r="B40" i="35" s="1"/>
  <c r="B42" i="35" s="1"/>
  <c r="B44" i="35" s="1"/>
  <c r="B39" i="35"/>
  <c r="N100" i="35"/>
  <c r="M100" i="35" s="1"/>
  <c r="R100" i="35"/>
  <c r="T100" i="35"/>
  <c r="M99" i="35"/>
  <c r="E11" i="4"/>
  <c r="M91" i="35"/>
  <c r="E10" i="4"/>
  <c r="M90" i="35"/>
  <c r="E9" i="4"/>
  <c r="K90" i="35"/>
  <c r="C9" i="4"/>
  <c r="M87" i="35"/>
  <c r="R87" i="35"/>
  <c r="B41" i="35" l="1"/>
  <c r="B43" i="35" s="1"/>
  <c r="B45" i="35"/>
  <c r="B46" i="35" s="1"/>
  <c r="B47" i="35" s="1"/>
  <c r="B48" i="35" s="1"/>
  <c r="B49" i="35" s="1"/>
  <c r="B50" i="35" s="1"/>
  <c r="B51" i="35" s="1"/>
  <c r="B52" i="35" s="1"/>
  <c r="B53" i="35" s="1"/>
  <c r="B54" i="35" s="1"/>
  <c r="B55" i="35" s="1"/>
  <c r="B56" i="35" s="1"/>
  <c r="B57" i="35" s="1"/>
  <c r="G6" i="4"/>
  <c r="G7" i="4" s="1"/>
  <c r="M10" i="30"/>
  <c r="O10" i="30" s="1"/>
  <c r="S10" i="30" s="1"/>
  <c r="M7" i="30"/>
  <c r="M6" i="30"/>
  <c r="O6" i="30" l="1"/>
  <c r="U7" i="30"/>
  <c r="U8" i="30" s="1"/>
  <c r="S7" i="30"/>
  <c r="S8" i="30" s="1"/>
  <c r="U6" i="30" l="1"/>
  <c r="J14" i="4" s="1"/>
  <c r="J16" i="4" s="1"/>
  <c r="S6" i="30"/>
  <c r="H14" i="4" s="1"/>
  <c r="J91" i="35" l="1"/>
  <c r="J87" i="35"/>
  <c r="K87" i="35" s="1"/>
  <c r="K82" i="35"/>
  <c r="T10" i="8"/>
  <c r="T11" i="8"/>
  <c r="J100" i="35" l="1"/>
  <c r="K100" i="35" s="1"/>
  <c r="K91" i="35"/>
  <c r="C10" i="4"/>
  <c r="P15" i="30" l="1"/>
  <c r="R10" i="8"/>
  <c r="R11" i="8"/>
  <c r="S15" i="30" l="1"/>
  <c r="P22" i="8"/>
  <c r="Q22" i="8"/>
  <c r="Q27" i="8" s="1"/>
  <c r="S22" i="8"/>
  <c r="L12" i="8"/>
  <c r="N12" i="8" s="1"/>
  <c r="I6" i="4" l="1"/>
  <c r="I7" i="4" s="1"/>
  <c r="I17" i="4" s="1"/>
  <c r="S27" i="8"/>
  <c r="T12" i="8"/>
  <c r="R12" i="8"/>
  <c r="Q16" i="30"/>
  <c r="Q15" i="30"/>
  <c r="Q12" i="30" l="1"/>
  <c r="R16" i="30"/>
  <c r="Q17" i="30" l="1"/>
  <c r="P27" i="8"/>
  <c r="P26" i="8" l="1"/>
  <c r="P35" i="8" s="1"/>
  <c r="P23" i="8"/>
  <c r="B16" i="4"/>
  <c r="J23" i="8"/>
  <c r="J26" i="8" l="1"/>
  <c r="P16" i="30" l="1"/>
  <c r="P17" i="30" s="1"/>
  <c r="M15" i="30"/>
  <c r="K15" i="30"/>
  <c r="O15" i="30" l="1"/>
  <c r="N15" i="30" s="1"/>
  <c r="L15" i="30"/>
  <c r="L8" i="30"/>
  <c r="O27" i="8"/>
  <c r="N8" i="30" l="1"/>
  <c r="U15" i="30"/>
  <c r="F14" i="4"/>
  <c r="T15" i="30"/>
  <c r="T17" i="30" s="1"/>
  <c r="N18" i="8" l="1"/>
  <c r="N19" i="8"/>
  <c r="T19" i="8" l="1"/>
  <c r="R19" i="8"/>
  <c r="T18" i="8"/>
  <c r="R18" i="8"/>
  <c r="D16" i="4" l="1"/>
  <c r="C16" i="4" l="1"/>
  <c r="R11" i="30"/>
  <c r="R12" i="30" s="1"/>
  <c r="K11" i="30"/>
  <c r="K16" i="30" s="1"/>
  <c r="K17" i="30" s="1"/>
  <c r="U10" i="30"/>
  <c r="R17" i="30"/>
  <c r="U14" i="30"/>
  <c r="T14" i="30"/>
  <c r="S14" i="30"/>
  <c r="R14" i="30"/>
  <c r="P14" i="30"/>
  <c r="O14" i="30"/>
  <c r="N14" i="30"/>
  <c r="M14" i="30"/>
  <c r="L14" i="30"/>
  <c r="K14" i="30"/>
  <c r="P11" i="30"/>
  <c r="M11" i="30"/>
  <c r="P12" i="30" l="1"/>
  <c r="G17" i="4"/>
  <c r="M12" i="30"/>
  <c r="M16" i="30"/>
  <c r="M17" i="30" s="1"/>
  <c r="L17" i="30" s="1"/>
  <c r="K12" i="30"/>
  <c r="T11" i="30"/>
  <c r="T12" i="30" s="1"/>
  <c r="L11" i="30"/>
  <c r="O11" i="30"/>
  <c r="O12" i="30" s="1"/>
  <c r="U11" i="30"/>
  <c r="S11" i="30" l="1"/>
  <c r="S16" i="30"/>
  <c r="S17" i="30" s="1"/>
  <c r="U12" i="30"/>
  <c r="L12" i="30"/>
  <c r="N12" i="30"/>
  <c r="L16" i="30"/>
  <c r="O16" i="30"/>
  <c r="N11" i="30"/>
  <c r="S12" i="30" l="1"/>
  <c r="H15" i="4"/>
  <c r="H16" i="4" s="1"/>
  <c r="U16" i="30"/>
  <c r="U17" i="30" s="1"/>
  <c r="N16" i="30"/>
  <c r="O17" i="30"/>
  <c r="N17" i="30" s="1"/>
  <c r="F16" i="4" l="1"/>
  <c r="E16" i="4" s="1"/>
  <c r="L20" i="8" l="1"/>
  <c r="N20" i="8" l="1"/>
  <c r="R20" i="8" s="1"/>
  <c r="T20" i="8" l="1"/>
  <c r="O23" i="8"/>
  <c r="B5" i="4"/>
  <c r="L8" i="8"/>
  <c r="N8" i="8" s="1"/>
  <c r="T8" i="8" s="1"/>
  <c r="L7" i="8"/>
  <c r="N7" i="8" s="1"/>
  <c r="T7" i="8" s="1"/>
  <c r="L6" i="8"/>
  <c r="N6" i="8" l="1"/>
  <c r="O26" i="8"/>
  <c r="O35" i="8" s="1"/>
  <c r="R8" i="8"/>
  <c r="T6" i="8" l="1"/>
  <c r="J27" i="8" l="1"/>
  <c r="J35" i="8" s="1"/>
  <c r="B6" i="4"/>
  <c r="B7" i="4" s="1"/>
  <c r="L10" i="8"/>
  <c r="L17" i="8" l="1"/>
  <c r="N17" i="8" s="1"/>
  <c r="N9" i="8"/>
  <c r="N14" i="8" s="1"/>
  <c r="L11" i="8"/>
  <c r="L14" i="8" s="1"/>
  <c r="K14" i="8" s="1"/>
  <c r="C5" i="4" l="1"/>
  <c r="T9" i="8"/>
  <c r="T14" i="8" s="1"/>
  <c r="R9" i="8"/>
  <c r="R14" i="8" s="1"/>
  <c r="H5" i="4" s="1"/>
  <c r="M14" i="8"/>
  <c r="L26" i="8"/>
  <c r="J5" i="4" l="1"/>
  <c r="D7" i="36"/>
  <c r="T26" i="8"/>
  <c r="N26" i="8"/>
  <c r="R26" i="8"/>
  <c r="T17" i="8"/>
  <c r="R17" i="8"/>
  <c r="D5" i="4"/>
  <c r="F5" i="4"/>
  <c r="D7" i="34" s="1"/>
  <c r="E5" i="4"/>
  <c r="J25" i="8"/>
  <c r="J33" i="8"/>
  <c r="J34" i="8"/>
  <c r="J30" i="8"/>
  <c r="J31" i="8"/>
  <c r="J32" i="8"/>
  <c r="M25" i="8"/>
  <c r="K28" i="8"/>
  <c r="J29" i="8"/>
  <c r="K25" i="8"/>
  <c r="L25" i="8"/>
  <c r="N25" i="8"/>
  <c r="O25" i="8"/>
  <c r="Q25" i="8"/>
  <c r="R25" i="8"/>
  <c r="S25" i="8"/>
  <c r="T25" i="8"/>
  <c r="Q23" i="8"/>
  <c r="S23" i="8"/>
  <c r="L16" i="8"/>
  <c r="D8" i="36" l="1"/>
  <c r="I7" i="36"/>
  <c r="I8" i="36" s="1"/>
  <c r="D8" i="34"/>
  <c r="I7" i="34"/>
  <c r="I8" i="34" s="1"/>
  <c r="N16" i="8"/>
  <c r="M26" i="8"/>
  <c r="S35" i="8"/>
  <c r="Q35" i="8"/>
  <c r="M32" i="8"/>
  <c r="O32" i="8"/>
  <c r="K32" i="8"/>
  <c r="N31" i="8"/>
  <c r="O30" i="8"/>
  <c r="M34" i="8"/>
  <c r="O33" i="8"/>
  <c r="T32" i="8"/>
  <c r="N32" i="8"/>
  <c r="L32" i="8"/>
  <c r="T31" i="8"/>
  <c r="L31" i="8"/>
  <c r="T30" i="8"/>
  <c r="M30" i="8"/>
  <c r="O34" i="8"/>
  <c r="K34" i="8"/>
  <c r="T33" i="8"/>
  <c r="M33" i="8"/>
  <c r="K33" i="8"/>
  <c r="L29" i="8"/>
  <c r="N30" i="8"/>
  <c r="L30" i="8"/>
  <c r="O31" i="8"/>
  <c r="M31" i="8"/>
  <c r="K31" i="8"/>
  <c r="K30" i="8"/>
  <c r="M29" i="8"/>
  <c r="N29" i="8"/>
  <c r="O29" i="8"/>
  <c r="T29" i="8"/>
  <c r="M28" i="8"/>
  <c r="O28" i="8"/>
  <c r="L28" i="8"/>
  <c r="N28" i="8"/>
  <c r="T28" i="8"/>
  <c r="T34" i="8"/>
  <c r="N34" i="8"/>
  <c r="L34" i="8"/>
  <c r="N33" i="8"/>
  <c r="L33" i="8"/>
  <c r="J28" i="8"/>
  <c r="K29" i="8"/>
  <c r="T16" i="8" l="1"/>
  <c r="T22" i="8" s="1"/>
  <c r="R16" i="8"/>
  <c r="R22" i="8" s="1"/>
  <c r="H6" i="4" s="1"/>
  <c r="H7" i="4" s="1"/>
  <c r="H17" i="4" s="1"/>
  <c r="K26" i="8"/>
  <c r="D10" i="36" l="1"/>
  <c r="J6" i="4"/>
  <c r="J7" i="4" s="1"/>
  <c r="J17" i="4" s="1"/>
  <c r="F12" i="4"/>
  <c r="D11" i="36" l="1"/>
  <c r="D18" i="36" s="1"/>
  <c r="D20" i="36" s="1"/>
  <c r="I10" i="36"/>
  <c r="I11" i="36" s="1"/>
  <c r="I16" i="36" s="1"/>
  <c r="I17" i="36" s="1"/>
  <c r="I18" i="36" s="1"/>
  <c r="I20" i="36" s="1"/>
  <c r="T23" i="8"/>
  <c r="T27" i="8"/>
  <c r="T35" i="8" s="1"/>
  <c r="R23" i="8"/>
  <c r="R27" i="8"/>
  <c r="R35" i="8" s="1"/>
  <c r="D12" i="4" l="1"/>
  <c r="B12" i="4" l="1"/>
  <c r="B17" i="4" s="1"/>
  <c r="E12" i="4"/>
  <c r="C12" i="4" l="1"/>
  <c r="B58" i="35"/>
  <c r="B59" i="35"/>
  <c r="B67" i="35" l="1"/>
  <c r="B68" i="35" s="1"/>
  <c r="B62" i="35"/>
  <c r="B63" i="35" s="1"/>
  <c r="B69" i="35" l="1"/>
  <c r="B70" i="35" s="1"/>
  <c r="B71" i="35" s="1"/>
  <c r="B72" i="35" s="1"/>
  <c r="B73" i="35" s="1"/>
  <c r="B74" i="35" s="1"/>
  <c r="B75" i="35" s="1"/>
  <c r="B76" i="35" s="1"/>
  <c r="B79" i="35" l="1"/>
  <c r="B77" i="35"/>
  <c r="B78" i="35" s="1"/>
  <c r="B80" i="35"/>
  <c r="B81" i="35"/>
  <c r="B84" i="35" s="1"/>
  <c r="B85" i="35" s="1"/>
  <c r="N21" i="8" l="1"/>
  <c r="L21" i="8"/>
  <c r="L22" i="8" s="1"/>
  <c r="L23" i="8" l="1"/>
  <c r="K23" i="8" s="1"/>
  <c r="K22" i="8"/>
  <c r="C6" i="4" s="1"/>
  <c r="L27" i="8"/>
  <c r="D6" i="4"/>
  <c r="D7" i="4" s="1"/>
  <c r="F6" i="4"/>
  <c r="N23" i="8"/>
  <c r="M23" i="8" s="1"/>
  <c r="M22" i="8"/>
  <c r="E6" i="4" s="1"/>
  <c r="N27" i="8"/>
  <c r="D17" i="4" l="1"/>
  <c r="C17" i="4" s="1"/>
  <c r="C7" i="4"/>
  <c r="M27" i="8"/>
  <c r="N35" i="8"/>
  <c r="F7" i="4"/>
  <c r="D10" i="34"/>
  <c r="K27" i="8"/>
  <c r="L35" i="8"/>
  <c r="K35" i="8" s="1"/>
  <c r="M35" i="8" l="1"/>
  <c r="D11" i="34"/>
  <c r="D18" i="34" s="1"/>
  <c r="I10" i="34"/>
  <c r="I11" i="34" s="1"/>
  <c r="I16" i="34" s="1"/>
  <c r="E7" i="4"/>
  <c r="F17" i="4"/>
  <c r="E17" i="4" s="1"/>
  <c r="I17" i="34" l="1"/>
  <c r="I18"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Thoa K. - FNS</author>
    <author>Delehanty, Emily - FNS</author>
    <author>bkowtha</author>
    <author>Windows User</author>
    <author>tc={F42C7FEA-7F00-4CA0-A3AF-564D63C40E75}</author>
  </authors>
  <commentList>
    <comment ref="M6" authorId="0" shapeId="0" xr:uid="{56ACCC89-D004-4330-9703-C5C990EADF34}">
      <text>
        <r>
          <rPr>
            <b/>
            <sz val="9"/>
            <color indexed="81"/>
            <rFont val="Tahoma"/>
            <family val="2"/>
          </rPr>
          <t xml:space="preserve">Hoang, Thoa K. - FNS
</t>
        </r>
        <r>
          <rPr>
            <sz val="11"/>
            <color indexed="81"/>
            <rFont val="Tahoma"/>
            <family val="2"/>
          </rPr>
          <t>PRAO instructed CNP to consider reading and reviewing handbooks, policy guidance, and instructions as reporting burden. Therefore, CNP is estimating that on average,  Sas will spend 3 hours per month reviewing materials, totally 36 hours annually</t>
        </r>
      </text>
    </comment>
    <comment ref="F16" authorId="1" shapeId="0" xr:uid="{273B6F4F-B552-4769-9805-8C2D7EDF28BE}">
      <text>
        <r>
          <rPr>
            <b/>
            <sz val="9"/>
            <color indexed="81"/>
            <rFont val="Tahoma"/>
            <family val="2"/>
          </rPr>
          <t>Delehanty, Emily - FNS:</t>
        </r>
        <r>
          <rPr>
            <sz val="9"/>
            <color indexed="81"/>
            <rFont val="Tahoma"/>
            <family val="2"/>
          </rPr>
          <t xml:space="preserve">
Updated citation</t>
        </r>
      </text>
    </comment>
    <comment ref="H16" authorId="1" shapeId="0" xr:uid="{29292A7C-6D28-4CC1-A023-8933D014BB14}">
      <text>
        <r>
          <rPr>
            <b/>
            <sz val="9"/>
            <color indexed="81"/>
            <rFont val="Tahoma"/>
            <family val="2"/>
          </rPr>
          <t>Delehanty, Emily - FNS:</t>
        </r>
        <r>
          <rPr>
            <sz val="9"/>
            <color indexed="81"/>
            <rFont val="Tahoma"/>
            <family val="2"/>
          </rPr>
          <t xml:space="preserve">
Updated citation</t>
        </r>
      </text>
    </comment>
    <comment ref="M16" authorId="1" shapeId="0" xr:uid="{B6EB7094-4FF4-4DBB-9531-31EF346B3696}">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F17" authorId="1" shapeId="0" xr:uid="{EA4FB8E8-6201-4B50-9727-DE8872EC5ACA}">
      <text>
        <r>
          <rPr>
            <b/>
            <sz val="9"/>
            <color indexed="81"/>
            <rFont val="Tahoma"/>
            <family val="2"/>
          </rPr>
          <t xml:space="preserve">Delehanty, Emily - FNS:
Updated </t>
        </r>
        <r>
          <rPr>
            <sz val="9"/>
            <color indexed="81"/>
            <rFont val="Tahoma"/>
            <family val="2"/>
          </rPr>
          <t>citation</t>
        </r>
      </text>
    </comment>
    <comment ref="H17" authorId="1" shapeId="0" xr:uid="{1F0795E4-CFDB-4E51-A7C9-744B2604BDA0}">
      <text>
        <r>
          <rPr>
            <b/>
            <sz val="9"/>
            <color indexed="81"/>
            <rFont val="Tahoma"/>
            <family val="2"/>
          </rPr>
          <t xml:space="preserve">Delehanty, Emily - FNS:
Updated </t>
        </r>
        <r>
          <rPr>
            <sz val="9"/>
            <color indexed="81"/>
            <rFont val="Tahoma"/>
            <family val="2"/>
          </rPr>
          <t>citation</t>
        </r>
      </text>
    </comment>
    <comment ref="F22" authorId="1" shapeId="0" xr:uid="{ABE7B800-7183-48E6-946D-1774A0E9FAEC}">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H22" authorId="1" shapeId="0" xr:uid="{19DB6C7E-594C-41F1-9BCF-DC97FF8F5483}">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K33" authorId="0" shapeId="0" xr:uid="{908A69B6-1701-437C-88B9-BE03C0E3A773}">
      <text>
        <r>
          <rPr>
            <b/>
            <sz val="9"/>
            <color indexed="81"/>
            <rFont val="Tahoma"/>
            <family val="2"/>
          </rPr>
          <t>Hoang, Thoa K. - FNS:</t>
        </r>
        <r>
          <rPr>
            <sz val="9"/>
            <color indexed="81"/>
            <rFont val="Tahoma"/>
            <family val="2"/>
          </rPr>
          <t xml:space="preserve">
On average, this is how many applications FNS estimate State agencies have to review
</t>
        </r>
      </text>
    </comment>
    <comment ref="N34" authorId="0" shapeId="0" xr:uid="{CD487997-461D-4D68-AB12-A11517B5F815}">
      <text>
        <r>
          <rPr>
            <b/>
            <sz val="9"/>
            <color indexed="81"/>
            <rFont val="Tahoma"/>
            <family val="2"/>
          </rPr>
          <t>Hoang, Thoa K. - FNS:</t>
        </r>
        <r>
          <rPr>
            <sz val="9"/>
            <color indexed="81"/>
            <rFont val="Tahoma"/>
            <family val="2"/>
          </rPr>
          <t xml:space="preserve">
SAs sibmit one report and time is adjusted in consultation with SA staff. </t>
        </r>
      </text>
    </comment>
    <comment ref="K35" authorId="0" shapeId="0" xr:uid="{1B442725-2D5C-4BAF-9D7A-CC97724B785F}">
      <text>
        <r>
          <rPr>
            <b/>
            <sz val="9"/>
            <color indexed="81"/>
            <rFont val="Tahoma"/>
            <family val="2"/>
          </rPr>
          <t>Hoang, Thoa K. - FNS:</t>
        </r>
        <r>
          <rPr>
            <sz val="9"/>
            <color indexed="81"/>
            <rFont val="Tahoma"/>
            <family val="2"/>
          </rPr>
          <t xml:space="preserve">
Total number of sponsors operating the program/number of state agencies 5,524/53= 104</t>
        </r>
      </text>
    </comment>
    <comment ref="K36" authorId="2" shapeId="0" xr:uid="{60070B2C-4E88-4E2E-8BA0-653CEF5DA7DE}">
      <text>
        <r>
          <rPr>
            <b/>
            <sz val="10"/>
            <color indexed="81"/>
            <rFont val="Tahoma"/>
            <family val="2"/>
          </rPr>
          <t>bkowtha:</t>
        </r>
        <r>
          <rPr>
            <sz val="10"/>
            <color indexed="81"/>
            <rFont val="Tahoma"/>
            <family val="2"/>
          </rPr>
          <t xml:space="preserve">
one report per SA</t>
        </r>
      </text>
    </comment>
    <comment ref="K37" authorId="3" shapeId="0" xr:uid="{3AFF69EF-B759-49FD-A1B8-21F53B212E12}">
      <text>
        <r>
          <rPr>
            <b/>
            <sz val="9"/>
            <color indexed="81"/>
            <rFont val="Tahoma"/>
            <family val="2"/>
          </rPr>
          <t xml:space="preserve">bkowtha:
</t>
        </r>
        <r>
          <rPr>
            <sz val="9"/>
            <color indexed="81"/>
            <rFont val="Tahoma"/>
            <family val="2"/>
          </rPr>
          <t>average number of sponsors [(5,524/53=104) x 3] reports =312</t>
        </r>
      </text>
    </comment>
    <comment ref="N37" authorId="0" shapeId="0" xr:uid="{3625A409-00D2-4825-9DEB-695B2B93D9C7}">
      <text>
        <r>
          <rPr>
            <b/>
            <sz val="9"/>
            <color indexed="81"/>
            <rFont val="Tahoma"/>
            <family val="2"/>
          </rPr>
          <t>Hoang, Thoa K. - FNS:</t>
        </r>
        <r>
          <rPr>
            <sz val="9"/>
            <color indexed="81"/>
            <rFont val="Tahoma"/>
            <family val="2"/>
          </rPr>
          <t xml:space="preserve">
increase due to increase in number of sponsors.</t>
        </r>
      </text>
    </comment>
    <comment ref="K39" authorId="3" shapeId="0" xr:uid="{26B45E65-0F08-4DB8-B146-1A025D3928B5}">
      <text>
        <r>
          <rPr>
            <b/>
            <sz val="9"/>
            <color indexed="81"/>
            <rFont val="Tahoma"/>
            <family val="2"/>
          </rPr>
          <t xml:space="preserve">bkowtha:
</t>
        </r>
        <r>
          <rPr>
            <sz val="9"/>
            <color indexed="81"/>
            <rFont val="Tahoma"/>
            <family val="2"/>
          </rPr>
          <t xml:space="preserve">10% of average number sponsors </t>
        </r>
      </text>
    </comment>
    <comment ref="J63" authorId="4" shapeId="0" xr:uid="{F42C7FEA-7F00-4CA0-A3AF-564D63C40E75}">
      <text>
        <t>[Threaded comment]
Your version of Excel allows you to read this threaded comment; however, any edits to it will get removed if the file is opened in a newer version of Excel. Learn more: https://go.microsoft.com/fwlink/?linkid=870924
Comment:
    NDB [Number of Sponsors, School Sponsors + Number of Sponsors, Gov't Sponsors] * 30% [Assume Serious Management Problems will occur at the same rate as CACFP].</t>
      </text>
    </comment>
    <comment ref="F66" authorId="1" shapeId="0" xr:uid="{08E0FDE5-0810-45CE-A93A-12F41135B6E7}">
      <text>
        <r>
          <rPr>
            <b/>
            <sz val="9"/>
            <color indexed="81"/>
            <rFont val="Tahoma"/>
            <family val="2"/>
          </rPr>
          <t>Delehanty, Emily - FNS:</t>
        </r>
        <r>
          <rPr>
            <sz val="9"/>
            <color indexed="81"/>
            <rFont val="Tahoma"/>
            <family val="2"/>
          </rPr>
          <t xml:space="preserve">
Updated citation</t>
        </r>
      </text>
    </comment>
    <comment ref="H66" authorId="1" shapeId="0" xr:uid="{0C24D1D1-51BB-41DA-A36A-DBAFB8D771FE}">
      <text>
        <r>
          <rPr>
            <b/>
            <sz val="9"/>
            <color indexed="81"/>
            <rFont val="Tahoma"/>
            <family val="2"/>
          </rPr>
          <t>Delehanty, Emily - FNS:</t>
        </r>
        <r>
          <rPr>
            <sz val="9"/>
            <color indexed="81"/>
            <rFont val="Tahoma"/>
            <family val="2"/>
          </rPr>
          <t xml:space="preserve">
Updated citation</t>
        </r>
      </text>
    </comment>
    <comment ref="J66" authorId="0" shapeId="0" xr:uid="{6056501A-1B3F-40DA-927C-8FDB09CC5F17}">
      <text>
        <r>
          <rPr>
            <b/>
            <sz val="9"/>
            <color indexed="81"/>
            <rFont val="Tahoma"/>
            <family val="2"/>
          </rPr>
          <t>Hoang, Thoa K. - FNS:</t>
        </r>
        <r>
          <rPr>
            <sz val="9"/>
            <color indexed="81"/>
            <rFont val="Tahoma"/>
            <family val="2"/>
          </rPr>
          <t xml:space="preserve">
Number of sponsors in the NDB 2018 SFSP public use report (1/9/19)</t>
        </r>
      </text>
    </comment>
    <comment ref="M66" authorId="1" shapeId="0" xr:uid="{DA2AABBF-BF39-47AB-8BCE-E652691704D8}">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F67" authorId="1" shapeId="0" xr:uid="{FA48419E-8602-495D-9DFA-D6E953C1B7EC}">
      <text>
        <r>
          <rPr>
            <b/>
            <sz val="9"/>
            <color indexed="81"/>
            <rFont val="Tahoma"/>
            <family val="2"/>
          </rPr>
          <t xml:space="preserve">Delehanty, Emily - FNS:
Updated </t>
        </r>
        <r>
          <rPr>
            <sz val="9"/>
            <color indexed="81"/>
            <rFont val="Tahoma"/>
            <family val="2"/>
          </rPr>
          <t>citation</t>
        </r>
      </text>
    </comment>
    <comment ref="H67" authorId="1" shapeId="0" xr:uid="{A2022EE7-A8F5-4E17-A071-4E67A16840D1}">
      <text>
        <r>
          <rPr>
            <b/>
            <sz val="9"/>
            <color indexed="81"/>
            <rFont val="Tahoma"/>
            <family val="2"/>
          </rPr>
          <t xml:space="preserve">Delehanty, Emily - FNS:
Updated </t>
        </r>
        <r>
          <rPr>
            <sz val="9"/>
            <color indexed="81"/>
            <rFont val="Tahoma"/>
            <family val="2"/>
          </rPr>
          <t>citation</t>
        </r>
      </text>
    </comment>
    <comment ref="J67" authorId="0" shapeId="0" xr:uid="{53778186-D7AB-465C-944B-831D471AA5F1}">
      <text>
        <r>
          <rPr>
            <b/>
            <sz val="9"/>
            <color indexed="81"/>
            <rFont val="Tahoma"/>
            <family val="2"/>
          </rPr>
          <t>Hoang, Thoa K. - FNS:</t>
        </r>
        <r>
          <rPr>
            <sz val="9"/>
            <color indexed="81"/>
            <rFont val="Tahoma"/>
            <family val="2"/>
          </rPr>
          <t xml:space="preserve">
2018 close out data from the regions showed that around 80.69%. (100-80.69= 19.31) 19.31% x  the number of sponsors
</t>
        </r>
      </text>
    </comment>
    <comment ref="J70" authorId="0" shapeId="0" xr:uid="{A8D43F44-1083-4DA0-AA9E-EC7EA80894D2}">
      <text>
        <r>
          <rPr>
            <b/>
            <sz val="9"/>
            <color indexed="81"/>
            <rFont val="Tahoma"/>
            <family val="2"/>
          </rPr>
          <t>Hoang, Thoa K. - FNS:</t>
        </r>
        <r>
          <rPr>
            <sz val="9"/>
            <color indexed="81"/>
            <rFont val="Tahoma"/>
            <family val="2"/>
          </rPr>
          <t xml:space="preserve">
This number is based on the SNAR081-R1 Analysis Data. NDB FY2018 Thru 7/2018. The number of residential camps as of July 2018. </t>
        </r>
      </text>
    </comment>
    <comment ref="J71" authorId="3" shapeId="0" xr:uid="{9E924CAD-94F2-416B-AEA4-D60ADD14DF87}">
      <text>
        <r>
          <rPr>
            <b/>
            <sz val="9"/>
            <color indexed="81"/>
            <rFont val="Tahoma"/>
            <family val="2"/>
          </rPr>
          <t>bkowtha:
10% of sponsors</t>
        </r>
      </text>
    </comment>
    <comment ref="J72" authorId="0" shapeId="0" xr:uid="{6A09A5D6-197A-4BC4-A335-E36DD22594C0}">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J73" authorId="0" shapeId="0" xr:uid="{ED3EC13E-885A-402E-A62A-62AFB7C0CDED}">
      <text>
        <r>
          <rPr>
            <b/>
            <sz val="9"/>
            <color indexed="81"/>
            <rFont val="Tahoma"/>
            <family val="2"/>
          </rPr>
          <t>Hoang, Thoa K. - FNS:</t>
        </r>
        <r>
          <rPr>
            <sz val="9"/>
            <color indexed="81"/>
            <rFont val="Tahoma"/>
            <family val="2"/>
          </rPr>
          <t xml:space="preserve">
34.93% of sponsors (5,524) would have contracts with FSMC. 1% of these sponsors would sbmit a special request</t>
        </r>
      </text>
    </comment>
    <comment ref="F74" authorId="1" shapeId="0" xr:uid="{0ACB3FDE-1FCD-4732-A4C7-EC4C695AFC60}">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H74" authorId="1" shapeId="0" xr:uid="{27AFBFAA-7D78-4D3D-9632-54661C9BC6CE}">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J74" authorId="0" shapeId="0" xr:uid="{548DAA98-C59D-4210-8875-3E527189626B}">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J84" authorId="0" shapeId="0" xr:uid="{0ACDB217-0EA6-493A-A5CB-67CA038806A4}">
      <text>
        <r>
          <rPr>
            <b/>
            <sz val="9"/>
            <color indexed="81"/>
            <rFont val="Tahoma"/>
            <family val="2"/>
          </rPr>
          <t>Hoang, Thoa K. - FNS:</t>
        </r>
        <r>
          <rPr>
            <sz val="9"/>
            <color indexed="81"/>
            <rFont val="Tahoma"/>
            <family val="2"/>
          </rPr>
          <t xml:space="preserve">
This number is the ADA for residential camps. This was choosen because camps have to determine eligibility of children attending the camps. So a suggestion is to use the ADA of residential camps.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Delehanty, Emily - FNS</author>
    <author>Kowtha, Bramaramba - FNS</author>
    <author>Windows User</author>
    <author>bkowtha</author>
    <author>Hoang, Thoa K. - FNS</author>
  </authors>
  <commentList>
    <comment ref="F5" authorId="0" shapeId="0" xr:uid="{4A496DFF-1F1C-4B54-82FD-82F711F9E2EC}">
      <text>
        <r>
          <rPr>
            <b/>
            <sz val="9"/>
            <color indexed="81"/>
            <rFont val="Tahoma"/>
            <family val="2"/>
          </rPr>
          <t>Delehanty, Emily - FNS:</t>
        </r>
        <r>
          <rPr>
            <sz val="9"/>
            <color indexed="81"/>
            <rFont val="Tahoma"/>
            <family val="2"/>
          </rPr>
          <t xml:space="preserve">
change in citation</t>
        </r>
      </text>
    </comment>
    <comment ref="H5" authorId="0" shapeId="0" xr:uid="{00000000-0006-0000-0100-000001000000}">
      <text>
        <r>
          <rPr>
            <b/>
            <sz val="9"/>
            <color indexed="81"/>
            <rFont val="Tahoma"/>
            <family val="2"/>
          </rPr>
          <t>Delehanty, Emily - FNS:</t>
        </r>
        <r>
          <rPr>
            <sz val="9"/>
            <color indexed="81"/>
            <rFont val="Tahoma"/>
            <family val="2"/>
          </rPr>
          <t xml:space="preserve">
change in citation</t>
        </r>
      </text>
    </comment>
    <comment ref="K6" authorId="1" shapeId="0" xr:uid="{00000000-0006-0000-0100-000002000000}">
      <text>
        <r>
          <rPr>
            <b/>
            <sz val="9"/>
            <color indexed="81"/>
            <rFont val="Tahoma"/>
            <family val="2"/>
          </rPr>
          <t>Kowtha, Bramaramba - FNS:</t>
        </r>
        <r>
          <rPr>
            <sz val="9"/>
            <color indexed="81"/>
            <rFont val="Tahoma"/>
            <family val="2"/>
          </rPr>
          <t xml:space="preserve">
average number of reveiws conducted by each SA per requirements. This is a general estimate. </t>
        </r>
      </text>
    </comment>
    <comment ref="K7" authorId="1" shapeId="0" xr:uid="{00000000-0006-0000-0100-000003000000}">
      <text>
        <r>
          <rPr>
            <b/>
            <sz val="9"/>
            <color indexed="81"/>
            <rFont val="Tahoma"/>
            <family val="2"/>
          </rPr>
          <t>Kowtha, Bramaramba - FNS:</t>
        </r>
        <r>
          <rPr>
            <sz val="9"/>
            <color indexed="81"/>
            <rFont val="Tahoma"/>
            <family val="2"/>
          </rPr>
          <t xml:space="preserve">
avg number</t>
        </r>
      </text>
    </comment>
    <comment ref="K8" authorId="2" shapeId="0" xr:uid="{00000000-0006-0000-0100-000004000000}">
      <text>
        <r>
          <rPr>
            <b/>
            <sz val="9"/>
            <color indexed="81"/>
            <rFont val="Tahoma"/>
            <family val="2"/>
          </rPr>
          <t>bkowtha:
5524</t>
        </r>
        <r>
          <rPr>
            <sz val="9"/>
            <color indexed="81"/>
            <rFont val="Tahoma"/>
            <family val="2"/>
          </rPr>
          <t>/53=104</t>
        </r>
      </text>
    </comment>
    <comment ref="J17" authorId="3" shapeId="0" xr:uid="{00000000-0006-0000-0100-000005000000}">
      <text>
        <r>
          <rPr>
            <b/>
            <sz val="10"/>
            <color indexed="81"/>
            <rFont val="Tahoma"/>
            <family val="2"/>
          </rPr>
          <t>bkowtha:</t>
        </r>
        <r>
          <rPr>
            <sz val="10"/>
            <color indexed="81"/>
            <rFont val="Tahoma"/>
            <family val="2"/>
          </rPr>
          <t xml:space="preserve">
This number is based on the SNAR081-R1 Analysis Data. NDB FY2018 Thru 7/2018. The number of residential camps as of July 2018. </t>
        </r>
      </text>
    </comment>
    <comment ref="J20" authorId="4" shapeId="0" xr:uid="{00000000-0006-0000-0100-000006000000}">
      <text>
        <r>
          <rPr>
            <b/>
            <sz val="9"/>
            <color indexed="81"/>
            <rFont val="Tahoma"/>
            <family val="2"/>
          </rPr>
          <t>Hoang, Thoa K. - FNS:</t>
        </r>
        <r>
          <rPr>
            <sz val="9"/>
            <color indexed="81"/>
            <rFont val="Tahoma"/>
            <family val="2"/>
          </rPr>
          <t xml:space="preserve">
from the characteristic study, FNS knows that 38% of sponsors are closed enrolled or camps. Only camps or closed enrolled sponsors would collect eligiblity information. 5,524 was multiply by 38% to determine this number
</t>
        </r>
        <r>
          <rPr>
            <b/>
            <sz val="9"/>
            <color indexed="81"/>
            <rFont val="Tahoma"/>
            <family val="2"/>
          </rPr>
          <t xml:space="preserve">
</t>
        </r>
      </text>
    </comment>
    <comment ref="K20" authorId="1" shapeId="0" xr:uid="{00000000-0006-0000-0100-000007000000}">
      <text>
        <r>
          <rPr>
            <b/>
            <sz val="9"/>
            <color indexed="81"/>
            <rFont val="Tahoma"/>
            <family val="2"/>
          </rPr>
          <t>Kowtha, Bramaramba - FNS:</t>
        </r>
        <r>
          <rPr>
            <sz val="9"/>
            <color indexed="81"/>
            <rFont val="Tahoma"/>
            <family val="2"/>
          </rPr>
          <t xml:space="preserve">
5524/53=104
</t>
        </r>
      </text>
    </comment>
  </commentList>
</comments>
</file>

<file path=xl/sharedStrings.xml><?xml version="1.0" encoding="utf-8"?>
<sst xmlns="http://schemas.openxmlformats.org/spreadsheetml/2006/main" count="607" uniqueCount="263">
  <si>
    <t>Legend</t>
  </si>
  <si>
    <t>Not included in previously approved ICR</t>
  </si>
  <si>
    <t>Reporting</t>
  </si>
  <si>
    <t>Previously Approved ICR</t>
  </si>
  <si>
    <t>Review of Regulations</t>
  </si>
  <si>
    <t>A</t>
  </si>
  <si>
    <t>B</t>
  </si>
  <si>
    <t>C = (A*B)</t>
  </si>
  <si>
    <t>D</t>
  </si>
  <si>
    <t>E= (C*D)</t>
  </si>
  <si>
    <t>F</t>
  </si>
  <si>
    <t>G =E-F</t>
  </si>
  <si>
    <t>Item in Burden Narrative</t>
  </si>
  <si>
    <t>Requirement in Previously Approved ICR</t>
  </si>
  <si>
    <t>Section of Regulation / Form</t>
  </si>
  <si>
    <t>Title</t>
  </si>
  <si>
    <t>Section of Regulation/ Form</t>
  </si>
  <si>
    <t>Estimated # Respondents</t>
  </si>
  <si>
    <t>Responses per Respondents</t>
  </si>
  <si>
    <t>Total Annual Records</t>
  </si>
  <si>
    <t>Estimated Avg. # of Hours Per Response</t>
  </si>
  <si>
    <t xml:space="preserve">Estimated Total Hours            </t>
  </si>
  <si>
    <t>Current OMB Approved Burden Hrs</t>
  </si>
  <si>
    <t>Previous Burden in Use Without Approval</t>
  </si>
  <si>
    <t>Due to Authorizing Statute</t>
  </si>
  <si>
    <t>Due to Program Adjustment</t>
  </si>
  <si>
    <t>Due to Program Change</t>
  </si>
  <si>
    <t>Total Difference</t>
  </si>
  <si>
    <t>Justification</t>
  </si>
  <si>
    <t xml:space="preserve">Data Validation - List </t>
  </si>
  <si>
    <t>State/Local/Tribal Government Level</t>
  </si>
  <si>
    <t>Yes</t>
  </si>
  <si>
    <t>225.3(b)</t>
  </si>
  <si>
    <t xml:space="preserve">SAs, by November 1 of each fiscal year, notify USDA if it intends to administer the Summer Food Service Program. The agreement shall contain an assurance that the State agency will comply with policy, instructions, guidance, and handbooks issued by FNS . </t>
  </si>
  <si>
    <t>225.4(a)</t>
  </si>
  <si>
    <t>SAs, by Feb. 15 of each year, submit to FNSRO a Program Management and Administration Plan for that fiscal year.</t>
  </si>
  <si>
    <t>SFSP</t>
  </si>
  <si>
    <t xml:space="preserve">225.6(b)(2) </t>
  </si>
  <si>
    <t xml:space="preserve">SAs inform potential sponsors of procedure for advance and administrative cost payments. </t>
  </si>
  <si>
    <t>Add this!</t>
  </si>
  <si>
    <t>225.6(h)(2)</t>
  </si>
  <si>
    <t>SAs develop a standard contract for use by sponsors and FSMCs</t>
  </si>
  <si>
    <t xml:space="preserve">225.7(c) </t>
  </si>
  <si>
    <t>SAs develop and make available to sponsor food specifications and model meal quality standards to be a part of all contracts between vended sponsors and FSMCs.</t>
  </si>
  <si>
    <t xml:space="preserve">            </t>
  </si>
  <si>
    <t>225.7(d)</t>
  </si>
  <si>
    <t>SAs conduct program monitoring assistance, to include pre-approval visits, sponsor reviews, follow-up reviews, development of monitoring system, FSMC facility visits, development of forms, and corrective action.</t>
  </si>
  <si>
    <t>225.7(d)(2)</t>
  </si>
  <si>
    <t>SAs conduct program monitoring assistance for sites.</t>
  </si>
  <si>
    <t>225.7(d)(6), 225.7€</t>
  </si>
  <si>
    <r>
      <t xml:space="preserve">SAs conduct inspections of food service management company. </t>
    </r>
    <r>
      <rPr>
        <sz val="11"/>
        <color rgb="FFFF0000"/>
        <rFont val="Calibri"/>
        <family val="2"/>
      </rPr>
      <t>The SA shall establish an order of priority and promptly respond to compliants. SA may conduct inspections of self-preparation and vended sponsors' food preparation facilities.</t>
    </r>
  </si>
  <si>
    <t>225.7(f)</t>
  </si>
  <si>
    <t xml:space="preserve">SAs establish a financial management system to identify program costs and establish standards for sponsor recordkeeping and reporting. </t>
  </si>
  <si>
    <t>No</t>
  </si>
  <si>
    <t>225.6(c)(5)</t>
  </si>
  <si>
    <t>The SA must determine if a sponsoring organization operates in more than one State.</t>
  </si>
  <si>
    <t xml:space="preserve">225.6(c)(1), 225.6(c)(4), 225.14(a), 225.14(c) </t>
  </si>
  <si>
    <t xml:space="preserve">Sponsors submit written application to SAs for participation in SFSP. The sponsor must demonstrate financial and administrative capability for Program operations and accept final financial and administrative responsibility for total Program operations at all sites at which it proposes to conduct a food service. In order to do so, sponsors must comply with policy, instructions, guidance, and handbooks issued by FNS. </t>
  </si>
  <si>
    <t>225.6(c)(2)</t>
  </si>
  <si>
    <t>New sponsors, new sites, and, as determined by the State agency, sponsors and sites which have experienced significent operational problems, must  submit site information for each site where a food service operation is proposed.</t>
  </si>
  <si>
    <t>225.6(c)(3)</t>
  </si>
  <si>
    <t>Experienced sponsors and experienced sites must  submit site information for each site where a food service operation is proposed.</t>
  </si>
  <si>
    <t>225.6(e), 225.14(c)(7)</t>
  </si>
  <si>
    <t>Sponsors approved for participation in SFSP enter into written agreements with SAs to operate program in accordance with regulatory requirements.</t>
  </si>
  <si>
    <t>225.6(e) &amp; 225.14(c)(7)</t>
  </si>
  <si>
    <t>225.6(h)(2)(iii)</t>
  </si>
  <si>
    <t xml:space="preserve">Sponsors provide FSMC with a list of approved sites, along with the approved level for the number of meals which may be claimed for reimbursement for each site. </t>
  </si>
  <si>
    <t>225.6(h)(3)</t>
  </si>
  <si>
    <t>Sponsors submit requests to SAs for exception to unitizing requirement for certain components of a meal.</t>
  </si>
  <si>
    <t>225.6(h)(5), 225.6(h)(2)</t>
  </si>
  <si>
    <t>Sponsors submit to SAs copies of contracts with FSMC, bids received, and reason for selection on FSMC chosen.</t>
  </si>
  <si>
    <t>225.6(h)(2) &amp; 225.5(h)(5)</t>
  </si>
  <si>
    <t>225.6(n)</t>
  </si>
  <si>
    <t>SAs must determine if a sponsoring organization is an MSSO, as described in paragraphs (b)(1)(xv) and (b)(2)(iii)(L). SAs must assume the role of the CSA, if the MSSOs center of operations is located within the State. Each SA that approves an MSSO must follow the requirements described in paragraph (i).</t>
  </si>
  <si>
    <t>SAs must enter into a permanent written agreement with the MSSO, as described in paragraph (b)(4).</t>
  </si>
  <si>
    <t>SAs must approve the MSSOs administrative budget.</t>
  </si>
  <si>
    <t>SAs must provide summaries of the MSSO reviews that are conducted to the CSA. If the SA chooses to conduct a full review, the SA should request the necessary records from the CSA.</t>
  </si>
  <si>
    <t>SAs must conduct audit resolution activities. The SA must review audit reports, address audit findings, and implement corrective actions, as required under 2 CFR part 200, subpart D, and USDA implementing regulations 2 CFR 400 and 415.</t>
  </si>
  <si>
    <t>SAs  notify all other State agencies that have agreements with the MSSO of termination and disqualification actions, as described in paragraph (c)(2)(i).</t>
  </si>
  <si>
    <t>If it determines that an MSSOs center of operations is located within the State, the SA must assume the role of the CSA.</t>
  </si>
  <si>
    <t>If an MSSO has for-profit status, the cognizant agency must establish audit thresholds and requirements.</t>
  </si>
  <si>
    <t xml:space="preserve">The State agency must review sponsors and sites to ensure compliance with Program regulations. Per policy guidance, State agencies must validate 100% of claims for sponsors under review. </t>
  </si>
  <si>
    <t>225.8(d)(1)</t>
  </si>
  <si>
    <t>SAs submit to FNSRO a list of names and addresses of potential private nonprofit organizations and for each site, the address, first day of operation, and estimated daily attendance by May 1 each year.</t>
  </si>
  <si>
    <t>225.8(d)(2)</t>
  </si>
  <si>
    <t>SAs, within 5 days of approval of sponsors, must notify FNSROs of sponsors, approved sites, locations, and days of operation and estimated daily attendance.</t>
  </si>
  <si>
    <t>Seamless Summer</t>
  </si>
  <si>
    <t>225.9(b)(2)</t>
  </si>
  <si>
    <t>SAs prepare and submit a list sponsors eligible to receive commodities and daily number of eligible means to be served by each sponsor by June 1.</t>
  </si>
  <si>
    <t>225.9(d)(4)</t>
  </si>
  <si>
    <t xml:space="preserve">SAs forward reimbursements for valid claims. </t>
  </si>
  <si>
    <t>SAs arrange for audits of their own operations per 7 CFR Part 3015.</t>
  </si>
  <si>
    <t>225.12(a)</t>
  </si>
  <si>
    <t>SAs establish claims against sponsors and recover payment not properly payable.</t>
  </si>
  <si>
    <t>225.13 (a)</t>
  </si>
  <si>
    <t>SAs establish hearing appeal procedures.</t>
  </si>
  <si>
    <t>SAs make available to sponsors information on procurement standards.</t>
  </si>
  <si>
    <t>225.15(j)</t>
  </si>
  <si>
    <t>SAs that plan to use or disclose information in ways not permitted must obtain written consent form parent/guardian.</t>
  </si>
  <si>
    <t>225.15(k)</t>
  </si>
  <si>
    <t>SAs should enter into written agreement with party requesting disclosure information.</t>
  </si>
  <si>
    <t>225.8(b)</t>
  </si>
  <si>
    <t>SAs submit to FNS a final report on SFSP operations for each month of operations</t>
  </si>
  <si>
    <t>225.13(a)</t>
  </si>
  <si>
    <t>SAs must establish a procedure to be followed by an applicant appealing for a fair hearing.</t>
  </si>
  <si>
    <t>225.15(d)(2)</t>
  </si>
  <si>
    <t>Sponsors must visit each of their sites at least once during the first week of operation under the Program.</t>
  </si>
  <si>
    <t>225.15(d)(3)</t>
  </si>
  <si>
    <t>Sponsors must review food service operations for all sites at least once during the first 4 weeks of Program operations, and thereafter maintain a reasonable level of monitoring.</t>
  </si>
  <si>
    <t>225.16(a)</t>
  </si>
  <si>
    <t>Within two weeks of receiving notification of their approval, sponsors shall submit to the State agency a copy of their letter advising the appropriate health department of their intention to provide a food service during a specific period at specific sites.</t>
  </si>
  <si>
    <t>225.18(a)(2)(i) and 225.18(a)(3)</t>
  </si>
  <si>
    <t>SAs must identify serious management problems and define a set of standands to help measure the severity of a problem to determine what rises to the level of a serious management problem and how it affects the sponsor or facility's ability to meet Program requirements.</t>
  </si>
  <si>
    <t>225.18(a)(2)(ii) and 225.18(a)(6)(i)</t>
  </si>
  <si>
    <t>225.18(a)(2)(iii) and 225.18(c)(2)(ii)</t>
  </si>
  <si>
    <t>SAs must receive and approve the corrective action plan within 15 days from the date the sponsor received the notice and monitor the full implementation of the corrective action plan.</t>
  </si>
  <si>
    <t>225.18(a)(2)(iv) and 225.18(a)(6)(ii)</t>
  </si>
  <si>
    <t>If corrective action has been taken to fully correct each serious management problem, SAs must notify a sponsor's executive director and chairman of the board of directors, and RPIs, that the serious management problem has been vacated. If corrective action has not been taken or fully implemented, the SA must notify the sponsor of its proposed termination and disqualification. The notice must inform the sponsor, responsible principals, and responsible individuals of the right and procedures for seeking a fair hearing.</t>
  </si>
  <si>
    <t>SAs must submit written documentation to the hearing official prior to the beginning of the hearing, within 30 days after receiving the notice of action.</t>
  </si>
  <si>
    <t>225.18(a)(2)(v) and 225.18(f)(2)</t>
  </si>
  <si>
    <t>225.18(a)(2)(vi) and 225.18(a)(6)(iii)</t>
  </si>
  <si>
    <t>SAs must notify a sponsor's executive director and chairman of the board that serious management problems have been vacated and advise the institution that procedures and policies must be fully implemented to correct the serious management problem if the sponsor's appeal is upheld. If the sponsor's appeal is denied, the sponsor must be notified that the program agreement is terminated and declared seriously deficient.</t>
  </si>
  <si>
    <t>225.18(c)(3)</t>
  </si>
  <si>
    <t>SAs must conduct and prioritize follow-up reviews and more frequent full reviews of sponsors with serious management problems, including one full review occurring at least once every year.</t>
  </si>
  <si>
    <t>225.18(d)(2)</t>
  </si>
  <si>
    <t>225.18(e)(2)(iii)</t>
  </si>
  <si>
    <t>If all serious management problems have been corrected and all debts have been repaid, SAs may elect to remove a sponsor and RPIs from the National Disqualified List, and must submit all requests for early removals to the appropriate FNSRO.</t>
  </si>
  <si>
    <t>225.18(e)(3)(ii)</t>
  </si>
  <si>
    <t>SAs must enter into written agreements with FNS, consistent with 5 U.S.C. 552a(o) of the CMA, in order to participate in a matching program involving a FNS Federal system of records.</t>
  </si>
  <si>
    <t>225.18(g)(2)</t>
  </si>
  <si>
    <t>SAs must send a necessary demand letter for the collection of unearned payments, including any assessment of interest, as described in 225.12(b), and refer the claim to the appropriate State authority for pursuit of the debt payment. SAs must assess interest on sponsors' debts established on or after July 29, 2002, based on the Current Value of Funds Rate, which is published annually by Treasury in the Federal Reserve and is available from the FNSRO, and notify the sponsor that interest will be charged on debts not paid in full within 30 days of the inital demand for remittance up to the date of payment.</t>
  </si>
  <si>
    <t>225.18(b)(2)</t>
  </si>
  <si>
    <t>SAs notify terminated sponsors in writing.</t>
  </si>
  <si>
    <t>Pre-existing requirement. Moved and incorporated into the SD process for SFSP (the only thing that has changed is the regulatory cite).</t>
  </si>
  <si>
    <t>225.18(c)(1)</t>
  </si>
  <si>
    <t>Sponsors must describe and document the action taken to correct each serious management problem in a corrective action plan and submit it to the SA.</t>
  </si>
  <si>
    <t>State/Local/Tribal Governments</t>
  </si>
  <si>
    <t>Businesses (Non-profit Institutions and Camps)</t>
  </si>
  <si>
    <t xml:space="preserve">Sponsors submit written application to SAs for participation in SFSP. The sponsor must demonstrates financial and administrative capability for Program operations and accepts final financial and administrative responsibility for total Program operations at all sites at which it proposes to conduct a food service. In order to do so, sponsors must comply with policy, instructions, guidance, and handbooks issued by FNS . </t>
  </si>
  <si>
    <t>Camps submit copy of hearing procedures.</t>
  </si>
  <si>
    <t>Sponsors that plan to use or disclose info in ways not permitted by law must obtain written consent from parent/guardian.</t>
  </si>
  <si>
    <t>Sponsors should enter into written agreement with the party eligibility information.</t>
  </si>
  <si>
    <t>Camps and other distribute free meal applications to children enrolled in SFSP.</t>
  </si>
  <si>
    <t>Sponsors must describe and document the actions taken to correct each serious management problem in a corrective action plan and submit it to the SA.</t>
  </si>
  <si>
    <t>Households</t>
  </si>
  <si>
    <t>225.15(f)</t>
  </si>
  <si>
    <t>Households read instructions, complete free meal and return to camps and sites.</t>
  </si>
  <si>
    <t>Households provide written consent for sponsors to use or disclose information.</t>
  </si>
  <si>
    <t xml:space="preserve"> Total Reporting Burden</t>
  </si>
  <si>
    <t>Program Rule</t>
  </si>
  <si>
    <t>Number of Responses</t>
  </si>
  <si>
    <t>SLT Burden</t>
  </si>
  <si>
    <t>Business Burden</t>
  </si>
  <si>
    <t>Household Burden</t>
  </si>
  <si>
    <t>Total</t>
  </si>
  <si>
    <t>Recordkeeping</t>
  </si>
  <si>
    <t>Section of Regulation/Form</t>
  </si>
  <si>
    <t>Estimated # Recordkeepers</t>
  </si>
  <si>
    <t>Records Per Recordkeeper</t>
  </si>
  <si>
    <t>Estimated Avg. # of Hours Per Record</t>
  </si>
  <si>
    <t>Due to an adjustment</t>
  </si>
  <si>
    <t>Due to program change</t>
  </si>
  <si>
    <t>225.8 (a), 225.7(d)(5), 225.13(d)</t>
  </si>
  <si>
    <t>SAs maintain complete and accurate accounting records appeals for three years.</t>
  </si>
  <si>
    <t>1.  Reviews</t>
  </si>
  <si>
    <t>2.  Appeals</t>
  </si>
  <si>
    <t>3.  Accounting</t>
  </si>
  <si>
    <t>SAs that plan to use or disclose information in ways not permitted must obtain written consent parent/guardian.</t>
  </si>
  <si>
    <t>SA should enter into written agreement with party requesting disclosure information.</t>
  </si>
  <si>
    <t>225.18(i)(2)</t>
  </si>
  <si>
    <t>SA documents the process used to determine the data and report that process to FNS on or before March 1 of each year.</t>
  </si>
  <si>
    <t>225.15 (c), 225.15 (a), 225.15(g)</t>
  </si>
  <si>
    <t>Sponsors must maintain records which justify all costs and meals claimed.</t>
  </si>
  <si>
    <t>225.6(c)(5)(xii)</t>
  </si>
  <si>
    <t>Camps must maintain a written record of hearing for 3 years.</t>
  </si>
  <si>
    <t>Sponsors should enter into written agreement with the party requesting eligibility information</t>
  </si>
  <si>
    <t>225.16(b)(1)</t>
  </si>
  <si>
    <t>Camps and sponsors must maintain copies of the documentation establishing the eligibility of child receiving meals and all other meal service requirement information.</t>
  </si>
  <si>
    <t xml:space="preserve"> Total Recordkeeping Burden</t>
  </si>
  <si>
    <t>Public Disclosure</t>
  </si>
  <si>
    <t>Disclosures Per Respondent</t>
  </si>
  <si>
    <t>Total Annual Disclosures</t>
  </si>
  <si>
    <t>Estimated Avg. # of Hours Per Disclosure</t>
  </si>
  <si>
    <t>Due to a program change</t>
  </si>
  <si>
    <t>225.15(e)</t>
  </si>
  <si>
    <t>Per policy guidance, State agency can issue a media release on behalf of the sponsor.</t>
  </si>
  <si>
    <t>Each sponsor shall annually announce in the media serving the area from which it draws its attendance the availability of free meals</t>
  </si>
  <si>
    <t>Businesses (Non-Profit Institutions and Camps)</t>
  </si>
  <si>
    <t xml:space="preserve"> Total Public Disclosure Burden</t>
  </si>
  <si>
    <t>S/L/T Burden</t>
  </si>
  <si>
    <t>ICR #0584-0280, 7 CFR Part 225, Summer Food Service Program (SFSP) - Summary</t>
  </si>
  <si>
    <t xml:space="preserve"> </t>
  </si>
  <si>
    <t>Responses Per Respondent</t>
  </si>
  <si>
    <t>Total Annual Responses (Col. BxC)</t>
  </si>
  <si>
    <t>Estimated Total Hours (Col. DxE)</t>
  </si>
  <si>
    <t>Previously Approved Burden Hours</t>
  </si>
  <si>
    <t>Change in Burden Hours Due to an Adjustment</t>
  </si>
  <si>
    <t>Change in Burden Hours Due to Program Change</t>
  </si>
  <si>
    <t>Total Difference in Burden Hours</t>
  </si>
  <si>
    <t xml:space="preserve">Recordkeeping </t>
  </si>
  <si>
    <t xml:space="preserve">State/Local/Tribal Government </t>
  </si>
  <si>
    <t xml:space="preserve">Businessess </t>
  </si>
  <si>
    <t xml:space="preserve">Total Recordkeeping Total </t>
  </si>
  <si>
    <t xml:space="preserve">Reporting </t>
  </si>
  <si>
    <t xml:space="preserve">Total Reporting Total </t>
  </si>
  <si>
    <t xml:space="preserve">Total Public Disclosure Total </t>
  </si>
  <si>
    <t>TOTAL BURDEN FOR SFSP</t>
  </si>
  <si>
    <t>State and Local Government Level</t>
  </si>
  <si>
    <t>State/Local/Tribal Government Agencies</t>
  </si>
  <si>
    <t>=</t>
  </si>
  <si>
    <t>hours</t>
  </si>
  <si>
    <t>x</t>
  </si>
  <si>
    <t>Subtotal</t>
  </si>
  <si>
    <t>Business Level</t>
  </si>
  <si>
    <t>Non-profit Institutions and Camps</t>
  </si>
  <si>
    <t>Household Level</t>
  </si>
  <si>
    <t>Subtotal All Respondents</t>
  </si>
  <si>
    <t>Fringe/overhead (0.33)</t>
  </si>
  <si>
    <t>Total cost to public:</t>
  </si>
  <si>
    <t>Summer Food Service Program (SFSP) ICR Labor Rates (OMB Control No. 0584-0280)</t>
  </si>
  <si>
    <t>Type of Respondent</t>
  </si>
  <si>
    <t>Estimate in Previously Approved ICR</t>
  </si>
  <si>
    <t>Updated Estimate</t>
  </si>
  <si>
    <t>UNLOADED Loaded Hourly Wage Rate</t>
  </si>
  <si>
    <t>Data Source</t>
  </si>
  <si>
    <t>-</t>
  </si>
  <si>
    <t>U.S. Department of Labor. Available at http://www.dol.gov/whd/minimumwage.htm, last accessed on July 21, 2023.</t>
  </si>
  <si>
    <t xml:space="preserve">Date </t>
  </si>
  <si>
    <t xml:space="preserve">User Initials </t>
  </si>
  <si>
    <t xml:space="preserve">Comments </t>
  </si>
  <si>
    <t>Sponsoring organizations that are approved to operate the Program in more than one State must provide: the number of affiliated sites it operates, by State; the number of unaffiliated sites it operates; the names, addresses, and phone numbers of the organization's headquarters and the officials who have administrative responsibility; and the names, addresses, and phone numbers of the financial records center and the officals who have financial responsibilty.</t>
  </si>
  <si>
    <t>225.18(e)(3)(iii)(B)</t>
  </si>
  <si>
    <t>SAs may request FNS to waive the two-step independent verification and notice requirement of the CMA.</t>
  </si>
  <si>
    <t>SAs must maintain a SA list and must include the following information: 1.) Names and mailing addresses of each sponsor that is determined to have a serious management problem; 2.) Names, mailing addresses, and dates of birth of each responsible principals and responsible individuals (RPIs); and 3.) The status of the sponsor as it progresses through the stages of corrective action, termination, suspension, and disqualification, as applicable. (Forms FNS-843 and FNS-844.)</t>
  </si>
  <si>
    <t>225.18(b)</t>
  </si>
  <si>
    <t>SAs must notify an sponsor's executive director and chairman of the board of directors, and RPIs, that serious management problems have been identified, must be addressed, and corrected. The notice must include all of the necessary information and the SA must add the sponsor and RPIs to the SA list and provide a copy of the notice to the appropriate FNSRO.</t>
  </si>
  <si>
    <t xml:space="preserve">Hearing official must hold hearing, in addition to a review of written information upon written request for a fair hearing by the sponsor, responsible principals, or responsible individuals,  to determine that the SA or sponsor followed Program requirements in taking action under appeal.   </t>
  </si>
  <si>
    <t>225.6(n)(1)(i)</t>
  </si>
  <si>
    <t>225.6(n)(1)(ii)</t>
  </si>
  <si>
    <t xml:space="preserve">SAs must conduct monitoring of MSSO Program operations within the State, as described in paragraph (k)(4) and should coordinate monitoring with the CSA to streamline reviews and minimize duplication of the review content.  The SA may base the review cycle on the number of facilities operating within the State. </t>
  </si>
  <si>
    <t>225.6(n)(1)(iii)</t>
  </si>
  <si>
    <t>225.6(n)(1)(iii)(C)</t>
  </si>
  <si>
    <t>225.6(n)(1)(iv)</t>
  </si>
  <si>
    <t>225.6(n)(1)(v)</t>
  </si>
  <si>
    <t>225.6(n)(2)</t>
  </si>
  <si>
    <t>225.6(n)(2)(iii)</t>
  </si>
  <si>
    <t>The CSA must conduct a full review at the MSSO headquarters and financial records center. The CSA must coordinate the timing of the reviews and make copies of monitoring reports and findings available to all other State agencies that have agreements with the MSSO.</t>
  </si>
  <si>
    <t>225.6(n)(2)(iv)</t>
  </si>
  <si>
    <t>225.18(a)(2)(v) and 225.18(f)(1)(iii)(E)</t>
  </si>
  <si>
    <t>225.18(h)(2)(i)</t>
  </si>
  <si>
    <t>The CSA must conduct a full review at the MSSO headquarters and financial records center. The CSA must coordinate the timing of reviews and make copies of monitoring reports and findings available to all other State agencies that have agreements with the MSSO.</t>
  </si>
  <si>
    <t>Attachment F: SFSP ICR Burden Estimates</t>
  </si>
  <si>
    <t>SAs must develop a contingency plan to ensure that eligible participants continue to have access to meal service</t>
  </si>
  <si>
    <t xml:space="preserve">SAs must terminate for cause the Program agreement no later than 45 days after the date of the sponsor's disqualification by FNS.  </t>
  </si>
  <si>
    <t>Camps and sponsors must maintain copies of the documentation establishing the eligibility of children receiving meals and all other meal service requirement information.</t>
  </si>
  <si>
    <t>Bureau of Labor Statistics (BLS) Occupational Employment and Wages Statistics data from May 2023; Occupation Code 11-9031 Education and Childcare Administrators, Preschool and Daycare; Mean Hourly Wage Rate for State Government = $50.16. Available at https://www.bls.gov/oes/current/naics4_999200.htm#11-0000, last accessed on May 20, 2024.</t>
  </si>
  <si>
    <t>Bureau of Labor Statistics (BLS) Occupational Employment and Wages Statistics data from May 2023; Occupation Code 39-9011 Childcare Workers; Mean Hourly Wage Rate = $15.42. Available at https://www.bls.gov/oes/current/oes_nat.htm#00-0000, last accessed on May 20, 2024.</t>
  </si>
  <si>
    <t>Total cost of proposed rule:</t>
  </si>
  <si>
    <t>Currently approved costs for OMB # 0584-0280:</t>
  </si>
  <si>
    <t xml:space="preserve">Sponsors submit written application to SAs for participation in SFSP. The sponsor must demonstrate financial and administrative capability for Program operations and accepts final financial and administrative responsibility for total Program operations at all sites at which it proposes to conduct a food service. In order to do so, sponsors must comply with policy, instructions, guidance, and handbooks issued by FNS . </t>
  </si>
  <si>
    <t>225.16(f)(3)</t>
  </si>
  <si>
    <t>Summer Food Service Program Sponsors maintain documentation demonstrating that service sites qualify for the menu planning option to serve vegetables to meet the grains requirement by serving primarily American Indian and Alaska Native children.</t>
  </si>
  <si>
    <t>Households enrolled in camps or closed enrolled sites read instructions, complete free meal and return to camps and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</si>
</sst>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1" formatCode="_(* #,##0_);_(* \(#,##0\);_(* &quot;-&quot;_);_(@_)"/>
    <numFmt numFmtId="43" formatCode="_(* #,##0.00_);_(* \(#,##0.00\);_(* &quot;-&quot;??_);_(@_)"/>
    <numFmt numFmtId="164" formatCode="_(* #,##0_);_(* \(#,##0\);_(* &quot;-&quot;??_);_(@_)"/>
    <numFmt numFmtId="165" formatCode="_(* #,##0.0_);_(* \(#,##0.0\);_(* &quot;-&quot;??_);_(@_)"/>
    <numFmt numFmtId="166" formatCode="m/d/yy;@"/>
    <numFmt numFmtId="167" formatCode="#,##0.0000000_);\(#,##0.0000000\)"/>
    <numFmt numFmtId="168" formatCode="_(* #,##0.00000_);_(* \(#,##0.00000\);_(* &quot;-&quot;??_);_(@_)"/>
    <numFmt numFmtId="169" formatCode="_(* #,##0.000000_);_(* \(#,##0.000000\);_(* &quot;-&quot;??_);_(@_)"/>
    <numFmt numFmtId="170" formatCode="#,##0.000000_);\(#,##0.000000\)"/>
    <numFmt numFmtId="171" formatCode="#,##0.00\ [$€-1];[Red]\-#,##0.00\ [$€-1]"/>
    <numFmt numFmtId="172" formatCode="&quot;$&quot;#,##0.00"/>
    <numFmt numFmtId="173" formatCode="#,##0.000"/>
    <numFmt numFmtId="174" formatCode="&quot;$&quot;#,##0"/>
  </numFmts>
  <fonts count="47"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name val="Cambria"/>
      <family val="1"/>
      <scheme val="major"/>
    </font>
    <font>
      <sz val="8"/>
      <color indexed="8"/>
      <name val="Cambria"/>
      <family val="1"/>
      <scheme val="major"/>
    </font>
    <font>
      <sz val="10"/>
      <color theme="0"/>
      <name val="Cambria"/>
      <family val="1"/>
      <scheme val="major"/>
    </font>
    <font>
      <sz val="10"/>
      <color indexed="8"/>
      <name val="Cambria"/>
      <family val="1"/>
      <scheme val="major"/>
    </font>
    <font>
      <sz val="10"/>
      <color indexed="8"/>
      <name val="Calibri"/>
      <family val="2"/>
      <scheme val="minor"/>
    </font>
    <font>
      <b/>
      <sz val="12"/>
      <color indexed="8"/>
      <name val="Cambria"/>
      <family val="1"/>
      <scheme val="major"/>
    </font>
    <font>
      <sz val="11"/>
      <color indexed="8"/>
      <name val="Cambria"/>
      <family val="1"/>
      <scheme val="major"/>
    </font>
    <font>
      <sz val="8"/>
      <name val="Cambria"/>
      <family val="1"/>
      <scheme val="major"/>
    </font>
    <font>
      <b/>
      <sz val="12"/>
      <name val="Cambria"/>
      <family val="1"/>
      <scheme val="major"/>
    </font>
    <font>
      <b/>
      <sz val="12"/>
      <name val="Calibri"/>
      <family val="2"/>
      <scheme val="minor"/>
    </font>
    <font>
      <sz val="11"/>
      <name val="Calibri"/>
      <family val="2"/>
      <scheme val="minor"/>
    </font>
    <font>
      <sz val="12"/>
      <color theme="1"/>
      <name val="Calibri"/>
      <family val="2"/>
      <scheme val="minor"/>
    </font>
    <font>
      <b/>
      <sz val="11"/>
      <name val="Calibri"/>
      <family val="2"/>
      <scheme val="minor"/>
    </font>
    <font>
      <b/>
      <sz val="11"/>
      <color theme="3" tint="-0.249977111117893"/>
      <name val="Calibri"/>
      <family val="2"/>
      <scheme val="minor"/>
    </font>
    <font>
      <sz val="11"/>
      <color theme="1"/>
      <name val="Calibri"/>
      <family val="2"/>
    </font>
    <font>
      <sz val="11"/>
      <name val="Calibri"/>
      <family val="2"/>
    </font>
    <font>
      <sz val="9"/>
      <color indexed="81"/>
      <name val="Tahoma"/>
      <family val="2"/>
    </font>
    <font>
      <b/>
      <sz val="9"/>
      <color indexed="81"/>
      <name val="Tahoma"/>
      <family val="2"/>
    </font>
    <font>
      <sz val="10"/>
      <color indexed="81"/>
      <name val="Tahoma"/>
      <family val="2"/>
    </font>
    <font>
      <b/>
      <sz val="10"/>
      <color indexed="81"/>
      <name val="Tahoma"/>
      <family val="2"/>
    </font>
    <font>
      <sz val="11"/>
      <color theme="1"/>
      <name val="Calibri"/>
      <family val="2"/>
      <scheme val="minor"/>
    </font>
    <font>
      <sz val="12"/>
      <color indexed="8"/>
      <name val="Calibri"/>
      <family val="2"/>
      <scheme val="minor"/>
    </font>
    <font>
      <sz val="11"/>
      <color indexed="81"/>
      <name val="Tahoma"/>
      <family val="2"/>
    </font>
    <font>
      <b/>
      <sz val="11"/>
      <name val="Calibri"/>
      <family val="2"/>
    </font>
    <font>
      <sz val="11"/>
      <color rgb="FF006100"/>
      <name val="Calibri"/>
      <family val="2"/>
      <scheme val="minor"/>
    </font>
    <font>
      <sz val="11"/>
      <color rgb="FF9C5700"/>
      <name val="Calibri"/>
      <family val="2"/>
      <scheme val="minor"/>
    </font>
    <font>
      <b/>
      <sz val="20"/>
      <color theme="1"/>
      <name val="Calibri"/>
      <family val="2"/>
    </font>
    <font>
      <b/>
      <sz val="11"/>
      <color theme="1"/>
      <name val="Calibri"/>
      <family val="2"/>
    </font>
    <font>
      <sz val="11"/>
      <color indexed="8"/>
      <name val="Calibri"/>
      <family val="2"/>
    </font>
    <font>
      <b/>
      <sz val="11"/>
      <color indexed="8"/>
      <name val="Calibri"/>
      <family val="2"/>
    </font>
    <font>
      <b/>
      <sz val="20"/>
      <color theme="1"/>
      <name val="Calibri"/>
      <family val="2"/>
      <scheme val="minor"/>
    </font>
    <font>
      <sz val="11"/>
      <color indexed="8"/>
      <name val="Calibri"/>
      <family val="2"/>
      <scheme val="minor"/>
    </font>
    <font>
      <b/>
      <sz val="11"/>
      <color indexed="8"/>
      <name val="Calibri"/>
      <family val="2"/>
      <scheme val="minor"/>
    </font>
    <font>
      <b/>
      <sz val="11"/>
      <color rgb="FFFF0000"/>
      <name val="Calibri"/>
      <family val="2"/>
      <scheme val="minor"/>
    </font>
    <font>
      <b/>
      <i/>
      <sz val="12"/>
      <color theme="1"/>
      <name val="Calibri"/>
      <family val="2"/>
      <scheme val="minor"/>
    </font>
    <font>
      <sz val="11"/>
      <color rgb="FFFF0000"/>
      <name val="Calibri"/>
      <family val="2"/>
      <scheme val="minor"/>
    </font>
    <font>
      <sz val="11"/>
      <color rgb="FFFF0000"/>
      <name val="Calibri"/>
      <family val="2"/>
    </font>
    <font>
      <sz val="11"/>
      <color theme="0"/>
      <name val="Calibri"/>
      <family val="2"/>
      <scheme val="minor"/>
    </font>
    <font>
      <sz val="11"/>
      <color rgb="FF000000"/>
      <name val="Calibri"/>
      <family val="2"/>
      <scheme val="minor"/>
    </font>
    <font>
      <sz val="10"/>
      <color indexed="8"/>
      <name val="Cambria"/>
      <family val="1"/>
      <scheme val="major"/>
    </font>
  </fonts>
  <fills count="2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rgb="FF76933C"/>
        <bgColor indexed="64"/>
      </patternFill>
    </fill>
    <fill>
      <patternFill patternType="solid">
        <fgColor rgb="FFBFBFBF"/>
        <bgColor indexed="64"/>
      </patternFill>
    </fill>
    <fill>
      <patternFill patternType="solid">
        <fgColor rgb="FF95B3D7"/>
        <bgColor indexed="64"/>
      </patternFill>
    </fill>
    <fill>
      <patternFill patternType="solid">
        <fgColor rgb="FFD8E4BC"/>
        <bgColor indexed="64"/>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0" tint="-0.249977111117893"/>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1">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7" fillId="0" borderId="0" applyFont="0" applyFill="0" applyBorder="0" applyAlignment="0" applyProtection="0"/>
    <xf numFmtId="0" fontId="31" fillId="18" borderId="0" applyNumberFormat="0" applyBorder="0" applyAlignment="0" applyProtection="0"/>
    <xf numFmtId="0" fontId="32" fillId="19" borderId="0" applyNumberFormat="0" applyBorder="0" applyAlignment="0" applyProtection="0"/>
  </cellStyleXfs>
  <cellXfs count="527">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0" fontId="3" fillId="0" borderId="0" xfId="4"/>
    <xf numFmtId="0" fontId="11" fillId="2" borderId="2" xfId="1" applyFont="1" applyFill="1" applyBorder="1" applyAlignment="1">
      <alignment horizontal="center" vertical="center" wrapText="1"/>
    </xf>
    <xf numFmtId="0" fontId="10" fillId="0" borderId="0" xfId="0" applyFont="1" applyAlignment="1">
      <alignment vertical="center"/>
    </xf>
    <xf numFmtId="164" fontId="10" fillId="0" borderId="0" xfId="3" applyNumberFormat="1" applyFont="1" applyBorder="1" applyAlignment="1">
      <alignment vertical="center"/>
    </xf>
    <xf numFmtId="164" fontId="10" fillId="0" borderId="0" xfId="3" applyNumberFormat="1" applyFont="1" applyFill="1" applyBorder="1" applyAlignment="1">
      <alignment vertical="center"/>
    </xf>
    <xf numFmtId="0" fontId="10" fillId="0" borderId="0" xfId="0" applyFont="1" applyAlignment="1">
      <alignment horizontal="left" vertical="center"/>
    </xf>
    <xf numFmtId="0" fontId="9" fillId="3" borderId="0" xfId="0" applyFont="1" applyFill="1" applyAlignment="1">
      <alignment horizontal="left" vertical="center"/>
    </xf>
    <xf numFmtId="0" fontId="8" fillId="7" borderId="0" xfId="0" applyFont="1" applyFill="1" applyAlignment="1">
      <alignment horizontal="center" vertical="center" wrapText="1"/>
    </xf>
    <xf numFmtId="0" fontId="12" fillId="7" borderId="0" xfId="0" applyFont="1" applyFill="1" applyAlignment="1">
      <alignment horizontal="center" vertical="center" wrapText="1"/>
    </xf>
    <xf numFmtId="0" fontId="10" fillId="2" borderId="4" xfId="0" applyFont="1" applyFill="1" applyBorder="1" applyAlignment="1">
      <alignment horizontal="center" vertical="center" wrapText="1"/>
    </xf>
    <xf numFmtId="0" fontId="14" fillId="8" borderId="0" xfId="0" applyFont="1" applyFill="1" applyAlignment="1">
      <alignment horizontal="center" vertical="center" wrapText="1"/>
    </xf>
    <xf numFmtId="0" fontId="15" fillId="8" borderId="0" xfId="0" applyFont="1" applyFill="1" applyAlignment="1">
      <alignment horizontal="center" vertical="center" wrapText="1"/>
    </xf>
    <xf numFmtId="0" fontId="1" fillId="9" borderId="16" xfId="0" applyFont="1" applyFill="1" applyBorder="1" applyAlignment="1">
      <alignment horizontal="center"/>
    </xf>
    <xf numFmtId="0" fontId="0" fillId="9" borderId="17" xfId="0" applyFill="1" applyBorder="1"/>
    <xf numFmtId="0" fontId="0" fillId="9" borderId="17" xfId="0" applyFill="1" applyBorder="1" applyAlignment="1">
      <alignment horizontal="center"/>
    </xf>
    <xf numFmtId="0" fontId="10" fillId="6" borderId="0" xfId="0" applyFont="1" applyFill="1" applyAlignment="1">
      <alignment vertical="center"/>
    </xf>
    <xf numFmtId="164" fontId="10" fillId="6" borderId="4" xfId="3" applyNumberFormat="1" applyFont="1" applyFill="1" applyBorder="1" applyAlignment="1">
      <alignment vertical="center"/>
    </xf>
    <xf numFmtId="0" fontId="11" fillId="2" borderId="0" xfId="1" applyFont="1" applyFill="1" applyAlignment="1">
      <alignment horizontal="center" vertical="center" wrapText="1"/>
    </xf>
    <xf numFmtId="43" fontId="6" fillId="9" borderId="13" xfId="3" applyFont="1" applyFill="1" applyBorder="1" applyAlignment="1" applyProtection="1">
      <alignment vertical="center" wrapText="1"/>
    </xf>
    <xf numFmtId="43" fontId="16" fillId="9" borderId="14" xfId="3" applyFont="1" applyFill="1" applyBorder="1" applyAlignment="1" applyProtection="1">
      <alignment horizontal="right" vertical="center"/>
    </xf>
    <xf numFmtId="0" fontId="18" fillId="11" borderId="23" xfId="0" applyFont="1" applyFill="1" applyBorder="1" applyAlignment="1">
      <alignment horizontal="center" vertical="center" wrapText="1"/>
    </xf>
    <xf numFmtId="0" fontId="18" fillId="11" borderId="24" xfId="0" applyFont="1" applyFill="1" applyBorder="1" applyAlignment="1">
      <alignment horizontal="center" vertical="center" wrapText="1"/>
    </xf>
    <xf numFmtId="0" fontId="2" fillId="0" borderId="0" xfId="4" applyFont="1"/>
    <xf numFmtId="0" fontId="0" fillId="0" borderId="18" xfId="0" applyBorder="1"/>
    <xf numFmtId="0" fontId="20" fillId="0" borderId="7" xfId="0" applyFont="1" applyBorder="1" applyAlignment="1">
      <alignment horizontal="center"/>
    </xf>
    <xf numFmtId="0" fontId="20" fillId="0" borderId="16" xfId="0" applyFont="1" applyBorder="1" applyAlignment="1">
      <alignment horizontal="center"/>
    </xf>
    <xf numFmtId="0" fontId="20" fillId="0" borderId="0" xfId="0" applyFont="1"/>
    <xf numFmtId="166" fontId="0" fillId="0" borderId="19" xfId="0" applyNumberFormat="1" applyBorder="1"/>
    <xf numFmtId="166" fontId="0" fillId="0" borderId="25" xfId="0" applyNumberFormat="1" applyBorder="1"/>
    <xf numFmtId="39" fontId="6" fillId="9" borderId="14" xfId="3" applyNumberFormat="1" applyFont="1" applyFill="1" applyBorder="1" applyProtection="1"/>
    <xf numFmtId="37" fontId="6" fillId="9" borderId="14" xfId="3" applyNumberFormat="1" applyFont="1" applyFill="1" applyBorder="1" applyProtection="1"/>
    <xf numFmtId="3" fontId="5" fillId="11" borderId="1" xfId="3" applyNumberFormat="1" applyFont="1" applyFill="1" applyBorder="1" applyAlignment="1" applyProtection="1">
      <alignment vertical="center"/>
    </xf>
    <xf numFmtId="0" fontId="22" fillId="0" borderId="1" xfId="0" applyFont="1" applyBorder="1" applyAlignment="1">
      <alignment vertical="center" wrapText="1"/>
    </xf>
    <xf numFmtId="0" fontId="0" fillId="0" borderId="17" xfId="0" applyBorder="1"/>
    <xf numFmtId="0" fontId="22" fillId="0" borderId="1" xfId="1" applyFont="1" applyBorder="1" applyAlignment="1">
      <alignment vertical="center" wrapText="1"/>
    </xf>
    <xf numFmtId="0" fontId="17" fillId="0" borderId="0" xfId="0" applyFont="1"/>
    <xf numFmtId="0" fontId="17" fillId="0" borderId="17" xfId="0" applyFont="1" applyBorder="1"/>
    <xf numFmtId="37" fontId="17" fillId="0" borderId="1" xfId="6" applyNumberFormat="1" applyFont="1" applyFill="1" applyBorder="1" applyAlignment="1" applyProtection="1">
      <alignment vertical="center"/>
      <protection locked="0"/>
    </xf>
    <xf numFmtId="39" fontId="17" fillId="0" borderId="1" xfId="6" applyNumberFormat="1" applyFont="1" applyFill="1" applyBorder="1" applyAlignment="1" applyProtection="1">
      <alignment vertical="center"/>
      <protection locked="0"/>
    </xf>
    <xf numFmtId="0" fontId="0" fillId="0" borderId="17" xfId="0" applyBorder="1" applyAlignment="1">
      <alignment horizontal="center"/>
    </xf>
    <xf numFmtId="3" fontId="22" fillId="0" borderId="1" xfId="1" applyNumberFormat="1" applyFont="1" applyBorder="1" applyAlignment="1">
      <alignment horizontal="right" vertical="center"/>
    </xf>
    <xf numFmtId="0" fontId="11" fillId="0" borderId="0" xfId="1" applyFont="1" applyAlignment="1">
      <alignment horizontal="center" vertical="center" wrapText="1"/>
    </xf>
    <xf numFmtId="0" fontId="1" fillId="9" borderId="17" xfId="0" applyFont="1" applyFill="1" applyBorder="1" applyAlignment="1">
      <alignment horizontal="center"/>
    </xf>
    <xf numFmtId="0" fontId="1" fillId="0" borderId="0" xfId="0" applyFont="1" applyAlignment="1">
      <alignment horizontal="center"/>
    </xf>
    <xf numFmtId="164" fontId="0" fillId="0" borderId="0" xfId="0" applyNumberFormat="1"/>
    <xf numFmtId="0" fontId="1" fillId="0" borderId="16" xfId="0" applyFont="1" applyBorder="1" applyAlignment="1">
      <alignment horizontal="center"/>
    </xf>
    <xf numFmtId="3" fontId="22" fillId="0" borderId="1" xfId="1" applyNumberFormat="1" applyFont="1" applyBorder="1" applyAlignment="1">
      <alignment vertical="center"/>
    </xf>
    <xf numFmtId="0" fontId="22" fillId="0" borderId="26" xfId="1" applyFont="1" applyBorder="1" applyAlignment="1">
      <alignment vertical="center" wrapText="1"/>
    </xf>
    <xf numFmtId="3" fontId="21" fillId="0" borderId="1" xfId="0" applyNumberFormat="1" applyFont="1" applyBorder="1" applyAlignment="1" applyProtection="1">
      <alignment vertical="center"/>
      <protection locked="0"/>
    </xf>
    <xf numFmtId="3" fontId="17" fillId="0" borderId="1" xfId="3" applyNumberFormat="1" applyFont="1" applyFill="1" applyBorder="1" applyAlignment="1" applyProtection="1">
      <alignment vertical="center"/>
    </xf>
    <xf numFmtId="3" fontId="21" fillId="0" borderId="1" xfId="0" applyNumberFormat="1" applyFont="1" applyBorder="1" applyAlignment="1">
      <alignment vertical="center"/>
    </xf>
    <xf numFmtId="0" fontId="1" fillId="0" borderId="0" xfId="0" applyFont="1"/>
    <xf numFmtId="39" fontId="10" fillId="0" borderId="0" xfId="3" applyNumberFormat="1" applyFont="1" applyFill="1" applyBorder="1" applyAlignment="1">
      <alignment vertical="center"/>
    </xf>
    <xf numFmtId="0" fontId="22" fillId="0" borderId="2" xfId="0" applyFont="1" applyBorder="1" applyAlignment="1">
      <alignment vertical="center" wrapText="1"/>
    </xf>
    <xf numFmtId="0" fontId="0" fillId="0" borderId="0" xfId="0" applyAlignment="1">
      <alignment wrapText="1"/>
    </xf>
    <xf numFmtId="2" fontId="22" fillId="0" borderId="1" xfId="1" applyNumberFormat="1" applyFont="1" applyBorder="1" applyAlignment="1">
      <alignment horizontal="left" vertical="center" wrapText="1"/>
    </xf>
    <xf numFmtId="0" fontId="22" fillId="0" borderId="1" xfId="1" applyFont="1" applyBorder="1" applyAlignment="1">
      <alignment horizontal="left" vertical="center" wrapText="1"/>
    </xf>
    <xf numFmtId="3" fontId="5" fillId="0" borderId="1" xfId="3" applyNumberFormat="1" applyFont="1" applyFill="1" applyBorder="1" applyAlignment="1" applyProtection="1">
      <alignment horizontal="right" vertical="center" indent="2"/>
      <protection locked="0"/>
    </xf>
    <xf numFmtId="4" fontId="5" fillId="11" borderId="1" xfId="3" applyNumberFormat="1" applyFont="1" applyFill="1" applyBorder="1" applyAlignment="1" applyProtection="1">
      <alignment vertical="center"/>
    </xf>
    <xf numFmtId="3" fontId="6" fillId="9" borderId="14" xfId="3" applyNumberFormat="1" applyFont="1" applyFill="1" applyBorder="1" applyProtection="1"/>
    <xf numFmtId="3" fontId="0" fillId="0" borderId="0" xfId="0" applyNumberFormat="1"/>
    <xf numFmtId="164" fontId="0" fillId="0" borderId="0" xfId="8" applyNumberFormat="1" applyFont="1"/>
    <xf numFmtId="168" fontId="10" fillId="0" borderId="0" xfId="6" applyNumberFormat="1" applyFont="1" applyFill="1" applyBorder="1" applyAlignment="1">
      <alignment vertical="center"/>
    </xf>
    <xf numFmtId="167" fontId="10" fillId="0" borderId="0" xfId="6" applyNumberFormat="1" applyFont="1" applyFill="1" applyBorder="1" applyAlignment="1">
      <alignment vertical="center"/>
    </xf>
    <xf numFmtId="164" fontId="10" fillId="0" borderId="0" xfId="6" applyNumberFormat="1" applyFont="1" applyFill="1" applyBorder="1" applyAlignment="1">
      <alignment vertical="center"/>
    </xf>
    <xf numFmtId="0" fontId="13" fillId="0" borderId="0" xfId="0" applyFont="1" applyAlignment="1">
      <alignment horizontal="right" vertical="center"/>
    </xf>
    <xf numFmtId="169" fontId="10" fillId="0" borderId="0" xfId="6" applyNumberFormat="1" applyFont="1" applyFill="1" applyBorder="1" applyAlignment="1">
      <alignment vertical="center"/>
    </xf>
    <xf numFmtId="170" fontId="10" fillId="0" borderId="0" xfId="6" applyNumberFormat="1" applyFont="1" applyFill="1" applyBorder="1" applyAlignment="1">
      <alignment vertical="center"/>
    </xf>
    <xf numFmtId="37" fontId="10" fillId="0" borderId="0" xfId="6" applyNumberFormat="1" applyFont="1" applyFill="1" applyBorder="1" applyAlignment="1">
      <alignment vertical="center"/>
    </xf>
    <xf numFmtId="165" fontId="17" fillId="13" borderId="1" xfId="0" applyNumberFormat="1" applyFont="1" applyFill="1" applyBorder="1"/>
    <xf numFmtId="39" fontId="17" fillId="13" borderId="1" xfId="0" applyNumberFormat="1" applyFont="1" applyFill="1" applyBorder="1"/>
    <xf numFmtId="37" fontId="17" fillId="13" borderId="1" xfId="0" applyNumberFormat="1" applyFont="1" applyFill="1" applyBorder="1"/>
    <xf numFmtId="164" fontId="17" fillId="13" borderId="1" xfId="0" applyNumberFormat="1" applyFont="1" applyFill="1" applyBorder="1"/>
    <xf numFmtId="0" fontId="18" fillId="13" borderId="1" xfId="0" applyFont="1" applyFill="1" applyBorder="1" applyAlignment="1">
      <alignment wrapText="1"/>
    </xf>
    <xf numFmtId="43" fontId="17" fillId="13" borderId="1" xfId="0" applyNumberFormat="1" applyFont="1" applyFill="1" applyBorder="1"/>
    <xf numFmtId="37" fontId="18" fillId="13" borderId="1" xfId="0" applyNumberFormat="1" applyFont="1" applyFill="1" applyBorder="1" applyAlignment="1">
      <alignment horizontal="right" wrapText="1"/>
    </xf>
    <xf numFmtId="39" fontId="9" fillId="3" borderId="0" xfId="3" applyNumberFormat="1" applyFont="1" applyFill="1" applyBorder="1" applyAlignment="1">
      <alignment vertical="center"/>
    </xf>
    <xf numFmtId="0" fontId="18" fillId="11" borderId="29" xfId="0" applyFont="1" applyFill="1" applyBorder="1" applyAlignment="1">
      <alignment horizontal="center" vertical="center" wrapText="1"/>
    </xf>
    <xf numFmtId="0" fontId="18" fillId="11" borderId="30" xfId="0" applyFont="1" applyFill="1" applyBorder="1" applyAlignment="1">
      <alignment horizontal="center" vertical="center" wrapText="1"/>
    </xf>
    <xf numFmtId="3" fontId="18" fillId="13" borderId="1" xfId="0" applyNumberFormat="1" applyFont="1" applyFill="1" applyBorder="1" applyAlignment="1">
      <alignment wrapText="1"/>
    </xf>
    <xf numFmtId="4" fontId="22" fillId="0" borderId="1" xfId="1" applyNumberFormat="1" applyFont="1" applyBorder="1" applyAlignment="1">
      <alignment vertical="center"/>
    </xf>
    <xf numFmtId="0" fontId="21" fillId="0" borderId="1" xfId="0" applyFont="1" applyBorder="1" applyAlignment="1">
      <alignment vertical="center" wrapText="1"/>
    </xf>
    <xf numFmtId="3" fontId="22" fillId="0" borderId="1" xfId="1" applyNumberFormat="1" applyFont="1" applyBorder="1" applyAlignment="1" applyProtection="1">
      <alignment vertical="center"/>
      <protection locked="0"/>
    </xf>
    <xf numFmtId="4" fontId="5" fillId="0" borderId="1" xfId="3" applyNumberFormat="1" applyFont="1" applyFill="1" applyBorder="1" applyAlignment="1" applyProtection="1">
      <alignment vertical="center"/>
    </xf>
    <xf numFmtId="4" fontId="5" fillId="0" borderId="1" xfId="3" applyNumberFormat="1" applyFont="1" applyFill="1" applyBorder="1" applyAlignment="1" applyProtection="1">
      <alignment horizontal="right" vertical="center"/>
    </xf>
    <xf numFmtId="4" fontId="18" fillId="13" borderId="1" xfId="0" applyNumberFormat="1" applyFont="1" applyFill="1" applyBorder="1" applyAlignment="1">
      <alignment wrapText="1"/>
    </xf>
    <xf numFmtId="3" fontId="5" fillId="11" borderId="1" xfId="3" applyNumberFormat="1" applyFont="1" applyFill="1" applyBorder="1" applyAlignment="1" applyProtection="1">
      <alignment horizontal="right" vertical="center"/>
    </xf>
    <xf numFmtId="4" fontId="5" fillId="11" borderId="1" xfId="3" applyNumberFormat="1" applyFont="1" applyFill="1" applyBorder="1" applyAlignment="1" applyProtection="1">
      <alignment horizontal="right" vertical="center"/>
    </xf>
    <xf numFmtId="37" fontId="5" fillId="11" borderId="1" xfId="3" applyNumberFormat="1" applyFont="1" applyFill="1" applyBorder="1" applyAlignment="1" applyProtection="1">
      <alignment horizontal="right" vertical="center"/>
      <protection locked="0"/>
    </xf>
    <xf numFmtId="37" fontId="5" fillId="11" borderId="11" xfId="3" applyNumberFormat="1" applyFont="1" applyFill="1" applyBorder="1" applyAlignment="1" applyProtection="1">
      <alignment horizontal="right" vertical="center"/>
    </xf>
    <xf numFmtId="37" fontId="5" fillId="0" borderId="1" xfId="6" applyNumberFormat="1" applyFont="1" applyFill="1" applyBorder="1" applyAlignment="1" applyProtection="1">
      <alignment horizontal="right" vertical="center"/>
      <protection locked="0"/>
    </xf>
    <xf numFmtId="39" fontId="5" fillId="0" borderId="1" xfId="6" applyNumberFormat="1" applyFont="1" applyFill="1" applyBorder="1" applyAlignment="1" applyProtection="1">
      <alignment horizontal="right" vertical="center"/>
      <protection locked="0"/>
    </xf>
    <xf numFmtId="39" fontId="6" fillId="15" borderId="14" xfId="3" applyNumberFormat="1" applyFont="1" applyFill="1" applyBorder="1" applyProtection="1"/>
    <xf numFmtId="4" fontId="5" fillId="16" borderId="1" xfId="3" applyNumberFormat="1" applyFont="1" applyFill="1" applyBorder="1" applyAlignment="1" applyProtection="1">
      <alignment vertical="center"/>
    </xf>
    <xf numFmtId="43" fontId="10" fillId="5" borderId="0" xfId="3" applyFont="1" applyFill="1" applyBorder="1" applyAlignment="1">
      <alignment vertical="center"/>
    </xf>
    <xf numFmtId="43" fontId="7" fillId="5" borderId="0" xfId="0" applyNumberFormat="1" applyFont="1" applyFill="1" applyAlignment="1">
      <alignment horizontal="right" vertical="center" wrapText="1"/>
    </xf>
    <xf numFmtId="39" fontId="10" fillId="4" borderId="0" xfId="3" applyNumberFormat="1" applyFont="1" applyFill="1" applyBorder="1" applyAlignment="1">
      <alignment vertical="center"/>
    </xf>
    <xf numFmtId="4" fontId="21" fillId="0" borderId="1" xfId="0" applyNumberFormat="1" applyFont="1" applyBorder="1" applyAlignment="1">
      <alignment vertical="center"/>
    </xf>
    <xf numFmtId="0" fontId="21" fillId="0" borderId="1" xfId="0" applyFont="1" applyBorder="1" applyAlignment="1">
      <alignment vertical="center"/>
    </xf>
    <xf numFmtId="0" fontId="21" fillId="0" borderId="0" xfId="0" applyFont="1"/>
    <xf numFmtId="0" fontId="21" fillId="0" borderId="1" xfId="0" applyFont="1" applyBorder="1" applyAlignment="1">
      <alignment horizontal="left" vertical="center" wrapText="1"/>
    </xf>
    <xf numFmtId="0" fontId="21" fillId="0" borderId="0" xfId="0" applyFont="1" applyAlignment="1">
      <alignment wrapText="1"/>
    </xf>
    <xf numFmtId="3" fontId="34" fillId="0" borderId="1" xfId="0" applyNumberFormat="1" applyFont="1" applyBorder="1"/>
    <xf numFmtId="4" fontId="34" fillId="0" borderId="1" xfId="0" applyNumberFormat="1" applyFont="1" applyBorder="1"/>
    <xf numFmtId="0" fontId="30" fillId="0" borderId="2" xfId="6"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center" vertical="center" wrapText="1"/>
    </xf>
    <xf numFmtId="0" fontId="0" fillId="15" borderId="1" xfId="0" applyFill="1" applyBorder="1"/>
    <xf numFmtId="0" fontId="0" fillId="9" borderId="31" xfId="0" applyFill="1" applyBorder="1"/>
    <xf numFmtId="0" fontId="0" fillId="14" borderId="31" xfId="0" applyFill="1" applyBorder="1"/>
    <xf numFmtId="0" fontId="0" fillId="15" borderId="31" xfId="0" applyFill="1" applyBorder="1"/>
    <xf numFmtId="0" fontId="0" fillId="12" borderId="31" xfId="0" applyFill="1" applyBorder="1"/>
    <xf numFmtId="0" fontId="0" fillId="0" borderId="1" xfId="0" applyBorder="1" applyAlignment="1">
      <alignment vertical="center" wrapText="1"/>
    </xf>
    <xf numFmtId="0" fontId="0" fillId="0" borderId="1" xfId="0" applyBorder="1" applyAlignment="1">
      <alignment vertical="top" wrapText="1"/>
    </xf>
    <xf numFmtId="3" fontId="0" fillId="0" borderId="1" xfId="0" applyNumberFormat="1" applyBorder="1" applyAlignment="1" applyProtection="1">
      <alignment vertical="center" wrapText="1"/>
      <protection locked="0"/>
    </xf>
    <xf numFmtId="0" fontId="0" fillId="0" borderId="1" xfId="0" applyBorder="1" applyAlignment="1">
      <alignment horizontal="left" vertical="top" wrapText="1"/>
    </xf>
    <xf numFmtId="0" fontId="38" fillId="4" borderId="1" xfId="1" applyFont="1" applyFill="1" applyBorder="1" applyAlignment="1">
      <alignment horizontal="center" vertical="center" wrapText="1"/>
    </xf>
    <xf numFmtId="0" fontId="38" fillId="4" borderId="11" xfId="1" applyFont="1" applyFill="1" applyBorder="1" applyAlignment="1">
      <alignment horizontal="center" vertical="center" wrapText="1"/>
    </xf>
    <xf numFmtId="0" fontId="38" fillId="0" borderId="28" xfId="1" applyFont="1" applyBorder="1" applyAlignment="1">
      <alignment horizontal="left" vertical="top" wrapText="1"/>
    </xf>
    <xf numFmtId="0" fontId="38" fillId="0" borderId="1" xfId="1" applyFont="1" applyBorder="1" applyAlignment="1">
      <alignment horizontal="left" vertical="top" wrapText="1"/>
    </xf>
    <xf numFmtId="0" fontId="38" fillId="0" borderId="1" xfId="1" applyFont="1" applyBorder="1" applyAlignment="1">
      <alignment horizontal="right" vertical="center" wrapText="1"/>
    </xf>
    <xf numFmtId="0" fontId="38" fillId="0" borderId="1" xfId="1" applyFont="1" applyBorder="1" applyAlignment="1">
      <alignment horizontal="right" wrapText="1"/>
    </xf>
    <xf numFmtId="2" fontId="38" fillId="0" borderId="1" xfId="1" applyNumberFormat="1" applyFont="1" applyBorder="1" applyAlignment="1">
      <alignment horizontal="right" vertical="center" wrapText="1"/>
    </xf>
    <xf numFmtId="1" fontId="38" fillId="0" borderId="1" xfId="1" applyNumberFormat="1" applyFont="1" applyBorder="1" applyAlignment="1">
      <alignment horizontal="right" vertical="center" wrapText="1"/>
    </xf>
    <xf numFmtId="0" fontId="17" fillId="0" borderId="27" xfId="0" applyFont="1" applyBorder="1" applyAlignment="1">
      <alignment vertical="center"/>
    </xf>
    <xf numFmtId="0" fontId="17" fillId="0" borderId="27" xfId="0" applyFont="1" applyBorder="1" applyAlignment="1">
      <alignment vertical="center" wrapText="1"/>
    </xf>
    <xf numFmtId="3" fontId="0" fillId="0" borderId="27" xfId="0" applyNumberFormat="1" applyBorder="1" applyAlignment="1" applyProtection="1">
      <alignment vertical="center"/>
      <protection locked="0"/>
    </xf>
    <xf numFmtId="3" fontId="17" fillId="0" borderId="27" xfId="3" applyNumberFormat="1" applyFont="1" applyFill="1" applyBorder="1" applyAlignment="1" applyProtection="1">
      <alignment vertical="center"/>
    </xf>
    <xf numFmtId="4" fontId="0" fillId="0" borderId="27" xfId="0" applyNumberFormat="1" applyBorder="1" applyAlignment="1" applyProtection="1">
      <alignment vertical="center"/>
      <protection locked="0"/>
    </xf>
    <xf numFmtId="3" fontId="0" fillId="0" borderId="27" xfId="0" applyNumberFormat="1" applyBorder="1" applyAlignment="1">
      <alignment vertical="center"/>
    </xf>
    <xf numFmtId="37" fontId="17" fillId="0" borderId="27" xfId="3" applyNumberFormat="1" applyFont="1" applyFill="1" applyBorder="1" applyAlignment="1" applyProtection="1">
      <alignment horizontal="right" vertical="center"/>
      <protection locked="0"/>
    </xf>
    <xf numFmtId="0" fontId="17" fillId="0" borderId="1" xfId="0" applyFont="1" applyBorder="1" applyAlignment="1">
      <alignment vertical="center" wrapText="1"/>
    </xf>
    <xf numFmtId="3" fontId="17" fillId="0" borderId="1" xfId="0" applyNumberFormat="1" applyFont="1" applyBorder="1" applyAlignment="1" applyProtection="1">
      <alignment vertical="center"/>
      <protection locked="0"/>
    </xf>
    <xf numFmtId="4" fontId="17" fillId="0" borderId="1" xfId="0" applyNumberFormat="1" applyFont="1" applyBorder="1" applyAlignment="1" applyProtection="1">
      <alignment vertical="center"/>
      <protection locked="0"/>
    </xf>
    <xf numFmtId="3" fontId="0" fillId="0" borderId="1" xfId="0" applyNumberFormat="1" applyBorder="1" applyAlignment="1">
      <alignment vertical="center"/>
    </xf>
    <xf numFmtId="3" fontId="17" fillId="0" borderId="1" xfId="3" applyNumberFormat="1" applyFont="1" applyFill="1" applyBorder="1" applyAlignment="1" applyProtection="1">
      <alignment horizontal="right" vertical="center"/>
      <protection locked="0"/>
    </xf>
    <xf numFmtId="0" fontId="0" fillId="0" borderId="1" xfId="0" applyBorder="1" applyAlignment="1">
      <alignment vertical="center"/>
    </xf>
    <xf numFmtId="3" fontId="0" fillId="0" borderId="1"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37" fontId="17" fillId="0" borderId="1" xfId="3" applyNumberFormat="1" applyFont="1" applyFill="1" applyBorder="1" applyAlignment="1" applyProtection="1">
      <alignment horizontal="right" vertical="center"/>
      <protection locked="0"/>
    </xf>
    <xf numFmtId="4" fontId="17" fillId="0" borderId="1" xfId="3" applyNumberFormat="1" applyFont="1" applyFill="1" applyBorder="1" applyAlignment="1" applyProtection="1">
      <alignment vertical="center"/>
    </xf>
    <xf numFmtId="4" fontId="0" fillId="0" borderId="1" xfId="0" applyNumberFormat="1" applyBorder="1" applyAlignment="1">
      <alignment vertical="center"/>
    </xf>
    <xf numFmtId="164" fontId="17" fillId="11" borderId="1" xfId="3" applyNumberFormat="1" applyFont="1" applyFill="1" applyBorder="1" applyAlignment="1" applyProtection="1">
      <alignment horizontal="right" vertical="center"/>
    </xf>
    <xf numFmtId="3" fontId="17" fillId="11" borderId="1" xfId="3" applyNumberFormat="1" applyFont="1" applyFill="1" applyBorder="1" applyAlignment="1" applyProtection="1">
      <alignment vertical="center"/>
    </xf>
    <xf numFmtId="4" fontId="17" fillId="11" borderId="1" xfId="3" applyNumberFormat="1" applyFont="1" applyFill="1" applyBorder="1" applyAlignment="1" applyProtection="1">
      <alignment vertical="center"/>
    </xf>
    <xf numFmtId="3" fontId="0" fillId="0" borderId="1" xfId="0" applyNumberFormat="1" applyBorder="1" applyAlignment="1" applyProtection="1">
      <alignment horizontal="right" vertical="center" wrapText="1"/>
      <protection locked="0"/>
    </xf>
    <xf numFmtId="3" fontId="17" fillId="0" borderId="1" xfId="3" applyNumberFormat="1" applyFont="1" applyFill="1" applyBorder="1" applyAlignment="1" applyProtection="1">
      <alignment horizontal="right" vertical="center"/>
    </xf>
    <xf numFmtId="4" fontId="0" fillId="0" borderId="1" xfId="0" applyNumberFormat="1" applyBorder="1" applyAlignment="1" applyProtection="1">
      <alignment horizontal="right" vertical="center" wrapText="1"/>
      <protection locked="0"/>
    </xf>
    <xf numFmtId="4" fontId="17" fillId="0" borderId="1" xfId="3" applyNumberFormat="1" applyFont="1" applyFill="1" applyBorder="1" applyAlignment="1" applyProtection="1">
      <alignment horizontal="right" vertical="center"/>
    </xf>
    <xf numFmtId="4" fontId="0" fillId="0" borderId="1" xfId="0" applyNumberFormat="1" applyBorder="1" applyAlignment="1">
      <alignment horizontal="right" vertical="center" wrapText="1"/>
    </xf>
    <xf numFmtId="3" fontId="0" fillId="0" borderId="1" xfId="0" applyNumberFormat="1" applyBorder="1" applyAlignment="1">
      <alignment horizontal="right" vertical="center" wrapText="1"/>
    </xf>
    <xf numFmtId="164" fontId="17" fillId="0" borderId="1" xfId="3" applyNumberFormat="1" applyFont="1" applyFill="1" applyBorder="1" applyAlignment="1" applyProtection="1">
      <alignment horizontal="right" vertical="center"/>
      <protection locked="0"/>
    </xf>
    <xf numFmtId="0" fontId="17" fillId="0" borderId="1" xfId="3" applyNumberFormat="1" applyFont="1" applyFill="1" applyBorder="1" applyAlignment="1" applyProtection="1">
      <alignment vertical="center" wrapText="1"/>
      <protection locked="0"/>
    </xf>
    <xf numFmtId="164" fontId="17" fillId="0" borderId="1" xfId="3" applyNumberFormat="1" applyFont="1" applyFill="1" applyBorder="1" applyAlignment="1" applyProtection="1">
      <alignment vertical="center"/>
      <protection locked="0"/>
    </xf>
    <xf numFmtId="164" fontId="17" fillId="0" borderId="1" xfId="3" applyNumberFormat="1" applyFont="1" applyFill="1" applyBorder="1" applyAlignment="1" applyProtection="1">
      <alignment horizontal="right" vertical="center"/>
    </xf>
    <xf numFmtId="39" fontId="17" fillId="0" borderId="1" xfId="3" applyNumberFormat="1" applyFont="1" applyFill="1" applyBorder="1" applyAlignment="1" applyProtection="1">
      <alignment horizontal="right" vertical="center"/>
    </xf>
    <xf numFmtId="43" fontId="17" fillId="0" borderId="1" xfId="3" applyFont="1" applyFill="1" applyBorder="1" applyAlignment="1" applyProtection="1">
      <alignment horizontal="right" vertical="center"/>
      <protection locked="0"/>
    </xf>
    <xf numFmtId="43" fontId="19" fillId="9" borderId="13" xfId="3" applyFont="1" applyFill="1" applyBorder="1" applyAlignment="1" applyProtection="1">
      <alignment vertical="center" wrapText="1"/>
    </xf>
    <xf numFmtId="43" fontId="19" fillId="9" borderId="14" xfId="3" applyFont="1" applyFill="1" applyBorder="1" applyAlignment="1" applyProtection="1">
      <alignment horizontal="right" vertical="center"/>
    </xf>
    <xf numFmtId="37" fontId="19" fillId="9" borderId="14" xfId="3" applyNumberFormat="1" applyFont="1" applyFill="1" applyBorder="1" applyProtection="1"/>
    <xf numFmtId="39" fontId="19" fillId="9" borderId="14" xfId="3" applyNumberFormat="1" applyFont="1" applyFill="1" applyBorder="1" applyProtection="1"/>
    <xf numFmtId="0" fontId="0" fillId="11" borderId="23" xfId="0" applyFill="1" applyBorder="1" applyAlignment="1">
      <alignment horizontal="center" vertical="center" wrapText="1"/>
    </xf>
    <xf numFmtId="0" fontId="38" fillId="4" borderId="2" xfId="1" applyFont="1" applyFill="1" applyBorder="1" applyAlignment="1">
      <alignment horizontal="center" vertical="center" wrapText="1"/>
    </xf>
    <xf numFmtId="0" fontId="19" fillId="0" borderId="33" xfId="3" applyNumberFormat="1" applyFont="1" applyFill="1" applyBorder="1" applyAlignment="1" applyProtection="1">
      <alignment horizontal="center" vertical="center" wrapText="1"/>
      <protection locked="0"/>
    </xf>
    <xf numFmtId="0" fontId="19" fillId="0" borderId="2" xfId="3" applyNumberFormat="1" applyFont="1" applyFill="1" applyBorder="1" applyAlignment="1" applyProtection="1">
      <alignment horizontal="center" vertical="center" wrapText="1"/>
      <protection locked="0"/>
    </xf>
    <xf numFmtId="43" fontId="19" fillId="9" borderId="13" xfId="3" applyFont="1" applyFill="1" applyBorder="1" applyAlignment="1" applyProtection="1">
      <alignment horizontal="center" vertical="center"/>
    </xf>
    <xf numFmtId="0" fontId="17" fillId="0" borderId="1" xfId="4" applyFont="1" applyBorder="1" applyAlignment="1">
      <alignment horizontal="center"/>
    </xf>
    <xf numFmtId="0" fontId="17" fillId="0" borderId="11" xfId="4" applyFont="1" applyBorder="1" applyAlignment="1">
      <alignment horizontal="center"/>
    </xf>
    <xf numFmtId="165" fontId="17" fillId="13" borderId="0" xfId="0" applyNumberFormat="1" applyFont="1" applyFill="1"/>
    <xf numFmtId="37" fontId="0" fillId="0" borderId="14" xfId="0" applyNumberFormat="1" applyBorder="1"/>
    <xf numFmtId="2" fontId="0" fillId="0" borderId="14" xfId="0" applyNumberFormat="1" applyBorder="1"/>
    <xf numFmtId="3" fontId="0" fillId="0" borderId="14" xfId="0" applyNumberFormat="1" applyBorder="1"/>
    <xf numFmtId="4" fontId="0" fillId="0" borderId="14" xfId="0" applyNumberFormat="1" applyBorder="1"/>
    <xf numFmtId="3" fontId="0" fillId="0" borderId="15" xfId="0" applyNumberFormat="1" applyBorder="1"/>
    <xf numFmtId="0" fontId="38" fillId="11" borderId="23" xfId="1" applyFont="1" applyFill="1" applyBorder="1" applyAlignment="1">
      <alignment horizontal="center" vertical="center" wrapText="1"/>
    </xf>
    <xf numFmtId="0" fontId="19" fillId="18" borderId="1" xfId="9" applyFont="1" applyBorder="1" applyAlignment="1">
      <alignment horizontal="center" vertical="center" wrapText="1"/>
    </xf>
    <xf numFmtId="0" fontId="17" fillId="0" borderId="1" xfId="1" applyFont="1" applyBorder="1" applyAlignment="1">
      <alignment vertical="center" wrapText="1"/>
    </xf>
    <xf numFmtId="37" fontId="17" fillId="0" borderId="1" xfId="6" applyNumberFormat="1" applyFont="1" applyFill="1" applyBorder="1" applyAlignment="1" applyProtection="1">
      <alignment vertical="center"/>
    </xf>
    <xf numFmtId="4" fontId="17" fillId="0" borderId="1" xfId="1" applyNumberFormat="1" applyFont="1" applyBorder="1" applyAlignment="1">
      <alignment vertical="center"/>
    </xf>
    <xf numFmtId="3" fontId="17" fillId="0" borderId="1" xfId="1" applyNumberFormat="1" applyFont="1" applyBorder="1" applyAlignment="1">
      <alignment vertical="center"/>
    </xf>
    <xf numFmtId="37" fontId="5" fillId="0" borderId="1" xfId="6" applyNumberFormat="1" applyFont="1" applyFill="1" applyBorder="1" applyAlignment="1" applyProtection="1">
      <alignment horizontal="right" vertical="center"/>
    </xf>
    <xf numFmtId="3" fontId="5" fillId="0" borderId="1" xfId="1" applyNumberFormat="1" applyFont="1" applyBorder="1" applyAlignment="1">
      <alignment horizontal="right" vertical="center"/>
    </xf>
    <xf numFmtId="1" fontId="5" fillId="0" borderId="1" xfId="6" applyNumberFormat="1" applyFont="1" applyFill="1" applyBorder="1" applyAlignment="1" applyProtection="1">
      <alignment horizontal="right" vertical="center"/>
      <protection locked="0"/>
    </xf>
    <xf numFmtId="0" fontId="38" fillId="0" borderId="27" xfId="1" applyFont="1" applyBorder="1" applyAlignment="1">
      <alignment horizontal="center" vertical="center" wrapText="1"/>
    </xf>
    <xf numFmtId="43" fontId="6" fillId="9" borderId="13" xfId="3" applyFont="1" applyFill="1" applyBorder="1" applyAlignment="1" applyProtection="1">
      <alignment horizontal="center" vertical="center"/>
    </xf>
    <xf numFmtId="0" fontId="0" fillId="0" borderId="0" xfId="0" applyAlignment="1">
      <alignment horizontal="center"/>
    </xf>
    <xf numFmtId="0" fontId="19" fillId="0" borderId="0" xfId="0" applyFont="1"/>
    <xf numFmtId="0" fontId="19" fillId="0" borderId="1" xfId="0" applyFont="1" applyBorder="1" applyAlignment="1">
      <alignment horizontal="center" vertical="center" wrapText="1"/>
    </xf>
    <xf numFmtId="0" fontId="17" fillId="15" borderId="1" xfId="0" applyFont="1" applyFill="1" applyBorder="1"/>
    <xf numFmtId="164" fontId="17" fillId="13" borderId="11" xfId="0" applyNumberFormat="1" applyFont="1" applyFill="1" applyBorder="1"/>
    <xf numFmtId="0" fontId="28" fillId="11" borderId="23" xfId="1" applyFont="1" applyFill="1" applyBorder="1" applyAlignment="1">
      <alignment horizontal="center" vertical="center" wrapText="1"/>
    </xf>
    <xf numFmtId="0" fontId="19" fillId="0" borderId="1" xfId="0" applyFont="1" applyBorder="1" applyAlignment="1">
      <alignment horizontal="center" vertical="center"/>
    </xf>
    <xf numFmtId="0" fontId="19" fillId="0" borderId="0" xfId="0" applyFont="1" applyAlignment="1">
      <alignment vertical="center"/>
    </xf>
    <xf numFmtId="0" fontId="0" fillId="0" borderId="31" xfId="0" applyBorder="1" applyAlignment="1">
      <alignment horizontal="center" vertical="center"/>
    </xf>
    <xf numFmtId="0" fontId="0" fillId="14" borderId="31" xfId="0" applyFill="1" applyBorder="1" applyAlignment="1">
      <alignment horizontal="center" vertical="center"/>
    </xf>
    <xf numFmtId="0" fontId="0" fillId="15" borderId="31" xfId="0" applyFill="1" applyBorder="1" applyAlignment="1">
      <alignment horizontal="center" vertical="center"/>
    </xf>
    <xf numFmtId="0" fontId="0" fillId="12" borderId="31" xfId="0" applyFill="1"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16" borderId="1" xfId="0" applyFill="1" applyBorder="1" applyAlignment="1">
      <alignment horizontal="center" vertical="center"/>
    </xf>
    <xf numFmtId="0" fontId="1" fillId="0" borderId="11" xfId="0" applyFont="1" applyBorder="1" applyAlignment="1">
      <alignment horizontal="center" vertical="center"/>
    </xf>
    <xf numFmtId="172" fontId="0" fillId="0" borderId="5" xfId="0" applyNumberFormat="1" applyBorder="1" applyAlignment="1">
      <alignment horizontal="center" vertical="center"/>
    </xf>
    <xf numFmtId="0" fontId="0" fillId="0" borderId="12" xfId="0" applyBorder="1" applyAlignment="1">
      <alignment horizontal="left" vertical="center"/>
    </xf>
    <xf numFmtId="172" fontId="0" fillId="0" borderId="14" xfId="0" applyNumberFormat="1" applyBorder="1" applyAlignment="1">
      <alignment horizontal="center" vertical="center"/>
    </xf>
    <xf numFmtId="0" fontId="0" fillId="0" borderId="0" xfId="0" applyAlignment="1">
      <alignment vertical="center"/>
    </xf>
    <xf numFmtId="4" fontId="17" fillId="0" borderId="11" xfId="1" applyNumberFormat="1" applyFont="1" applyBorder="1" applyAlignment="1">
      <alignment vertical="center"/>
    </xf>
    <xf numFmtId="2" fontId="5" fillId="0" borderId="11" xfId="6" applyNumberFormat="1" applyFont="1" applyFill="1" applyBorder="1" applyAlignment="1" applyProtection="1">
      <alignment horizontal="right" vertical="center"/>
    </xf>
    <xf numFmtId="0" fontId="0" fillId="11" borderId="1" xfId="0" applyFill="1" applyBorder="1" applyAlignment="1">
      <alignment horizontal="center" vertical="center"/>
    </xf>
    <xf numFmtId="0" fontId="0" fillId="15" borderId="1" xfId="0" applyFill="1" applyBorder="1" applyAlignment="1">
      <alignment horizontal="center" vertical="center"/>
    </xf>
    <xf numFmtId="0" fontId="17" fillId="0" borderId="1" xfId="0" applyFont="1" applyBorder="1" applyAlignment="1">
      <alignment horizontal="center" vertical="center"/>
    </xf>
    <xf numFmtId="0" fontId="17" fillId="16" borderId="1" xfId="0" applyFont="1" applyFill="1" applyBorder="1" applyAlignment="1">
      <alignment horizontal="center" vertical="center"/>
    </xf>
    <xf numFmtId="0" fontId="17" fillId="15" borderId="1" xfId="0" applyFont="1" applyFill="1" applyBorder="1" applyAlignment="1">
      <alignment horizontal="center" vertical="center"/>
    </xf>
    <xf numFmtId="168" fontId="10" fillId="0" borderId="0" xfId="3" applyNumberFormat="1" applyFont="1" applyFill="1" applyBorder="1" applyAlignment="1">
      <alignment vertical="center"/>
    </xf>
    <xf numFmtId="167" fontId="10" fillId="0" borderId="0" xfId="3" applyNumberFormat="1" applyFont="1" applyFill="1" applyBorder="1" applyAlignment="1">
      <alignment vertical="center"/>
    </xf>
    <xf numFmtId="37" fontId="10" fillId="0" borderId="0" xfId="3" applyNumberFormat="1" applyFont="1" applyFill="1" applyBorder="1" applyAlignment="1">
      <alignment vertical="center"/>
    </xf>
    <xf numFmtId="0" fontId="0" fillId="0" borderId="0" xfId="0" applyAlignment="1">
      <alignment horizontal="left" vertical="center" wrapText="1"/>
    </xf>
    <xf numFmtId="0" fontId="31" fillId="18" borderId="31" xfId="9" applyBorder="1" applyAlignment="1">
      <alignment horizontal="center" vertical="center"/>
    </xf>
    <xf numFmtId="0" fontId="31" fillId="18" borderId="1" xfId="9" applyBorder="1" applyAlignment="1">
      <alignment vertical="center" wrapText="1"/>
    </xf>
    <xf numFmtId="4" fontId="31" fillId="18" borderId="1" xfId="9" applyNumberFormat="1" applyBorder="1" applyAlignment="1">
      <alignment horizontal="right" vertical="center"/>
    </xf>
    <xf numFmtId="0" fontId="31" fillId="18" borderId="27" xfId="9" applyBorder="1" applyAlignment="1">
      <alignment vertical="center" wrapText="1"/>
    </xf>
    <xf numFmtId="0" fontId="31" fillId="18" borderId="1" xfId="9" applyBorder="1" applyAlignment="1">
      <alignment vertical="center"/>
    </xf>
    <xf numFmtId="4" fontId="31" fillId="18" borderId="1" xfId="9" applyNumberFormat="1" applyBorder="1" applyAlignment="1">
      <alignment vertical="center"/>
    </xf>
    <xf numFmtId="3" fontId="31" fillId="18" borderId="1" xfId="9" applyNumberFormat="1" applyBorder="1" applyAlignment="1">
      <alignment vertical="center"/>
    </xf>
    <xf numFmtId="4" fontId="31" fillId="18" borderId="11" xfId="9" applyNumberFormat="1" applyBorder="1" applyAlignment="1">
      <alignment vertical="center"/>
    </xf>
    <xf numFmtId="3" fontId="31" fillId="18" borderId="1" xfId="9" applyNumberFormat="1" applyBorder="1" applyAlignment="1" applyProtection="1">
      <alignment vertical="center"/>
      <protection locked="0"/>
    </xf>
    <xf numFmtId="3" fontId="31" fillId="18" borderId="1" xfId="9" applyNumberFormat="1" applyBorder="1" applyAlignment="1">
      <alignment horizontal="right" vertical="center"/>
    </xf>
    <xf numFmtId="4" fontId="31" fillId="18" borderId="1" xfId="9" applyNumberFormat="1" applyBorder="1" applyAlignment="1" applyProtection="1">
      <alignment vertical="center"/>
      <protection locked="0"/>
    </xf>
    <xf numFmtId="0" fontId="41" fillId="0" borderId="0" xfId="0" applyFont="1" applyAlignment="1">
      <alignment vertical="center"/>
    </xf>
    <xf numFmtId="173" fontId="1" fillId="0" borderId="0" xfId="0" applyNumberFormat="1" applyFont="1" applyAlignment="1">
      <alignment horizontal="right" vertical="center"/>
    </xf>
    <xf numFmtId="172" fontId="0" fillId="0" borderId="0" xfId="0" applyNumberFormat="1" applyAlignment="1">
      <alignment horizontal="center" vertical="center"/>
    </xf>
    <xf numFmtId="174" fontId="0" fillId="0" borderId="0" xfId="0" applyNumberFormat="1" applyAlignment="1">
      <alignment horizontal="right" vertical="center"/>
    </xf>
    <xf numFmtId="0" fontId="0" fillId="0" borderId="0" xfId="0" applyAlignment="1">
      <alignment horizontal="left" vertical="center" indent="2"/>
    </xf>
    <xf numFmtId="3" fontId="0" fillId="0" borderId="0" xfId="0" quotePrefix="1" applyNumberFormat="1" applyAlignment="1">
      <alignment horizontal="center"/>
    </xf>
    <xf numFmtId="173" fontId="0" fillId="0" borderId="0" xfId="0" applyNumberFormat="1" applyAlignment="1">
      <alignment horizontal="right"/>
    </xf>
    <xf numFmtId="172" fontId="0" fillId="0" borderId="0" xfId="0" applyNumberFormat="1" applyAlignment="1">
      <alignment horizontal="center"/>
    </xf>
    <xf numFmtId="0" fontId="0" fillId="0" borderId="0" xfId="0" quotePrefix="1" applyAlignment="1">
      <alignment horizontal="center"/>
    </xf>
    <xf numFmtId="174" fontId="0" fillId="0" borderId="0" xfId="0" applyNumberFormat="1" applyAlignment="1">
      <alignment horizontal="right"/>
    </xf>
    <xf numFmtId="0" fontId="0" fillId="0" borderId="0" xfId="0" applyAlignment="1">
      <alignment horizontal="right" vertical="center"/>
    </xf>
    <xf numFmtId="0" fontId="1" fillId="0" borderId="0" xfId="0" applyFont="1" applyAlignment="1">
      <alignment vertical="center"/>
    </xf>
    <xf numFmtId="3" fontId="0" fillId="0" borderId="0" xfId="0" applyNumberFormat="1" applyAlignment="1">
      <alignment horizontal="center"/>
    </xf>
    <xf numFmtId="3" fontId="1" fillId="0" borderId="0" xfId="0" quotePrefix="1" applyNumberFormat="1" applyFont="1" applyAlignment="1">
      <alignment horizontal="center"/>
    </xf>
    <xf numFmtId="173" fontId="1" fillId="0" borderId="0" xfId="0" applyNumberFormat="1" applyFont="1" applyAlignment="1">
      <alignment horizontal="right"/>
    </xf>
    <xf numFmtId="172" fontId="1" fillId="0" borderId="0" xfId="0" applyNumberFormat="1" applyFont="1" applyAlignment="1">
      <alignment horizontal="center"/>
    </xf>
    <xf numFmtId="174" fontId="1" fillId="0" borderId="0" xfId="0" applyNumberFormat="1" applyFont="1" applyAlignment="1">
      <alignment horizontal="right"/>
    </xf>
    <xf numFmtId="0" fontId="0" fillId="0" borderId="10" xfId="0" applyBorder="1" applyAlignment="1">
      <alignment horizontal="left" vertical="center" wrapText="1"/>
    </xf>
    <xf numFmtId="0" fontId="17" fillId="20" borderId="0" xfId="0" applyFont="1" applyFill="1"/>
    <xf numFmtId="0" fontId="17" fillId="20" borderId="17" xfId="0" applyFont="1" applyFill="1" applyBorder="1"/>
    <xf numFmtId="3" fontId="21" fillId="0" borderId="1" xfId="0" applyNumberFormat="1" applyFont="1" applyBorder="1" applyAlignment="1">
      <alignment horizontal="right" vertical="center"/>
    </xf>
    <xf numFmtId="3" fontId="21" fillId="0" borderId="0" xfId="0" applyNumberFormat="1" applyFont="1"/>
    <xf numFmtId="3" fontId="21" fillId="6" borderId="23" xfId="0" applyNumberFormat="1" applyFont="1" applyFill="1" applyBorder="1" applyAlignment="1">
      <alignment horizontal="center" vertical="center" wrapText="1"/>
    </xf>
    <xf numFmtId="3" fontId="22" fillId="13" borderId="1" xfId="0" applyNumberFormat="1" applyFont="1" applyFill="1" applyBorder="1"/>
    <xf numFmtId="3" fontId="22" fillId="0" borderId="1" xfId="6" applyNumberFormat="1" applyFont="1" applyFill="1" applyBorder="1" applyAlignment="1" applyProtection="1">
      <alignment vertical="center"/>
      <protection locked="0"/>
    </xf>
    <xf numFmtId="4" fontId="22" fillId="0" borderId="1" xfId="6" applyNumberFormat="1" applyFont="1" applyFill="1" applyBorder="1" applyAlignment="1" applyProtection="1">
      <alignment vertical="center"/>
      <protection locked="0"/>
    </xf>
    <xf numFmtId="4" fontId="21" fillId="0" borderId="0" xfId="0" applyNumberFormat="1" applyFont="1"/>
    <xf numFmtId="4" fontId="21" fillId="6" borderId="23" xfId="0" applyNumberFormat="1" applyFont="1" applyFill="1" applyBorder="1" applyAlignment="1">
      <alignment horizontal="center" vertical="center" wrapText="1"/>
    </xf>
    <xf numFmtId="4" fontId="22" fillId="13" borderId="1" xfId="0" applyNumberFormat="1" applyFont="1" applyFill="1" applyBorder="1"/>
    <xf numFmtId="4" fontId="0" fillId="0" borderId="0" xfId="0" applyNumberFormat="1"/>
    <xf numFmtId="3" fontId="31" fillId="18" borderId="27" xfId="9" applyNumberFormat="1" applyBorder="1" applyAlignment="1" applyProtection="1">
      <alignment vertical="center"/>
      <protection locked="0"/>
    </xf>
    <xf numFmtId="4" fontId="17" fillId="20" borderId="32" xfId="9" applyNumberFormat="1" applyFont="1" applyFill="1" applyBorder="1" applyAlignment="1" applyProtection="1">
      <alignment vertical="center"/>
    </xf>
    <xf numFmtId="4" fontId="22" fillId="0" borderId="11" xfId="6" applyNumberFormat="1" applyFont="1" applyFill="1" applyBorder="1" applyAlignment="1" applyProtection="1">
      <alignment vertical="center"/>
    </xf>
    <xf numFmtId="4" fontId="21" fillId="0" borderId="11" xfId="0" applyNumberFormat="1" applyFont="1" applyBorder="1" applyAlignment="1">
      <alignment vertical="center"/>
    </xf>
    <xf numFmtId="4" fontId="31" fillId="18" borderId="11" xfId="9" applyNumberFormat="1" applyBorder="1" applyAlignment="1" applyProtection="1">
      <alignment vertical="center"/>
    </xf>
    <xf numFmtId="4" fontId="21" fillId="6" borderId="24" xfId="0" applyNumberFormat="1" applyFont="1" applyFill="1" applyBorder="1" applyAlignment="1">
      <alignment horizontal="center" vertical="center" wrapText="1"/>
    </xf>
    <xf numFmtId="4" fontId="22" fillId="0" borderId="5" xfId="1" applyNumberFormat="1" applyFont="1" applyBorder="1" applyAlignment="1">
      <alignment vertical="center"/>
    </xf>
    <xf numFmtId="4" fontId="31" fillId="18" borderId="5" xfId="9" applyNumberFormat="1" applyBorder="1" applyAlignment="1">
      <alignment vertical="center"/>
    </xf>
    <xf numFmtId="4" fontId="22" fillId="0" borderId="1" xfId="8" applyNumberFormat="1" applyFont="1" applyFill="1" applyBorder="1" applyAlignment="1" applyProtection="1">
      <alignment vertical="center"/>
    </xf>
    <xf numFmtId="4" fontId="22" fillId="0" borderId="1" xfId="1" applyNumberFormat="1" applyFont="1" applyBorder="1" applyAlignment="1">
      <alignment horizontal="right" vertical="center"/>
    </xf>
    <xf numFmtId="0" fontId="0" fillId="0" borderId="1" xfId="0" applyBorder="1"/>
    <xf numFmtId="0" fontId="4" fillId="0" borderId="0" xfId="7" applyFont="1" applyAlignment="1">
      <alignment horizontal="center" vertical="center" wrapText="1"/>
    </xf>
    <xf numFmtId="0" fontId="4" fillId="0" borderId="0" xfId="7" applyFont="1" applyAlignment="1">
      <alignment horizontal="center"/>
    </xf>
    <xf numFmtId="43" fontId="30" fillId="0" borderId="2" xfId="6" applyFont="1" applyFill="1" applyBorder="1" applyAlignment="1" applyProtection="1">
      <alignment horizontal="center" vertical="center" wrapText="1"/>
      <protection locked="0"/>
    </xf>
    <xf numFmtId="0" fontId="22" fillId="0" borderId="27" xfId="1" applyFont="1" applyBorder="1" applyAlignment="1">
      <alignment vertical="center" wrapText="1"/>
    </xf>
    <xf numFmtId="171" fontId="22" fillId="0" borderId="1" xfId="1" applyNumberFormat="1" applyFont="1" applyBorder="1" applyAlignment="1">
      <alignment horizontal="left" vertical="center" wrapText="1"/>
    </xf>
    <xf numFmtId="0" fontId="22" fillId="0" borderId="1" xfId="1" applyFont="1" applyBorder="1" applyAlignment="1">
      <alignment wrapText="1"/>
    </xf>
    <xf numFmtId="4" fontId="22" fillId="14" borderId="1" xfId="6" applyNumberFormat="1" applyFont="1" applyFill="1" applyBorder="1" applyAlignment="1" applyProtection="1">
      <alignment vertical="center"/>
    </xf>
    <xf numFmtId="4" fontId="22" fillId="14" borderId="11" xfId="6" applyNumberFormat="1" applyFont="1" applyFill="1" applyBorder="1" applyAlignment="1" applyProtection="1">
      <alignment vertical="center"/>
    </xf>
    <xf numFmtId="0" fontId="42" fillId="0" borderId="0" xfId="0" applyFont="1"/>
    <xf numFmtId="0" fontId="42" fillId="0" borderId="17" xfId="0" applyFont="1" applyBorder="1"/>
    <xf numFmtId="4" fontId="22" fillId="0" borderId="1" xfId="6" applyNumberFormat="1" applyFont="1" applyFill="1" applyBorder="1" applyAlignment="1" applyProtection="1">
      <alignment vertical="center"/>
    </xf>
    <xf numFmtId="3" fontId="22" fillId="12" borderId="1" xfId="6" applyNumberFormat="1" applyFont="1" applyFill="1" applyBorder="1" applyAlignment="1" applyProtection="1">
      <alignment vertical="center"/>
    </xf>
    <xf numFmtId="4" fontId="22" fillId="14" borderId="1" xfId="6" applyNumberFormat="1" applyFont="1" applyFill="1" applyBorder="1" applyAlignment="1" applyProtection="1">
      <alignment vertical="center"/>
      <protection locked="0"/>
    </xf>
    <xf numFmtId="4" fontId="22" fillId="12" borderId="1" xfId="6" applyNumberFormat="1" applyFont="1" applyFill="1" applyBorder="1" applyAlignment="1" applyProtection="1">
      <alignment vertical="center"/>
    </xf>
    <xf numFmtId="4" fontId="22" fillId="12" borderId="11" xfId="6" applyNumberFormat="1" applyFont="1" applyFill="1" applyBorder="1" applyAlignment="1" applyProtection="1">
      <alignment vertical="center"/>
    </xf>
    <xf numFmtId="0" fontId="30" fillId="9" borderId="13" xfId="6" applyNumberFormat="1" applyFont="1" applyFill="1" applyBorder="1" applyAlignment="1" applyProtection="1">
      <alignment horizontal="center" vertical="center"/>
    </xf>
    <xf numFmtId="0" fontId="30" fillId="9" borderId="13" xfId="6" applyNumberFormat="1" applyFont="1" applyFill="1" applyBorder="1" applyAlignment="1" applyProtection="1">
      <alignment vertical="center" wrapText="1"/>
    </xf>
    <xf numFmtId="0" fontId="30" fillId="9" borderId="14" xfId="6" applyNumberFormat="1" applyFont="1" applyFill="1" applyBorder="1" applyAlignment="1" applyProtection="1">
      <alignment horizontal="right" vertical="center"/>
    </xf>
    <xf numFmtId="43" fontId="22" fillId="13" borderId="1" xfId="0" applyNumberFormat="1" applyFont="1" applyFill="1" applyBorder="1"/>
    <xf numFmtId="165" fontId="22" fillId="13" borderId="1" xfId="0" applyNumberFormat="1" applyFont="1" applyFill="1" applyBorder="1"/>
    <xf numFmtId="4" fontId="30" fillId="9" borderId="14" xfId="6" applyNumberFormat="1" applyFont="1" applyFill="1" applyBorder="1" applyProtection="1"/>
    <xf numFmtId="3" fontId="30" fillId="9" borderId="14" xfId="6" applyNumberFormat="1" applyFont="1" applyFill="1" applyBorder="1" applyProtection="1"/>
    <xf numFmtId="3" fontId="22" fillId="0" borderId="1" xfId="6" applyNumberFormat="1" applyFont="1" applyFill="1" applyBorder="1" applyAlignment="1" applyProtection="1">
      <alignment horizontal="right" vertical="center"/>
    </xf>
    <xf numFmtId="3" fontId="31" fillId="18" borderId="1" xfId="9" applyNumberFormat="1" applyBorder="1" applyAlignment="1" applyProtection="1">
      <alignment horizontal="right" vertical="center"/>
    </xf>
    <xf numFmtId="3" fontId="22" fillId="14" borderId="1" xfId="6" applyNumberFormat="1" applyFont="1" applyFill="1" applyBorder="1" applyAlignment="1" applyProtection="1">
      <alignment horizontal="right" vertical="center"/>
    </xf>
    <xf numFmtId="3" fontId="22" fillId="12" borderId="1" xfId="6" applyNumberFormat="1" applyFont="1" applyFill="1" applyBorder="1" applyAlignment="1" applyProtection="1">
      <alignment horizontal="right" vertical="center"/>
    </xf>
    <xf numFmtId="3" fontId="30" fillId="9" borderId="14" xfId="6" applyNumberFormat="1" applyFont="1" applyFill="1" applyBorder="1" applyAlignment="1" applyProtection="1">
      <alignment horizontal="right"/>
    </xf>
    <xf numFmtId="3" fontId="21" fillId="0" borderId="0" xfId="0" applyNumberFormat="1" applyFont="1" applyAlignment="1">
      <alignment horizontal="right"/>
    </xf>
    <xf numFmtId="3" fontId="22" fillId="13" borderId="1" xfId="0" applyNumberFormat="1" applyFont="1" applyFill="1" applyBorder="1" applyAlignment="1">
      <alignment horizontal="right"/>
    </xf>
    <xf numFmtId="3" fontId="34" fillId="0" borderId="1" xfId="0" applyNumberFormat="1" applyFont="1" applyBorder="1" applyAlignment="1">
      <alignment horizontal="right"/>
    </xf>
    <xf numFmtId="3" fontId="0" fillId="0" borderId="1" xfId="0" applyNumberFormat="1" applyBorder="1" applyAlignment="1">
      <alignment horizontal="right"/>
    </xf>
    <xf numFmtId="3" fontId="0" fillId="0" borderId="0" xfId="0" applyNumberFormat="1" applyAlignment="1">
      <alignment horizontal="right"/>
    </xf>
    <xf numFmtId="4" fontId="22" fillId="0" borderId="5" xfId="6" applyNumberFormat="1" applyFont="1" applyFill="1" applyBorder="1" applyAlignment="1" applyProtection="1">
      <alignment vertical="center"/>
    </xf>
    <xf numFmtId="4" fontId="30" fillId="15" borderId="14" xfId="6" applyNumberFormat="1" applyFont="1" applyFill="1" applyBorder="1" applyProtection="1"/>
    <xf numFmtId="4" fontId="31" fillId="18" borderId="27" xfId="9" applyNumberFormat="1" applyBorder="1" applyAlignment="1" applyProtection="1">
      <alignment vertical="center"/>
      <protection locked="0"/>
    </xf>
    <xf numFmtId="4" fontId="21" fillId="0" borderId="0" xfId="0" applyNumberFormat="1" applyFont="1" applyAlignment="1">
      <alignment vertical="center"/>
    </xf>
    <xf numFmtId="4" fontId="22" fillId="0" borderId="1" xfId="0" applyNumberFormat="1" applyFont="1" applyBorder="1" applyAlignment="1" applyProtection="1">
      <alignment vertical="center"/>
      <protection locked="0"/>
    </xf>
    <xf numFmtId="4" fontId="31" fillId="18" borderId="0" xfId="9" applyNumberFormat="1" applyAlignment="1">
      <alignment vertical="center"/>
    </xf>
    <xf numFmtId="4" fontId="22" fillId="0" borderId="1" xfId="6" applyNumberFormat="1" applyFont="1" applyFill="1" applyBorder="1" applyAlignment="1" applyProtection="1">
      <alignment horizontal="right" vertical="center" indent="2"/>
      <protection locked="0"/>
    </xf>
    <xf numFmtId="39" fontId="6" fillId="9" borderId="15" xfId="3" applyNumberFormat="1" applyFont="1" applyFill="1" applyBorder="1" applyProtection="1"/>
    <xf numFmtId="4" fontId="30" fillId="9" borderId="14" xfId="6" applyNumberFormat="1" applyFont="1" applyFill="1" applyBorder="1" applyAlignment="1" applyProtection="1">
      <alignment horizontal="right"/>
    </xf>
    <xf numFmtId="4" fontId="22" fillId="12" borderId="1" xfId="6" applyNumberFormat="1" applyFont="1" applyFill="1" applyBorder="1" applyAlignment="1" applyProtection="1">
      <alignment horizontal="right" vertical="center"/>
    </xf>
    <xf numFmtId="0" fontId="39" fillId="0" borderId="27" xfId="1" applyFont="1" applyBorder="1" applyAlignment="1">
      <alignment horizontal="center" vertical="center" wrapText="1"/>
    </xf>
    <xf numFmtId="0" fontId="1" fillId="0" borderId="1" xfId="0" applyFont="1" applyBorder="1" applyAlignment="1">
      <alignment horizontal="center" vertical="center"/>
    </xf>
    <xf numFmtId="0" fontId="31" fillId="18" borderId="27" xfId="9" applyBorder="1" applyAlignment="1">
      <alignment horizontal="left" vertical="center" wrapText="1"/>
    </xf>
    <xf numFmtId="4" fontId="31" fillId="18" borderId="27" xfId="9" applyNumberFormat="1" applyBorder="1" applyAlignment="1">
      <alignment vertical="center"/>
    </xf>
    <xf numFmtId="3" fontId="31" fillId="18" borderId="27" xfId="9" applyNumberFormat="1" applyBorder="1" applyAlignment="1">
      <alignment vertical="center"/>
    </xf>
    <xf numFmtId="4" fontId="17" fillId="0" borderId="1" xfId="6" applyNumberFormat="1" applyFont="1" applyBorder="1" applyAlignment="1">
      <alignment vertical="center"/>
    </xf>
    <xf numFmtId="0" fontId="0" fillId="20" borderId="0" xfId="0" applyFill="1"/>
    <xf numFmtId="0" fontId="1" fillId="20" borderId="16" xfId="0" applyFont="1" applyFill="1" applyBorder="1" applyAlignment="1">
      <alignment horizontal="center"/>
    </xf>
    <xf numFmtId="0" fontId="17" fillId="20" borderId="31" xfId="9" applyFont="1" applyFill="1" applyBorder="1" applyAlignment="1">
      <alignment horizontal="center" vertical="center"/>
    </xf>
    <xf numFmtId="0" fontId="17" fillId="20" borderId="27" xfId="9" applyFont="1" applyFill="1" applyBorder="1" applyAlignment="1">
      <alignment horizontal="left" vertical="center" wrapText="1"/>
    </xf>
    <xf numFmtId="0" fontId="17" fillId="20" borderId="27" xfId="9" applyFont="1" applyFill="1" applyBorder="1" applyAlignment="1">
      <alignment vertical="center" wrapText="1"/>
    </xf>
    <xf numFmtId="3" fontId="17" fillId="20" borderId="27" xfId="9" applyNumberFormat="1" applyFont="1" applyFill="1" applyBorder="1" applyAlignment="1" applyProtection="1">
      <alignment vertical="center"/>
      <protection locked="0"/>
    </xf>
    <xf numFmtId="3" fontId="17" fillId="20" borderId="27" xfId="9" applyNumberFormat="1" applyFont="1" applyFill="1" applyBorder="1" applyAlignment="1" applyProtection="1">
      <alignment horizontal="right" vertical="center"/>
    </xf>
    <xf numFmtId="4" fontId="17" fillId="20" borderId="27" xfId="9" applyNumberFormat="1" applyFont="1" applyFill="1" applyBorder="1" applyAlignment="1" applyProtection="1">
      <alignment vertical="center"/>
      <protection locked="0"/>
    </xf>
    <xf numFmtId="4" fontId="17" fillId="20" borderId="28" xfId="9" applyNumberFormat="1" applyFont="1" applyFill="1" applyBorder="1" applyAlignment="1">
      <alignment vertical="center"/>
    </xf>
    <xf numFmtId="4" fontId="17" fillId="20" borderId="27" xfId="9" applyNumberFormat="1" applyFont="1" applyFill="1" applyBorder="1" applyAlignment="1">
      <alignment vertical="center"/>
    </xf>
    <xf numFmtId="3" fontId="17" fillId="20" borderId="27" xfId="9" applyNumberFormat="1" applyFont="1" applyFill="1" applyBorder="1" applyAlignment="1">
      <alignment vertical="center"/>
    </xf>
    <xf numFmtId="4" fontId="17" fillId="20" borderId="0" xfId="9" applyNumberFormat="1" applyFont="1" applyFill="1" applyAlignment="1">
      <alignment vertical="center"/>
    </xf>
    <xf numFmtId="0" fontId="19" fillId="20" borderId="16" xfId="0" applyFont="1" applyFill="1" applyBorder="1" applyAlignment="1">
      <alignment horizontal="center"/>
    </xf>
    <xf numFmtId="0" fontId="19" fillId="20" borderId="0" xfId="10" applyFont="1" applyFill="1" applyBorder="1" applyAlignment="1">
      <alignment horizontal="center" vertical="center"/>
    </xf>
    <xf numFmtId="4" fontId="22" fillId="0" borderId="1" xfId="1" applyNumberFormat="1" applyFont="1" applyBorder="1" applyAlignment="1" applyProtection="1">
      <alignment vertical="center"/>
      <protection locked="0"/>
    </xf>
    <xf numFmtId="0" fontId="17" fillId="20" borderId="1" xfId="9" applyFont="1" applyFill="1" applyBorder="1" applyAlignment="1">
      <alignment vertical="center" wrapText="1"/>
    </xf>
    <xf numFmtId="3" fontId="17" fillId="20" borderId="1" xfId="9" applyNumberFormat="1" applyFont="1" applyFill="1" applyBorder="1" applyAlignment="1" applyProtection="1">
      <alignment vertical="center"/>
      <protection locked="0"/>
    </xf>
    <xf numFmtId="3" fontId="17" fillId="20" borderId="1" xfId="9" applyNumberFormat="1" applyFont="1" applyFill="1" applyBorder="1" applyAlignment="1" applyProtection="1">
      <alignment horizontal="right" vertical="center"/>
    </xf>
    <xf numFmtId="4" fontId="17" fillId="20" borderId="1" xfId="9" applyNumberFormat="1" applyFont="1" applyFill="1" applyBorder="1" applyAlignment="1" applyProtection="1">
      <alignment vertical="center"/>
      <protection locked="0"/>
    </xf>
    <xf numFmtId="4" fontId="17" fillId="20" borderId="1" xfId="9" applyNumberFormat="1" applyFont="1" applyFill="1" applyBorder="1" applyAlignment="1" applyProtection="1">
      <alignment vertical="center"/>
    </xf>
    <xf numFmtId="4" fontId="17" fillId="20" borderId="1" xfId="9" applyNumberFormat="1" applyFont="1" applyFill="1" applyBorder="1" applyAlignment="1">
      <alignment horizontal="right" vertical="center"/>
    </xf>
    <xf numFmtId="4" fontId="17" fillId="20" borderId="5" xfId="9" applyNumberFormat="1" applyFont="1" applyFill="1" applyBorder="1" applyAlignment="1" applyProtection="1">
      <alignment vertical="center"/>
    </xf>
    <xf numFmtId="4" fontId="17" fillId="20" borderId="1" xfId="9" applyNumberFormat="1" applyFont="1" applyFill="1" applyBorder="1" applyAlignment="1">
      <alignment vertical="center"/>
    </xf>
    <xf numFmtId="3" fontId="17" fillId="20" borderId="1" xfId="9" applyNumberFormat="1" applyFont="1" applyFill="1" applyBorder="1" applyAlignment="1">
      <alignment vertical="center"/>
    </xf>
    <xf numFmtId="0" fontId="17" fillId="20" borderId="17" xfId="0" applyFont="1" applyFill="1" applyBorder="1" applyAlignment="1">
      <alignment horizontal="center"/>
    </xf>
    <xf numFmtId="0" fontId="19" fillId="20" borderId="17" xfId="0" applyFont="1" applyFill="1" applyBorder="1" applyAlignment="1">
      <alignment horizontal="center"/>
    </xf>
    <xf numFmtId="0" fontId="1" fillId="20" borderId="36" xfId="0" applyFont="1" applyFill="1" applyBorder="1" applyAlignment="1">
      <alignment horizontal="center" vertical="center" wrapText="1"/>
    </xf>
    <xf numFmtId="0" fontId="11" fillId="20" borderId="2" xfId="1" applyFont="1" applyFill="1" applyBorder="1" applyAlignment="1">
      <alignment horizontal="center" vertical="center" wrapText="1"/>
    </xf>
    <xf numFmtId="0" fontId="5" fillId="20" borderId="0" xfId="1" applyFont="1" applyFill="1"/>
    <xf numFmtId="0" fontId="36" fillId="20" borderId="1" xfId="1" applyFont="1" applyFill="1" applyBorder="1" applyAlignment="1">
      <alignment horizontal="center" vertical="center" wrapText="1"/>
    </xf>
    <xf numFmtId="3" fontId="36" fillId="20" borderId="1" xfId="1" applyNumberFormat="1" applyFont="1" applyFill="1" applyBorder="1" applyAlignment="1">
      <alignment horizontal="center" vertical="center" wrapText="1"/>
    </xf>
    <xf numFmtId="4" fontId="36" fillId="20" borderId="1" xfId="1" applyNumberFormat="1" applyFont="1" applyFill="1" applyBorder="1" applyAlignment="1">
      <alignment horizontal="center" vertical="center" wrapText="1"/>
    </xf>
    <xf numFmtId="0" fontId="31" fillId="18" borderId="1" xfId="9" applyBorder="1" applyAlignment="1">
      <alignment horizontal="left" vertical="top" wrapText="1"/>
    </xf>
    <xf numFmtId="0" fontId="31" fillId="18" borderId="2" xfId="9" applyBorder="1" applyAlignment="1">
      <alignment horizontal="left" vertical="center" wrapText="1"/>
    </xf>
    <xf numFmtId="4" fontId="36" fillId="20" borderId="11" xfId="1" applyNumberFormat="1" applyFont="1" applyFill="1" applyBorder="1" applyAlignment="1">
      <alignment horizontal="center" vertical="center" wrapText="1"/>
    </xf>
    <xf numFmtId="4" fontId="17" fillId="20" borderId="11" xfId="9" applyNumberFormat="1" applyFont="1" applyFill="1" applyBorder="1" applyAlignment="1" applyProtection="1">
      <alignment vertical="center"/>
    </xf>
    <xf numFmtId="4" fontId="22" fillId="0" borderId="11" xfId="1" applyNumberFormat="1" applyFont="1" applyBorder="1" applyAlignment="1">
      <alignment vertical="center"/>
    </xf>
    <xf numFmtId="4" fontId="30" fillId="9" borderId="15" xfId="6" applyNumberFormat="1" applyFont="1" applyFill="1" applyBorder="1" applyProtection="1"/>
    <xf numFmtId="4" fontId="17" fillId="20" borderId="27" xfId="9" applyNumberFormat="1" applyFont="1" applyFill="1" applyBorder="1" applyAlignment="1" applyProtection="1">
      <alignment horizontal="right" vertical="center"/>
      <protection locked="0"/>
    </xf>
    <xf numFmtId="4" fontId="22" fillId="0" borderId="1" xfId="6" applyNumberFormat="1" applyFont="1" applyFill="1" applyBorder="1" applyAlignment="1" applyProtection="1">
      <alignment horizontal="right" vertical="center"/>
      <protection locked="0"/>
    </xf>
    <xf numFmtId="4" fontId="31" fillId="18" borderId="27" xfId="9" applyNumberFormat="1" applyBorder="1" applyAlignment="1" applyProtection="1">
      <alignment horizontal="right" vertical="center"/>
      <protection locked="0"/>
    </xf>
    <xf numFmtId="4" fontId="21" fillId="0" borderId="1" xfId="0" applyNumberFormat="1" applyFont="1" applyBorder="1" applyAlignment="1">
      <alignment horizontal="right" vertical="center"/>
    </xf>
    <xf numFmtId="4" fontId="17" fillId="20" borderId="1" xfId="9" applyNumberFormat="1" applyFont="1" applyFill="1" applyBorder="1" applyAlignment="1" applyProtection="1">
      <alignment horizontal="right" vertical="center"/>
      <protection locked="0"/>
    </xf>
    <xf numFmtId="4" fontId="21" fillId="0" borderId="1" xfId="0" applyNumberFormat="1" applyFont="1" applyBorder="1" applyAlignment="1" applyProtection="1">
      <alignment horizontal="right" vertical="center"/>
      <protection locked="0"/>
    </xf>
    <xf numFmtId="4" fontId="21" fillId="0" borderId="0" xfId="0" applyNumberFormat="1" applyFont="1" applyAlignment="1">
      <alignment horizontal="right"/>
    </xf>
    <xf numFmtId="4" fontId="22" fillId="13" borderId="1" xfId="0" applyNumberFormat="1" applyFont="1" applyFill="1" applyBorder="1" applyAlignment="1">
      <alignment horizontal="right"/>
    </xf>
    <xf numFmtId="4" fontId="34" fillId="0" borderId="1" xfId="0" applyNumberFormat="1" applyFont="1" applyBorder="1" applyAlignment="1">
      <alignment horizontal="right"/>
    </xf>
    <xf numFmtId="4" fontId="0" fillId="0" borderId="0" xfId="0" applyNumberFormat="1" applyAlignment="1">
      <alignment horizontal="right"/>
    </xf>
    <xf numFmtId="4" fontId="31" fillId="18" borderId="1" xfId="9" applyNumberFormat="1" applyBorder="1" applyAlignment="1" applyProtection="1">
      <alignment horizontal="right" vertical="center" wrapText="1"/>
      <protection locked="0"/>
    </xf>
    <xf numFmtId="4" fontId="31" fillId="18" borderId="1" xfId="9" applyNumberFormat="1" applyBorder="1" applyAlignment="1" applyProtection="1">
      <alignment horizontal="right" vertical="center"/>
      <protection locked="0"/>
    </xf>
    <xf numFmtId="4" fontId="31" fillId="18" borderId="1" xfId="9" applyNumberFormat="1" applyBorder="1" applyAlignment="1" applyProtection="1">
      <alignment vertical="center"/>
    </xf>
    <xf numFmtId="0" fontId="31" fillId="18" borderId="1" xfId="9" applyBorder="1" applyAlignment="1">
      <alignment horizontal="left" vertical="center" wrapText="1"/>
    </xf>
    <xf numFmtId="0" fontId="31" fillId="18" borderId="2" xfId="9" applyNumberFormat="1" applyBorder="1" applyAlignment="1" applyProtection="1">
      <alignment horizontal="center" vertical="center" wrapText="1"/>
      <protection locked="0"/>
    </xf>
    <xf numFmtId="37" fontId="31" fillId="18" borderId="1" xfId="9" applyNumberFormat="1" applyBorder="1" applyAlignment="1" applyProtection="1">
      <alignment horizontal="right" vertical="center"/>
      <protection locked="0"/>
    </xf>
    <xf numFmtId="39" fontId="31" fillId="18" borderId="1" xfId="9" applyNumberFormat="1" applyBorder="1" applyAlignment="1" applyProtection="1">
      <alignment horizontal="right" vertical="center"/>
      <protection locked="0"/>
    </xf>
    <xf numFmtId="43" fontId="31" fillId="18" borderId="1" xfId="9" applyNumberFormat="1" applyBorder="1" applyAlignment="1" applyProtection="1">
      <alignment horizontal="right" vertical="center"/>
    </xf>
    <xf numFmtId="4" fontId="31" fillId="18" borderId="1" xfId="9" applyNumberFormat="1" applyBorder="1" applyAlignment="1" applyProtection="1">
      <alignment horizontal="right" vertical="center"/>
    </xf>
    <xf numFmtId="4" fontId="31" fillId="18" borderId="5" xfId="9" applyNumberFormat="1" applyBorder="1" applyAlignment="1" applyProtection="1">
      <alignment horizontal="right" vertical="center"/>
    </xf>
    <xf numFmtId="4" fontId="31" fillId="18" borderId="11" xfId="9" applyNumberFormat="1" applyBorder="1" applyAlignment="1" applyProtection="1">
      <alignment horizontal="right" vertical="center"/>
    </xf>
    <xf numFmtId="4" fontId="17" fillId="0" borderId="1" xfId="4" applyNumberFormat="1" applyFont="1" applyBorder="1" applyAlignment="1">
      <alignment horizontal="center"/>
    </xf>
    <xf numFmtId="4" fontId="38" fillId="4" borderId="1" xfId="1" applyNumberFormat="1" applyFont="1" applyFill="1" applyBorder="1" applyAlignment="1">
      <alignment horizontal="center" vertical="center" wrapText="1"/>
    </xf>
    <xf numFmtId="4" fontId="39" fillId="0" borderId="27" xfId="1" applyNumberFormat="1" applyFont="1" applyBorder="1" applyAlignment="1">
      <alignment horizontal="center" vertical="center" wrapText="1"/>
    </xf>
    <xf numFmtId="4" fontId="38" fillId="0" borderId="1" xfId="1" applyNumberFormat="1" applyFont="1" applyBorder="1" applyAlignment="1">
      <alignment horizontal="right" vertical="center" wrapText="1"/>
    </xf>
    <xf numFmtId="4" fontId="17" fillId="0" borderId="27" xfId="3" applyNumberFormat="1" applyFont="1" applyFill="1" applyBorder="1" applyAlignment="1" applyProtection="1">
      <alignment horizontal="right" vertical="center"/>
      <protection locked="0"/>
    </xf>
    <xf numFmtId="4" fontId="17" fillId="0" borderId="1" xfId="3" applyNumberFormat="1" applyFont="1" applyFill="1" applyBorder="1" applyAlignment="1" applyProtection="1">
      <alignment horizontal="right" vertical="center"/>
      <protection locked="0"/>
    </xf>
    <xf numFmtId="4" fontId="19" fillId="9" borderId="14" xfId="3" applyNumberFormat="1" applyFont="1" applyFill="1" applyBorder="1" applyProtection="1"/>
    <xf numFmtId="4" fontId="0" fillId="11" borderId="23" xfId="0" applyNumberFormat="1" applyFill="1" applyBorder="1" applyAlignment="1">
      <alignment horizontal="center" vertical="center" wrapText="1"/>
    </xf>
    <xf numFmtId="4" fontId="17" fillId="13" borderId="1" xfId="0" applyNumberFormat="1" applyFont="1" applyFill="1" applyBorder="1"/>
    <xf numFmtId="4" fontId="17" fillId="13" borderId="0" xfId="0" applyNumberFormat="1" applyFont="1" applyFill="1"/>
    <xf numFmtId="4" fontId="17" fillId="0" borderId="11" xfId="4" applyNumberFormat="1" applyFont="1" applyBorder="1" applyAlignment="1">
      <alignment horizontal="center"/>
    </xf>
    <xf numFmtId="4" fontId="38" fillId="4" borderId="11" xfId="1" applyNumberFormat="1" applyFont="1" applyFill="1" applyBorder="1" applyAlignment="1">
      <alignment horizontal="center" vertical="center" wrapText="1"/>
    </xf>
    <xf numFmtId="4" fontId="39" fillId="0" borderId="32" xfId="1" applyNumberFormat="1" applyFont="1" applyBorder="1" applyAlignment="1">
      <alignment horizontal="center" vertical="center" wrapText="1"/>
    </xf>
    <xf numFmtId="4" fontId="38" fillId="0" borderId="11" xfId="1" applyNumberFormat="1" applyFont="1" applyBorder="1" applyAlignment="1">
      <alignment horizontal="right" vertical="center" wrapText="1"/>
    </xf>
    <xf numFmtId="4" fontId="17" fillId="0" borderId="11" xfId="3" applyNumberFormat="1" applyFont="1" applyFill="1" applyBorder="1" applyAlignment="1" applyProtection="1">
      <alignment horizontal="right" vertical="center"/>
    </xf>
    <xf numFmtId="4" fontId="17" fillId="11" borderId="11" xfId="3" applyNumberFormat="1" applyFont="1" applyFill="1" applyBorder="1" applyAlignment="1" applyProtection="1">
      <alignment vertical="center"/>
    </xf>
    <xf numFmtId="4" fontId="19" fillId="9" borderId="15" xfId="3" applyNumberFormat="1" applyFont="1" applyFill="1" applyBorder="1" applyProtection="1"/>
    <xf numFmtId="4" fontId="0" fillId="11" borderId="24" xfId="0" applyNumberFormat="1" applyFill="1" applyBorder="1" applyAlignment="1">
      <alignment horizontal="center" vertical="center" wrapText="1"/>
    </xf>
    <xf numFmtId="4" fontId="17" fillId="13" borderId="11" xfId="0" applyNumberFormat="1" applyFont="1" applyFill="1" applyBorder="1"/>
    <xf numFmtId="4" fontId="17" fillId="13" borderId="20" xfId="0" applyNumberFormat="1" applyFont="1" applyFill="1" applyBorder="1"/>
    <xf numFmtId="4" fontId="0" fillId="0" borderId="15" xfId="0" applyNumberFormat="1" applyBorder="1"/>
    <xf numFmtId="0" fontId="31" fillId="18" borderId="1" xfId="9" applyBorder="1" applyAlignment="1">
      <alignment horizontal="center" vertical="center"/>
    </xf>
    <xf numFmtId="0" fontId="31" fillId="18" borderId="1" xfId="9" applyBorder="1" applyAlignment="1">
      <alignment vertical="top" wrapText="1"/>
    </xf>
    <xf numFmtId="3" fontId="31" fillId="18" borderId="1" xfId="9" applyNumberFormat="1" applyBorder="1" applyAlignment="1" applyProtection="1">
      <alignment vertical="center"/>
    </xf>
    <xf numFmtId="1" fontId="31" fillId="18" borderId="1" xfId="9" applyNumberFormat="1" applyBorder="1" applyAlignment="1">
      <alignment horizontal="right" vertical="center" wrapText="1"/>
    </xf>
    <xf numFmtId="4" fontId="31" fillId="18" borderId="11" xfId="9" applyNumberFormat="1" applyBorder="1" applyAlignment="1">
      <alignment horizontal="right" vertical="center" wrapText="1"/>
    </xf>
    <xf numFmtId="0" fontId="19" fillId="20" borderId="0" xfId="10" applyFont="1" applyFill="1" applyBorder="1" applyAlignment="1">
      <alignment horizontal="center" vertical="center" wrapText="1"/>
    </xf>
    <xf numFmtId="0" fontId="19" fillId="18" borderId="27" xfId="9" applyFont="1" applyBorder="1" applyAlignment="1">
      <alignment horizontal="center" vertical="center"/>
    </xf>
    <xf numFmtId="0" fontId="5" fillId="21" borderId="0" xfId="0" applyFont="1" applyFill="1" applyAlignment="1">
      <alignment wrapText="1"/>
    </xf>
    <xf numFmtId="0" fontId="21" fillId="0" borderId="1" xfId="0" applyFont="1" applyBorder="1"/>
    <xf numFmtId="0" fontId="34" fillId="0" borderId="1" xfId="0" applyFont="1" applyBorder="1"/>
    <xf numFmtId="0" fontId="21" fillId="6" borderId="27" xfId="0" applyFont="1" applyFill="1" applyBorder="1" applyAlignment="1">
      <alignment horizontal="center" vertical="center"/>
    </xf>
    <xf numFmtId="0" fontId="21" fillId="0" borderId="35" xfId="0" applyFont="1" applyBorder="1"/>
    <xf numFmtId="0" fontId="21" fillId="0" borderId="39" xfId="0" applyFont="1" applyBorder="1"/>
    <xf numFmtId="37" fontId="30" fillId="15" borderId="26" xfId="6" applyNumberFormat="1" applyFont="1" applyFill="1" applyBorder="1" applyProtection="1"/>
    <xf numFmtId="0" fontId="35" fillId="6" borderId="27" xfId="1" applyFont="1" applyFill="1" applyBorder="1" applyAlignment="1">
      <alignment horizontal="center" vertical="center" wrapText="1"/>
    </xf>
    <xf numFmtId="0" fontId="0" fillId="11" borderId="30" xfId="0" applyFill="1" applyBorder="1" applyAlignment="1">
      <alignment horizontal="center" vertical="center" wrapText="1"/>
    </xf>
    <xf numFmtId="37" fontId="17" fillId="13" borderId="2" xfId="0" applyNumberFormat="1" applyFont="1" applyFill="1" applyBorder="1"/>
    <xf numFmtId="164" fontId="17" fillId="13" borderId="2" xfId="0" applyNumberFormat="1" applyFont="1" applyFill="1" applyBorder="1"/>
    <xf numFmtId="37" fontId="0" fillId="0" borderId="13" xfId="0" applyNumberFormat="1" applyBorder="1"/>
    <xf numFmtId="0" fontId="0" fillId="0" borderId="39" xfId="0" applyBorder="1"/>
    <xf numFmtId="0" fontId="1" fillId="0" borderId="14" xfId="0" applyFont="1" applyBorder="1"/>
    <xf numFmtId="0" fontId="0" fillId="11" borderId="27" xfId="0" applyFill="1" applyBorder="1" applyAlignment="1">
      <alignment horizontal="center" vertical="center"/>
    </xf>
    <xf numFmtId="0" fontId="31" fillId="18" borderId="1" xfId="9" applyNumberFormat="1" applyBorder="1" applyAlignment="1" applyProtection="1">
      <alignment horizontal="center" vertical="center" wrapText="1"/>
      <protection locked="0"/>
    </xf>
    <xf numFmtId="0" fontId="19" fillId="0" borderId="1" xfId="3" applyNumberFormat="1" applyFont="1" applyFill="1" applyBorder="1" applyAlignment="1" applyProtection="1">
      <alignment horizontal="center" vertical="center" wrapText="1"/>
      <protection locked="0"/>
    </xf>
    <xf numFmtId="43" fontId="19" fillId="9" borderId="14" xfId="3" applyFont="1" applyFill="1" applyBorder="1" applyAlignment="1" applyProtection="1">
      <alignment horizontal="center" vertical="center"/>
    </xf>
    <xf numFmtId="8" fontId="45" fillId="0" borderId="5" xfId="0" applyNumberFormat="1" applyFont="1" applyBorder="1" applyAlignment="1">
      <alignment horizontal="center" vertical="center"/>
    </xf>
    <xf numFmtId="0" fontId="45" fillId="0" borderId="11" xfId="0" applyFont="1" applyBorder="1" applyAlignment="1">
      <alignment horizontal="left" vertical="center" wrapText="1"/>
    </xf>
    <xf numFmtId="8" fontId="45" fillId="0" borderId="37" xfId="0" applyNumberFormat="1" applyFont="1" applyBorder="1" applyAlignment="1">
      <alignment horizontal="center" vertical="center"/>
    </xf>
    <xf numFmtId="0" fontId="45" fillId="0" borderId="15" xfId="0" applyFont="1" applyBorder="1" applyAlignment="1">
      <alignment horizontal="left" vertical="center" wrapText="1"/>
    </xf>
    <xf numFmtId="4" fontId="0" fillId="5" borderId="0" xfId="0" applyNumberFormat="1" applyFill="1"/>
    <xf numFmtId="4" fontId="0" fillId="6" borderId="0" xfId="0" applyNumberFormat="1" applyFill="1"/>
    <xf numFmtId="4" fontId="0" fillId="8" borderId="0" xfId="0" applyNumberFormat="1" applyFill="1"/>
    <xf numFmtId="4" fontId="44" fillId="3" borderId="0" xfId="0" applyNumberFormat="1" applyFont="1" applyFill="1"/>
    <xf numFmtId="4" fontId="46" fillId="2" borderId="4" xfId="0" applyNumberFormat="1" applyFont="1" applyFill="1" applyBorder="1" applyAlignment="1">
      <alignment horizontal="center" vertical="center" wrapText="1"/>
    </xf>
    <xf numFmtId="4" fontId="0" fillId="7" borderId="0" xfId="0" applyNumberFormat="1" applyFill="1"/>
    <xf numFmtId="4" fontId="17" fillId="10" borderId="0" xfId="0" applyNumberFormat="1" applyFont="1" applyFill="1"/>
    <xf numFmtId="4" fontId="0" fillId="5" borderId="0" xfId="8" applyNumberFormat="1" applyFont="1" applyFill="1"/>
    <xf numFmtId="4" fontId="13" fillId="0" borderId="0" xfId="0" applyNumberFormat="1" applyFont="1" applyAlignment="1">
      <alignment horizontal="right" vertical="center"/>
    </xf>
    <xf numFmtId="4" fontId="10" fillId="0" borderId="0" xfId="6" applyNumberFormat="1" applyFont="1" applyFill="1" applyBorder="1" applyAlignment="1">
      <alignment vertical="center"/>
    </xf>
    <xf numFmtId="4" fontId="10" fillId="2" borderId="4" xfId="0" applyNumberFormat="1" applyFont="1" applyFill="1" applyBorder="1" applyAlignment="1">
      <alignment horizontal="center" vertical="center" wrapText="1"/>
    </xf>
    <xf numFmtId="4" fontId="8" fillId="7" borderId="0" xfId="0" applyNumberFormat="1" applyFont="1" applyFill="1" applyAlignment="1">
      <alignment horizontal="center" vertical="center" wrapText="1"/>
    </xf>
    <xf numFmtId="4" fontId="10" fillId="0" borderId="0" xfId="3" applyNumberFormat="1" applyFont="1" applyBorder="1" applyAlignment="1">
      <alignment vertical="center"/>
    </xf>
    <xf numFmtId="4" fontId="10" fillId="0" borderId="0" xfId="3" applyNumberFormat="1" applyFont="1" applyFill="1" applyBorder="1" applyAlignment="1">
      <alignment vertical="center"/>
    </xf>
    <xf numFmtId="4" fontId="14" fillId="8" borderId="0" xfId="0" applyNumberFormat="1" applyFont="1" applyFill="1" applyAlignment="1">
      <alignment horizontal="center" vertical="center" wrapText="1"/>
    </xf>
    <xf numFmtId="4" fontId="10" fillId="17" borderId="0" xfId="3" applyNumberFormat="1" applyFont="1" applyFill="1" applyBorder="1" applyAlignment="1">
      <alignment vertical="center"/>
    </xf>
    <xf numFmtId="4" fontId="10" fillId="5" borderId="0" xfId="3" applyNumberFormat="1" applyFont="1" applyFill="1" applyBorder="1" applyAlignment="1">
      <alignment vertical="center"/>
    </xf>
    <xf numFmtId="4" fontId="10" fillId="6" borderId="4" xfId="3" applyNumberFormat="1" applyFont="1" applyFill="1" applyBorder="1" applyAlignment="1">
      <alignment vertical="center"/>
    </xf>
    <xf numFmtId="4" fontId="7" fillId="5" borderId="0" xfId="0" applyNumberFormat="1" applyFont="1" applyFill="1" applyAlignment="1">
      <alignment horizontal="right" vertical="center" wrapText="1"/>
    </xf>
    <xf numFmtId="4" fontId="9" fillId="3" borderId="0" xfId="3" applyNumberFormat="1" applyFont="1" applyFill="1" applyBorder="1" applyAlignment="1">
      <alignment vertical="center"/>
    </xf>
    <xf numFmtId="4" fontId="3" fillId="0" borderId="0" xfId="4" applyNumberFormat="1"/>
    <xf numFmtId="4" fontId="10" fillId="10" borderId="0" xfId="3" applyNumberFormat="1" applyFont="1" applyFill="1" applyBorder="1" applyAlignment="1">
      <alignment vertical="center"/>
    </xf>
    <xf numFmtId="4" fontId="7" fillId="5" borderId="0" xfId="8" applyNumberFormat="1" applyFont="1" applyFill="1" applyBorder="1" applyAlignment="1">
      <alignment horizontal="right" vertical="center" wrapText="1"/>
    </xf>
    <xf numFmtId="4" fontId="10" fillId="0" borderId="0" xfId="3" applyNumberFormat="1" applyFont="1" applyFill="1" applyBorder="1" applyAlignment="1">
      <alignment horizontal="right" vertical="center"/>
    </xf>
    <xf numFmtId="0" fontId="31" fillId="18" borderId="1" xfId="9" applyBorder="1" applyAlignment="1">
      <alignment horizontal="right" vertical="center" wrapText="1"/>
    </xf>
    <xf numFmtId="3" fontId="31" fillId="18" borderId="1" xfId="9" applyNumberFormat="1" applyBorder="1" applyAlignment="1">
      <alignment horizontal="right" vertical="center" wrapText="1"/>
    </xf>
    <xf numFmtId="4" fontId="31" fillId="18" borderId="1" xfId="9" applyNumberFormat="1" applyBorder="1" applyAlignment="1">
      <alignment horizontal="right" vertical="center" wrapText="1"/>
    </xf>
    <xf numFmtId="43" fontId="31" fillId="18" borderId="1" xfId="9" applyNumberFormat="1" applyBorder="1" applyAlignment="1" applyProtection="1">
      <alignment horizontal="center" vertical="center" wrapText="1"/>
      <protection locked="0"/>
    </xf>
    <xf numFmtId="43" fontId="31" fillId="18" borderId="2" xfId="9" applyNumberFormat="1" applyBorder="1" applyAlignment="1" applyProtection="1">
      <alignment horizontal="center" vertical="center" wrapText="1"/>
      <protection locked="0"/>
    </xf>
    <xf numFmtId="0" fontId="31" fillId="18" borderId="2" xfId="9" applyBorder="1" applyAlignment="1">
      <alignment vertical="center" wrapText="1"/>
    </xf>
    <xf numFmtId="4" fontId="31" fillId="18" borderId="5" xfId="9" applyNumberFormat="1" applyBorder="1" applyAlignment="1" applyProtection="1">
      <alignment vertical="center"/>
    </xf>
    <xf numFmtId="0" fontId="19" fillId="18" borderId="38" xfId="9" applyFont="1" applyBorder="1" applyAlignment="1">
      <alignment horizontal="center" vertical="center" wrapText="1"/>
    </xf>
    <xf numFmtId="0" fontId="19" fillId="20" borderId="0" xfId="0" applyFont="1" applyFill="1" applyAlignment="1">
      <alignment horizontal="center"/>
    </xf>
    <xf numFmtId="37" fontId="17" fillId="0" borderId="1" xfId="0" applyNumberFormat="1" applyFont="1" applyBorder="1" applyAlignment="1">
      <alignment horizontal="center" vertical="center"/>
    </xf>
    <xf numFmtId="37" fontId="31" fillId="18" borderId="1" xfId="9" applyNumberFormat="1" applyBorder="1" applyAlignment="1" applyProtection="1">
      <alignment vertical="center"/>
      <protection locked="0"/>
    </xf>
    <xf numFmtId="37" fontId="31" fillId="18" borderId="1" xfId="9" applyNumberFormat="1" applyBorder="1" applyAlignment="1" applyProtection="1">
      <alignment vertical="center"/>
    </xf>
    <xf numFmtId="39" fontId="31" fillId="18" borderId="1" xfId="9" applyNumberFormat="1" applyBorder="1" applyAlignment="1" applyProtection="1">
      <alignment vertical="center"/>
      <protection locked="0"/>
    </xf>
    <xf numFmtId="0" fontId="1" fillId="0" borderId="1" xfId="0" applyFont="1" applyBorder="1" applyAlignment="1">
      <alignment horizontal="center" vertical="center" wrapText="1"/>
    </xf>
    <xf numFmtId="3" fontId="22" fillId="0" borderId="27" xfId="7" applyNumberFormat="1" applyFont="1" applyBorder="1" applyAlignment="1">
      <alignment horizontal="center"/>
    </xf>
    <xf numFmtId="4" fontId="22" fillId="0" borderId="27" xfId="7" applyNumberFormat="1" applyFont="1" applyBorder="1" applyAlignment="1">
      <alignment horizontal="center"/>
    </xf>
    <xf numFmtId="0" fontId="22" fillId="0" borderId="27" xfId="7" applyFont="1" applyBorder="1" applyAlignment="1">
      <alignment horizontal="center"/>
    </xf>
    <xf numFmtId="4" fontId="22" fillId="0" borderId="32" xfId="7" applyNumberFormat="1" applyFont="1" applyBorder="1" applyAlignment="1">
      <alignment horizontal="center"/>
    </xf>
    <xf numFmtId="3" fontId="5" fillId="0" borderId="1" xfId="3" applyNumberFormat="1" applyFont="1" applyFill="1" applyBorder="1" applyAlignment="1" applyProtection="1">
      <alignment vertical="center"/>
    </xf>
    <xf numFmtId="3" fontId="0" fillId="5" borderId="0" xfId="8" applyNumberFormat="1" applyFont="1" applyFill="1"/>
    <xf numFmtId="3" fontId="0" fillId="5" borderId="0" xfId="0" applyNumberFormat="1" applyFill="1"/>
    <xf numFmtId="3" fontId="5" fillId="0" borderId="1" xfId="3" applyNumberFormat="1" applyFont="1" applyFill="1" applyBorder="1" applyAlignment="1" applyProtection="1">
      <alignment horizontal="right" vertical="center"/>
    </xf>
    <xf numFmtId="3" fontId="5" fillId="16" borderId="1" xfId="3" applyNumberFormat="1" applyFont="1" applyFill="1" applyBorder="1" applyAlignment="1" applyProtection="1">
      <alignment horizontal="right" vertical="center"/>
    </xf>
    <xf numFmtId="41" fontId="17" fillId="13" borderId="1" xfId="0" applyNumberFormat="1" applyFont="1" applyFill="1" applyBorder="1"/>
    <xf numFmtId="3" fontId="22" fillId="0" borderId="1" xfId="6" applyNumberFormat="1" applyFont="1" applyFill="1" applyBorder="1" applyAlignment="1" applyProtection="1">
      <alignment vertical="center"/>
    </xf>
    <xf numFmtId="2" fontId="6" fillId="9" borderId="14" xfId="3" applyNumberFormat="1" applyFont="1" applyFill="1" applyBorder="1" applyProtection="1"/>
    <xf numFmtId="3" fontId="1" fillId="0" borderId="0" xfId="0" applyNumberFormat="1" applyFont="1" applyAlignment="1">
      <alignment horizontal="center"/>
    </xf>
    <xf numFmtId="0" fontId="1" fillId="0" borderId="0" xfId="0" applyFont="1" applyAlignment="1">
      <alignment horizontal="center" wrapText="1"/>
    </xf>
    <xf numFmtId="3" fontId="1" fillId="0" borderId="0" xfId="0" applyNumberFormat="1" applyFont="1"/>
    <xf numFmtId="174" fontId="1" fillId="0" borderId="0" xfId="0" applyNumberFormat="1" applyFont="1"/>
    <xf numFmtId="3" fontId="1" fillId="0" borderId="0" xfId="0" applyNumberFormat="1" applyFont="1" applyAlignment="1">
      <alignment horizontal="right"/>
    </xf>
    <xf numFmtId="0" fontId="5" fillId="0" borderId="1" xfId="6" applyNumberFormat="1" applyFont="1" applyFill="1" applyBorder="1" applyAlignment="1" applyProtection="1">
      <alignment vertical="center" wrapText="1"/>
      <protection locked="0"/>
    </xf>
    <xf numFmtId="164" fontId="5" fillId="0" borderId="1" xfId="6" applyNumberFormat="1" applyFont="1" applyFill="1" applyBorder="1" applyAlignment="1" applyProtection="1">
      <alignment vertical="center"/>
      <protection locked="0"/>
    </xf>
    <xf numFmtId="164" fontId="5" fillId="0" borderId="1" xfId="6" applyNumberFormat="1" applyFont="1" applyFill="1" applyBorder="1" applyAlignment="1" applyProtection="1">
      <alignment horizontal="right" vertical="center"/>
      <protection locked="0"/>
    </xf>
    <xf numFmtId="39" fontId="5" fillId="0" borderId="1" xfId="6" applyNumberFormat="1" applyFont="1" applyFill="1" applyBorder="1" applyAlignment="1" applyProtection="1">
      <alignment horizontal="right" vertical="center"/>
    </xf>
    <xf numFmtId="4" fontId="5" fillId="0" borderId="1" xfId="6" applyNumberFormat="1" applyFont="1" applyFill="1" applyBorder="1" applyAlignment="1" applyProtection="1">
      <alignment horizontal="right" vertical="center"/>
    </xf>
    <xf numFmtId="43" fontId="5" fillId="0" borderId="1" xfId="6" applyFont="1" applyFill="1" applyBorder="1" applyAlignment="1" applyProtection="1">
      <alignment horizontal="right" vertical="center"/>
      <protection locked="0"/>
    </xf>
    <xf numFmtId="0" fontId="5" fillId="0" borderId="1" xfId="6" applyNumberFormat="1" applyFont="1" applyFill="1" applyBorder="1" applyAlignment="1" applyProtection="1">
      <alignment horizontal="right" vertical="center" wrapText="1"/>
      <protection locked="0"/>
    </xf>
    <xf numFmtId="164" fontId="10" fillId="5" borderId="0" xfId="3" applyNumberFormat="1" applyFont="1" applyFill="1" applyBorder="1" applyAlignment="1">
      <alignment vertical="center"/>
    </xf>
    <xf numFmtId="43" fontId="10" fillId="17" borderId="0" xfId="3" applyFont="1" applyFill="1" applyBorder="1" applyAlignment="1">
      <alignment vertical="center"/>
    </xf>
    <xf numFmtId="0" fontId="0" fillId="0" borderId="0" xfId="0" applyAlignment="1">
      <alignment horizontal="left"/>
    </xf>
    <xf numFmtId="0" fontId="36" fillId="9" borderId="6" xfId="1" applyFont="1" applyFill="1" applyBorder="1" applyAlignment="1">
      <alignment horizontal="center" vertical="center" wrapText="1"/>
    </xf>
    <xf numFmtId="0" fontId="36" fillId="9" borderId="21" xfId="1" applyFont="1" applyFill="1" applyBorder="1" applyAlignment="1">
      <alignment horizontal="center" vertical="center" wrapText="1"/>
    </xf>
    <xf numFmtId="0" fontId="30" fillId="12" borderId="6" xfId="6" applyNumberFormat="1" applyFont="1" applyFill="1" applyBorder="1" applyAlignment="1" applyProtection="1">
      <alignment horizontal="left" vertical="center" wrapText="1"/>
    </xf>
    <xf numFmtId="0" fontId="30" fillId="12" borderId="2" xfId="6" applyNumberFormat="1" applyFont="1" applyFill="1" applyBorder="1" applyAlignment="1" applyProtection="1">
      <alignment horizontal="left" vertical="center" wrapText="1"/>
    </xf>
    <xf numFmtId="0" fontId="0" fillId="0" borderId="0" xfId="0" applyAlignment="1">
      <alignment horizontal="left" wrapText="1"/>
    </xf>
    <xf numFmtId="0" fontId="37" fillId="0" borderId="8" xfId="0" applyFont="1" applyBorder="1" applyAlignment="1">
      <alignment horizontal="center"/>
    </xf>
    <xf numFmtId="0" fontId="37" fillId="0" borderId="9" xfId="0" applyFont="1" applyBorder="1" applyAlignment="1">
      <alignment horizontal="center"/>
    </xf>
    <xf numFmtId="0" fontId="33" fillId="0" borderId="1" xfId="0" applyFont="1" applyBorder="1" applyAlignment="1">
      <alignment horizontal="center"/>
    </xf>
    <xf numFmtId="0" fontId="30" fillId="2" borderId="27" xfId="7" applyFont="1" applyFill="1" applyBorder="1" applyAlignment="1">
      <alignment horizontal="center"/>
    </xf>
    <xf numFmtId="0" fontId="30" fillId="9" borderId="27" xfId="7" applyFont="1" applyFill="1" applyBorder="1" applyAlignment="1">
      <alignment horizontal="center" wrapText="1"/>
    </xf>
    <xf numFmtId="0" fontId="36" fillId="9" borderId="1" xfId="1" applyFont="1" applyFill="1" applyBorder="1" applyAlignment="1">
      <alignment horizontal="center" vertical="center" wrapText="1"/>
    </xf>
    <xf numFmtId="0" fontId="37" fillId="0" borderId="1" xfId="0" applyFont="1" applyBorder="1" applyAlignment="1">
      <alignment horizontal="center"/>
    </xf>
    <xf numFmtId="0" fontId="39" fillId="9" borderId="1" xfId="1" applyFont="1" applyFill="1" applyBorder="1" applyAlignment="1">
      <alignment horizontal="center" vertical="center" wrapText="1"/>
    </xf>
    <xf numFmtId="0" fontId="40" fillId="0" borderId="1" xfId="1" applyFont="1" applyBorder="1" applyAlignment="1">
      <alignment horizontal="left" vertical="center" wrapText="1"/>
    </xf>
    <xf numFmtId="0" fontId="19" fillId="11" borderId="1" xfId="3" applyNumberFormat="1" applyFont="1" applyFill="1" applyBorder="1" applyAlignment="1" applyProtection="1">
      <alignment horizontal="left" vertical="center" wrapText="1"/>
      <protection locked="0"/>
    </xf>
    <xf numFmtId="0" fontId="19" fillId="11" borderId="1" xfId="3" applyNumberFormat="1" applyFont="1" applyFill="1" applyBorder="1" applyAlignment="1" applyProtection="1">
      <alignment horizontal="left" vertical="top" wrapText="1"/>
      <protection locked="0"/>
    </xf>
    <xf numFmtId="0" fontId="19" fillId="15" borderId="1" xfId="4" applyFont="1" applyFill="1" applyBorder="1" applyAlignment="1">
      <alignment horizontal="center"/>
    </xf>
    <xf numFmtId="0" fontId="19" fillId="2" borderId="1" xfId="4" applyFont="1" applyFill="1" applyBorder="1" applyAlignment="1">
      <alignment horizontal="center"/>
    </xf>
    <xf numFmtId="0" fontId="16" fillId="11" borderId="6" xfId="3" applyNumberFormat="1" applyFont="1" applyFill="1" applyBorder="1" applyAlignment="1" applyProtection="1">
      <alignment horizontal="left" vertical="top" wrapText="1"/>
      <protection locked="0"/>
    </xf>
    <xf numFmtId="0" fontId="16" fillId="11" borderId="2" xfId="3" applyNumberFormat="1" applyFont="1" applyFill="1" applyBorder="1" applyAlignment="1" applyProtection="1">
      <alignment horizontal="left" vertical="top" wrapText="1"/>
      <protection locked="0"/>
    </xf>
    <xf numFmtId="0" fontId="39" fillId="9" borderId="6" xfId="1" applyFont="1" applyFill="1" applyBorder="1" applyAlignment="1">
      <alignment horizontal="center" vertical="center" wrapText="1"/>
    </xf>
    <xf numFmtId="0" fontId="39" fillId="9" borderId="21" xfId="1" applyFont="1" applyFill="1" applyBorder="1" applyAlignment="1">
      <alignment horizontal="center" vertical="center" wrapText="1"/>
    </xf>
    <xf numFmtId="0" fontId="12" fillId="0" borderId="3" xfId="0" applyFont="1" applyBorder="1" applyAlignment="1">
      <alignment horizontal="center" vertical="center"/>
    </xf>
    <xf numFmtId="0" fontId="12" fillId="0" borderId="0" xfId="0" applyFont="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9"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xf>
    <xf numFmtId="0" fontId="1" fillId="0" borderId="21" xfId="0" applyFont="1" applyBorder="1" applyAlignment="1">
      <alignment horizontal="center" vertical="center"/>
    </xf>
  </cellXfs>
  <cellStyles count="11">
    <cellStyle name="Comma" xfId="8" builtinId="3"/>
    <cellStyle name="Comma 2" xfId="3" xr:uid="{00000000-0005-0000-0000-000001000000}"/>
    <cellStyle name="Comma 2 2" xfId="6" xr:uid="{00000000-0005-0000-0000-000002000000}"/>
    <cellStyle name="Comma 3" xfId="2" xr:uid="{00000000-0005-0000-0000-000003000000}"/>
    <cellStyle name="Comma 3 2" xfId="5" xr:uid="{00000000-0005-0000-0000-000004000000}"/>
    <cellStyle name="Good" xfId="9" builtinId="26"/>
    <cellStyle name="Neutral" xfId="10" builtinId="28"/>
    <cellStyle name="Normal" xfId="0" builtinId="0"/>
    <cellStyle name="Normal 2" xfId="1" xr:uid="{00000000-0005-0000-0000-000006000000}"/>
    <cellStyle name="Normal 3" xfId="4" xr:uid="{00000000-0005-0000-0000-000007000000}"/>
    <cellStyle name="Normal 3 2" xfId="7" xr:uid="{00000000-0005-0000-0000-000008000000}"/>
  </cellStyles>
  <dxfs count="16">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6" formatCode="m/d/yy;@"/>
    </dxf>
    <dxf>
      <font>
        <b/>
        <strike val="0"/>
        <outline val="0"/>
        <shadow val="0"/>
        <u val="none"/>
        <vertAlign val="baseline"/>
        <sz val="11"/>
        <color theme="3" tint="-0.249977111117893"/>
        <name val="Calibri"/>
        <scheme val="minor"/>
      </font>
      <alignment horizontal="center" vertical="bottom" textRotation="0" wrapText="0" relativeIndent="0" justifyLastLine="0" shrinkToFit="0" readingOrder="0"/>
    </dxf>
    <dxf>
      <numFmt numFmtId="4" formatCode="#,##0.00"/>
    </dxf>
    <dxf>
      <numFmt numFmtId="4" formatCode="#,##0.00"/>
    </dxf>
    <dxf>
      <numFmt numFmtId="4" formatCode="#,##0.00"/>
    </dxf>
    <dxf>
      <numFmt numFmtId="4" formatCode="#,##0.00"/>
    </dxf>
    <dxf>
      <numFmt numFmtId="164" formatCode="_(* #,##0_);_(* \(#,##0\);_(* &quot;-&quot;??_);_(@_)"/>
    </dxf>
    <dxf>
      <numFmt numFmtId="4" formatCode="#,##0.00"/>
    </dxf>
    <dxf>
      <numFmt numFmtId="4" formatCode="#,##0.00"/>
    </dxf>
    <dxf>
      <numFmt numFmtId="4" formatCode="#,##0.00"/>
    </dxf>
    <dxf>
      <numFmt numFmtId="4" formatCode="#,##0.00"/>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indexed="8"/>
        <name val="Cambria"/>
        <scheme val="major"/>
      </font>
      <fill>
        <patternFill patternType="solid">
          <fgColor indexed="64"/>
          <bgColor theme="0" tint="-0.14999847407452621"/>
        </patternFill>
      </fill>
      <alignment horizontal="center" vertical="center" textRotation="0" wrapText="1" relativeIndent="0" justifyLastLine="0" shrinkToFit="0" readingOrder="0"/>
    </dxf>
  </dxfs>
  <tableStyles count="0" defaultTableStyle="TableStyleMedium9" defaultPivotStyle="PivotStyleLight16"/>
  <colors>
    <mruColors>
      <color rgb="FF95B3D7"/>
      <color rgb="FFBFBFBF"/>
      <color rgb="FF76933C"/>
      <color rgb="FFFFFFFF"/>
      <color rgb="FF92D050"/>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Fox, Ethan - FNS" id="{FFC9747D-2FDF-41E5-87A9-2882B022B082}" userId="S::Ethan.Fox@usda.gov::e3bf22c6-cffd-4b84-826d-6d9f8e4058f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J18" totalsRowShown="0" headerRowDxfId="15" headerRowBorderDxfId="14" tableBorderDxfId="13">
  <tableColumns count="10">
    <tableColumn id="1" xr3:uid="{00000000-0010-0000-0000-000001000000}" name=" "/>
    <tableColumn id="2" xr3:uid="{00000000-0010-0000-0000-000002000000}" name="Estimated # Respondents" dataDxfId="12"/>
    <tableColumn id="3" xr3:uid="{00000000-0010-0000-0000-000003000000}" name="Responses Per Respondent" dataDxfId="11"/>
    <tableColumn id="4" xr3:uid="{00000000-0010-0000-0000-000004000000}" name="Total Annual Responses (Col. BxC)" dataDxfId="10"/>
    <tableColumn id="5" xr3:uid="{00000000-0010-0000-0000-000005000000}" name="Estimated Avg. # of Hours Per Response" dataDxfId="9"/>
    <tableColumn id="6" xr3:uid="{00000000-0010-0000-0000-000006000000}" name="Estimated Total Hours (Col. DxE)" dataDxfId="8"/>
    <tableColumn id="7" xr3:uid="{3465B078-E99D-48F5-8C95-63232DB31AAB}" name="Previously Approved Burden Hours" dataDxfId="7"/>
    <tableColumn id="8" xr3:uid="{EC8A1AEF-3A21-4E59-BD60-A65DC42218BF}" name="Change in Burden Hours Due to an Adjustment" dataDxfId="6"/>
    <tableColumn id="9" xr3:uid="{22EE800A-B5B4-4C02-9B76-42F2B4376BE2}" name="Change in Burden Hours Due to Program Change" dataDxfId="5"/>
    <tableColumn id="10" xr3:uid="{4A7CF904-8E8F-44B9-9A1E-1B5847381C8D}" name="Total Difference in Burden Hours" dataDxfId="4"/>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A1:C66" totalsRowShown="0" headerRowDxfId="3">
  <autoFilter ref="A1:C66" xr:uid="{00000000-0009-0000-0100-000006000000}"/>
  <tableColumns count="3">
    <tableColumn id="1" xr3:uid="{00000000-0010-0000-0100-000001000000}" name="Date " dataDxfId="2"/>
    <tableColumn id="2" xr3:uid="{00000000-0010-0000-0100-000002000000}" name="User Initials " dataDxfId="1"/>
    <tableColumn id="3" xr3:uid="{00000000-0010-0000-0100-000003000000}"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3" dT="2023-04-12T00:54:51.06" personId="{FFC9747D-2FDF-41E5-87A9-2882B022B082}" id="{F42C7FEA-7F00-4CA0-A3AF-564D63C40E75}">
    <text>NDB [Number of Sponsors, School Sponsors + Number of Sponsors, Gov't Sponsors] * 30% [Assume Serious Management Problems will occur at the same rate as CACFP].</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9517-768C-4EDF-BD2D-0CB8D1F24B30}">
  <dimension ref="B1:X113"/>
  <sheetViews>
    <sheetView showGridLines="0" tabSelected="1" topLeftCell="I1" zoomScale="80" zoomScaleNormal="80" workbookViewId="0">
      <selection activeCell="U84" sqref="U84"/>
    </sheetView>
  </sheetViews>
  <sheetFormatPr defaultColWidth="9.1796875" defaultRowHeight="14.5" outlineLevelCol="1" x14ac:dyDescent="0.35"/>
  <cols>
    <col min="2" max="2" width="10.1796875" customWidth="1"/>
    <col min="4" max="4" width="40.1796875" bestFit="1" customWidth="1"/>
    <col min="6" max="6" width="18" customWidth="1"/>
    <col min="7" max="7" width="42" customWidth="1"/>
    <col min="8" max="8" width="18" style="58" customWidth="1"/>
    <col min="9" max="9" width="57.1796875" customWidth="1"/>
    <col min="10" max="10" width="15.81640625" style="64" bestFit="1" customWidth="1"/>
    <col min="11" max="11" width="17" style="368" bestFit="1" customWidth="1"/>
    <col min="12" max="12" width="19.453125" style="304" bestFit="1" customWidth="1"/>
    <col min="13" max="13" width="18.81640625" style="261" customWidth="1"/>
    <col min="14" max="14" width="21.453125" style="261" bestFit="1" customWidth="1"/>
    <col min="15" max="15" width="16.54296875" style="261" customWidth="1"/>
    <col min="16" max="16" width="20.54296875" bestFit="1" customWidth="1"/>
    <col min="17" max="17" width="17.453125" style="261" bestFit="1" customWidth="1" outlineLevel="1"/>
    <col min="18" max="18" width="21.453125" style="261" bestFit="1" customWidth="1" outlineLevel="1"/>
    <col min="19" max="19" width="18.453125" style="261" bestFit="1" customWidth="1" outlineLevel="1"/>
    <col min="20" max="20" width="21.54296875" style="261" bestFit="1" customWidth="1"/>
    <col min="21" max="21" width="22.54296875" customWidth="1" outlineLevel="1"/>
    <col min="23" max="23" width="20.453125" hidden="1" customWidth="1" outlineLevel="1"/>
    <col min="24" max="24" width="9.1796875" collapsed="1"/>
    <col min="70" max="70" width="8.81640625" customWidth="1"/>
  </cols>
  <sheetData>
    <row r="1" spans="2:23" ht="27" customHeight="1" thickBot="1" x14ac:dyDescent="0.65">
      <c r="C1" s="109" t="s">
        <v>0</v>
      </c>
      <c r="D1" s="461" t="s">
        <v>1</v>
      </c>
      <c r="F1" s="500" t="s">
        <v>251</v>
      </c>
      <c r="G1" s="500"/>
      <c r="H1" s="500"/>
      <c r="I1" s="500"/>
      <c r="J1" s="500"/>
      <c r="K1" s="500"/>
      <c r="L1" s="500"/>
      <c r="M1" s="500"/>
      <c r="N1" s="500"/>
      <c r="O1" s="500"/>
      <c r="P1" s="500"/>
      <c r="Q1" s="500"/>
      <c r="R1" s="500"/>
      <c r="S1" s="500"/>
      <c r="T1" s="501"/>
    </row>
    <row r="2" spans="2:23" ht="30.75" customHeight="1" x14ac:dyDescent="0.6">
      <c r="D2" s="334"/>
      <c r="F2" s="502" t="s">
        <v>2</v>
      </c>
      <c r="G2" s="502"/>
      <c r="H2" s="502"/>
      <c r="I2" s="502"/>
      <c r="J2" s="502"/>
      <c r="K2" s="502"/>
      <c r="L2" s="502"/>
      <c r="M2" s="502"/>
      <c r="N2" s="502"/>
      <c r="O2" s="502"/>
      <c r="P2" s="502"/>
      <c r="Q2" s="502"/>
      <c r="R2" s="502"/>
      <c r="S2" s="502"/>
      <c r="T2" s="502"/>
    </row>
    <row r="3" spans="2:23" ht="24" customHeight="1" thickBot="1" x14ac:dyDescent="0.4">
      <c r="F3" s="503" t="s">
        <v>3</v>
      </c>
      <c r="G3" s="503"/>
      <c r="H3" s="504" t="s">
        <v>4</v>
      </c>
      <c r="I3" s="504"/>
      <c r="J3" s="468" t="s">
        <v>5</v>
      </c>
      <c r="K3" s="469" t="s">
        <v>6</v>
      </c>
      <c r="L3" s="468" t="s">
        <v>7</v>
      </c>
      <c r="M3" s="469" t="s">
        <v>8</v>
      </c>
      <c r="N3" s="469" t="s">
        <v>9</v>
      </c>
      <c r="O3" s="469" t="s">
        <v>10</v>
      </c>
      <c r="P3" s="470"/>
      <c r="Q3" s="469"/>
      <c r="R3" s="469"/>
      <c r="S3" s="469"/>
      <c r="T3" s="471" t="s">
        <v>11</v>
      </c>
      <c r="U3" s="273"/>
      <c r="V3" s="274"/>
    </row>
    <row r="4" spans="2:23" s="321" customFormat="1" ht="59.5" customHeight="1" thickBot="1" x14ac:dyDescent="0.4">
      <c r="B4" s="347" t="s">
        <v>12</v>
      </c>
      <c r="D4" s="347" t="s">
        <v>13</v>
      </c>
      <c r="F4" s="350" t="s">
        <v>14</v>
      </c>
      <c r="G4" s="350" t="s">
        <v>15</v>
      </c>
      <c r="H4" s="350" t="s">
        <v>16</v>
      </c>
      <c r="I4" s="350" t="s">
        <v>15</v>
      </c>
      <c r="J4" s="351" t="s">
        <v>17</v>
      </c>
      <c r="K4" s="352" t="s">
        <v>18</v>
      </c>
      <c r="L4" s="351" t="s">
        <v>19</v>
      </c>
      <c r="M4" s="352" t="s">
        <v>20</v>
      </c>
      <c r="N4" s="352" t="s">
        <v>21</v>
      </c>
      <c r="O4" s="352" t="s">
        <v>22</v>
      </c>
      <c r="P4" s="350" t="s">
        <v>23</v>
      </c>
      <c r="Q4" s="352" t="s">
        <v>24</v>
      </c>
      <c r="R4" s="352" t="s">
        <v>25</v>
      </c>
      <c r="S4" s="352" t="s">
        <v>26</v>
      </c>
      <c r="T4" s="355" t="s">
        <v>27</v>
      </c>
      <c r="U4" s="348" t="s">
        <v>28</v>
      </c>
      <c r="V4" s="349"/>
      <c r="W4" s="322" t="s">
        <v>29</v>
      </c>
    </row>
    <row r="5" spans="2:23" ht="18.649999999999999" customHeight="1" thickBot="1" x14ac:dyDescent="0.4">
      <c r="B5" s="112"/>
      <c r="D5" s="112"/>
      <c r="F5" s="505" t="s">
        <v>30</v>
      </c>
      <c r="G5" s="505"/>
      <c r="H5" s="505"/>
      <c r="I5" s="505"/>
      <c r="J5" s="505"/>
      <c r="K5" s="505"/>
      <c r="L5" s="505"/>
      <c r="M5" s="505"/>
      <c r="N5" s="505"/>
      <c r="O5" s="505"/>
      <c r="P5" s="505"/>
      <c r="Q5" s="505"/>
      <c r="R5" s="505"/>
      <c r="S5" s="505"/>
      <c r="T5" s="505"/>
      <c r="U5" s="408"/>
      <c r="V5" s="1"/>
      <c r="W5" s="49"/>
    </row>
    <row r="6" spans="2:23" s="250" customFormat="1" ht="102.65" customHeight="1" x14ac:dyDescent="0.35">
      <c r="B6" s="323">
        <f>1</f>
        <v>1</v>
      </c>
      <c r="D6" s="323" t="s">
        <v>31</v>
      </c>
      <c r="F6" s="324" t="s">
        <v>32</v>
      </c>
      <c r="G6" s="325" t="s">
        <v>33</v>
      </c>
      <c r="H6" s="324" t="s">
        <v>32</v>
      </c>
      <c r="I6" s="325" t="s">
        <v>33</v>
      </c>
      <c r="J6" s="326">
        <v>53</v>
      </c>
      <c r="K6" s="359">
        <v>1</v>
      </c>
      <c r="L6" s="327">
        <f t="shared" ref="L6:L15" si="0">+J6*K6</f>
        <v>53</v>
      </c>
      <c r="M6" s="328">
        <v>36</v>
      </c>
      <c r="N6" s="329">
        <f t="shared" ref="N6:N15" si="1">L6*M6</f>
        <v>1908</v>
      </c>
      <c r="O6" s="330">
        <v>1908</v>
      </c>
      <c r="P6" s="331">
        <v>0</v>
      </c>
      <c r="Q6" s="328">
        <v>0</v>
      </c>
      <c r="R6" s="332">
        <f>N6-O6</f>
        <v>0</v>
      </c>
      <c r="S6" s="328">
        <v>0</v>
      </c>
      <c r="T6" s="263">
        <f>+N6-O6</f>
        <v>0</v>
      </c>
      <c r="W6" s="333"/>
    </row>
    <row r="7" spans="2:23" ht="43.5" x14ac:dyDescent="0.35">
      <c r="B7" s="197">
        <f>B6+1</f>
        <v>2</v>
      </c>
      <c r="D7" s="197" t="s">
        <v>31</v>
      </c>
      <c r="F7" s="36" t="s">
        <v>34</v>
      </c>
      <c r="G7" s="36" t="s">
        <v>35</v>
      </c>
      <c r="H7" s="36" t="s">
        <v>34</v>
      </c>
      <c r="I7" s="36" t="s">
        <v>35</v>
      </c>
      <c r="J7" s="256">
        <v>53</v>
      </c>
      <c r="K7" s="360">
        <v>1</v>
      </c>
      <c r="L7" s="295">
        <f t="shared" si="0"/>
        <v>53</v>
      </c>
      <c r="M7" s="257">
        <v>1</v>
      </c>
      <c r="N7" s="268">
        <f t="shared" si="1"/>
        <v>53</v>
      </c>
      <c r="O7" s="84">
        <v>53</v>
      </c>
      <c r="P7" s="50">
        <v>0</v>
      </c>
      <c r="Q7" s="257">
        <v>0</v>
      </c>
      <c r="R7" s="309">
        <v>0</v>
      </c>
      <c r="S7" s="309">
        <f>N7-O7</f>
        <v>0</v>
      </c>
      <c r="T7" s="264">
        <f>+N7-O7</f>
        <v>0</v>
      </c>
      <c r="W7" s="43" t="s">
        <v>36</v>
      </c>
    </row>
    <row r="8" spans="2:23" ht="29" hidden="1" x14ac:dyDescent="0.35">
      <c r="B8" s="197">
        <f t="shared" ref="B8:B14" si="2">B7+1</f>
        <v>3</v>
      </c>
      <c r="D8" s="197" t="s">
        <v>31</v>
      </c>
      <c r="F8" s="108"/>
      <c r="G8" s="108"/>
      <c r="H8" s="36" t="s">
        <v>37</v>
      </c>
      <c r="I8" s="36" t="s">
        <v>38</v>
      </c>
      <c r="J8" s="256">
        <v>0</v>
      </c>
      <c r="K8" s="360">
        <v>0</v>
      </c>
      <c r="L8" s="295">
        <f t="shared" si="0"/>
        <v>0</v>
      </c>
      <c r="M8" s="257">
        <v>0</v>
      </c>
      <c r="N8" s="268">
        <f t="shared" si="1"/>
        <v>0</v>
      </c>
      <c r="O8" s="271">
        <v>0</v>
      </c>
      <c r="P8" s="44"/>
      <c r="Q8" s="257"/>
      <c r="R8" s="309"/>
      <c r="S8" s="309">
        <v>0</v>
      </c>
      <c r="T8" s="264">
        <f t="shared" ref="T8:T15" si="3">+N8-O8</f>
        <v>0</v>
      </c>
      <c r="U8" t="s">
        <v>39</v>
      </c>
      <c r="W8" s="43"/>
    </row>
    <row r="9" spans="2:23" hidden="1" x14ac:dyDescent="0.35">
      <c r="B9" s="197">
        <f t="shared" si="2"/>
        <v>4</v>
      </c>
      <c r="D9" s="197" t="s">
        <v>31</v>
      </c>
      <c r="F9" s="108"/>
      <c r="G9" s="108"/>
      <c r="H9" s="36" t="s">
        <v>40</v>
      </c>
      <c r="I9" s="36" t="s">
        <v>41</v>
      </c>
      <c r="J9" s="256">
        <v>0</v>
      </c>
      <c r="K9" s="360">
        <v>0</v>
      </c>
      <c r="L9" s="295">
        <f t="shared" si="0"/>
        <v>0</v>
      </c>
      <c r="M9" s="257">
        <v>0</v>
      </c>
      <c r="N9" s="268">
        <f t="shared" si="1"/>
        <v>0</v>
      </c>
      <c r="O9" s="271">
        <v>0</v>
      </c>
      <c r="P9" s="44"/>
      <c r="Q9" s="257"/>
      <c r="R9" s="309"/>
      <c r="S9" s="309">
        <f t="shared" ref="S9:S34" si="4">N9-O9</f>
        <v>0</v>
      </c>
      <c r="T9" s="264">
        <f t="shared" si="3"/>
        <v>0</v>
      </c>
      <c r="W9" s="43"/>
    </row>
    <row r="10" spans="2:23" ht="43.5" hidden="1" x14ac:dyDescent="0.35">
      <c r="B10" s="197">
        <f t="shared" si="2"/>
        <v>5</v>
      </c>
      <c r="D10" s="197" t="s">
        <v>31</v>
      </c>
      <c r="F10" s="108"/>
      <c r="G10" s="108"/>
      <c r="H10" s="36" t="s">
        <v>42</v>
      </c>
      <c r="I10" s="36" t="s">
        <v>43</v>
      </c>
      <c r="J10" s="256">
        <v>0</v>
      </c>
      <c r="K10" s="360">
        <v>0</v>
      </c>
      <c r="L10" s="295">
        <f t="shared" si="0"/>
        <v>0</v>
      </c>
      <c r="M10" s="257">
        <v>0</v>
      </c>
      <c r="N10" s="268">
        <f t="shared" si="1"/>
        <v>0</v>
      </c>
      <c r="O10" s="271">
        <v>0</v>
      </c>
      <c r="P10" s="44"/>
      <c r="Q10" s="257" t="s">
        <v>44</v>
      </c>
      <c r="R10" s="309"/>
      <c r="S10" s="309">
        <f t="shared" si="4"/>
        <v>0</v>
      </c>
      <c r="T10" s="264">
        <f t="shared" si="3"/>
        <v>0</v>
      </c>
      <c r="W10" s="43"/>
    </row>
    <row r="11" spans="2:23" ht="58" hidden="1" x14ac:dyDescent="0.35">
      <c r="B11" s="197">
        <f t="shared" si="2"/>
        <v>6</v>
      </c>
      <c r="D11" s="197" t="s">
        <v>31</v>
      </c>
      <c r="F11" s="108"/>
      <c r="G11" s="108"/>
      <c r="H11" s="36" t="s">
        <v>45</v>
      </c>
      <c r="I11" s="36" t="s">
        <v>46</v>
      </c>
      <c r="J11" s="256">
        <v>0</v>
      </c>
      <c r="K11" s="360">
        <v>0</v>
      </c>
      <c r="L11" s="295">
        <f t="shared" si="0"/>
        <v>0</v>
      </c>
      <c r="M11" s="257">
        <v>0</v>
      </c>
      <c r="N11" s="268">
        <f t="shared" si="1"/>
        <v>0</v>
      </c>
      <c r="O11" s="271">
        <v>0</v>
      </c>
      <c r="P11" s="44"/>
      <c r="Q11" s="257"/>
      <c r="R11" s="309"/>
      <c r="S11" s="309">
        <f t="shared" si="4"/>
        <v>0</v>
      </c>
      <c r="T11" s="264">
        <f t="shared" si="3"/>
        <v>0</v>
      </c>
      <c r="W11" s="43"/>
    </row>
    <row r="12" spans="2:23" hidden="1" x14ac:dyDescent="0.35">
      <c r="B12" s="197">
        <f t="shared" si="2"/>
        <v>7</v>
      </c>
      <c r="D12" s="197" t="s">
        <v>31</v>
      </c>
      <c r="F12" s="108"/>
      <c r="G12" s="108"/>
      <c r="H12" s="36" t="s">
        <v>47</v>
      </c>
      <c r="I12" s="36" t="s">
        <v>48</v>
      </c>
      <c r="J12" s="256">
        <v>0</v>
      </c>
      <c r="K12" s="360">
        <v>0</v>
      </c>
      <c r="L12" s="295">
        <f t="shared" si="0"/>
        <v>0</v>
      </c>
      <c r="M12" s="257">
        <v>0</v>
      </c>
      <c r="N12" s="268">
        <f t="shared" si="1"/>
        <v>0</v>
      </c>
      <c r="O12" s="271">
        <v>0</v>
      </c>
      <c r="P12" s="44"/>
      <c r="Q12" s="257"/>
      <c r="R12" s="309"/>
      <c r="S12" s="309">
        <f t="shared" si="4"/>
        <v>0</v>
      </c>
      <c r="T12" s="264">
        <f t="shared" si="3"/>
        <v>0</v>
      </c>
      <c r="W12" s="43"/>
    </row>
    <row r="13" spans="2:23" ht="58" hidden="1" x14ac:dyDescent="0.35">
      <c r="B13" s="197">
        <f t="shared" si="2"/>
        <v>8</v>
      </c>
      <c r="D13" s="197" t="s">
        <v>31</v>
      </c>
      <c r="F13" s="108"/>
      <c r="G13" s="108"/>
      <c r="H13" s="36" t="s">
        <v>49</v>
      </c>
      <c r="I13" s="36" t="s">
        <v>50</v>
      </c>
      <c r="J13" s="256">
        <v>0</v>
      </c>
      <c r="K13" s="360">
        <v>0</v>
      </c>
      <c r="L13" s="295">
        <f t="shared" si="0"/>
        <v>0</v>
      </c>
      <c r="M13" s="257">
        <v>0</v>
      </c>
      <c r="N13" s="268">
        <f t="shared" si="1"/>
        <v>0</v>
      </c>
      <c r="O13" s="271">
        <v>0</v>
      </c>
      <c r="P13" s="44"/>
      <c r="Q13" s="257"/>
      <c r="R13" s="309"/>
      <c r="S13" s="309">
        <f t="shared" si="4"/>
        <v>0</v>
      </c>
      <c r="T13" s="264">
        <f t="shared" si="3"/>
        <v>0</v>
      </c>
      <c r="W13" s="43"/>
    </row>
    <row r="14" spans="2:23" ht="43.5" hidden="1" x14ac:dyDescent="0.35">
      <c r="B14" s="197">
        <f t="shared" si="2"/>
        <v>9</v>
      </c>
      <c r="D14" s="197" t="s">
        <v>31</v>
      </c>
      <c r="F14" s="108"/>
      <c r="G14" s="108"/>
      <c r="H14" s="36" t="s">
        <v>51</v>
      </c>
      <c r="I14" s="36" t="s">
        <v>52</v>
      </c>
      <c r="J14" s="256">
        <v>0</v>
      </c>
      <c r="K14" s="360">
        <v>0</v>
      </c>
      <c r="L14" s="295">
        <f t="shared" si="0"/>
        <v>0</v>
      </c>
      <c r="M14" s="257">
        <v>0</v>
      </c>
      <c r="N14" s="268">
        <f t="shared" si="1"/>
        <v>0</v>
      </c>
      <c r="O14" s="271">
        <v>0</v>
      </c>
      <c r="P14" s="44"/>
      <c r="Q14" s="257"/>
      <c r="R14" s="309"/>
      <c r="S14" s="309">
        <f t="shared" si="4"/>
        <v>0</v>
      </c>
      <c r="T14" s="264">
        <f t="shared" si="3"/>
        <v>0</v>
      </c>
      <c r="W14" s="43"/>
    </row>
    <row r="15" spans="2:23" s="250" customFormat="1" ht="29" x14ac:dyDescent="0.35">
      <c r="B15" s="221">
        <f>3</f>
        <v>3</v>
      </c>
      <c r="D15" s="221" t="s">
        <v>53</v>
      </c>
      <c r="F15" s="317"/>
      <c r="G15" s="224"/>
      <c r="H15" s="354" t="s">
        <v>54</v>
      </c>
      <c r="I15" s="353" t="s">
        <v>55</v>
      </c>
      <c r="J15" s="262">
        <v>53</v>
      </c>
      <c r="K15" s="361">
        <f>ROUND(((2210*0.06)/J15), 0)</f>
        <v>3</v>
      </c>
      <c r="L15" s="296">
        <f t="shared" si="0"/>
        <v>159</v>
      </c>
      <c r="M15" s="307">
        <v>0.25</v>
      </c>
      <c r="N15" s="269">
        <f t="shared" si="1"/>
        <v>39.75</v>
      </c>
      <c r="O15" s="318">
        <v>0</v>
      </c>
      <c r="P15" s="319">
        <v>0</v>
      </c>
      <c r="Q15" s="307">
        <v>0</v>
      </c>
      <c r="R15" s="226">
        <v>0</v>
      </c>
      <c r="S15" s="307">
        <f t="shared" si="4"/>
        <v>39.75</v>
      </c>
      <c r="T15" s="266">
        <f t="shared" si="3"/>
        <v>39.75</v>
      </c>
      <c r="W15" s="346"/>
    </row>
    <row r="16" spans="2:23" ht="147.65" customHeight="1" x14ac:dyDescent="0.35">
      <c r="B16" s="197">
        <f>B15+1</f>
        <v>4</v>
      </c>
      <c r="D16" s="197" t="s">
        <v>31</v>
      </c>
      <c r="F16" s="38" t="s">
        <v>56</v>
      </c>
      <c r="G16" s="38" t="s">
        <v>57</v>
      </c>
      <c r="H16" s="38" t="s">
        <v>56</v>
      </c>
      <c r="I16" s="38" t="s">
        <v>57</v>
      </c>
      <c r="J16" s="256">
        <v>3314</v>
      </c>
      <c r="K16" s="362">
        <v>1</v>
      </c>
      <c r="L16" s="252">
        <f t="shared" ref="L16:L19" si="5">+J16*K16</f>
        <v>3314</v>
      </c>
      <c r="M16" s="257">
        <v>39.5</v>
      </c>
      <c r="N16" s="101">
        <f>+L16*M16</f>
        <v>130903</v>
      </c>
      <c r="O16" s="101">
        <v>130903</v>
      </c>
      <c r="P16" s="102">
        <v>0</v>
      </c>
      <c r="Q16" s="101">
        <v>0</v>
      </c>
      <c r="R16" s="101">
        <f>N16-O16</f>
        <v>0</v>
      </c>
      <c r="S16" s="101">
        <v>0</v>
      </c>
      <c r="T16" s="265">
        <f t="shared" ref="T16:T19" si="6">N16-O16</f>
        <v>0</v>
      </c>
    </row>
    <row r="17" spans="2:20" ht="102.65" customHeight="1" x14ac:dyDescent="0.35">
      <c r="B17" s="197">
        <f>B16+1</f>
        <v>5</v>
      </c>
      <c r="D17" s="197" t="s">
        <v>31</v>
      </c>
      <c r="F17" s="276" t="s">
        <v>58</v>
      </c>
      <c r="G17" s="38" t="s">
        <v>59</v>
      </c>
      <c r="H17" s="276" t="s">
        <v>58</v>
      </c>
      <c r="I17" s="38" t="s">
        <v>59</v>
      </c>
      <c r="J17" s="256">
        <v>640</v>
      </c>
      <c r="K17" s="362">
        <v>1</v>
      </c>
      <c r="L17" s="252">
        <f t="shared" si="5"/>
        <v>640</v>
      </c>
      <c r="M17" s="101">
        <v>1</v>
      </c>
      <c r="N17" s="101">
        <f t="shared" ref="N17:N33" si="7">+L17*M17</f>
        <v>640</v>
      </c>
      <c r="O17" s="101">
        <v>640</v>
      </c>
      <c r="P17" s="102">
        <v>0</v>
      </c>
      <c r="Q17" s="101">
        <v>0</v>
      </c>
      <c r="R17" s="101">
        <v>0</v>
      </c>
      <c r="S17" s="101">
        <v>0</v>
      </c>
      <c r="T17" s="265">
        <f t="shared" si="6"/>
        <v>0</v>
      </c>
    </row>
    <row r="18" spans="2:20" ht="59.15" customHeight="1" x14ac:dyDescent="0.35">
      <c r="B18" s="197">
        <f t="shared" ref="B18:B38" si="8">B17+1</f>
        <v>6</v>
      </c>
      <c r="D18" s="197" t="s">
        <v>31</v>
      </c>
      <c r="F18" s="276" t="s">
        <v>60</v>
      </c>
      <c r="G18" s="38" t="s">
        <v>61</v>
      </c>
      <c r="H18" s="276" t="s">
        <v>60</v>
      </c>
      <c r="I18" s="38" t="s">
        <v>61</v>
      </c>
      <c r="J18" s="256">
        <v>2675</v>
      </c>
      <c r="K18" s="362">
        <v>1</v>
      </c>
      <c r="L18" s="252">
        <f t="shared" si="5"/>
        <v>2675</v>
      </c>
      <c r="M18" s="101">
        <v>1</v>
      </c>
      <c r="N18" s="101">
        <f t="shared" si="7"/>
        <v>2675</v>
      </c>
      <c r="O18" s="101">
        <v>2675</v>
      </c>
      <c r="P18" s="102">
        <v>0</v>
      </c>
      <c r="Q18" s="101">
        <v>0</v>
      </c>
      <c r="R18" s="101">
        <f>N18-O18</f>
        <v>0</v>
      </c>
      <c r="S18" s="101">
        <v>0</v>
      </c>
      <c r="T18" s="265">
        <f t="shared" si="6"/>
        <v>0</v>
      </c>
    </row>
    <row r="19" spans="2:20" ht="58" x14ac:dyDescent="0.35">
      <c r="B19" s="197">
        <f t="shared" si="8"/>
        <v>7</v>
      </c>
      <c r="D19" s="197" t="s">
        <v>31</v>
      </c>
      <c r="F19" s="277" t="s">
        <v>62</v>
      </c>
      <c r="G19" s="38" t="s">
        <v>63</v>
      </c>
      <c r="H19" s="277" t="s">
        <v>64</v>
      </c>
      <c r="I19" s="38" t="s">
        <v>63</v>
      </c>
      <c r="J19" s="256">
        <v>332</v>
      </c>
      <c r="K19" s="362">
        <v>1</v>
      </c>
      <c r="L19" s="252">
        <f t="shared" si="5"/>
        <v>332</v>
      </c>
      <c r="M19" s="101">
        <v>0.123</v>
      </c>
      <c r="N19" s="101">
        <f t="shared" si="7"/>
        <v>40.835999999999999</v>
      </c>
      <c r="O19" s="101">
        <v>40.835999999999999</v>
      </c>
      <c r="P19" s="102">
        <v>0</v>
      </c>
      <c r="Q19" s="101"/>
      <c r="R19" s="101">
        <f>N19-O19</f>
        <v>0</v>
      </c>
      <c r="S19" s="101"/>
      <c r="T19" s="265">
        <f t="shared" si="6"/>
        <v>0</v>
      </c>
    </row>
    <row r="20" spans="2:20" ht="71.5" customHeight="1" x14ac:dyDescent="0.35">
      <c r="B20" s="197">
        <f>B19+1</f>
        <v>8</v>
      </c>
      <c r="D20" s="197" t="s">
        <v>31</v>
      </c>
      <c r="F20" s="38" t="s">
        <v>65</v>
      </c>
      <c r="G20" s="38" t="s">
        <v>66</v>
      </c>
      <c r="H20" s="38" t="s">
        <v>65</v>
      </c>
      <c r="I20" s="38" t="s">
        <v>66</v>
      </c>
      <c r="J20" s="256">
        <v>1157</v>
      </c>
      <c r="K20" s="362">
        <v>1</v>
      </c>
      <c r="L20" s="252">
        <f>+J20*K20</f>
        <v>1157</v>
      </c>
      <c r="M20" s="101">
        <v>0.5</v>
      </c>
      <c r="N20" s="101">
        <f t="shared" si="7"/>
        <v>578.5</v>
      </c>
      <c r="O20" s="101">
        <v>578.5</v>
      </c>
      <c r="P20" s="102">
        <v>0</v>
      </c>
      <c r="Q20" s="101">
        <v>0</v>
      </c>
      <c r="R20" s="101">
        <f>N20-O20</f>
        <v>0</v>
      </c>
      <c r="S20" s="101">
        <v>0</v>
      </c>
      <c r="T20" s="265">
        <f>N20-O20</f>
        <v>0</v>
      </c>
    </row>
    <row r="21" spans="2:20" ht="43.5" x14ac:dyDescent="0.35">
      <c r="B21" s="197">
        <f t="shared" si="8"/>
        <v>9</v>
      </c>
      <c r="D21" s="197" t="s">
        <v>31</v>
      </c>
      <c r="F21" s="38" t="s">
        <v>67</v>
      </c>
      <c r="G21" s="38" t="s">
        <v>68</v>
      </c>
      <c r="H21" s="38" t="s">
        <v>67</v>
      </c>
      <c r="I21" s="38" t="s">
        <v>68</v>
      </c>
      <c r="J21" s="256">
        <v>11.57</v>
      </c>
      <c r="K21" s="362">
        <v>1</v>
      </c>
      <c r="L21" s="252">
        <f>+J21*K21</f>
        <v>11.57</v>
      </c>
      <c r="M21" s="101">
        <v>0.5</v>
      </c>
      <c r="N21" s="101">
        <f t="shared" si="7"/>
        <v>5.7850000000000001</v>
      </c>
      <c r="O21" s="101">
        <v>5.7850000000000001</v>
      </c>
      <c r="P21" s="102">
        <v>0</v>
      </c>
      <c r="Q21" s="101">
        <v>0</v>
      </c>
      <c r="R21" s="101">
        <f>N21-O21</f>
        <v>0</v>
      </c>
      <c r="S21" s="101">
        <v>0</v>
      </c>
      <c r="T21" s="265">
        <f>N21-O21</f>
        <v>0</v>
      </c>
    </row>
    <row r="22" spans="2:20" ht="43.5" x14ac:dyDescent="0.35">
      <c r="B22" s="197">
        <f>B21+1</f>
        <v>10</v>
      </c>
      <c r="D22" s="197" t="s">
        <v>31</v>
      </c>
      <c r="F22" s="38" t="s">
        <v>69</v>
      </c>
      <c r="G22" s="38" t="s">
        <v>70</v>
      </c>
      <c r="H22" s="38" t="s">
        <v>71</v>
      </c>
      <c r="I22" s="38" t="s">
        <v>70</v>
      </c>
      <c r="J22" s="256">
        <v>1157</v>
      </c>
      <c r="K22" s="362">
        <v>1</v>
      </c>
      <c r="L22" s="252">
        <f>+J22*K22</f>
        <v>1157</v>
      </c>
      <c r="M22" s="101">
        <v>20</v>
      </c>
      <c r="N22" s="101">
        <f t="shared" si="7"/>
        <v>23140</v>
      </c>
      <c r="O22" s="101">
        <v>23140</v>
      </c>
      <c r="P22" s="102">
        <v>0</v>
      </c>
      <c r="Q22" s="101">
        <v>0</v>
      </c>
      <c r="R22" s="101">
        <f>N22-O22</f>
        <v>0</v>
      </c>
      <c r="S22" s="101">
        <v>0</v>
      </c>
      <c r="T22" s="265">
        <f>N22-O22</f>
        <v>0</v>
      </c>
    </row>
    <row r="23" spans="2:20" ht="101.5" customHeight="1" x14ac:dyDescent="0.35">
      <c r="B23" s="221">
        <f t="shared" ref="B23:B24" si="9">B22+1</f>
        <v>11</v>
      </c>
      <c r="D23" s="221" t="s">
        <v>53</v>
      </c>
      <c r="F23" s="222"/>
      <c r="G23" s="222"/>
      <c r="H23" s="353" t="s">
        <v>72</v>
      </c>
      <c r="I23" s="353" t="s">
        <v>73</v>
      </c>
      <c r="J23" s="229">
        <v>53</v>
      </c>
      <c r="K23" s="223">
        <f>ROUND(((2210*0.06)/J23), 0)</f>
        <v>3</v>
      </c>
      <c r="L23" s="230">
        <f>+J23*K23</f>
        <v>159</v>
      </c>
      <c r="M23" s="226">
        <v>0.25</v>
      </c>
      <c r="N23" s="226">
        <f t="shared" si="7"/>
        <v>39.75</v>
      </c>
      <c r="O23" s="226">
        <v>0</v>
      </c>
      <c r="P23" s="225">
        <v>0</v>
      </c>
      <c r="Q23" s="226">
        <v>0</v>
      </c>
      <c r="R23" s="226">
        <v>0</v>
      </c>
      <c r="S23" s="226">
        <f>N23-O23</f>
        <v>39.75</v>
      </c>
      <c r="T23" s="228">
        <f>N23-O23</f>
        <v>39.75</v>
      </c>
    </row>
    <row r="24" spans="2:20" ht="46" customHeight="1" x14ac:dyDescent="0.35">
      <c r="B24" s="221">
        <f t="shared" si="9"/>
        <v>12</v>
      </c>
      <c r="D24" s="221" t="s">
        <v>53</v>
      </c>
      <c r="F24" s="222"/>
      <c r="G24" s="222"/>
      <c r="H24" s="353" t="s">
        <v>237</v>
      </c>
      <c r="I24" s="353" t="s">
        <v>74</v>
      </c>
      <c r="J24" s="454">
        <v>53</v>
      </c>
      <c r="K24" s="223">
        <f t="shared" ref="K24:K31" si="10">ROUND(((2210*0.06)/J24), 0)</f>
        <v>3</v>
      </c>
      <c r="L24" s="230">
        <f t="shared" ref="L24:L32" si="11">J24*K24</f>
        <v>159</v>
      </c>
      <c r="M24" s="454">
        <v>0.25</v>
      </c>
      <c r="N24" s="223">
        <f t="shared" ref="N24:N32" si="12">L24*M24</f>
        <v>39.75</v>
      </c>
      <c r="O24" s="455">
        <v>0</v>
      </c>
      <c r="P24" s="455">
        <v>0</v>
      </c>
      <c r="Q24" s="456">
        <v>0</v>
      </c>
      <c r="R24" s="226">
        <v>0</v>
      </c>
      <c r="S24" s="226">
        <f t="shared" ref="S24:S32" si="13">N24-O24</f>
        <v>39.75</v>
      </c>
      <c r="T24" s="228">
        <f t="shared" ref="T24:T32" si="14">N24-O24</f>
        <v>39.75</v>
      </c>
    </row>
    <row r="25" spans="2:20" x14ac:dyDescent="0.35">
      <c r="B25" s="221">
        <f t="shared" ref="B25:B29" si="15">B24+1</f>
        <v>13</v>
      </c>
      <c r="D25" s="221" t="s">
        <v>53</v>
      </c>
      <c r="F25" s="222"/>
      <c r="G25" s="222"/>
      <c r="H25" s="353" t="s">
        <v>238</v>
      </c>
      <c r="I25" s="353" t="s">
        <v>75</v>
      </c>
      <c r="J25" s="454">
        <v>53</v>
      </c>
      <c r="K25" s="223">
        <f t="shared" si="10"/>
        <v>3</v>
      </c>
      <c r="L25" s="230">
        <f t="shared" si="11"/>
        <v>159</v>
      </c>
      <c r="M25" s="454">
        <v>0.25</v>
      </c>
      <c r="N25" s="223">
        <f t="shared" si="12"/>
        <v>39.75</v>
      </c>
      <c r="O25" s="455">
        <v>0</v>
      </c>
      <c r="P25" s="455">
        <v>0</v>
      </c>
      <c r="Q25" s="456">
        <v>0</v>
      </c>
      <c r="R25" s="226">
        <v>0</v>
      </c>
      <c r="S25" s="226">
        <f t="shared" si="13"/>
        <v>39.75</v>
      </c>
      <c r="T25" s="228">
        <f t="shared" si="14"/>
        <v>39.75</v>
      </c>
    </row>
    <row r="26" spans="2:20" ht="97.5" customHeight="1" x14ac:dyDescent="0.35">
      <c r="B26" s="221">
        <f t="shared" si="15"/>
        <v>14</v>
      </c>
      <c r="D26" s="221" t="s">
        <v>53</v>
      </c>
      <c r="F26" s="222"/>
      <c r="G26" s="222"/>
      <c r="H26" s="372" t="s">
        <v>240</v>
      </c>
      <c r="I26" s="353" t="s">
        <v>239</v>
      </c>
      <c r="J26" s="454">
        <v>53</v>
      </c>
      <c r="K26" s="223">
        <f t="shared" si="10"/>
        <v>3</v>
      </c>
      <c r="L26" s="230">
        <f t="shared" si="11"/>
        <v>159</v>
      </c>
      <c r="M26" s="454">
        <v>0.25</v>
      </c>
      <c r="N26" s="223">
        <f t="shared" si="12"/>
        <v>39.75</v>
      </c>
      <c r="O26" s="455">
        <v>0</v>
      </c>
      <c r="P26" s="455">
        <v>0</v>
      </c>
      <c r="Q26" s="456">
        <v>0</v>
      </c>
      <c r="R26" s="226">
        <v>0</v>
      </c>
      <c r="S26" s="226">
        <f t="shared" si="13"/>
        <v>39.75</v>
      </c>
      <c r="T26" s="228">
        <f t="shared" si="14"/>
        <v>39.75</v>
      </c>
    </row>
    <row r="27" spans="2:20" ht="62.5" customHeight="1" x14ac:dyDescent="0.35">
      <c r="B27" s="221">
        <f t="shared" si="15"/>
        <v>15</v>
      </c>
      <c r="D27" s="221" t="s">
        <v>53</v>
      </c>
      <c r="F27" s="222"/>
      <c r="G27" s="222"/>
      <c r="H27" s="353" t="s">
        <v>241</v>
      </c>
      <c r="I27" s="353" t="s">
        <v>76</v>
      </c>
      <c r="J27" s="454">
        <v>53</v>
      </c>
      <c r="K27" s="223">
        <f t="shared" si="10"/>
        <v>3</v>
      </c>
      <c r="L27" s="230">
        <f t="shared" si="11"/>
        <v>159</v>
      </c>
      <c r="M27" s="454">
        <v>0.25</v>
      </c>
      <c r="N27" s="223">
        <f t="shared" si="12"/>
        <v>39.75</v>
      </c>
      <c r="O27" s="455">
        <v>0</v>
      </c>
      <c r="P27" s="455">
        <v>0</v>
      </c>
      <c r="Q27" s="456">
        <v>0</v>
      </c>
      <c r="R27" s="226">
        <v>0</v>
      </c>
      <c r="S27" s="226">
        <f t="shared" si="13"/>
        <v>39.75</v>
      </c>
      <c r="T27" s="228">
        <f t="shared" si="14"/>
        <v>39.75</v>
      </c>
    </row>
    <row r="28" spans="2:20" ht="93" customHeight="1" x14ac:dyDescent="0.35">
      <c r="B28" s="221">
        <f t="shared" si="15"/>
        <v>16</v>
      </c>
      <c r="D28" s="221" t="s">
        <v>53</v>
      </c>
      <c r="F28" s="222"/>
      <c r="G28" s="222"/>
      <c r="H28" s="372" t="s">
        <v>242</v>
      </c>
      <c r="I28" s="353" t="s">
        <v>77</v>
      </c>
      <c r="J28" s="454">
        <v>53</v>
      </c>
      <c r="K28" s="223">
        <f t="shared" si="10"/>
        <v>3</v>
      </c>
      <c r="L28" s="230">
        <f t="shared" si="11"/>
        <v>159</v>
      </c>
      <c r="M28" s="454">
        <v>0.25</v>
      </c>
      <c r="N28" s="223">
        <f t="shared" si="12"/>
        <v>39.75</v>
      </c>
      <c r="O28" s="455">
        <v>0</v>
      </c>
      <c r="P28" s="455">
        <v>0</v>
      </c>
      <c r="Q28" s="456">
        <v>0</v>
      </c>
      <c r="R28" s="226">
        <v>0</v>
      </c>
      <c r="S28" s="226">
        <f t="shared" si="13"/>
        <v>39.75</v>
      </c>
      <c r="T28" s="228">
        <f t="shared" si="14"/>
        <v>39.75</v>
      </c>
    </row>
    <row r="29" spans="2:20" ht="54.5" customHeight="1" x14ac:dyDescent="0.35">
      <c r="B29" s="221">
        <f t="shared" si="15"/>
        <v>17</v>
      </c>
      <c r="D29" s="221" t="s">
        <v>53</v>
      </c>
      <c r="F29" s="222"/>
      <c r="G29" s="222"/>
      <c r="H29" s="353" t="s">
        <v>243</v>
      </c>
      <c r="I29" s="353" t="s">
        <v>78</v>
      </c>
      <c r="J29" s="454">
        <v>53</v>
      </c>
      <c r="K29" s="223">
        <f t="shared" si="10"/>
        <v>3</v>
      </c>
      <c r="L29" s="230">
        <f t="shared" si="11"/>
        <v>159</v>
      </c>
      <c r="M29" s="454">
        <v>0.25</v>
      </c>
      <c r="N29" s="223">
        <f t="shared" si="12"/>
        <v>39.75</v>
      </c>
      <c r="O29" s="455">
        <v>0</v>
      </c>
      <c r="P29" s="455">
        <v>0</v>
      </c>
      <c r="Q29" s="456">
        <v>0</v>
      </c>
      <c r="R29" s="226">
        <v>0</v>
      </c>
      <c r="S29" s="226">
        <f t="shared" si="13"/>
        <v>39.75</v>
      </c>
      <c r="T29" s="228">
        <f t="shared" si="14"/>
        <v>39.75</v>
      </c>
    </row>
    <row r="30" spans="2:20" ht="47" customHeight="1" x14ac:dyDescent="0.35">
      <c r="B30" s="221">
        <f>B29+1</f>
        <v>18</v>
      </c>
      <c r="D30" s="221" t="s">
        <v>53</v>
      </c>
      <c r="F30" s="222"/>
      <c r="G30" s="222"/>
      <c r="H30" s="353" t="s">
        <v>244</v>
      </c>
      <c r="I30" s="353" t="s">
        <v>79</v>
      </c>
      <c r="J30" s="454">
        <v>53</v>
      </c>
      <c r="K30" s="223">
        <f t="shared" si="10"/>
        <v>3</v>
      </c>
      <c r="L30" s="230">
        <f t="shared" si="11"/>
        <v>159</v>
      </c>
      <c r="M30" s="454">
        <v>0.25</v>
      </c>
      <c r="N30" s="223">
        <f t="shared" si="12"/>
        <v>39.75</v>
      </c>
      <c r="O30" s="455">
        <v>0</v>
      </c>
      <c r="P30" s="455">
        <v>0</v>
      </c>
      <c r="Q30" s="456">
        <v>0</v>
      </c>
      <c r="R30" s="226">
        <v>0</v>
      </c>
      <c r="S30" s="226">
        <f t="shared" si="13"/>
        <v>39.75</v>
      </c>
      <c r="T30" s="228">
        <f t="shared" si="14"/>
        <v>39.75</v>
      </c>
    </row>
    <row r="31" spans="2:20" ht="86.5" customHeight="1" x14ac:dyDescent="0.35">
      <c r="B31" s="221">
        <f>B30+1</f>
        <v>19</v>
      </c>
      <c r="D31" s="221" t="s">
        <v>53</v>
      </c>
      <c r="F31" s="222"/>
      <c r="G31" s="222"/>
      <c r="H31" s="372" t="s">
        <v>245</v>
      </c>
      <c r="I31" s="353" t="s">
        <v>246</v>
      </c>
      <c r="J31" s="454">
        <v>53</v>
      </c>
      <c r="K31" s="223">
        <f t="shared" si="10"/>
        <v>3</v>
      </c>
      <c r="L31" s="230">
        <f t="shared" si="11"/>
        <v>159</v>
      </c>
      <c r="M31" s="454">
        <v>20</v>
      </c>
      <c r="N31" s="223">
        <f t="shared" si="12"/>
        <v>3180</v>
      </c>
      <c r="O31" s="455">
        <v>0</v>
      </c>
      <c r="P31" s="455">
        <v>0</v>
      </c>
      <c r="Q31" s="456">
        <v>0</v>
      </c>
      <c r="R31" s="226">
        <v>0</v>
      </c>
      <c r="S31" s="226">
        <f t="shared" si="13"/>
        <v>3180</v>
      </c>
      <c r="T31" s="228">
        <f t="shared" si="14"/>
        <v>3180</v>
      </c>
    </row>
    <row r="32" spans="2:20" ht="45" customHeight="1" x14ac:dyDescent="0.35">
      <c r="B32" s="221">
        <f t="shared" ref="B32:B33" si="16">B31+1</f>
        <v>20</v>
      </c>
      <c r="D32" s="221" t="s">
        <v>53</v>
      </c>
      <c r="F32" s="222"/>
      <c r="G32" s="222"/>
      <c r="H32" s="372" t="s">
        <v>247</v>
      </c>
      <c r="I32" s="353" t="s">
        <v>80</v>
      </c>
      <c r="J32" s="454">
        <v>53</v>
      </c>
      <c r="K32" s="223">
        <f>ROUND(((2210*0.06*0.256)/J32), 0)</f>
        <v>1</v>
      </c>
      <c r="L32" s="230">
        <f t="shared" si="11"/>
        <v>53</v>
      </c>
      <c r="M32" s="454">
        <v>1</v>
      </c>
      <c r="N32" s="223">
        <f t="shared" si="12"/>
        <v>53</v>
      </c>
      <c r="O32" s="455">
        <v>0</v>
      </c>
      <c r="P32" s="455">
        <v>0</v>
      </c>
      <c r="Q32" s="456">
        <v>0</v>
      </c>
      <c r="R32" s="226">
        <v>0</v>
      </c>
      <c r="S32" s="226">
        <f t="shared" si="13"/>
        <v>53</v>
      </c>
      <c r="T32" s="228">
        <f t="shared" si="14"/>
        <v>53</v>
      </c>
    </row>
    <row r="33" spans="2:23" s="250" customFormat="1" ht="97.25" customHeight="1" x14ac:dyDescent="0.35">
      <c r="B33" s="323">
        <f t="shared" si="16"/>
        <v>21</v>
      </c>
      <c r="D33" s="323" t="s">
        <v>31</v>
      </c>
      <c r="F33" s="336" t="s">
        <v>47</v>
      </c>
      <c r="G33" s="336" t="s">
        <v>81</v>
      </c>
      <c r="H33" s="336" t="s">
        <v>47</v>
      </c>
      <c r="I33" s="336" t="s">
        <v>81</v>
      </c>
      <c r="J33" s="337">
        <v>53</v>
      </c>
      <c r="K33" s="363">
        <f>467.24</f>
        <v>467.24</v>
      </c>
      <c r="L33" s="338">
        <f>+J33*K33</f>
        <v>24763.72</v>
      </c>
      <c r="M33" s="339">
        <v>8.3000000000000004E-2</v>
      </c>
      <c r="N33" s="340">
        <f t="shared" si="7"/>
        <v>2055.3887600000003</v>
      </c>
      <c r="O33" s="341">
        <v>2055.3887600000003</v>
      </c>
      <c r="P33" s="341">
        <v>0</v>
      </c>
      <c r="Q33" s="339">
        <v>0</v>
      </c>
      <c r="R33" s="339">
        <v>0</v>
      </c>
      <c r="S33" s="339">
        <f>N33-O33</f>
        <v>0</v>
      </c>
      <c r="T33" s="356">
        <f>+N33-O33</f>
        <v>0</v>
      </c>
      <c r="W33" s="251"/>
    </row>
    <row r="34" spans="2:23" ht="86.15" customHeight="1" x14ac:dyDescent="0.35">
      <c r="B34" s="197">
        <f t="shared" ref="B34:B37" si="17">B33+1</f>
        <v>22</v>
      </c>
      <c r="D34" s="197" t="s">
        <v>31</v>
      </c>
      <c r="F34" s="38" t="s">
        <v>82</v>
      </c>
      <c r="G34" s="38" t="s">
        <v>83</v>
      </c>
      <c r="H34" s="38" t="s">
        <v>82</v>
      </c>
      <c r="I34" s="38" t="s">
        <v>83</v>
      </c>
      <c r="J34" s="256">
        <v>53</v>
      </c>
      <c r="K34" s="360">
        <v>1</v>
      </c>
      <c r="L34" s="295">
        <f t="shared" ref="L34" si="18">+J34*K34</f>
        <v>53</v>
      </c>
      <c r="M34" s="257">
        <v>1</v>
      </c>
      <c r="N34" s="305">
        <f t="shared" ref="N34:N45" si="19">+L34*M34</f>
        <v>53</v>
      </c>
      <c r="O34" s="84">
        <v>53</v>
      </c>
      <c r="P34" s="50">
        <v>0</v>
      </c>
      <c r="Q34" s="257">
        <v>0</v>
      </c>
      <c r="R34" s="257">
        <v>0</v>
      </c>
      <c r="S34" s="309">
        <f t="shared" si="4"/>
        <v>0</v>
      </c>
      <c r="T34" s="264">
        <f>+N34-O34</f>
        <v>0</v>
      </c>
      <c r="W34" s="37"/>
    </row>
    <row r="35" spans="2:23" s="250" customFormat="1" ht="86.5" customHeight="1" x14ac:dyDescent="0.35">
      <c r="B35" s="197">
        <f t="shared" si="17"/>
        <v>23</v>
      </c>
      <c r="D35" s="323" t="s">
        <v>31</v>
      </c>
      <c r="F35" s="336" t="s">
        <v>84</v>
      </c>
      <c r="G35" s="336" t="s">
        <v>85</v>
      </c>
      <c r="H35" s="336" t="s">
        <v>84</v>
      </c>
      <c r="I35" s="336" t="s">
        <v>85</v>
      </c>
      <c r="J35" s="337">
        <v>53</v>
      </c>
      <c r="K35" s="363">
        <v>104</v>
      </c>
      <c r="L35" s="338">
        <f>+J35*K35</f>
        <v>5512</v>
      </c>
      <c r="M35" s="339">
        <v>1</v>
      </c>
      <c r="N35" s="342">
        <f t="shared" si="19"/>
        <v>5512</v>
      </c>
      <c r="O35" s="343">
        <v>5512</v>
      </c>
      <c r="P35" s="344">
        <v>0</v>
      </c>
      <c r="Q35" s="339">
        <v>0</v>
      </c>
      <c r="R35" s="339">
        <v>0</v>
      </c>
      <c r="S35" s="339">
        <v>0</v>
      </c>
      <c r="T35" s="356">
        <f>+N35-O35</f>
        <v>0</v>
      </c>
      <c r="W35" s="345" t="s">
        <v>86</v>
      </c>
    </row>
    <row r="36" spans="2:23" ht="63.75" customHeight="1" x14ac:dyDescent="0.35">
      <c r="B36" s="197">
        <f t="shared" si="17"/>
        <v>24</v>
      </c>
      <c r="D36" s="197" t="s">
        <v>31</v>
      </c>
      <c r="F36" s="51" t="s">
        <v>87</v>
      </c>
      <c r="G36" s="51" t="s">
        <v>88</v>
      </c>
      <c r="H36" s="51" t="s">
        <v>87</v>
      </c>
      <c r="I36" s="51" t="s">
        <v>88</v>
      </c>
      <c r="J36" s="256">
        <v>53</v>
      </c>
      <c r="K36" s="360">
        <v>1</v>
      </c>
      <c r="L36" s="295">
        <f>+J36*K36</f>
        <v>53</v>
      </c>
      <c r="M36" s="257">
        <v>1</v>
      </c>
      <c r="N36" s="305">
        <f t="shared" si="19"/>
        <v>53</v>
      </c>
      <c r="O36" s="84">
        <v>53</v>
      </c>
      <c r="P36" s="50">
        <v>0</v>
      </c>
      <c r="Q36" s="257">
        <v>0</v>
      </c>
      <c r="R36" s="257">
        <v>0</v>
      </c>
      <c r="S36" s="309">
        <f>N36-O36</f>
        <v>0</v>
      </c>
      <c r="T36" s="264">
        <f>+N36-O36</f>
        <v>0</v>
      </c>
      <c r="W36" s="37"/>
    </row>
    <row r="37" spans="2:23" s="39" customFormat="1" x14ac:dyDescent="0.35">
      <c r="B37" s="197">
        <f t="shared" si="17"/>
        <v>25</v>
      </c>
      <c r="D37" s="197" t="s">
        <v>31</v>
      </c>
      <c r="F37" s="38" t="s">
        <v>89</v>
      </c>
      <c r="G37" s="38" t="s">
        <v>90</v>
      </c>
      <c r="H37" s="38" t="s">
        <v>89</v>
      </c>
      <c r="I37" s="38" t="s">
        <v>90</v>
      </c>
      <c r="J37" s="256">
        <v>53</v>
      </c>
      <c r="K37" s="360">
        <v>312</v>
      </c>
      <c r="L37" s="295">
        <f>+J37*K37</f>
        <v>16536</v>
      </c>
      <c r="M37" s="257">
        <v>0.5</v>
      </c>
      <c r="N37" s="305">
        <f t="shared" si="19"/>
        <v>8268</v>
      </c>
      <c r="O37" s="84">
        <v>8268</v>
      </c>
      <c r="P37" s="50">
        <v>0</v>
      </c>
      <c r="Q37" s="257">
        <v>0</v>
      </c>
      <c r="R37" s="309">
        <f>N37-O37</f>
        <v>0</v>
      </c>
      <c r="S37" s="309">
        <v>0</v>
      </c>
      <c r="T37" s="264">
        <f>+N37-O37</f>
        <v>0</v>
      </c>
      <c r="W37" s="40"/>
    </row>
    <row r="38" spans="2:23" s="39" customFormat="1" ht="34" customHeight="1" x14ac:dyDescent="0.35">
      <c r="B38" s="197">
        <f t="shared" si="8"/>
        <v>26</v>
      </c>
      <c r="D38" s="197" t="s">
        <v>31</v>
      </c>
      <c r="F38" s="108"/>
      <c r="G38" s="108"/>
      <c r="H38" s="59">
        <v>225.1</v>
      </c>
      <c r="I38" s="38" t="s">
        <v>91</v>
      </c>
      <c r="J38" s="256">
        <v>0</v>
      </c>
      <c r="K38" s="360">
        <v>0</v>
      </c>
      <c r="L38" s="295">
        <v>0</v>
      </c>
      <c r="M38" s="257">
        <v>0</v>
      </c>
      <c r="N38" s="268">
        <v>0</v>
      </c>
      <c r="O38" s="271">
        <v>0</v>
      </c>
      <c r="P38" s="44"/>
      <c r="Q38" s="257"/>
      <c r="R38" s="309">
        <f t="shared" ref="R38:R39" si="20">N38-O38</f>
        <v>0</v>
      </c>
      <c r="S38" s="309">
        <f>N38-O38</f>
        <v>0</v>
      </c>
      <c r="T38" s="264">
        <v>0</v>
      </c>
      <c r="W38" s="40"/>
    </row>
    <row r="39" spans="2:23" ht="42.5" customHeight="1" x14ac:dyDescent="0.35">
      <c r="B39" s="197">
        <f>B37+1</f>
        <v>26</v>
      </c>
      <c r="D39" s="197" t="s">
        <v>31</v>
      </c>
      <c r="F39" s="38" t="s">
        <v>92</v>
      </c>
      <c r="G39" s="38" t="s">
        <v>93</v>
      </c>
      <c r="H39" s="38" t="s">
        <v>92</v>
      </c>
      <c r="I39" s="38" t="s">
        <v>93</v>
      </c>
      <c r="J39" s="256">
        <v>53</v>
      </c>
      <c r="K39" s="360">
        <v>10</v>
      </c>
      <c r="L39" s="295">
        <f>+J39*K39</f>
        <v>530</v>
      </c>
      <c r="M39" s="257">
        <v>4</v>
      </c>
      <c r="N39" s="305">
        <f t="shared" si="19"/>
        <v>2120</v>
      </c>
      <c r="O39" s="84">
        <v>2120</v>
      </c>
      <c r="P39" s="50">
        <v>0</v>
      </c>
      <c r="Q39" s="257">
        <v>0</v>
      </c>
      <c r="R39" s="309">
        <f t="shared" si="20"/>
        <v>0</v>
      </c>
      <c r="S39" s="309">
        <v>0</v>
      </c>
      <c r="T39" s="264">
        <f>+N39-O39</f>
        <v>0</v>
      </c>
      <c r="W39" s="37"/>
    </row>
    <row r="40" spans="2:23" hidden="1" x14ac:dyDescent="0.35">
      <c r="B40" s="197">
        <f t="shared" ref="B40:B44" si="21">B38+1</f>
        <v>27</v>
      </c>
      <c r="D40" s="197" t="s">
        <v>31</v>
      </c>
      <c r="F40" s="108"/>
      <c r="G40" s="108"/>
      <c r="H40" s="38" t="s">
        <v>94</v>
      </c>
      <c r="I40" s="38" t="s">
        <v>95</v>
      </c>
      <c r="J40" s="256">
        <v>0</v>
      </c>
      <c r="K40" s="360">
        <v>0</v>
      </c>
      <c r="L40" s="295">
        <f t="shared" ref="L40:L45" si="22">+J40*K40</f>
        <v>0</v>
      </c>
      <c r="M40" s="257">
        <v>0</v>
      </c>
      <c r="N40" s="305">
        <f t="shared" si="19"/>
        <v>0</v>
      </c>
      <c r="O40" s="271">
        <v>0</v>
      </c>
      <c r="P40" s="44"/>
      <c r="Q40" s="257"/>
      <c r="R40" s="309"/>
      <c r="S40" s="309">
        <f t="shared" ref="S40:S45" si="23">N40-O40</f>
        <v>0</v>
      </c>
      <c r="T40" s="264">
        <f t="shared" ref="T40:T45" si="24">+N40-O40</f>
        <v>0</v>
      </c>
      <c r="W40" s="37"/>
    </row>
    <row r="41" spans="2:23" ht="41.5" customHeight="1" x14ac:dyDescent="0.35">
      <c r="B41" s="197">
        <f t="shared" si="21"/>
        <v>27</v>
      </c>
      <c r="D41" s="197" t="s">
        <v>31</v>
      </c>
      <c r="F41" s="108"/>
      <c r="G41" s="108"/>
      <c r="H41" s="60">
        <v>225.17</v>
      </c>
      <c r="I41" s="38" t="s">
        <v>96</v>
      </c>
      <c r="J41" s="256">
        <v>0</v>
      </c>
      <c r="K41" s="360">
        <v>0</v>
      </c>
      <c r="L41" s="295">
        <f t="shared" si="22"/>
        <v>0</v>
      </c>
      <c r="M41" s="257">
        <v>0</v>
      </c>
      <c r="N41" s="305">
        <f t="shared" si="19"/>
        <v>0</v>
      </c>
      <c r="O41" s="271">
        <v>0</v>
      </c>
      <c r="P41" s="44"/>
      <c r="Q41" s="257"/>
      <c r="R41" s="309"/>
      <c r="S41" s="309">
        <f t="shared" si="23"/>
        <v>0</v>
      </c>
      <c r="T41" s="264">
        <f t="shared" si="24"/>
        <v>0</v>
      </c>
      <c r="W41" s="37"/>
    </row>
    <row r="42" spans="2:23" ht="30.5" customHeight="1" x14ac:dyDescent="0.35">
      <c r="B42" s="197">
        <f t="shared" si="21"/>
        <v>28</v>
      </c>
      <c r="D42" s="197" t="s">
        <v>31</v>
      </c>
      <c r="F42" s="275"/>
      <c r="G42" s="275"/>
      <c r="H42" s="57" t="s">
        <v>97</v>
      </c>
      <c r="I42" s="36" t="s">
        <v>98</v>
      </c>
      <c r="J42" s="256">
        <v>0</v>
      </c>
      <c r="K42" s="360">
        <v>0</v>
      </c>
      <c r="L42" s="295">
        <f t="shared" si="22"/>
        <v>0</v>
      </c>
      <c r="M42" s="257">
        <v>0</v>
      </c>
      <c r="N42" s="305">
        <f t="shared" si="19"/>
        <v>0</v>
      </c>
      <c r="O42" s="271">
        <v>0</v>
      </c>
      <c r="P42" s="44"/>
      <c r="Q42" s="257"/>
      <c r="R42" s="309"/>
      <c r="S42" s="309">
        <f t="shared" si="23"/>
        <v>0</v>
      </c>
      <c r="T42" s="264">
        <f t="shared" si="24"/>
        <v>0</v>
      </c>
      <c r="W42" s="37"/>
    </row>
    <row r="43" spans="2:23" ht="39.5" customHeight="1" x14ac:dyDescent="0.35">
      <c r="B43" s="197">
        <f t="shared" si="21"/>
        <v>28</v>
      </c>
      <c r="D43" s="197" t="s">
        <v>31</v>
      </c>
      <c r="F43" s="275"/>
      <c r="G43" s="275"/>
      <c r="H43" s="57" t="s">
        <v>99</v>
      </c>
      <c r="I43" s="36" t="s">
        <v>100</v>
      </c>
      <c r="J43" s="256">
        <v>0</v>
      </c>
      <c r="K43" s="360">
        <v>0</v>
      </c>
      <c r="L43" s="295">
        <f t="shared" si="22"/>
        <v>0</v>
      </c>
      <c r="M43" s="257">
        <v>0</v>
      </c>
      <c r="N43" s="305">
        <f t="shared" si="19"/>
        <v>0</v>
      </c>
      <c r="O43" s="271">
        <v>0</v>
      </c>
      <c r="P43" s="44"/>
      <c r="Q43" s="257"/>
      <c r="R43" s="309"/>
      <c r="S43" s="309">
        <f t="shared" si="23"/>
        <v>0</v>
      </c>
      <c r="T43" s="264">
        <f t="shared" si="24"/>
        <v>0</v>
      </c>
      <c r="W43" s="37"/>
    </row>
    <row r="44" spans="2:23" ht="31.5" customHeight="1" x14ac:dyDescent="0.35">
      <c r="B44" s="197">
        <f t="shared" si="21"/>
        <v>29</v>
      </c>
      <c r="D44" s="197" t="s">
        <v>31</v>
      </c>
      <c r="F44" s="275"/>
      <c r="G44" s="275"/>
      <c r="H44" s="36" t="s">
        <v>101</v>
      </c>
      <c r="I44" s="57" t="s">
        <v>102</v>
      </c>
      <c r="J44" s="256">
        <v>0</v>
      </c>
      <c r="K44" s="360">
        <v>0</v>
      </c>
      <c r="L44" s="295">
        <f t="shared" si="22"/>
        <v>0</v>
      </c>
      <c r="M44" s="257">
        <v>0</v>
      </c>
      <c r="N44" s="305">
        <f t="shared" si="19"/>
        <v>0</v>
      </c>
      <c r="O44" s="271">
        <v>0</v>
      </c>
      <c r="P44" s="44"/>
      <c r="Q44" s="257"/>
      <c r="R44" s="309"/>
      <c r="S44" s="309">
        <f t="shared" si="23"/>
        <v>0</v>
      </c>
      <c r="T44" s="264">
        <f t="shared" si="24"/>
        <v>0</v>
      </c>
      <c r="W44" s="37"/>
    </row>
    <row r="45" spans="2:23" ht="29" x14ac:dyDescent="0.35">
      <c r="B45" s="221">
        <f>B39+1</f>
        <v>27</v>
      </c>
      <c r="D45" s="221" t="s">
        <v>53</v>
      </c>
      <c r="F45" s="457"/>
      <c r="G45" s="458"/>
      <c r="H45" s="372" t="s">
        <v>103</v>
      </c>
      <c r="I45" s="459" t="s">
        <v>104</v>
      </c>
      <c r="J45" s="229">
        <v>53</v>
      </c>
      <c r="K45" s="370">
        <v>1</v>
      </c>
      <c r="L45" s="296">
        <f t="shared" si="22"/>
        <v>53</v>
      </c>
      <c r="M45" s="231">
        <v>1</v>
      </c>
      <c r="N45" s="460">
        <f t="shared" si="19"/>
        <v>53</v>
      </c>
      <c r="O45" s="223">
        <v>0</v>
      </c>
      <c r="P45" s="230">
        <v>0</v>
      </c>
      <c r="Q45" s="231">
        <v>0</v>
      </c>
      <c r="R45" s="231">
        <v>0</v>
      </c>
      <c r="S45" s="231">
        <f t="shared" si="23"/>
        <v>53</v>
      </c>
      <c r="T45" s="266">
        <f t="shared" si="24"/>
        <v>53</v>
      </c>
    </row>
    <row r="46" spans="2:23" ht="43.5" x14ac:dyDescent="0.35">
      <c r="B46" s="197">
        <f>B45+1</f>
        <v>28</v>
      </c>
      <c r="D46" s="197" t="s">
        <v>31</v>
      </c>
      <c r="F46" s="38" t="s">
        <v>105</v>
      </c>
      <c r="G46" s="38" t="s">
        <v>106</v>
      </c>
      <c r="H46" s="38" t="s">
        <v>105</v>
      </c>
      <c r="I46" s="38" t="s">
        <v>106</v>
      </c>
      <c r="J46" s="86">
        <v>3314</v>
      </c>
      <c r="K46" s="360">
        <v>9</v>
      </c>
      <c r="L46" s="295">
        <f>J46*K46</f>
        <v>29826</v>
      </c>
      <c r="M46" s="257">
        <v>0.5</v>
      </c>
      <c r="N46" s="283">
        <f>L46*M46</f>
        <v>14913</v>
      </c>
      <c r="O46" s="84">
        <v>14913</v>
      </c>
      <c r="P46" s="50">
        <v>0</v>
      </c>
      <c r="Q46" s="84">
        <v>0</v>
      </c>
      <c r="R46" s="308">
        <v>0</v>
      </c>
      <c r="S46" s="84">
        <v>0</v>
      </c>
      <c r="T46" s="357">
        <f>N46-O46</f>
        <v>0</v>
      </c>
    </row>
    <row r="47" spans="2:23" ht="74.150000000000006" customHeight="1" x14ac:dyDescent="0.35">
      <c r="B47" s="197">
        <f t="shared" ref="B47:B63" si="25">B46+1</f>
        <v>29</v>
      </c>
      <c r="D47" s="197" t="s">
        <v>31</v>
      </c>
      <c r="F47" s="38" t="s">
        <v>107</v>
      </c>
      <c r="G47" s="38" t="s">
        <v>108</v>
      </c>
      <c r="H47" s="38" t="s">
        <v>107</v>
      </c>
      <c r="I47" s="38" t="s">
        <v>108</v>
      </c>
      <c r="J47" s="86">
        <v>3314</v>
      </c>
      <c r="K47" s="360">
        <v>9</v>
      </c>
      <c r="L47" s="295">
        <f>J47*K47</f>
        <v>29826</v>
      </c>
      <c r="M47" s="257">
        <v>2</v>
      </c>
      <c r="N47" s="283">
        <f>L47*M47</f>
        <v>59652</v>
      </c>
      <c r="O47" s="84">
        <v>59652</v>
      </c>
      <c r="P47" s="50">
        <v>0</v>
      </c>
      <c r="Q47" s="84">
        <v>0</v>
      </c>
      <c r="R47" s="101">
        <v>0</v>
      </c>
      <c r="S47" s="84">
        <v>0</v>
      </c>
      <c r="T47" s="357">
        <f>N47-O47</f>
        <v>0</v>
      </c>
    </row>
    <row r="48" spans="2:23" ht="100.4" customHeight="1" x14ac:dyDescent="0.35">
      <c r="B48" s="197">
        <f t="shared" si="25"/>
        <v>30</v>
      </c>
      <c r="D48" s="197" t="s">
        <v>31</v>
      </c>
      <c r="F48" s="38" t="s">
        <v>109</v>
      </c>
      <c r="G48" s="38" t="s">
        <v>110</v>
      </c>
      <c r="H48" s="38" t="s">
        <v>109</v>
      </c>
      <c r="I48" s="38" t="s">
        <v>110</v>
      </c>
      <c r="J48" s="54">
        <v>3314</v>
      </c>
      <c r="K48" s="362">
        <v>1</v>
      </c>
      <c r="L48" s="252">
        <f t="shared" ref="L48:L50" si="26">+J48*K48</f>
        <v>3314</v>
      </c>
      <c r="M48" s="101">
        <v>0.25</v>
      </c>
      <c r="N48" s="101">
        <f t="shared" ref="N48:N50" si="27">+L48*M48</f>
        <v>828.5</v>
      </c>
      <c r="O48" s="101">
        <v>828.5</v>
      </c>
      <c r="P48" s="102">
        <v>0</v>
      </c>
      <c r="Q48" s="101">
        <v>0</v>
      </c>
      <c r="R48" s="101">
        <f t="shared" ref="R48" si="28">N48-O48</f>
        <v>0</v>
      </c>
      <c r="S48" s="101">
        <v>0</v>
      </c>
      <c r="T48" s="265">
        <f t="shared" ref="T48:T50" si="29">N48-O48</f>
        <v>0</v>
      </c>
    </row>
    <row r="49" spans="2:23" ht="100.4" customHeight="1" x14ac:dyDescent="0.35">
      <c r="B49" s="221">
        <f t="shared" si="25"/>
        <v>31</v>
      </c>
      <c r="D49" s="221" t="s">
        <v>53</v>
      </c>
      <c r="F49" s="222"/>
      <c r="G49" s="222"/>
      <c r="H49" s="354" t="s">
        <v>111</v>
      </c>
      <c r="I49" s="353" t="s">
        <v>112</v>
      </c>
      <c r="J49" s="227">
        <v>53</v>
      </c>
      <c r="K49" s="223">
        <v>1</v>
      </c>
      <c r="L49" s="230">
        <f t="shared" si="26"/>
        <v>53</v>
      </c>
      <c r="M49" s="226">
        <v>1</v>
      </c>
      <c r="N49" s="226">
        <f t="shared" si="27"/>
        <v>53</v>
      </c>
      <c r="O49" s="226">
        <v>0</v>
      </c>
      <c r="P49" s="225">
        <v>0</v>
      </c>
      <c r="Q49" s="226">
        <v>0</v>
      </c>
      <c r="R49" s="226">
        <v>0</v>
      </c>
      <c r="S49" s="226">
        <f>N49-O49</f>
        <v>53</v>
      </c>
      <c r="T49" s="228">
        <f t="shared" si="29"/>
        <v>53</v>
      </c>
    </row>
    <row r="50" spans="2:23" ht="106.5" customHeight="1" x14ac:dyDescent="0.35">
      <c r="B50" s="221">
        <f t="shared" si="25"/>
        <v>32</v>
      </c>
      <c r="D50" s="221" t="s">
        <v>53</v>
      </c>
      <c r="F50" s="222"/>
      <c r="G50" s="222"/>
      <c r="H50" s="354" t="s">
        <v>113</v>
      </c>
      <c r="I50" s="353" t="s">
        <v>235</v>
      </c>
      <c r="J50" s="227">
        <v>53</v>
      </c>
      <c r="K50" s="223">
        <v>3</v>
      </c>
      <c r="L50" s="230">
        <f t="shared" si="26"/>
        <v>159</v>
      </c>
      <c r="M50" s="226">
        <v>0.25</v>
      </c>
      <c r="N50" s="226">
        <f t="shared" si="27"/>
        <v>39.75</v>
      </c>
      <c r="O50" s="226">
        <v>0</v>
      </c>
      <c r="P50" s="225">
        <v>0</v>
      </c>
      <c r="Q50" s="226">
        <v>0</v>
      </c>
      <c r="R50" s="226">
        <v>0</v>
      </c>
      <c r="S50" s="226">
        <f>N50-O50</f>
        <v>39.75</v>
      </c>
      <c r="T50" s="228">
        <f t="shared" si="29"/>
        <v>39.75</v>
      </c>
    </row>
    <row r="51" spans="2:23" ht="62.5" customHeight="1" x14ac:dyDescent="0.35">
      <c r="B51" s="221">
        <f t="shared" si="25"/>
        <v>33</v>
      </c>
      <c r="D51" s="221" t="s">
        <v>53</v>
      </c>
      <c r="F51" s="222"/>
      <c r="G51" s="222"/>
      <c r="H51" s="354" t="s">
        <v>114</v>
      </c>
      <c r="I51" s="353" t="s">
        <v>115</v>
      </c>
      <c r="J51" s="369">
        <v>53</v>
      </c>
      <c r="K51" s="369">
        <v>3</v>
      </c>
      <c r="L51" s="296">
        <f t="shared" ref="L51:L61" si="30">+J51*K51</f>
        <v>159</v>
      </c>
      <c r="M51" s="370">
        <v>0.25</v>
      </c>
      <c r="N51" s="371">
        <f t="shared" ref="N51:N60" si="31">+L51*M51</f>
        <v>39.75</v>
      </c>
      <c r="O51" s="226">
        <v>0</v>
      </c>
      <c r="P51" s="227">
        <v>0</v>
      </c>
      <c r="Q51" s="231">
        <v>0</v>
      </c>
      <c r="R51" s="231">
        <v>0</v>
      </c>
      <c r="S51" s="231">
        <f>N51-O51</f>
        <v>39.75</v>
      </c>
      <c r="T51" s="266">
        <f>N51-O51</f>
        <v>39.75</v>
      </c>
    </row>
    <row r="52" spans="2:23" ht="155.5" customHeight="1" x14ac:dyDescent="0.35">
      <c r="B52" s="221">
        <f t="shared" si="25"/>
        <v>34</v>
      </c>
      <c r="D52" s="221" t="s">
        <v>53</v>
      </c>
      <c r="F52" s="222"/>
      <c r="G52" s="222"/>
      <c r="H52" s="354" t="s">
        <v>116</v>
      </c>
      <c r="I52" s="353" t="s">
        <v>117</v>
      </c>
      <c r="J52" s="369">
        <v>53</v>
      </c>
      <c r="K52" s="369">
        <v>3</v>
      </c>
      <c r="L52" s="296">
        <f t="shared" si="30"/>
        <v>159</v>
      </c>
      <c r="M52" s="370">
        <v>0.25</v>
      </c>
      <c r="N52" s="371">
        <f t="shared" si="31"/>
        <v>39.75</v>
      </c>
      <c r="O52" s="226">
        <v>0</v>
      </c>
      <c r="P52" s="227">
        <v>0</v>
      </c>
      <c r="Q52" s="231">
        <v>0</v>
      </c>
      <c r="R52" s="231">
        <v>0</v>
      </c>
      <c r="S52" s="231">
        <f t="shared" ref="S52:S61" si="32">N52-O52</f>
        <v>39.75</v>
      </c>
      <c r="T52" s="266">
        <f t="shared" ref="T52:T61" si="33">N52-O52</f>
        <v>39.75</v>
      </c>
    </row>
    <row r="53" spans="2:23" ht="43.5" x14ac:dyDescent="0.35">
      <c r="B53" s="221">
        <f t="shared" si="25"/>
        <v>35</v>
      </c>
      <c r="D53" s="221" t="s">
        <v>53</v>
      </c>
      <c r="F53" s="222"/>
      <c r="G53" s="222"/>
      <c r="H53" s="354" t="s">
        <v>248</v>
      </c>
      <c r="I53" s="353" t="s">
        <v>118</v>
      </c>
      <c r="J53" s="369">
        <v>53</v>
      </c>
      <c r="K53" s="369">
        <v>3</v>
      </c>
      <c r="L53" s="296">
        <f>+J53*K53</f>
        <v>159</v>
      </c>
      <c r="M53" s="370">
        <v>2</v>
      </c>
      <c r="N53" s="371">
        <f>+L53*M53</f>
        <v>318</v>
      </c>
      <c r="O53" s="226">
        <v>0</v>
      </c>
      <c r="P53" s="227">
        <v>0</v>
      </c>
      <c r="Q53" s="231">
        <v>0</v>
      </c>
      <c r="R53" s="231">
        <v>0</v>
      </c>
      <c r="S53" s="231">
        <f>N53-O53</f>
        <v>318</v>
      </c>
      <c r="T53" s="266">
        <f>N53-O53</f>
        <v>318</v>
      </c>
    </row>
    <row r="54" spans="2:23" ht="110" customHeight="1" x14ac:dyDescent="0.35">
      <c r="B54" s="221">
        <f t="shared" si="25"/>
        <v>36</v>
      </c>
      <c r="D54" s="221" t="s">
        <v>53</v>
      </c>
      <c r="F54" s="222"/>
      <c r="G54" s="222"/>
      <c r="H54" s="354" t="s">
        <v>119</v>
      </c>
      <c r="I54" s="353" t="s">
        <v>236</v>
      </c>
      <c r="J54" s="369">
        <v>53</v>
      </c>
      <c r="K54" s="369">
        <v>3</v>
      </c>
      <c r="L54" s="296">
        <f>+J54*K54</f>
        <v>159</v>
      </c>
      <c r="M54" s="370">
        <v>4</v>
      </c>
      <c r="N54" s="371">
        <f>+L54*M54</f>
        <v>636</v>
      </c>
      <c r="O54" s="226">
        <v>0</v>
      </c>
      <c r="P54" s="227">
        <v>0</v>
      </c>
      <c r="Q54" s="231">
        <v>0</v>
      </c>
      <c r="R54" s="231">
        <v>0</v>
      </c>
      <c r="S54" s="231">
        <f>N54-O54</f>
        <v>636</v>
      </c>
      <c r="T54" s="266">
        <f>N54-O54</f>
        <v>636</v>
      </c>
    </row>
    <row r="55" spans="2:23" ht="124.5" customHeight="1" x14ac:dyDescent="0.35">
      <c r="B55" s="221">
        <f t="shared" si="25"/>
        <v>37</v>
      </c>
      <c r="D55" s="221" t="s">
        <v>53</v>
      </c>
      <c r="F55" s="222"/>
      <c r="G55" s="222"/>
      <c r="H55" s="354" t="s">
        <v>120</v>
      </c>
      <c r="I55" s="353" t="s">
        <v>121</v>
      </c>
      <c r="J55" s="369">
        <v>53</v>
      </c>
      <c r="K55" s="369">
        <v>3</v>
      </c>
      <c r="L55" s="296">
        <f t="shared" si="30"/>
        <v>159</v>
      </c>
      <c r="M55" s="370">
        <v>0.25</v>
      </c>
      <c r="N55" s="371">
        <f t="shared" si="31"/>
        <v>39.75</v>
      </c>
      <c r="O55" s="226">
        <v>0</v>
      </c>
      <c r="P55" s="227">
        <v>0</v>
      </c>
      <c r="Q55" s="231">
        <v>0</v>
      </c>
      <c r="R55" s="231">
        <v>0</v>
      </c>
      <c r="S55" s="231">
        <f t="shared" si="32"/>
        <v>39.75</v>
      </c>
      <c r="T55" s="266">
        <f t="shared" si="33"/>
        <v>39.75</v>
      </c>
    </row>
    <row r="56" spans="2:23" ht="68" customHeight="1" x14ac:dyDescent="0.35">
      <c r="B56" s="221">
        <f t="shared" si="25"/>
        <v>38</v>
      </c>
      <c r="D56" s="221" t="s">
        <v>53</v>
      </c>
      <c r="F56" s="222"/>
      <c r="G56" s="222"/>
      <c r="H56" s="354" t="s">
        <v>122</v>
      </c>
      <c r="I56" s="353" t="s">
        <v>123</v>
      </c>
      <c r="J56" s="369">
        <v>53</v>
      </c>
      <c r="K56" s="369">
        <v>3</v>
      </c>
      <c r="L56" s="296">
        <f>+J56*K56</f>
        <v>159</v>
      </c>
      <c r="M56" s="370">
        <v>20</v>
      </c>
      <c r="N56" s="371">
        <f>+L56*M56</f>
        <v>3180</v>
      </c>
      <c r="O56" s="226">
        <v>0</v>
      </c>
      <c r="P56" s="227">
        <v>0</v>
      </c>
      <c r="Q56" s="231">
        <v>0</v>
      </c>
      <c r="R56" s="231">
        <v>0</v>
      </c>
      <c r="S56" s="231">
        <f>N56-O56</f>
        <v>3180</v>
      </c>
      <c r="T56" s="266">
        <f>N56-O56</f>
        <v>3180</v>
      </c>
    </row>
    <row r="57" spans="2:23" ht="51" customHeight="1" x14ac:dyDescent="0.35">
      <c r="B57" s="221">
        <f t="shared" si="25"/>
        <v>39</v>
      </c>
      <c r="D57" s="221" t="s">
        <v>53</v>
      </c>
      <c r="F57" s="222"/>
      <c r="G57" s="222"/>
      <c r="H57" s="354" t="s">
        <v>124</v>
      </c>
      <c r="I57" s="353" t="s">
        <v>252</v>
      </c>
      <c r="J57" s="369">
        <v>53</v>
      </c>
      <c r="K57" s="369">
        <v>3</v>
      </c>
      <c r="L57" s="296">
        <f>+J57*K57</f>
        <v>159</v>
      </c>
      <c r="M57" s="370">
        <v>2</v>
      </c>
      <c r="N57" s="371">
        <f>+L57*M57</f>
        <v>318</v>
      </c>
      <c r="O57" s="226">
        <v>0</v>
      </c>
      <c r="P57" s="227">
        <v>0</v>
      </c>
      <c r="Q57" s="231">
        <v>0</v>
      </c>
      <c r="R57" s="231">
        <v>0</v>
      </c>
      <c r="S57" s="231">
        <f>N57-O57</f>
        <v>318</v>
      </c>
      <c r="T57" s="266">
        <f>N57-O57</f>
        <v>318</v>
      </c>
    </row>
    <row r="58" spans="2:23" ht="85" customHeight="1" x14ac:dyDescent="0.35">
      <c r="B58" s="221">
        <f t="shared" si="25"/>
        <v>40</v>
      </c>
      <c r="D58" s="221" t="s">
        <v>53</v>
      </c>
      <c r="F58" s="222"/>
      <c r="G58" s="222"/>
      <c r="H58" s="354" t="s">
        <v>125</v>
      </c>
      <c r="I58" s="353" t="s">
        <v>126</v>
      </c>
      <c r="J58" s="369">
        <v>53</v>
      </c>
      <c r="K58" s="369">
        <v>3</v>
      </c>
      <c r="L58" s="296">
        <f>+J58*K58</f>
        <v>159</v>
      </c>
      <c r="M58" s="370">
        <v>0.25</v>
      </c>
      <c r="N58" s="371">
        <f>+L58*M58</f>
        <v>39.75</v>
      </c>
      <c r="O58" s="226">
        <v>0</v>
      </c>
      <c r="P58" s="227">
        <v>0</v>
      </c>
      <c r="Q58" s="231">
        <v>0</v>
      </c>
      <c r="R58" s="231">
        <v>0</v>
      </c>
      <c r="S58" s="231">
        <f>N58-O58</f>
        <v>39.75</v>
      </c>
      <c r="T58" s="266">
        <f>N58-O58</f>
        <v>39.75</v>
      </c>
    </row>
    <row r="59" spans="2:23" ht="74" customHeight="1" x14ac:dyDescent="0.35">
      <c r="B59" s="221">
        <f t="shared" si="25"/>
        <v>41</v>
      </c>
      <c r="D59" s="221" t="s">
        <v>53</v>
      </c>
      <c r="F59" s="222"/>
      <c r="G59" s="222"/>
      <c r="H59" s="354" t="s">
        <v>127</v>
      </c>
      <c r="I59" s="353" t="s">
        <v>128</v>
      </c>
      <c r="J59" s="369">
        <v>53</v>
      </c>
      <c r="K59" s="369">
        <v>1</v>
      </c>
      <c r="L59" s="296">
        <f t="shared" si="30"/>
        <v>53</v>
      </c>
      <c r="M59" s="370">
        <v>1</v>
      </c>
      <c r="N59" s="371">
        <f t="shared" si="31"/>
        <v>53</v>
      </c>
      <c r="O59" s="226">
        <v>0</v>
      </c>
      <c r="P59" s="227">
        <v>0</v>
      </c>
      <c r="Q59" s="231">
        <v>0</v>
      </c>
      <c r="R59" s="231">
        <v>0</v>
      </c>
      <c r="S59" s="231">
        <f t="shared" si="32"/>
        <v>53</v>
      </c>
      <c r="T59" s="266">
        <f t="shared" si="33"/>
        <v>53</v>
      </c>
    </row>
    <row r="60" spans="2:23" ht="57" customHeight="1" x14ac:dyDescent="0.35">
      <c r="B60" s="221">
        <f t="shared" si="25"/>
        <v>42</v>
      </c>
      <c r="D60" s="221" t="s">
        <v>53</v>
      </c>
      <c r="F60" s="222"/>
      <c r="G60" s="222"/>
      <c r="H60" s="354" t="s">
        <v>231</v>
      </c>
      <c r="I60" s="353" t="s">
        <v>232</v>
      </c>
      <c r="J60" s="369">
        <v>53</v>
      </c>
      <c r="K60" s="369">
        <v>1</v>
      </c>
      <c r="L60" s="296">
        <f t="shared" si="30"/>
        <v>53</v>
      </c>
      <c r="M60" s="370">
        <v>1</v>
      </c>
      <c r="N60" s="371">
        <f t="shared" si="31"/>
        <v>53</v>
      </c>
      <c r="O60" s="226">
        <v>0</v>
      </c>
      <c r="P60" s="227">
        <v>0</v>
      </c>
      <c r="Q60" s="231">
        <v>0</v>
      </c>
      <c r="R60" s="231">
        <v>0</v>
      </c>
      <c r="S60" s="231">
        <f t="shared" si="32"/>
        <v>53</v>
      </c>
      <c r="T60" s="266">
        <f t="shared" si="33"/>
        <v>53</v>
      </c>
    </row>
    <row r="61" spans="2:23" ht="184" customHeight="1" x14ac:dyDescent="0.35">
      <c r="B61" s="221">
        <f t="shared" si="25"/>
        <v>43</v>
      </c>
      <c r="D61" s="221" t="s">
        <v>53</v>
      </c>
      <c r="F61" s="222"/>
      <c r="G61" s="222"/>
      <c r="H61" s="372" t="s">
        <v>129</v>
      </c>
      <c r="I61" s="353" t="s">
        <v>130</v>
      </c>
      <c r="J61" s="369">
        <v>53</v>
      </c>
      <c r="K61" s="369">
        <v>3</v>
      </c>
      <c r="L61" s="296">
        <f t="shared" si="30"/>
        <v>159</v>
      </c>
      <c r="M61" s="370">
        <v>0.25</v>
      </c>
      <c r="N61" s="371">
        <v>40</v>
      </c>
      <c r="O61" s="226">
        <v>0</v>
      </c>
      <c r="P61" s="227">
        <v>0</v>
      </c>
      <c r="Q61" s="231">
        <v>0</v>
      </c>
      <c r="R61" s="231">
        <v>0</v>
      </c>
      <c r="S61" s="231">
        <f t="shared" si="32"/>
        <v>40</v>
      </c>
      <c r="T61" s="266">
        <f t="shared" si="33"/>
        <v>40</v>
      </c>
    </row>
    <row r="62" spans="2:23" ht="87" x14ac:dyDescent="0.35">
      <c r="B62" s="221">
        <f t="shared" si="25"/>
        <v>44</v>
      </c>
      <c r="D62" s="221" t="s">
        <v>31</v>
      </c>
      <c r="F62" s="222" t="s">
        <v>131</v>
      </c>
      <c r="G62" s="222" t="s">
        <v>132</v>
      </c>
      <c r="H62" s="354" t="s">
        <v>249</v>
      </c>
      <c r="I62" s="372" t="s">
        <v>253</v>
      </c>
      <c r="J62" s="369">
        <v>53</v>
      </c>
      <c r="K62" s="369">
        <v>5</v>
      </c>
      <c r="L62" s="296">
        <f>+J62*K62</f>
        <v>265</v>
      </c>
      <c r="M62" s="370">
        <v>1</v>
      </c>
      <c r="N62" s="371">
        <f>+L62*M62</f>
        <v>265</v>
      </c>
      <c r="O62" s="226">
        <v>265</v>
      </c>
      <c r="P62" s="227">
        <v>0</v>
      </c>
      <c r="Q62" s="231">
        <v>0</v>
      </c>
      <c r="R62" s="231">
        <v>0</v>
      </c>
      <c r="S62" s="231">
        <f>N62-O62</f>
        <v>0</v>
      </c>
      <c r="T62" s="266">
        <f>N62-O62</f>
        <v>0</v>
      </c>
      <c r="U62" s="58" t="s">
        <v>133</v>
      </c>
    </row>
    <row r="63" spans="2:23" ht="60.5" customHeight="1" x14ac:dyDescent="0.35">
      <c r="B63" s="221">
        <f t="shared" si="25"/>
        <v>45</v>
      </c>
      <c r="D63" s="221" t="s">
        <v>53</v>
      </c>
      <c r="F63" s="222"/>
      <c r="G63" s="222"/>
      <c r="H63" s="354" t="s">
        <v>134</v>
      </c>
      <c r="I63" s="353" t="s">
        <v>135</v>
      </c>
      <c r="J63" s="369">
        <f>(2855+256)*0.3</f>
        <v>933.3</v>
      </c>
      <c r="K63" s="369">
        <v>1</v>
      </c>
      <c r="L63" s="296">
        <f>+J63*K63</f>
        <v>933.3</v>
      </c>
      <c r="M63" s="370">
        <v>0.25</v>
      </c>
      <c r="N63" s="371">
        <f>+L63*M63</f>
        <v>233.32499999999999</v>
      </c>
      <c r="O63" s="226">
        <v>0</v>
      </c>
      <c r="P63" s="227">
        <v>0</v>
      </c>
      <c r="Q63" s="231">
        <v>0</v>
      </c>
      <c r="R63" s="231">
        <v>0</v>
      </c>
      <c r="S63" s="231">
        <f>N63-O63</f>
        <v>233.32499999999999</v>
      </c>
      <c r="T63" s="266">
        <f>N63-O63</f>
        <v>233.32499999999999</v>
      </c>
    </row>
    <row r="64" spans="2:23" ht="15" customHeight="1" x14ac:dyDescent="0.35">
      <c r="B64" s="113"/>
      <c r="D64" s="198"/>
      <c r="F64" s="497" t="s">
        <v>136</v>
      </c>
      <c r="G64" s="497"/>
      <c r="H64" s="497"/>
      <c r="I64" s="498"/>
      <c r="J64" s="284">
        <f>53+3314</f>
        <v>3367</v>
      </c>
      <c r="K64" s="314">
        <f>SUM(L64/J64)</f>
        <v>36.961565191565192</v>
      </c>
      <c r="L64" s="297">
        <f>SUM(L6:L63)</f>
        <v>124449.59000000001</v>
      </c>
      <c r="M64" s="279">
        <f>N64/L64</f>
        <v>2.1084106003081251</v>
      </c>
      <c r="N64" s="279">
        <f>SUM(N6:N63)</f>
        <v>262390.83476000006</v>
      </c>
      <c r="O64" s="279">
        <f t="shared" ref="O64:T64" si="34">SUM(O6:O63)</f>
        <v>253664.00976000002</v>
      </c>
      <c r="P64" s="279">
        <f t="shared" si="34"/>
        <v>0</v>
      </c>
      <c r="Q64" s="279">
        <f t="shared" si="34"/>
        <v>0</v>
      </c>
      <c r="R64" s="279">
        <f t="shared" si="34"/>
        <v>0</v>
      </c>
      <c r="S64" s="279">
        <v>8727</v>
      </c>
      <c r="T64" s="279">
        <v>8727</v>
      </c>
      <c r="W64" s="37"/>
    </row>
    <row r="65" spans="2:23" ht="18.75" customHeight="1" x14ac:dyDescent="0.35">
      <c r="B65" s="114"/>
      <c r="D65" s="199"/>
      <c r="F65" s="495" t="s">
        <v>137</v>
      </c>
      <c r="G65" s="495"/>
      <c r="H65" s="495"/>
      <c r="I65" s="495"/>
      <c r="J65" s="495"/>
      <c r="K65" s="495"/>
      <c r="L65" s="495"/>
      <c r="M65" s="495"/>
      <c r="N65" s="495"/>
      <c r="O65" s="495"/>
      <c r="P65" s="495"/>
      <c r="Q65" s="495"/>
      <c r="R65" s="495"/>
      <c r="S65" s="495"/>
      <c r="T65" s="496"/>
      <c r="U65" s="45"/>
      <c r="V65" s="1"/>
      <c r="W65" s="37"/>
    </row>
    <row r="66" spans="2:23" ht="185" customHeight="1" x14ac:dyDescent="0.35">
      <c r="B66" s="197">
        <f>1</f>
        <v>1</v>
      </c>
      <c r="D66" s="197" t="s">
        <v>31</v>
      </c>
      <c r="F66" s="38" t="s">
        <v>56</v>
      </c>
      <c r="G66" s="38" t="s">
        <v>138</v>
      </c>
      <c r="H66" s="38" t="s">
        <v>56</v>
      </c>
      <c r="I66" s="38" t="s">
        <v>259</v>
      </c>
      <c r="J66" s="86">
        <v>2210</v>
      </c>
      <c r="K66" s="360">
        <v>1</v>
      </c>
      <c r="L66" s="295">
        <f t="shared" ref="L66:L78" si="35">+J66*K66</f>
        <v>2210</v>
      </c>
      <c r="M66" s="257">
        <v>39.5</v>
      </c>
      <c r="N66" s="270">
        <f t="shared" ref="N66" si="36">+L66*M66</f>
        <v>87295</v>
      </c>
      <c r="O66" s="84">
        <v>87295</v>
      </c>
      <c r="P66" s="50">
        <v>0</v>
      </c>
      <c r="Q66" s="257">
        <v>0</v>
      </c>
      <c r="R66" s="257">
        <f>N66-O66</f>
        <v>0</v>
      </c>
      <c r="S66" s="311">
        <v>0</v>
      </c>
      <c r="T66" s="264">
        <f t="shared" ref="T66:T74" si="37">+N66-O66</f>
        <v>0</v>
      </c>
      <c r="W66" s="37"/>
    </row>
    <row r="67" spans="2:23" ht="100.4" customHeight="1" x14ac:dyDescent="0.35">
      <c r="B67" s="197">
        <f t="shared" ref="B67:B78" si="38">B66+1</f>
        <v>2</v>
      </c>
      <c r="D67" s="197" t="s">
        <v>31</v>
      </c>
      <c r="F67" s="276" t="s">
        <v>58</v>
      </c>
      <c r="G67" s="38" t="s">
        <v>59</v>
      </c>
      <c r="H67" s="276" t="s">
        <v>58</v>
      </c>
      <c r="I67" s="38" t="s">
        <v>59</v>
      </c>
      <c r="J67" s="86">
        <v>426</v>
      </c>
      <c r="K67" s="360">
        <v>1</v>
      </c>
      <c r="L67" s="295">
        <f>+J67*K67</f>
        <v>426</v>
      </c>
      <c r="M67" s="257">
        <v>1</v>
      </c>
      <c r="N67" s="283">
        <f>+L67*M67</f>
        <v>426</v>
      </c>
      <c r="O67" s="84">
        <v>426</v>
      </c>
      <c r="P67" s="50">
        <v>0</v>
      </c>
      <c r="Q67" s="257">
        <v>0</v>
      </c>
      <c r="R67" s="257">
        <f t="shared" ref="R67:R74" si="39">N67-O67</f>
        <v>0</v>
      </c>
      <c r="S67" s="311">
        <v>0</v>
      </c>
      <c r="T67" s="264">
        <f t="shared" si="37"/>
        <v>0</v>
      </c>
      <c r="W67" s="37"/>
    </row>
    <row r="68" spans="2:23" s="281" customFormat="1" ht="57.65" customHeight="1" x14ac:dyDescent="0.35">
      <c r="B68" s="197">
        <f t="shared" si="38"/>
        <v>3</v>
      </c>
      <c r="D68" s="197" t="s">
        <v>31</v>
      </c>
      <c r="F68" s="276" t="s">
        <v>60</v>
      </c>
      <c r="G68" s="38" t="s">
        <v>61</v>
      </c>
      <c r="H68" s="276" t="s">
        <v>60</v>
      </c>
      <c r="I68" s="38" t="s">
        <v>61</v>
      </c>
      <c r="J68" s="86">
        <v>1783</v>
      </c>
      <c r="K68" s="360">
        <v>1</v>
      </c>
      <c r="L68" s="295">
        <f>+J68*K68</f>
        <v>1783</v>
      </c>
      <c r="M68" s="257">
        <v>1</v>
      </c>
      <c r="N68" s="283">
        <f>+L68*M68</f>
        <v>1783</v>
      </c>
      <c r="O68" s="84">
        <v>1783</v>
      </c>
      <c r="P68" s="50">
        <v>0</v>
      </c>
      <c r="Q68" s="257">
        <v>0</v>
      </c>
      <c r="R68" s="257">
        <f t="shared" si="39"/>
        <v>0</v>
      </c>
      <c r="S68" s="311">
        <v>0</v>
      </c>
      <c r="T68" s="264">
        <f t="shared" si="37"/>
        <v>0</v>
      </c>
      <c r="W68" s="282"/>
    </row>
    <row r="69" spans="2:23" s="250" customFormat="1" ht="159" customHeight="1" x14ac:dyDescent="0.35">
      <c r="B69" s="221">
        <f t="shared" si="38"/>
        <v>4</v>
      </c>
      <c r="D69" s="221" t="s">
        <v>53</v>
      </c>
      <c r="F69" s="317"/>
      <c r="G69" s="224"/>
      <c r="H69" s="354" t="s">
        <v>54</v>
      </c>
      <c r="I69" s="353" t="s">
        <v>230</v>
      </c>
      <c r="J69" s="262">
        <f>ROUND(((2210*0.06)), 0)</f>
        <v>133</v>
      </c>
      <c r="K69" s="361">
        <v>1</v>
      </c>
      <c r="L69" s="296">
        <f t="shared" ref="L69" si="40">+J69*K69</f>
        <v>133</v>
      </c>
      <c r="M69" s="307">
        <v>1.25</v>
      </c>
      <c r="N69" s="269">
        <f t="shared" ref="N69" si="41">L69*M69</f>
        <v>166.25</v>
      </c>
      <c r="O69" s="318">
        <v>0</v>
      </c>
      <c r="P69" s="319">
        <v>0</v>
      </c>
      <c r="Q69" s="307">
        <v>0</v>
      </c>
      <c r="R69" s="310">
        <v>0</v>
      </c>
      <c r="S69" s="307">
        <f t="shared" ref="S69" si="42">N69-O69</f>
        <v>166.25</v>
      </c>
      <c r="T69" s="266">
        <f t="shared" ref="T69" si="43">+N69-O69</f>
        <v>166.25</v>
      </c>
      <c r="W69" s="462"/>
    </row>
    <row r="70" spans="2:23" ht="69.5" customHeight="1" x14ac:dyDescent="0.35">
      <c r="B70" s="197">
        <f t="shared" si="38"/>
        <v>5</v>
      </c>
      <c r="D70" s="197" t="s">
        <v>31</v>
      </c>
      <c r="F70" s="85" t="s">
        <v>54</v>
      </c>
      <c r="G70" s="85" t="s">
        <v>139</v>
      </c>
      <c r="H70" s="85" t="s">
        <v>54</v>
      </c>
      <c r="I70" s="85" t="s">
        <v>139</v>
      </c>
      <c r="J70" s="86">
        <v>333</v>
      </c>
      <c r="K70" s="364">
        <v>1</v>
      </c>
      <c r="L70" s="295">
        <f t="shared" ref="L70" si="44">+J70*K70</f>
        <v>333</v>
      </c>
      <c r="M70" s="257">
        <v>0.25</v>
      </c>
      <c r="N70" s="283">
        <f t="shared" ref="N70:N78" si="45">+L70*M70</f>
        <v>83.25</v>
      </c>
      <c r="O70" s="101">
        <v>83.25</v>
      </c>
      <c r="P70" s="54">
        <v>0</v>
      </c>
      <c r="Q70" s="257">
        <v>0</v>
      </c>
      <c r="R70" s="257">
        <f>N70-O70</f>
        <v>0</v>
      </c>
      <c r="S70" s="257">
        <v>0</v>
      </c>
      <c r="T70" s="264">
        <f>+N70-O70</f>
        <v>0</v>
      </c>
      <c r="W70" s="37"/>
    </row>
    <row r="71" spans="2:23" ht="66" customHeight="1" x14ac:dyDescent="0.35">
      <c r="B71" s="197">
        <f t="shared" si="38"/>
        <v>6</v>
      </c>
      <c r="D71" s="197" t="s">
        <v>31</v>
      </c>
      <c r="F71" s="277" t="s">
        <v>62</v>
      </c>
      <c r="G71" s="38" t="s">
        <v>63</v>
      </c>
      <c r="H71" s="277" t="s">
        <v>62</v>
      </c>
      <c r="I71" s="38" t="s">
        <v>63</v>
      </c>
      <c r="J71" s="86">
        <v>221</v>
      </c>
      <c r="K71" s="360">
        <v>1</v>
      </c>
      <c r="L71" s="295">
        <f t="shared" si="35"/>
        <v>221</v>
      </c>
      <c r="M71" s="257">
        <v>0.123</v>
      </c>
      <c r="N71" s="478">
        <f t="shared" si="45"/>
        <v>27.183</v>
      </c>
      <c r="O71" s="50">
        <v>27.183</v>
      </c>
      <c r="P71" s="50">
        <v>0</v>
      </c>
      <c r="Q71" s="257">
        <v>0</v>
      </c>
      <c r="R71" s="257">
        <f t="shared" si="39"/>
        <v>0</v>
      </c>
      <c r="S71" s="311">
        <v>0</v>
      </c>
      <c r="T71" s="264">
        <f t="shared" si="37"/>
        <v>0</v>
      </c>
      <c r="U71" s="58"/>
      <c r="W71" s="37"/>
    </row>
    <row r="72" spans="2:23" ht="72" customHeight="1" x14ac:dyDescent="0.35">
      <c r="B72" s="197">
        <f t="shared" si="38"/>
        <v>7</v>
      </c>
      <c r="D72" s="197" t="s">
        <v>31</v>
      </c>
      <c r="F72" s="38" t="s">
        <v>65</v>
      </c>
      <c r="G72" s="278" t="s">
        <v>66</v>
      </c>
      <c r="H72" s="38" t="s">
        <v>65</v>
      </c>
      <c r="I72" s="278" t="s">
        <v>66</v>
      </c>
      <c r="J72" s="86">
        <v>772</v>
      </c>
      <c r="K72" s="360">
        <v>1</v>
      </c>
      <c r="L72" s="295">
        <f t="shared" si="35"/>
        <v>772</v>
      </c>
      <c r="M72" s="257">
        <v>0.5</v>
      </c>
      <c r="N72" s="283">
        <f t="shared" si="45"/>
        <v>386</v>
      </c>
      <c r="O72" s="84">
        <v>386</v>
      </c>
      <c r="P72" s="50">
        <v>0</v>
      </c>
      <c r="Q72" s="257">
        <v>0</v>
      </c>
      <c r="R72" s="257">
        <f t="shared" si="39"/>
        <v>0</v>
      </c>
      <c r="S72" s="311">
        <v>0</v>
      </c>
      <c r="T72" s="264">
        <f t="shared" si="37"/>
        <v>0</v>
      </c>
      <c r="W72" s="37"/>
    </row>
    <row r="73" spans="2:23" ht="50.15" customHeight="1" x14ac:dyDescent="0.35">
      <c r="B73" s="197">
        <f t="shared" si="38"/>
        <v>8</v>
      </c>
      <c r="D73" s="197" t="s">
        <v>31</v>
      </c>
      <c r="F73" s="38" t="s">
        <v>67</v>
      </c>
      <c r="G73" s="38" t="s">
        <v>68</v>
      </c>
      <c r="H73" s="38" t="s">
        <v>67</v>
      </c>
      <c r="I73" s="38" t="s">
        <v>68</v>
      </c>
      <c r="J73" s="335">
        <v>7.72</v>
      </c>
      <c r="K73" s="360">
        <v>1</v>
      </c>
      <c r="L73" s="295">
        <f t="shared" si="35"/>
        <v>7.72</v>
      </c>
      <c r="M73" s="257">
        <v>0.5</v>
      </c>
      <c r="N73" s="283">
        <f t="shared" si="45"/>
        <v>3.86</v>
      </c>
      <c r="O73" s="84">
        <v>3.86</v>
      </c>
      <c r="P73" s="50">
        <v>0</v>
      </c>
      <c r="Q73" s="257">
        <v>0</v>
      </c>
      <c r="R73" s="257">
        <f t="shared" si="39"/>
        <v>0</v>
      </c>
      <c r="S73" s="311">
        <v>0</v>
      </c>
      <c r="T73" s="264">
        <f t="shared" si="37"/>
        <v>0</v>
      </c>
      <c r="W73" s="37"/>
    </row>
    <row r="74" spans="2:23" ht="47.15" customHeight="1" x14ac:dyDescent="0.35">
      <c r="B74" s="197">
        <f t="shared" si="38"/>
        <v>9</v>
      </c>
      <c r="D74" s="197" t="s">
        <v>31</v>
      </c>
      <c r="F74" s="38" t="s">
        <v>69</v>
      </c>
      <c r="G74" s="38" t="s">
        <v>70</v>
      </c>
      <c r="H74" s="38" t="s">
        <v>69</v>
      </c>
      <c r="I74" s="38" t="s">
        <v>70</v>
      </c>
      <c r="J74" s="86">
        <v>772</v>
      </c>
      <c r="K74" s="360">
        <v>1</v>
      </c>
      <c r="L74" s="295">
        <f t="shared" si="35"/>
        <v>772</v>
      </c>
      <c r="M74" s="257">
        <v>20</v>
      </c>
      <c r="N74" s="283">
        <f t="shared" si="45"/>
        <v>15440</v>
      </c>
      <c r="O74" s="84">
        <v>15440</v>
      </c>
      <c r="P74" s="50">
        <v>0</v>
      </c>
      <c r="Q74" s="257">
        <v>0</v>
      </c>
      <c r="R74" s="257">
        <f t="shared" si="39"/>
        <v>0</v>
      </c>
      <c r="S74" s="311">
        <v>0</v>
      </c>
      <c r="T74" s="264">
        <f t="shared" si="37"/>
        <v>0</v>
      </c>
      <c r="W74" s="37"/>
    </row>
    <row r="75" spans="2:23" ht="45.65" customHeight="1" x14ac:dyDescent="0.35">
      <c r="B75" s="197">
        <f t="shared" si="38"/>
        <v>10</v>
      </c>
      <c r="D75" s="197" t="s">
        <v>31</v>
      </c>
      <c r="F75" s="38" t="s">
        <v>105</v>
      </c>
      <c r="G75" s="38" t="s">
        <v>106</v>
      </c>
      <c r="H75" s="38" t="s">
        <v>105</v>
      </c>
      <c r="I75" s="38" t="s">
        <v>106</v>
      </c>
      <c r="J75" s="86">
        <v>2210</v>
      </c>
      <c r="K75" s="360">
        <v>9</v>
      </c>
      <c r="L75" s="295">
        <f>J75*K75</f>
        <v>19890</v>
      </c>
      <c r="M75" s="257">
        <v>0.5</v>
      </c>
      <c r="N75" s="283">
        <f>L75*M75</f>
        <v>9945</v>
      </c>
      <c r="O75" s="84">
        <v>9945</v>
      </c>
      <c r="P75" s="50">
        <v>0</v>
      </c>
      <c r="Q75" s="84">
        <v>0</v>
      </c>
      <c r="R75" s="308">
        <v>0</v>
      </c>
      <c r="S75" s="84">
        <v>0</v>
      </c>
      <c r="T75" s="357">
        <f>N75-O75</f>
        <v>0</v>
      </c>
      <c r="W75" s="37"/>
    </row>
    <row r="76" spans="2:23" ht="74.150000000000006" customHeight="1" x14ac:dyDescent="0.35">
      <c r="B76" s="197">
        <f t="shared" si="38"/>
        <v>11</v>
      </c>
      <c r="D76" s="197" t="s">
        <v>31</v>
      </c>
      <c r="F76" s="38" t="s">
        <v>107</v>
      </c>
      <c r="G76" s="38" t="s">
        <v>108</v>
      </c>
      <c r="H76" s="38" t="s">
        <v>107</v>
      </c>
      <c r="I76" s="38" t="s">
        <v>108</v>
      </c>
      <c r="J76" s="86">
        <v>2210</v>
      </c>
      <c r="K76" s="360">
        <v>9</v>
      </c>
      <c r="L76" s="295">
        <f>J76*K76</f>
        <v>19890</v>
      </c>
      <c r="M76" s="257">
        <v>2</v>
      </c>
      <c r="N76" s="283">
        <f>L76*M76</f>
        <v>39780</v>
      </c>
      <c r="O76" s="84">
        <v>39780</v>
      </c>
      <c r="P76" s="50">
        <v>0</v>
      </c>
      <c r="Q76" s="84">
        <v>0</v>
      </c>
      <c r="R76" s="101">
        <v>0</v>
      </c>
      <c r="S76" s="84">
        <v>0</v>
      </c>
      <c r="T76" s="357">
        <f>N76-O76</f>
        <v>0</v>
      </c>
      <c r="W76" s="37"/>
    </row>
    <row r="77" spans="2:23" ht="83.25" hidden="1" customHeight="1" x14ac:dyDescent="0.35">
      <c r="B77" s="197">
        <f>B76+1</f>
        <v>12</v>
      </c>
      <c r="D77" s="197" t="s">
        <v>31</v>
      </c>
      <c r="F77" s="108"/>
      <c r="G77" s="108"/>
      <c r="H77" s="38" t="s">
        <v>97</v>
      </c>
      <c r="I77" s="38" t="s">
        <v>140</v>
      </c>
      <c r="J77" s="256">
        <v>0</v>
      </c>
      <c r="K77" s="360">
        <v>0</v>
      </c>
      <c r="L77" s="295">
        <f t="shared" si="35"/>
        <v>0</v>
      </c>
      <c r="M77" s="257">
        <v>0</v>
      </c>
      <c r="N77" s="283">
        <f t="shared" si="45"/>
        <v>0</v>
      </c>
      <c r="O77" s="84">
        <v>0</v>
      </c>
      <c r="P77" s="50"/>
      <c r="Q77" s="257"/>
      <c r="R77" s="309"/>
      <c r="S77" s="311">
        <f>N77-O77</f>
        <v>0</v>
      </c>
      <c r="T77" s="264">
        <v>0</v>
      </c>
      <c r="W77" s="37"/>
    </row>
    <row r="78" spans="2:23" ht="102.75" hidden="1" customHeight="1" x14ac:dyDescent="0.35">
      <c r="B78" s="197">
        <f t="shared" si="38"/>
        <v>13</v>
      </c>
      <c r="D78" s="197" t="s">
        <v>31</v>
      </c>
      <c r="F78" s="108"/>
      <c r="G78" s="108"/>
      <c r="H78" s="38" t="s">
        <v>99</v>
      </c>
      <c r="I78" s="38" t="s">
        <v>141</v>
      </c>
      <c r="J78" s="256">
        <v>0</v>
      </c>
      <c r="K78" s="360">
        <v>0</v>
      </c>
      <c r="L78" s="295">
        <f t="shared" si="35"/>
        <v>0</v>
      </c>
      <c r="M78" s="257">
        <v>0</v>
      </c>
      <c r="N78" s="283">
        <f t="shared" si="45"/>
        <v>0</v>
      </c>
      <c r="O78" s="84">
        <v>0</v>
      </c>
      <c r="P78" s="50"/>
      <c r="Q78" s="257"/>
      <c r="R78" s="309"/>
      <c r="S78" s="311">
        <f>N78-O78</f>
        <v>0</v>
      </c>
      <c r="T78" s="264">
        <v>0</v>
      </c>
      <c r="W78" s="37"/>
    </row>
    <row r="79" spans="2:23" ht="102.75" customHeight="1" x14ac:dyDescent="0.35">
      <c r="B79" s="197">
        <f>B76+1</f>
        <v>12</v>
      </c>
      <c r="D79" s="197" t="s">
        <v>31</v>
      </c>
      <c r="F79" s="38" t="s">
        <v>109</v>
      </c>
      <c r="G79" s="38" t="s">
        <v>110</v>
      </c>
      <c r="H79" s="38" t="s">
        <v>109</v>
      </c>
      <c r="I79" s="38" t="s">
        <v>110</v>
      </c>
      <c r="J79" s="256">
        <v>2210</v>
      </c>
      <c r="K79" s="360">
        <v>1</v>
      </c>
      <c r="L79" s="295">
        <f>+J79*K79</f>
        <v>2210</v>
      </c>
      <c r="M79" s="257">
        <v>0.25</v>
      </c>
      <c r="N79" s="283">
        <f>+L79*M79</f>
        <v>552.5</v>
      </c>
      <c r="O79" s="84">
        <v>552.5</v>
      </c>
      <c r="P79" s="50">
        <v>0</v>
      </c>
      <c r="Q79" s="257">
        <v>0</v>
      </c>
      <c r="R79" s="283">
        <f>N79-O79</f>
        <v>0</v>
      </c>
      <c r="S79" s="311">
        <v>0</v>
      </c>
      <c r="T79" s="264">
        <f>+N79-O79</f>
        <v>0</v>
      </c>
      <c r="W79" s="37"/>
    </row>
    <row r="80" spans="2:23" ht="96.75" hidden="1" customHeight="1" x14ac:dyDescent="0.35">
      <c r="B80" s="197">
        <f>B79+1</f>
        <v>13</v>
      </c>
      <c r="D80" s="197"/>
      <c r="F80" s="108"/>
      <c r="G80" s="108"/>
      <c r="H80" s="104">
        <v>225.15</v>
      </c>
      <c r="I80" s="85" t="s">
        <v>142</v>
      </c>
      <c r="J80" s="256">
        <v>0</v>
      </c>
      <c r="K80" s="360">
        <v>0</v>
      </c>
      <c r="L80" s="295">
        <f>+J80*K80</f>
        <v>0</v>
      </c>
      <c r="M80" s="257">
        <v>0</v>
      </c>
      <c r="N80" s="320">
        <f>+L80*M80</f>
        <v>0</v>
      </c>
      <c r="O80" s="271">
        <v>0</v>
      </c>
      <c r="P80" s="44">
        <v>0</v>
      </c>
      <c r="Q80" s="257"/>
      <c r="R80" s="309"/>
      <c r="S80" s="309">
        <v>0</v>
      </c>
      <c r="T80" s="264">
        <v>0</v>
      </c>
      <c r="W80" s="37"/>
    </row>
    <row r="81" spans="2:23" ht="102.75" customHeight="1" x14ac:dyDescent="0.35">
      <c r="B81" s="221">
        <f>B79+1</f>
        <v>13</v>
      </c>
      <c r="D81" s="221" t="s">
        <v>53</v>
      </c>
      <c r="F81" s="373"/>
      <c r="G81" s="373"/>
      <c r="H81" s="354" t="s">
        <v>134</v>
      </c>
      <c r="I81" s="372" t="s">
        <v>143</v>
      </c>
      <c r="J81" s="374">
        <f>1590*0.3</f>
        <v>477</v>
      </c>
      <c r="K81" s="374">
        <v>1</v>
      </c>
      <c r="L81" s="296">
        <f>J81*K81</f>
        <v>477</v>
      </c>
      <c r="M81" s="375">
        <v>0.25</v>
      </c>
      <c r="N81" s="376">
        <f>L81*M81</f>
        <v>119.25</v>
      </c>
      <c r="O81" s="223">
        <v>0</v>
      </c>
      <c r="P81" s="377">
        <v>0</v>
      </c>
      <c r="Q81" s="370">
        <v>0</v>
      </c>
      <c r="R81" s="378">
        <f>Q81</f>
        <v>0</v>
      </c>
      <c r="S81" s="370">
        <f>N81-O81</f>
        <v>119.25</v>
      </c>
      <c r="T81" s="379">
        <f>N81-O81</f>
        <v>119.25</v>
      </c>
      <c r="W81" s="37"/>
    </row>
    <row r="82" spans="2:23" ht="15" customHeight="1" x14ac:dyDescent="0.35">
      <c r="B82" s="115"/>
      <c r="D82" s="200"/>
      <c r="F82" s="497" t="s">
        <v>137</v>
      </c>
      <c r="G82" s="497"/>
      <c r="H82" s="497"/>
      <c r="I82" s="498"/>
      <c r="J82" s="284">
        <f>+MAX(J66:J81)</f>
        <v>2210</v>
      </c>
      <c r="K82" s="314">
        <f>L82/J82</f>
        <v>22.228380090497737</v>
      </c>
      <c r="L82" s="297">
        <f>SUM(L66:L81)</f>
        <v>49124.72</v>
      </c>
      <c r="M82" s="279">
        <f>N82/L82</f>
        <v>3.1757390780039052</v>
      </c>
      <c r="N82" s="279">
        <f t="shared" ref="N82:T82" si="46">SUM(N66:N81)</f>
        <v>156007.29300000001</v>
      </c>
      <c r="O82" s="279">
        <f t="shared" si="46"/>
        <v>155721.79300000001</v>
      </c>
      <c r="P82" s="279">
        <f t="shared" si="46"/>
        <v>0</v>
      </c>
      <c r="Q82" s="285">
        <f t="shared" si="46"/>
        <v>0</v>
      </c>
      <c r="R82" s="285">
        <f t="shared" si="46"/>
        <v>0</v>
      </c>
      <c r="S82" s="285">
        <v>286</v>
      </c>
      <c r="T82" s="280">
        <v>286</v>
      </c>
      <c r="W82" s="37"/>
    </row>
    <row r="83" spans="2:23" x14ac:dyDescent="0.35">
      <c r="B83" s="114"/>
      <c r="D83" s="199"/>
      <c r="F83" s="495" t="s">
        <v>144</v>
      </c>
      <c r="G83" s="495"/>
      <c r="H83" s="495"/>
      <c r="I83" s="495"/>
      <c r="J83" s="495"/>
      <c r="K83" s="495"/>
      <c r="L83" s="495"/>
      <c r="M83" s="495"/>
      <c r="N83" s="495"/>
      <c r="O83" s="495"/>
      <c r="P83" s="495"/>
      <c r="Q83" s="495"/>
      <c r="R83" s="495"/>
      <c r="S83" s="495"/>
      <c r="T83" s="496"/>
      <c r="U83" s="45"/>
      <c r="V83" s="1"/>
      <c r="W83" s="37"/>
    </row>
    <row r="84" spans="2:23" ht="44" customHeight="1" x14ac:dyDescent="0.35">
      <c r="B84" s="197">
        <f>B81+1</f>
        <v>14</v>
      </c>
      <c r="D84" s="197" t="s">
        <v>31</v>
      </c>
      <c r="F84" s="85" t="s">
        <v>145</v>
      </c>
      <c r="G84" s="85" t="s">
        <v>146</v>
      </c>
      <c r="H84" s="85" t="s">
        <v>145</v>
      </c>
      <c r="I84" s="85" t="s">
        <v>262</v>
      </c>
      <c r="J84" s="52">
        <v>58365</v>
      </c>
      <c r="K84" s="364">
        <v>1</v>
      </c>
      <c r="L84" s="295">
        <f t="shared" ref="L84:L85" si="47">+J84*K84</f>
        <v>58365</v>
      </c>
      <c r="M84" s="257">
        <v>0.5</v>
      </c>
      <c r="N84" s="283">
        <f t="shared" ref="N84:N85" si="48">+L84*M84</f>
        <v>29182.5</v>
      </c>
      <c r="O84" s="101">
        <v>29182.5</v>
      </c>
      <c r="P84" s="54">
        <v>0</v>
      </c>
      <c r="Q84" s="257">
        <v>0</v>
      </c>
      <c r="R84" s="257">
        <f>N84-O84</f>
        <v>0</v>
      </c>
      <c r="S84" s="257">
        <v>0</v>
      </c>
      <c r="T84" s="264">
        <f>+N84-O84</f>
        <v>0</v>
      </c>
      <c r="W84" s="37"/>
    </row>
    <row r="85" spans="2:23" ht="29.5" thickBot="1" x14ac:dyDescent="0.4">
      <c r="B85" s="197">
        <f>B84+1</f>
        <v>15</v>
      </c>
      <c r="D85" s="201" t="s">
        <v>31</v>
      </c>
      <c r="F85" s="36" t="s">
        <v>97</v>
      </c>
      <c r="G85" s="85" t="s">
        <v>147</v>
      </c>
      <c r="H85" s="36" t="s">
        <v>97</v>
      </c>
      <c r="I85" s="85" t="s">
        <v>147</v>
      </c>
      <c r="J85" s="52">
        <v>58365</v>
      </c>
      <c r="K85" s="364">
        <v>1</v>
      </c>
      <c r="L85" s="295">
        <f t="shared" si="47"/>
        <v>58365</v>
      </c>
      <c r="M85" s="257">
        <v>0.25</v>
      </c>
      <c r="N85" s="283">
        <f t="shared" si="48"/>
        <v>14591.25</v>
      </c>
      <c r="O85" s="101">
        <v>14591.25</v>
      </c>
      <c r="P85" s="54">
        <v>0</v>
      </c>
      <c r="Q85" s="257">
        <v>0</v>
      </c>
      <c r="R85" s="257">
        <f>N85-O85</f>
        <v>0</v>
      </c>
      <c r="S85" s="257">
        <v>0</v>
      </c>
      <c r="T85" s="264">
        <f>+N85-O85</f>
        <v>0</v>
      </c>
      <c r="W85" s="37"/>
    </row>
    <row r="86" spans="2:23" ht="15.75" customHeight="1" thickBot="1" x14ac:dyDescent="0.4">
      <c r="F86" s="497" t="s">
        <v>144</v>
      </c>
      <c r="G86" s="497"/>
      <c r="H86" s="497"/>
      <c r="I86" s="498"/>
      <c r="J86" s="284">
        <f>+MAX(J84:J85)</f>
        <v>58365</v>
      </c>
      <c r="K86" s="314">
        <f>L86/J86</f>
        <v>2</v>
      </c>
      <c r="L86" s="298">
        <f>SUM(L84:L85)</f>
        <v>116730</v>
      </c>
      <c r="M86" s="286">
        <f>N86/L86</f>
        <v>0.375</v>
      </c>
      <c r="N86" s="286">
        <f>SUM(N84:N85)</f>
        <v>43773.75</v>
      </c>
      <c r="O86" s="286">
        <f>SUM(O84:O85)</f>
        <v>43773.75</v>
      </c>
      <c r="P86" s="286">
        <v>0</v>
      </c>
      <c r="Q86" s="286">
        <f>SUM(Q84:Q85)</f>
        <v>0</v>
      </c>
      <c r="R86" s="286">
        <f>SUM(R84:R85)</f>
        <v>0</v>
      </c>
      <c r="S86" s="286">
        <f>SUM(S84:S85)</f>
        <v>0</v>
      </c>
      <c r="T86" s="287">
        <f>SUM(T84:T85)</f>
        <v>0</v>
      </c>
      <c r="W86" s="27"/>
    </row>
    <row r="87" spans="2:23" ht="25.5" customHeight="1" thickBot="1" x14ac:dyDescent="0.4">
      <c r="F87" s="288"/>
      <c r="G87" s="288"/>
      <c r="H87" s="289"/>
      <c r="I87" s="290" t="s">
        <v>148</v>
      </c>
      <c r="J87" s="294">
        <f>+J64+J82+J86</f>
        <v>63942</v>
      </c>
      <c r="K87" s="313">
        <f>L87/J87</f>
        <v>4.540119326889994</v>
      </c>
      <c r="L87" s="299">
        <f>+L64+L82+L86</f>
        <v>290304.31</v>
      </c>
      <c r="M87" s="293">
        <f>N87/L87</f>
        <v>1.5920255464343607</v>
      </c>
      <c r="N87" s="306">
        <f t="shared" ref="N87:T87" si="49">+N64+N82+N86</f>
        <v>462171.87776000006</v>
      </c>
      <c r="O87" s="306">
        <f t="shared" si="49"/>
        <v>453159.55275999999</v>
      </c>
      <c r="P87" s="414">
        <f t="shared" si="49"/>
        <v>0</v>
      </c>
      <c r="Q87" s="293">
        <f t="shared" si="49"/>
        <v>0</v>
      </c>
      <c r="R87" s="293">
        <f t="shared" si="49"/>
        <v>0</v>
      </c>
      <c r="S87" s="293">
        <f t="shared" si="49"/>
        <v>9013</v>
      </c>
      <c r="T87" s="358">
        <f t="shared" si="49"/>
        <v>9013</v>
      </c>
    </row>
    <row r="88" spans="2:23" ht="15" thickBot="1" x14ac:dyDescent="0.4">
      <c r="F88" s="103"/>
      <c r="G88" s="103"/>
      <c r="H88" s="105"/>
      <c r="I88" s="413"/>
      <c r="J88" s="253"/>
      <c r="K88" s="365"/>
      <c r="L88" s="300"/>
      <c r="M88" s="258"/>
      <c r="N88" s="258"/>
      <c r="O88" s="258"/>
      <c r="P88" s="412"/>
      <c r="Q88" s="258"/>
      <c r="R88" s="258"/>
      <c r="S88" s="258"/>
      <c r="T88" s="258"/>
    </row>
    <row r="89" spans="2:23" ht="50.25" customHeight="1" x14ac:dyDescent="0.35">
      <c r="F89" s="103"/>
      <c r="G89" s="103"/>
      <c r="H89" s="105"/>
      <c r="I89" s="411" t="s">
        <v>149</v>
      </c>
      <c r="J89" s="254" t="str">
        <f>+J4</f>
        <v>Estimated # Respondents</v>
      </c>
      <c r="K89" s="259" t="str">
        <f>+K4</f>
        <v>Responses per Respondents</v>
      </c>
      <c r="L89" s="254" t="s">
        <v>150</v>
      </c>
      <c r="M89" s="259" t="str">
        <f>+M4</f>
        <v>Estimated Avg. # of Hours Per Response</v>
      </c>
      <c r="N89" s="259" t="str">
        <f>+N4</f>
        <v xml:space="preserve">Estimated Total Hours            </v>
      </c>
      <c r="O89" s="259" t="str">
        <f>+O4</f>
        <v>Current OMB Approved Burden Hrs</v>
      </c>
      <c r="P89" s="415" t="s">
        <v>23</v>
      </c>
      <c r="Q89" s="259" t="str">
        <f>+Q4</f>
        <v>Due to Authorizing Statute</v>
      </c>
      <c r="R89" s="259" t="str">
        <f>+R4</f>
        <v>Due to Program Adjustment</v>
      </c>
      <c r="S89" s="259" t="str">
        <f>+S4</f>
        <v>Due to Program Change</v>
      </c>
      <c r="T89" s="267" t="str">
        <f>+T4</f>
        <v>Total Difference</v>
      </c>
    </row>
    <row r="90" spans="2:23" x14ac:dyDescent="0.35">
      <c r="F90" s="103"/>
      <c r="G90" s="103"/>
      <c r="H90" s="105"/>
      <c r="I90" s="409" t="s">
        <v>151</v>
      </c>
      <c r="J90" s="255">
        <f t="shared" ref="J90:T90" si="50">SUM(J64)</f>
        <v>3367</v>
      </c>
      <c r="K90" s="366">
        <f t="shared" si="50"/>
        <v>36.961565191565192</v>
      </c>
      <c r="L90" s="301">
        <f t="shared" si="50"/>
        <v>124449.59000000001</v>
      </c>
      <c r="M90" s="260">
        <f t="shared" si="50"/>
        <v>2.1084106003081251</v>
      </c>
      <c r="N90" s="260">
        <f t="shared" si="50"/>
        <v>262390.83476000006</v>
      </c>
      <c r="O90" s="260">
        <f t="shared" si="50"/>
        <v>253664.00976000002</v>
      </c>
      <c r="P90" s="291">
        <f t="shared" si="50"/>
        <v>0</v>
      </c>
      <c r="Q90" s="260">
        <f t="shared" si="50"/>
        <v>0</v>
      </c>
      <c r="R90" s="260">
        <f t="shared" si="50"/>
        <v>0</v>
      </c>
      <c r="S90" s="260">
        <f t="shared" si="50"/>
        <v>8727</v>
      </c>
      <c r="T90" s="260">
        <f t="shared" si="50"/>
        <v>8727</v>
      </c>
    </row>
    <row r="91" spans="2:23" x14ac:dyDescent="0.35">
      <c r="F91" s="103"/>
      <c r="G91" s="103"/>
      <c r="H91" s="105"/>
      <c r="I91" s="409" t="s">
        <v>152</v>
      </c>
      <c r="J91" s="255">
        <f t="shared" ref="J91:T91" si="51">SUM(J82)</f>
        <v>2210</v>
      </c>
      <c r="K91" s="366">
        <f t="shared" si="51"/>
        <v>22.228380090497737</v>
      </c>
      <c r="L91" s="301">
        <f t="shared" si="51"/>
        <v>49124.72</v>
      </c>
      <c r="M91" s="260">
        <f t="shared" si="51"/>
        <v>3.1757390780039052</v>
      </c>
      <c r="N91" s="260">
        <f t="shared" si="51"/>
        <v>156007.29300000001</v>
      </c>
      <c r="O91" s="260">
        <f t="shared" si="51"/>
        <v>155721.79300000001</v>
      </c>
      <c r="P91" s="291">
        <f t="shared" si="51"/>
        <v>0</v>
      </c>
      <c r="Q91" s="260">
        <f t="shared" si="51"/>
        <v>0</v>
      </c>
      <c r="R91" s="260">
        <f t="shared" si="51"/>
        <v>0</v>
      </c>
      <c r="S91" s="260">
        <f t="shared" si="51"/>
        <v>286</v>
      </c>
      <c r="T91" s="260">
        <f t="shared" si="51"/>
        <v>286</v>
      </c>
    </row>
    <row r="92" spans="2:23" hidden="1" x14ac:dyDescent="0.35">
      <c r="F92" s="103"/>
      <c r="G92" s="103"/>
      <c r="H92" s="105"/>
      <c r="I92" s="409"/>
      <c r="J92" s="255" t="e">
        <f>+SUMIF(#REF!,#REF!,($J$6:$J$86))</f>
        <v>#REF!</v>
      </c>
      <c r="K92" s="366" t="e">
        <f>+SUMIF(#REF!,#REF!,($K$6:$K$86))</f>
        <v>#REF!</v>
      </c>
      <c r="L92" s="301" t="e">
        <f>+SUMIF(#REF!,#REF!,($L$6:$L$86))</f>
        <v>#REF!</v>
      </c>
      <c r="M92" s="260" t="e">
        <f>+SUMIF(#REF!,#REF!,($M$6:$M$86))</f>
        <v>#REF!</v>
      </c>
      <c r="N92" s="260" t="e">
        <f>+SUMIF(#REF!,#REF!,($N$6:$N$86))</f>
        <v>#REF!</v>
      </c>
      <c r="O92" s="260" t="e">
        <f>+SUMIF(#REF!,#REF!,($O$6:$O$86))</f>
        <v>#REF!</v>
      </c>
      <c r="P92" s="292"/>
      <c r="Q92" s="260"/>
      <c r="R92" s="260"/>
      <c r="S92" s="260"/>
      <c r="T92" s="260" t="e">
        <f>+SUMIF(#REF!,#REF!,($T$6:$T$86))</f>
        <v>#REF!</v>
      </c>
    </row>
    <row r="93" spans="2:23" hidden="1" x14ac:dyDescent="0.35">
      <c r="F93" s="103"/>
      <c r="G93" s="103"/>
      <c r="H93" s="105"/>
      <c r="I93" s="409"/>
      <c r="J93" s="255" t="e">
        <f>+SUMIF(#REF!,#REF!,($J$6:$J$86))</f>
        <v>#REF!</v>
      </c>
      <c r="K93" s="366" t="e">
        <f>+SUMIF(#REF!,#REF!,($K$6:$K$86))</f>
        <v>#REF!</v>
      </c>
      <c r="L93" s="301" t="e">
        <f>+SUMIF(#REF!,#REF!,($L$6:$L$86))</f>
        <v>#REF!</v>
      </c>
      <c r="M93" s="260" t="e">
        <f>+SUMIF(#REF!,#REF!,($M$6:$M$86))</f>
        <v>#REF!</v>
      </c>
      <c r="N93" s="260" t="e">
        <f>+SUMIF(#REF!,#REF!,($N$6:$N$86))</f>
        <v>#REF!</v>
      </c>
      <c r="O93" s="260" t="e">
        <f>+SUMIF(#REF!,#REF!,($O$6:$O$86))</f>
        <v>#REF!</v>
      </c>
      <c r="P93" s="292"/>
      <c r="Q93" s="260"/>
      <c r="R93" s="260"/>
      <c r="S93" s="260"/>
      <c r="T93" s="260" t="e">
        <f>+SUMIF(#REF!,#REF!,($T$6:$T$86))</f>
        <v>#REF!</v>
      </c>
    </row>
    <row r="94" spans="2:23" hidden="1" x14ac:dyDescent="0.35">
      <c r="F94" s="103"/>
      <c r="G94" s="103"/>
      <c r="H94" s="105"/>
      <c r="I94" s="409"/>
      <c r="J94" s="255" t="e">
        <f>+SUMIF(#REF!,#REF!,($J$6:$J$86))</f>
        <v>#REF!</v>
      </c>
      <c r="K94" s="366" t="e">
        <f>+SUMIF(#REF!,#REF!,($K$6:$K$86))</f>
        <v>#REF!</v>
      </c>
      <c r="L94" s="301" t="e">
        <f>+SUMIF(#REF!,#REF!,($L$6:$L$86))</f>
        <v>#REF!</v>
      </c>
      <c r="M94" s="260" t="e">
        <f>+SUMIF(#REF!,#REF!,($M$6:$M$86))</f>
        <v>#REF!</v>
      </c>
      <c r="N94" s="260" t="e">
        <f>+SUMIF(#REF!,#REF!,($N$6:$N$86))</f>
        <v>#REF!</v>
      </c>
      <c r="O94" s="260" t="e">
        <f>+SUMIF(#REF!,#REF!,($O$6:$O$86))</f>
        <v>#REF!</v>
      </c>
      <c r="P94" s="292"/>
      <c r="Q94" s="260"/>
      <c r="R94" s="260"/>
      <c r="S94" s="260"/>
      <c r="T94" s="260" t="e">
        <f>+SUMIF(#REF!,#REF!,($T$6:$T$86))</f>
        <v>#REF!</v>
      </c>
    </row>
    <row r="95" spans="2:23" hidden="1" x14ac:dyDescent="0.35">
      <c r="F95" s="103"/>
      <c r="G95" s="103"/>
      <c r="H95" s="105"/>
      <c r="I95" s="409"/>
      <c r="J95" s="255" t="e">
        <f>+SUMIF(#REF!,#REF!,($J$6:$J$86))</f>
        <v>#REF!</v>
      </c>
      <c r="K95" s="366" t="e">
        <f>+SUMIF(#REF!,#REF!,($K$6:$K$86))</f>
        <v>#REF!</v>
      </c>
      <c r="L95" s="301" t="e">
        <f>+SUMIF(#REF!,#REF!,($L$6:$L$86))</f>
        <v>#REF!</v>
      </c>
      <c r="M95" s="260" t="e">
        <f>+SUMIF(#REF!,#REF!,($M$6:$M$86))</f>
        <v>#REF!</v>
      </c>
      <c r="N95" s="260" t="e">
        <f>+SUMIF(#REF!,#REF!,($N$6:$N$86))</f>
        <v>#REF!</v>
      </c>
      <c r="O95" s="260" t="e">
        <f>+SUMIF(#REF!,#REF!,($O$6:$O$86))</f>
        <v>#REF!</v>
      </c>
      <c r="P95" s="292"/>
      <c r="Q95" s="260"/>
      <c r="R95" s="260"/>
      <c r="S95" s="260"/>
      <c r="T95" s="260" t="e">
        <f>+SUMIF(#REF!,#REF!,($T$6:$T$86))</f>
        <v>#REF!</v>
      </c>
    </row>
    <row r="96" spans="2:23" hidden="1" x14ac:dyDescent="0.35">
      <c r="F96" s="103"/>
      <c r="G96" s="103"/>
      <c r="H96" s="105"/>
      <c r="I96" s="409"/>
      <c r="J96" s="255" t="e">
        <f>+SUMIF(#REF!,#REF!,($J$6:$J$86))</f>
        <v>#REF!</v>
      </c>
      <c r="K96" s="366" t="e">
        <f>+SUMIF(#REF!,#REF!,($K$6:$K$86))</f>
        <v>#REF!</v>
      </c>
      <c r="L96" s="301" t="e">
        <f>+SUMIF(#REF!,#REF!,($L$6:$L$86))</f>
        <v>#REF!</v>
      </c>
      <c r="M96" s="260" t="e">
        <f>+SUMIF(#REF!,#REF!,($M$6:$M$86))</f>
        <v>#REF!</v>
      </c>
      <c r="N96" s="260" t="e">
        <f>+SUMIF(#REF!,#REF!,($N$6:$N$86))</f>
        <v>#REF!</v>
      </c>
      <c r="O96" s="260" t="e">
        <f>+SUMIF(#REF!,#REF!,($O$6:$O$86))</f>
        <v>#REF!</v>
      </c>
      <c r="P96" s="292"/>
      <c r="Q96" s="260"/>
      <c r="R96" s="260"/>
      <c r="S96" s="260"/>
      <c r="T96" s="260" t="e">
        <f>+SUMIF(#REF!,#REF!,($T$6:$T$86))</f>
        <v>#REF!</v>
      </c>
    </row>
    <row r="97" spans="6:24" hidden="1" x14ac:dyDescent="0.35">
      <c r="F97" s="103"/>
      <c r="G97" s="103"/>
      <c r="H97" s="105"/>
      <c r="I97" s="409"/>
      <c r="J97" s="255" t="e">
        <f>+SUMIF(#REF!,#REF!,($J$6:$J$86))</f>
        <v>#REF!</v>
      </c>
      <c r="K97" s="366" t="e">
        <f>+SUMIF(#REF!,#REF!,($K$6:$K$86))</f>
        <v>#REF!</v>
      </c>
      <c r="L97" s="301" t="e">
        <f>+SUMIF(#REF!,#REF!,($L$6:$L$86))</f>
        <v>#REF!</v>
      </c>
      <c r="M97" s="260" t="e">
        <f>+SUMIF(#REF!,#REF!,($M$6:$M$86))</f>
        <v>#REF!</v>
      </c>
      <c r="N97" s="260" t="e">
        <f>+SUMIF(#REF!,#REF!,($N$6:$N$86))</f>
        <v>#REF!</v>
      </c>
      <c r="O97" s="260" t="e">
        <f>+SUMIF(#REF!,#REF!,($O$6:$O$86))</f>
        <v>#REF!</v>
      </c>
      <c r="P97" s="292"/>
      <c r="Q97" s="260"/>
      <c r="R97" s="260"/>
      <c r="S97" s="260"/>
      <c r="T97" s="260" t="e">
        <f>+SUMIF(#REF!,#REF!,($T$6:$T$86))</f>
        <v>#REF!</v>
      </c>
    </row>
    <row r="98" spans="6:24" hidden="1" x14ac:dyDescent="0.35">
      <c r="F98" s="103"/>
      <c r="G98" s="103"/>
      <c r="H98" s="105"/>
      <c r="I98" s="409"/>
      <c r="J98" s="255" t="e">
        <f>+SUMIF(#REF!,#REF!,($J$6:$J$86))</f>
        <v>#REF!</v>
      </c>
      <c r="K98" s="366" t="e">
        <f>+SUMIF(#REF!,#REF!,($K$6:$K$86))</f>
        <v>#REF!</v>
      </c>
      <c r="L98" s="301" t="e">
        <f>+SUMIF(#REF!,#REF!,($L$6:$L$86))</f>
        <v>#REF!</v>
      </c>
      <c r="M98" s="260" t="e">
        <f>+SUMIF(#REF!,#REF!,($M$6:$M$86))</f>
        <v>#REF!</v>
      </c>
      <c r="N98" s="260" t="e">
        <f>+SUMIF(#REF!,#REF!,($N$6:$N$86))</f>
        <v>#REF!</v>
      </c>
      <c r="O98" s="260" t="e">
        <f>+SUMIF(#REF!,#REF!,($O$6:$O$86))</f>
        <v>#REF!</v>
      </c>
      <c r="P98" s="292"/>
      <c r="Q98" s="260"/>
      <c r="R98" s="260"/>
      <c r="S98" s="260"/>
      <c r="T98" s="260" t="e">
        <f>+SUMIF(#REF!,#REF!,($T$6:$T$86))</f>
        <v>#REF!</v>
      </c>
    </row>
    <row r="99" spans="6:24" x14ac:dyDescent="0.35">
      <c r="F99" s="103"/>
      <c r="G99" s="103"/>
      <c r="H99" s="105"/>
      <c r="I99" s="409" t="s">
        <v>153</v>
      </c>
      <c r="J99" s="255">
        <f t="shared" ref="J99:T99" si="52">SUM(J86)</f>
        <v>58365</v>
      </c>
      <c r="K99" s="366">
        <f t="shared" si="52"/>
        <v>2</v>
      </c>
      <c r="L99" s="301">
        <f t="shared" si="52"/>
        <v>116730</v>
      </c>
      <c r="M99" s="260">
        <f t="shared" si="52"/>
        <v>0.375</v>
      </c>
      <c r="N99" s="260">
        <f t="shared" si="52"/>
        <v>43773.75</v>
      </c>
      <c r="O99" s="260">
        <f t="shared" si="52"/>
        <v>43773.75</v>
      </c>
      <c r="P99" s="292">
        <f t="shared" si="52"/>
        <v>0</v>
      </c>
      <c r="Q99" s="260">
        <f t="shared" si="52"/>
        <v>0</v>
      </c>
      <c r="R99" s="260">
        <f t="shared" si="52"/>
        <v>0</v>
      </c>
      <c r="S99" s="260">
        <f t="shared" si="52"/>
        <v>0</v>
      </c>
      <c r="T99" s="260">
        <f t="shared" si="52"/>
        <v>0</v>
      </c>
    </row>
    <row r="100" spans="6:24" x14ac:dyDescent="0.35">
      <c r="F100" s="103"/>
      <c r="G100" s="103"/>
      <c r="H100" s="105"/>
      <c r="I100" s="410" t="s">
        <v>154</v>
      </c>
      <c r="J100" s="106">
        <f>SUM(J90,J91,J99)</f>
        <v>63942</v>
      </c>
      <c r="K100" s="367">
        <f>L100/J100</f>
        <v>4.540119326889994</v>
      </c>
      <c r="L100" s="302">
        <f>SUM(L90,L91,L99)</f>
        <v>290304.31</v>
      </c>
      <c r="M100" s="107">
        <f>N100/L100</f>
        <v>1.5920255464343607</v>
      </c>
      <c r="N100" s="107">
        <f>SUM(N90,N91,N99)</f>
        <v>462171.87776000006</v>
      </c>
      <c r="O100" s="107">
        <f>SUM(O90,O91,O99)</f>
        <v>453159.55275999999</v>
      </c>
      <c r="P100" s="107">
        <f t="shared" ref="P100:S100" si="53">SUM(P90:P99)</f>
        <v>0</v>
      </c>
      <c r="Q100" s="107">
        <f t="shared" si="53"/>
        <v>0</v>
      </c>
      <c r="R100" s="107">
        <f t="shared" si="53"/>
        <v>0</v>
      </c>
      <c r="S100" s="107">
        <f t="shared" si="53"/>
        <v>9013</v>
      </c>
      <c r="T100" s="107">
        <f>SUM(T90,T91,T99)</f>
        <v>9013</v>
      </c>
    </row>
    <row r="104" spans="6:24" x14ac:dyDescent="0.35">
      <c r="L104" s="303"/>
    </row>
    <row r="107" spans="6:24" x14ac:dyDescent="0.35">
      <c r="I107" s="55"/>
    </row>
    <row r="109" spans="6:24" ht="48.75" customHeight="1" x14ac:dyDescent="0.35">
      <c r="I109" s="499"/>
      <c r="J109" s="499"/>
      <c r="K109" s="499"/>
      <c r="L109" s="499"/>
      <c r="M109" s="499"/>
      <c r="N109" s="499"/>
      <c r="O109" s="499"/>
      <c r="P109" s="499"/>
      <c r="Q109" s="499"/>
      <c r="R109" s="499"/>
      <c r="S109" s="499"/>
      <c r="T109" s="499"/>
      <c r="U109" s="499"/>
      <c r="V109" s="499"/>
      <c r="W109" s="499"/>
      <c r="X109" s="499"/>
    </row>
    <row r="111" spans="6:24" ht="60.75" customHeight="1" x14ac:dyDescent="0.35">
      <c r="H111" s="499"/>
      <c r="I111" s="499"/>
      <c r="J111" s="499"/>
      <c r="K111" s="499"/>
      <c r="L111" s="499"/>
      <c r="M111" s="499"/>
      <c r="N111" s="499"/>
      <c r="O111" s="499"/>
      <c r="P111" s="499"/>
      <c r="Q111" s="499"/>
      <c r="R111" s="499"/>
      <c r="S111" s="499"/>
      <c r="T111" s="499"/>
      <c r="U111" s="499"/>
      <c r="V111" s="499"/>
      <c r="W111" s="499"/>
      <c r="X111" s="499"/>
    </row>
    <row r="113" spans="9:24" ht="25.5" customHeight="1" x14ac:dyDescent="0.35">
      <c r="I113" s="494"/>
      <c r="J113" s="494"/>
      <c r="K113" s="494"/>
      <c r="L113" s="494"/>
      <c r="M113" s="494"/>
      <c r="N113" s="494"/>
      <c r="O113" s="494"/>
      <c r="P113" s="494"/>
      <c r="Q113" s="494"/>
      <c r="R113" s="494"/>
      <c r="S113" s="494"/>
      <c r="T113" s="494"/>
      <c r="U113" s="494"/>
      <c r="V113" s="494"/>
      <c r="W113" s="494"/>
      <c r="X113" s="494"/>
    </row>
  </sheetData>
  <mergeCells count="13">
    <mergeCell ref="F64:I64"/>
    <mergeCell ref="F1:T1"/>
    <mergeCell ref="F2:T2"/>
    <mergeCell ref="F3:G3"/>
    <mergeCell ref="H3:I3"/>
    <mergeCell ref="F5:T5"/>
    <mergeCell ref="I113:X113"/>
    <mergeCell ref="F65:T65"/>
    <mergeCell ref="F82:I82"/>
    <mergeCell ref="F83:T83"/>
    <mergeCell ref="F86:I86"/>
    <mergeCell ref="I109:X109"/>
    <mergeCell ref="H111:X111"/>
  </mergeCells>
  <dataValidations disablePrompts="1" count="2">
    <dataValidation type="list" allowBlank="1" showInputMessage="1" showErrorMessage="1" sqref="F80:G81 F77:G78 F40:G41 F38:G38 F8:G14" xr:uid="{A72EF2AA-309E-4684-88EC-AF9B4F4A94CA}">
      <formula1>$W$7:$W$82</formula1>
    </dataValidation>
    <dataValidation type="list" allowBlank="1" showInputMessage="1" showErrorMessage="1" sqref="F42:G45" xr:uid="{C2F678B6-6EA5-4A42-B38E-A6DB8359CC37}">
      <formula1>$W$7:$W$67</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X44"/>
  <sheetViews>
    <sheetView showGridLines="0" topLeftCell="J8" zoomScale="80" zoomScaleNormal="80" zoomScalePageLayoutView="90" workbookViewId="0">
      <selection activeCell="U13" sqref="U13"/>
    </sheetView>
  </sheetViews>
  <sheetFormatPr defaultRowHeight="14.5" outlineLevelCol="1" x14ac:dyDescent="0.35"/>
  <cols>
    <col min="2" max="2" width="10" customWidth="1"/>
    <col min="4" max="4" width="40.1796875" bestFit="1" customWidth="1"/>
    <col min="6" max="6" width="15.81640625" customWidth="1"/>
    <col min="7" max="7" width="42.1796875" customWidth="1"/>
    <col min="8" max="8" width="15.1796875" bestFit="1" customWidth="1"/>
    <col min="9" max="9" width="42.1796875" customWidth="1"/>
    <col min="10" max="10" width="15.81640625" bestFit="1" customWidth="1"/>
    <col min="11" max="11" width="17" bestFit="1" customWidth="1"/>
    <col min="12" max="12" width="13" bestFit="1" customWidth="1"/>
    <col min="13" max="13" width="14.54296875" bestFit="1" customWidth="1"/>
    <col min="14" max="14" width="13.1796875" customWidth="1"/>
    <col min="15" max="16" width="16.54296875" customWidth="1"/>
    <col min="17" max="17" width="12.81640625" customWidth="1" outlineLevel="1"/>
    <col min="18" max="18" width="17.1796875" customWidth="1" outlineLevel="1"/>
    <col min="19" max="19" width="14.453125" style="261" customWidth="1" outlineLevel="1"/>
    <col min="20" max="20" width="13" style="261" customWidth="1"/>
    <col min="21" max="21" width="16.453125" customWidth="1" outlineLevel="1"/>
    <col min="23" max="23" width="20.453125" hidden="1" customWidth="1" outlineLevel="1"/>
    <col min="24" max="24" width="8.81640625" collapsed="1"/>
    <col min="70" max="70" width="8.81640625" customWidth="1"/>
  </cols>
  <sheetData>
    <row r="1" spans="2:23" ht="30.75" customHeight="1" x14ac:dyDescent="0.6">
      <c r="B1" s="55"/>
      <c r="C1" s="110" t="s">
        <v>0</v>
      </c>
      <c r="D1" s="179" t="s">
        <v>1</v>
      </c>
      <c r="F1" s="506" t="s">
        <v>155</v>
      </c>
      <c r="G1" s="506"/>
      <c r="H1" s="506"/>
      <c r="I1" s="506"/>
      <c r="J1" s="506"/>
      <c r="K1" s="506"/>
      <c r="L1" s="506"/>
      <c r="M1" s="506"/>
      <c r="N1" s="506"/>
      <c r="O1" s="506"/>
      <c r="P1" s="506"/>
      <c r="Q1" s="506"/>
      <c r="R1" s="506"/>
      <c r="S1" s="506"/>
      <c r="T1" s="506"/>
    </row>
    <row r="2" spans="2:23" ht="24" customHeight="1" thickBot="1" x14ac:dyDescent="0.4">
      <c r="B2" s="55"/>
      <c r="C2" s="55"/>
      <c r="D2" s="406"/>
      <c r="F2" s="512" t="s">
        <v>3</v>
      </c>
      <c r="G2" s="512"/>
      <c r="H2" s="511" t="s">
        <v>4</v>
      </c>
      <c r="I2" s="511"/>
      <c r="J2" s="170" t="s">
        <v>5</v>
      </c>
      <c r="K2" s="170" t="s">
        <v>6</v>
      </c>
      <c r="L2" s="170" t="s">
        <v>7</v>
      </c>
      <c r="M2" s="170" t="s">
        <v>8</v>
      </c>
      <c r="N2" s="170" t="s">
        <v>9</v>
      </c>
      <c r="O2" s="170" t="s">
        <v>10</v>
      </c>
      <c r="P2" s="170"/>
      <c r="Q2" s="170"/>
      <c r="R2" s="170"/>
      <c r="S2" s="380"/>
      <c r="T2" s="390" t="s">
        <v>11</v>
      </c>
      <c r="U2" s="3"/>
      <c r="V2" s="2"/>
    </row>
    <row r="3" spans="2:23" ht="53.5" customHeight="1" thickBot="1" x14ac:dyDescent="0.4">
      <c r="B3" s="467" t="s">
        <v>12</v>
      </c>
      <c r="C3" s="55"/>
      <c r="D3" s="316" t="s">
        <v>13</v>
      </c>
      <c r="F3" s="120" t="s">
        <v>156</v>
      </c>
      <c r="G3" s="166" t="s">
        <v>15</v>
      </c>
      <c r="H3" s="120" t="s">
        <v>156</v>
      </c>
      <c r="I3" s="120" t="s">
        <v>15</v>
      </c>
      <c r="J3" s="120" t="s">
        <v>157</v>
      </c>
      <c r="K3" s="120" t="s">
        <v>158</v>
      </c>
      <c r="L3" s="120" t="s">
        <v>19</v>
      </c>
      <c r="M3" s="120" t="s">
        <v>159</v>
      </c>
      <c r="N3" s="120" t="s">
        <v>21</v>
      </c>
      <c r="O3" s="120" t="s">
        <v>22</v>
      </c>
      <c r="P3" s="120" t="s">
        <v>23</v>
      </c>
      <c r="Q3" s="120" t="s">
        <v>24</v>
      </c>
      <c r="R3" s="120" t="s">
        <v>160</v>
      </c>
      <c r="S3" s="381" t="s">
        <v>161</v>
      </c>
      <c r="T3" s="391" t="s">
        <v>27</v>
      </c>
      <c r="U3" s="5" t="s">
        <v>28</v>
      </c>
      <c r="V3" s="1"/>
      <c r="W3" s="16" t="s">
        <v>29</v>
      </c>
    </row>
    <row r="4" spans="2:23" x14ac:dyDescent="0.35">
      <c r="B4" s="111"/>
      <c r="D4" s="111"/>
      <c r="F4" s="507" t="s">
        <v>136</v>
      </c>
      <c r="G4" s="507"/>
      <c r="H4" s="507"/>
      <c r="I4" s="507"/>
      <c r="J4" s="507"/>
      <c r="K4" s="507"/>
      <c r="L4" s="507"/>
      <c r="M4" s="507"/>
      <c r="N4" s="507"/>
      <c r="O4" s="507"/>
      <c r="P4" s="507"/>
      <c r="Q4" s="507"/>
      <c r="R4" s="507"/>
      <c r="S4" s="507"/>
      <c r="T4" s="507"/>
      <c r="U4" s="21"/>
      <c r="V4" s="1"/>
      <c r="W4" s="16"/>
    </row>
    <row r="5" spans="2:23" ht="45" customHeight="1" x14ac:dyDescent="0.35">
      <c r="B5" s="203"/>
      <c r="D5" s="203"/>
      <c r="F5" s="187" t="s">
        <v>162</v>
      </c>
      <c r="G5" s="122" t="s">
        <v>163</v>
      </c>
      <c r="H5" s="187" t="s">
        <v>162</v>
      </c>
      <c r="I5" s="122" t="s">
        <v>163</v>
      </c>
      <c r="J5" s="315"/>
      <c r="K5" s="315"/>
      <c r="L5" s="315"/>
      <c r="M5" s="315"/>
      <c r="N5" s="315"/>
      <c r="O5" s="315"/>
      <c r="P5" s="315"/>
      <c r="Q5" s="315"/>
      <c r="R5" s="315"/>
      <c r="S5" s="382"/>
      <c r="T5" s="392"/>
      <c r="U5" s="45"/>
      <c r="V5" s="1"/>
      <c r="W5" s="47"/>
    </row>
    <row r="6" spans="2:23" x14ac:dyDescent="0.35">
      <c r="B6" s="203">
        <f>1</f>
        <v>1</v>
      </c>
      <c r="D6" s="203" t="s">
        <v>31</v>
      </c>
      <c r="F6" s="508"/>
      <c r="G6" s="123" t="s">
        <v>164</v>
      </c>
      <c r="H6" s="508"/>
      <c r="I6" s="123" t="s">
        <v>164</v>
      </c>
      <c r="J6" s="124">
        <v>53</v>
      </c>
      <c r="K6" s="124">
        <v>39</v>
      </c>
      <c r="L6" s="124">
        <f>J6*K6</f>
        <v>2067</v>
      </c>
      <c r="M6" s="125">
        <v>0.08</v>
      </c>
      <c r="N6" s="126">
        <f>L6*M6</f>
        <v>165.36</v>
      </c>
      <c r="O6" s="124">
        <v>165.36</v>
      </c>
      <c r="P6" s="124">
        <v>0</v>
      </c>
      <c r="Q6" s="124">
        <v>0</v>
      </c>
      <c r="R6" s="127">
        <v>0</v>
      </c>
      <c r="S6" s="383">
        <v>0</v>
      </c>
      <c r="T6" s="393">
        <f>N6-O6</f>
        <v>0</v>
      </c>
      <c r="U6" s="45"/>
      <c r="V6" s="1"/>
      <c r="W6" s="47"/>
    </row>
    <row r="7" spans="2:23" x14ac:dyDescent="0.35">
      <c r="B7" s="203">
        <f>B6+1</f>
        <v>2</v>
      </c>
      <c r="D7" s="203" t="s">
        <v>31</v>
      </c>
      <c r="F7" s="508"/>
      <c r="G7" s="123" t="s">
        <v>165</v>
      </c>
      <c r="H7" s="508"/>
      <c r="I7" s="123" t="s">
        <v>165</v>
      </c>
      <c r="J7" s="124">
        <v>53</v>
      </c>
      <c r="K7" s="124">
        <v>2</v>
      </c>
      <c r="L7" s="124">
        <f>J7*K7</f>
        <v>106</v>
      </c>
      <c r="M7" s="125">
        <v>0.08</v>
      </c>
      <c r="N7" s="126">
        <f>L7*M7</f>
        <v>8.48</v>
      </c>
      <c r="O7" s="124">
        <v>8.48</v>
      </c>
      <c r="P7" s="124">
        <v>0</v>
      </c>
      <c r="Q7" s="124">
        <v>0</v>
      </c>
      <c r="R7" s="127">
        <v>0</v>
      </c>
      <c r="S7" s="383">
        <v>0</v>
      </c>
      <c r="T7" s="393">
        <f t="shared" ref="T7:T13" si="0">N7-O7</f>
        <v>0</v>
      </c>
      <c r="U7" s="45"/>
      <c r="V7" s="1"/>
      <c r="W7" s="47"/>
    </row>
    <row r="8" spans="2:23" x14ac:dyDescent="0.35">
      <c r="B8" s="203">
        <f>B7+1</f>
        <v>3</v>
      </c>
      <c r="D8" s="203" t="s">
        <v>31</v>
      </c>
      <c r="F8" s="508"/>
      <c r="G8" s="123" t="s">
        <v>166</v>
      </c>
      <c r="H8" s="508"/>
      <c r="I8" s="123" t="s">
        <v>166</v>
      </c>
      <c r="J8" s="124">
        <v>53</v>
      </c>
      <c r="K8" s="127">
        <v>104</v>
      </c>
      <c r="L8" s="124">
        <f>J8*K8</f>
        <v>5512</v>
      </c>
      <c r="M8" s="125">
        <v>0.08</v>
      </c>
      <c r="N8" s="126">
        <f>L8*M8</f>
        <v>440.96000000000004</v>
      </c>
      <c r="O8" s="124">
        <v>440.96000000000004</v>
      </c>
      <c r="P8" s="124">
        <v>0</v>
      </c>
      <c r="Q8" s="124">
        <v>0</v>
      </c>
      <c r="R8" s="127">
        <f>+N8-O8</f>
        <v>0</v>
      </c>
      <c r="S8" s="383">
        <v>0</v>
      </c>
      <c r="T8" s="393">
        <f t="shared" si="0"/>
        <v>0</v>
      </c>
      <c r="U8" s="45"/>
      <c r="V8" s="1"/>
      <c r="W8" s="47"/>
    </row>
    <row r="9" spans="2:23" ht="43.5" hidden="1" x14ac:dyDescent="0.35">
      <c r="B9" s="203">
        <f>B8+1</f>
        <v>4</v>
      </c>
      <c r="D9" s="203"/>
      <c r="F9" s="167"/>
      <c r="G9" s="167"/>
      <c r="H9" s="128" t="s">
        <v>97</v>
      </c>
      <c r="I9" s="129" t="s">
        <v>167</v>
      </c>
      <c r="J9" s="130">
        <v>0</v>
      </c>
      <c r="K9" s="130">
        <v>0</v>
      </c>
      <c r="L9" s="131">
        <v>0</v>
      </c>
      <c r="M9" s="132">
        <v>0</v>
      </c>
      <c r="N9" s="131">
        <f>+L9*M9</f>
        <v>0</v>
      </c>
      <c r="O9" s="133">
        <v>0</v>
      </c>
      <c r="P9" s="133"/>
      <c r="Q9" s="134"/>
      <c r="R9" s="127">
        <f t="shared" ref="R9:R12" si="1">+N9-O9</f>
        <v>0</v>
      </c>
      <c r="S9" s="384"/>
      <c r="T9" s="393">
        <f t="shared" si="0"/>
        <v>0</v>
      </c>
      <c r="W9" s="46"/>
    </row>
    <row r="10" spans="2:23" ht="29" hidden="1" x14ac:dyDescent="0.35">
      <c r="B10" s="203">
        <f>B9+1</f>
        <v>5</v>
      </c>
      <c r="D10" s="203"/>
      <c r="F10" s="168"/>
      <c r="G10" s="168"/>
      <c r="H10" s="135" t="s">
        <v>99</v>
      </c>
      <c r="I10" s="135" t="s">
        <v>168</v>
      </c>
      <c r="J10" s="136">
        <v>0</v>
      </c>
      <c r="K10" s="136">
        <v>0</v>
      </c>
      <c r="L10" s="53">
        <f t="shared" ref="L10" si="2">+J10*K10</f>
        <v>0</v>
      </c>
      <c r="M10" s="137">
        <v>0</v>
      </c>
      <c r="N10" s="53">
        <v>0</v>
      </c>
      <c r="O10" s="138">
        <v>0</v>
      </c>
      <c r="P10" s="138"/>
      <c r="Q10" s="139"/>
      <c r="R10" s="127">
        <f t="shared" si="1"/>
        <v>0</v>
      </c>
      <c r="S10" s="385"/>
      <c r="T10" s="393">
        <f t="shared" si="0"/>
        <v>0</v>
      </c>
      <c r="W10" s="18" t="s">
        <v>36</v>
      </c>
    </row>
    <row r="11" spans="2:23" ht="43.5" hidden="1" customHeight="1" x14ac:dyDescent="0.35">
      <c r="B11" s="203">
        <f>B10+1</f>
        <v>6</v>
      </c>
      <c r="D11" s="203"/>
      <c r="F11" s="168"/>
      <c r="G11" s="168"/>
      <c r="H11" s="140" t="s">
        <v>169</v>
      </c>
      <c r="I11" s="116" t="s">
        <v>170</v>
      </c>
      <c r="J11" s="141">
        <v>0</v>
      </c>
      <c r="K11" s="141">
        <v>0</v>
      </c>
      <c r="L11" s="53">
        <f t="shared" ref="L11" si="3">+J11*K11</f>
        <v>0</v>
      </c>
      <c r="M11" s="142">
        <v>0</v>
      </c>
      <c r="N11" s="53">
        <v>0</v>
      </c>
      <c r="O11" s="138">
        <v>0</v>
      </c>
      <c r="P11" s="138"/>
      <c r="Q11" s="143"/>
      <c r="R11" s="127">
        <f t="shared" si="1"/>
        <v>0</v>
      </c>
      <c r="S11" s="385"/>
      <c r="T11" s="393">
        <f t="shared" si="0"/>
        <v>0</v>
      </c>
      <c r="W11" s="17"/>
    </row>
    <row r="12" spans="2:23" ht="43.5" x14ac:dyDescent="0.35">
      <c r="B12" s="203">
        <f>B8+1</f>
        <v>4</v>
      </c>
      <c r="D12" s="203" t="s">
        <v>31</v>
      </c>
      <c r="F12" s="116" t="s">
        <v>171</v>
      </c>
      <c r="G12" s="117" t="s">
        <v>172</v>
      </c>
      <c r="H12" s="116" t="s">
        <v>171</v>
      </c>
      <c r="I12" s="117" t="s">
        <v>172</v>
      </c>
      <c r="J12" s="141">
        <v>3314</v>
      </c>
      <c r="K12" s="141">
        <v>1</v>
      </c>
      <c r="L12" s="53">
        <f>+J12*K12</f>
        <v>3314</v>
      </c>
      <c r="M12" s="142">
        <v>0.08</v>
      </c>
      <c r="N12" s="144">
        <f>L12*M12</f>
        <v>265.12</v>
      </c>
      <c r="O12" s="145">
        <v>265.12</v>
      </c>
      <c r="P12" s="138">
        <v>0</v>
      </c>
      <c r="Q12" s="143">
        <v>0</v>
      </c>
      <c r="R12" s="127">
        <f t="shared" si="1"/>
        <v>0</v>
      </c>
      <c r="S12" s="385">
        <v>0</v>
      </c>
      <c r="T12" s="393">
        <f t="shared" si="0"/>
        <v>0</v>
      </c>
      <c r="W12" s="17"/>
    </row>
    <row r="13" spans="2:23" ht="159.5" x14ac:dyDescent="0.35">
      <c r="B13" s="401">
        <f>B9+1</f>
        <v>5</v>
      </c>
      <c r="D13" s="401" t="s">
        <v>53</v>
      </c>
      <c r="F13" s="423"/>
      <c r="G13" s="373"/>
      <c r="H13" s="222" t="s">
        <v>234</v>
      </c>
      <c r="I13" s="402" t="s">
        <v>233</v>
      </c>
      <c r="J13" s="229">
        <v>53</v>
      </c>
      <c r="K13" s="229">
        <v>145</v>
      </c>
      <c r="L13" s="403">
        <f>+J13*K13</f>
        <v>7685</v>
      </c>
      <c r="M13" s="231">
        <v>8.3500000000000005E-2</v>
      </c>
      <c r="N13" s="371">
        <f>L13*M13</f>
        <v>641.69749999999999</v>
      </c>
      <c r="O13" s="227">
        <v>0</v>
      </c>
      <c r="P13" s="227">
        <v>0</v>
      </c>
      <c r="Q13" s="374">
        <v>0</v>
      </c>
      <c r="R13" s="404">
        <v>0</v>
      </c>
      <c r="S13" s="370">
        <v>642</v>
      </c>
      <c r="T13" s="405">
        <v>642</v>
      </c>
      <c r="W13" s="17"/>
    </row>
    <row r="14" spans="2:23" ht="15" customHeight="1" x14ac:dyDescent="0.35">
      <c r="B14" s="212"/>
      <c r="D14" s="212"/>
      <c r="F14" s="509" t="s">
        <v>136</v>
      </c>
      <c r="G14" s="509"/>
      <c r="H14" s="509"/>
      <c r="I14" s="509"/>
      <c r="J14" s="146">
        <f>3314+53</f>
        <v>3367</v>
      </c>
      <c r="K14" s="148">
        <f>L14/J14</f>
        <v>5.5491535491535489</v>
      </c>
      <c r="L14" s="147">
        <f>SUM(L6:L13)</f>
        <v>18684</v>
      </c>
      <c r="M14" s="148">
        <f>N14/L14</f>
        <v>8.1439600727895523E-2</v>
      </c>
      <c r="N14" s="147">
        <f t="shared" ref="N14:T14" si="4">SUM(N6:N13)</f>
        <v>1521.6175000000001</v>
      </c>
      <c r="O14" s="148">
        <f t="shared" si="4"/>
        <v>879.92000000000007</v>
      </c>
      <c r="P14" s="148">
        <f t="shared" si="4"/>
        <v>0</v>
      </c>
      <c r="Q14" s="148">
        <f t="shared" si="4"/>
        <v>0</v>
      </c>
      <c r="R14" s="148">
        <f t="shared" si="4"/>
        <v>0</v>
      </c>
      <c r="S14" s="148">
        <f t="shared" si="4"/>
        <v>642</v>
      </c>
      <c r="T14" s="148">
        <f t="shared" si="4"/>
        <v>642</v>
      </c>
      <c r="W14" s="17"/>
    </row>
    <row r="15" spans="2:23" ht="18.75" customHeight="1" x14ac:dyDescent="0.35">
      <c r="B15" s="213"/>
      <c r="D15" s="213"/>
      <c r="F15" s="507" t="s">
        <v>137</v>
      </c>
      <c r="G15" s="507"/>
      <c r="H15" s="507"/>
      <c r="I15" s="507"/>
      <c r="J15" s="507"/>
      <c r="K15" s="507"/>
      <c r="L15" s="507"/>
      <c r="M15" s="507"/>
      <c r="N15" s="507"/>
      <c r="O15" s="507"/>
      <c r="P15" s="507"/>
      <c r="Q15" s="507"/>
      <c r="R15" s="507"/>
      <c r="S15" s="507"/>
      <c r="T15" s="507"/>
      <c r="U15" s="21"/>
      <c r="V15" s="1"/>
      <c r="W15" s="17"/>
    </row>
    <row r="16" spans="2:23" ht="29" x14ac:dyDescent="0.35">
      <c r="B16" s="203">
        <v>1</v>
      </c>
      <c r="D16" s="203" t="s">
        <v>31</v>
      </c>
      <c r="F16" s="156" t="s">
        <v>173</v>
      </c>
      <c r="G16" s="156" t="s">
        <v>174</v>
      </c>
      <c r="H16" s="156" t="s">
        <v>173</v>
      </c>
      <c r="I16" s="156" t="s">
        <v>174</v>
      </c>
      <c r="J16" s="157">
        <v>333</v>
      </c>
      <c r="K16" s="155">
        <v>1</v>
      </c>
      <c r="L16" s="158">
        <f>+J16*K16</f>
        <v>333</v>
      </c>
      <c r="M16" s="159">
        <v>0.3</v>
      </c>
      <c r="N16" s="159">
        <f>+L16*M16</f>
        <v>99.899999999999991</v>
      </c>
      <c r="O16" s="160">
        <v>99.899999999999991</v>
      </c>
      <c r="P16" s="155">
        <v>0</v>
      </c>
      <c r="Q16" s="155"/>
      <c r="R16" s="127">
        <f>N16-O16</f>
        <v>0</v>
      </c>
      <c r="S16" s="385"/>
      <c r="T16" s="394">
        <f>N16-O16</f>
        <v>0</v>
      </c>
      <c r="W16" s="37"/>
    </row>
    <row r="17" spans="2:23" ht="43.5" x14ac:dyDescent="0.35">
      <c r="B17" s="203">
        <f>B16+1</f>
        <v>2</v>
      </c>
      <c r="D17" s="203" t="s">
        <v>31</v>
      </c>
      <c r="F17" s="116" t="s">
        <v>171</v>
      </c>
      <c r="G17" s="116" t="s">
        <v>172</v>
      </c>
      <c r="H17" s="116" t="s">
        <v>171</v>
      </c>
      <c r="I17" s="117" t="s">
        <v>172</v>
      </c>
      <c r="J17" s="118">
        <v>2210</v>
      </c>
      <c r="K17" s="149">
        <v>1</v>
      </c>
      <c r="L17" s="150">
        <f t="shared" ref="L17" si="5">+J17*K17</f>
        <v>2210</v>
      </c>
      <c r="M17" s="151">
        <v>0.08</v>
      </c>
      <c r="N17" s="152">
        <f t="shared" ref="N17:N19" si="6">L17*M17</f>
        <v>176.8</v>
      </c>
      <c r="O17" s="153">
        <v>176.8</v>
      </c>
      <c r="P17" s="154">
        <v>0</v>
      </c>
      <c r="Q17" s="155">
        <v>0</v>
      </c>
      <c r="R17" s="126">
        <f>N17-O17</f>
        <v>0</v>
      </c>
      <c r="S17" s="385">
        <v>0</v>
      </c>
      <c r="T17" s="394">
        <f>N17-O17</f>
        <v>0</v>
      </c>
      <c r="W17" s="37"/>
    </row>
    <row r="18" spans="2:23" ht="43.5" hidden="1" x14ac:dyDescent="0.35">
      <c r="B18" s="203"/>
      <c r="D18" s="203"/>
      <c r="F18" s="424"/>
      <c r="G18" s="424"/>
      <c r="H18" s="116" t="s">
        <v>97</v>
      </c>
      <c r="I18" s="116" t="s">
        <v>140</v>
      </c>
      <c r="J18" s="118">
        <v>0</v>
      </c>
      <c r="K18" s="149">
        <v>0</v>
      </c>
      <c r="L18" s="150">
        <v>0</v>
      </c>
      <c r="M18" s="151">
        <v>0</v>
      </c>
      <c r="N18" s="150">
        <f t="shared" si="6"/>
        <v>0</v>
      </c>
      <c r="O18" s="154">
        <v>0</v>
      </c>
      <c r="P18" s="154"/>
      <c r="Q18" s="155"/>
      <c r="R18" s="126">
        <f t="shared" ref="R18:R20" si="7">N18-O18</f>
        <v>0</v>
      </c>
      <c r="S18" s="385"/>
      <c r="T18" s="394">
        <f t="shared" ref="T18:T20" si="8">N18-O18</f>
        <v>0</v>
      </c>
      <c r="W18" s="37"/>
    </row>
    <row r="19" spans="2:23" ht="29" hidden="1" x14ac:dyDescent="0.35">
      <c r="B19" s="203"/>
      <c r="D19" s="203"/>
      <c r="F19" s="424"/>
      <c r="G19" s="424"/>
      <c r="H19" s="116" t="s">
        <v>99</v>
      </c>
      <c r="I19" s="119" t="s">
        <v>175</v>
      </c>
      <c r="J19" s="118">
        <v>0</v>
      </c>
      <c r="K19" s="149">
        <v>0</v>
      </c>
      <c r="L19" s="150">
        <v>0</v>
      </c>
      <c r="M19" s="151">
        <v>0</v>
      </c>
      <c r="N19" s="150">
        <f t="shared" si="6"/>
        <v>0</v>
      </c>
      <c r="O19" s="154">
        <v>0</v>
      </c>
      <c r="P19" s="154"/>
      <c r="Q19" s="155">
        <v>0</v>
      </c>
      <c r="R19" s="126">
        <f t="shared" si="7"/>
        <v>0</v>
      </c>
      <c r="S19" s="385"/>
      <c r="T19" s="394">
        <f t="shared" si="8"/>
        <v>0</v>
      </c>
      <c r="W19" s="37"/>
    </row>
    <row r="20" spans="2:23" ht="80.5" customHeight="1" x14ac:dyDescent="0.35">
      <c r="B20" s="203">
        <f>B17+1</f>
        <v>3</v>
      </c>
      <c r="D20" s="203" t="s">
        <v>31</v>
      </c>
      <c r="F20" s="116" t="s">
        <v>176</v>
      </c>
      <c r="G20" s="116" t="s">
        <v>177</v>
      </c>
      <c r="H20" s="116" t="s">
        <v>176</v>
      </c>
      <c r="I20" s="116" t="s">
        <v>254</v>
      </c>
      <c r="J20" s="118">
        <v>840</v>
      </c>
      <c r="K20" s="149">
        <v>104</v>
      </c>
      <c r="L20" s="150">
        <f>J20*K20</f>
        <v>87360</v>
      </c>
      <c r="M20" s="151">
        <v>0.08</v>
      </c>
      <c r="N20" s="152">
        <f>L20*M20</f>
        <v>6988.8</v>
      </c>
      <c r="O20" s="153">
        <v>6988.8</v>
      </c>
      <c r="P20" s="154">
        <v>0</v>
      </c>
      <c r="Q20" s="155">
        <v>0</v>
      </c>
      <c r="R20" s="126">
        <f t="shared" si="7"/>
        <v>0</v>
      </c>
      <c r="S20" s="385">
        <v>0</v>
      </c>
      <c r="T20" s="394">
        <f t="shared" si="8"/>
        <v>0</v>
      </c>
      <c r="U20" s="58"/>
      <c r="W20" s="37"/>
    </row>
    <row r="21" spans="2:23" ht="80.5" customHeight="1" x14ac:dyDescent="0.35">
      <c r="B21" s="203"/>
      <c r="D21" s="203"/>
      <c r="F21" s="485" t="s">
        <v>260</v>
      </c>
      <c r="G21" s="485" t="s">
        <v>261</v>
      </c>
      <c r="H21" s="485" t="s">
        <v>260</v>
      </c>
      <c r="I21" s="485" t="s">
        <v>261</v>
      </c>
      <c r="J21" s="491">
        <v>20</v>
      </c>
      <c r="K21" s="486">
        <v>1</v>
      </c>
      <c r="L21" s="487">
        <f>J21*K21</f>
        <v>20</v>
      </c>
      <c r="M21" s="488">
        <v>1.25</v>
      </c>
      <c r="N21" s="488">
        <f>L21*M21</f>
        <v>25</v>
      </c>
      <c r="O21" s="489">
        <v>25</v>
      </c>
      <c r="P21" s="490">
        <v>0</v>
      </c>
      <c r="Q21" s="155"/>
      <c r="R21" s="126">
        <v>0</v>
      </c>
      <c r="S21" s="385">
        <v>0</v>
      </c>
      <c r="T21" s="394">
        <v>0</v>
      </c>
      <c r="U21" s="58"/>
      <c r="W21" s="37"/>
    </row>
    <row r="22" spans="2:23" ht="15" customHeight="1" x14ac:dyDescent="0.35">
      <c r="B22" s="212"/>
      <c r="D22" s="212"/>
      <c r="F22" s="510" t="s">
        <v>137</v>
      </c>
      <c r="G22" s="510"/>
      <c r="H22" s="510"/>
      <c r="I22" s="510"/>
      <c r="J22" s="147">
        <f>+MAX(J16:J21)</f>
        <v>2210</v>
      </c>
      <c r="K22" s="148">
        <f>L22/J22</f>
        <v>40.689140271493216</v>
      </c>
      <c r="L22" s="147">
        <f>SUM(L16:L21)</f>
        <v>89923</v>
      </c>
      <c r="M22" s="148">
        <f>N22/L22</f>
        <v>8.1080479966193303E-2</v>
      </c>
      <c r="N22" s="148">
        <v>7291</v>
      </c>
      <c r="O22" s="148">
        <f>SUM(O16:O21)</f>
        <v>7290.5</v>
      </c>
      <c r="P22" s="147">
        <f>SUM(P17:P20)</f>
        <v>0</v>
      </c>
      <c r="Q22" s="147">
        <f>SUM(Q17:Q20)</f>
        <v>0</v>
      </c>
      <c r="R22" s="147">
        <f>SUM(R16:R20)</f>
        <v>0</v>
      </c>
      <c r="S22" s="148">
        <f>SUM(S17:S20)</f>
        <v>0</v>
      </c>
      <c r="T22" s="395">
        <f>SUM(T16:T20)</f>
        <v>0</v>
      </c>
      <c r="W22" s="17"/>
    </row>
    <row r="23" spans="2:23" ht="25.5" customHeight="1" thickBot="1" x14ac:dyDescent="0.4">
      <c r="B23" s="213"/>
      <c r="D23" s="213"/>
      <c r="F23" s="425"/>
      <c r="G23" s="169"/>
      <c r="H23" s="161"/>
      <c r="I23" s="162" t="s">
        <v>178</v>
      </c>
      <c r="J23" s="163">
        <f>+J14+J22</f>
        <v>5577</v>
      </c>
      <c r="K23" s="164">
        <f>L23/J23</f>
        <v>19.474090012551549</v>
      </c>
      <c r="L23" s="163">
        <f>+L14+L22</f>
        <v>108607</v>
      </c>
      <c r="M23" s="164">
        <f>+N23/L23</f>
        <v>8.1142260627768012E-2</v>
      </c>
      <c r="N23" s="164">
        <f t="shared" ref="N23:T23" si="9">+N14+N22</f>
        <v>8812.6175000000003</v>
      </c>
      <c r="O23" s="164">
        <f t="shared" si="9"/>
        <v>8170.42</v>
      </c>
      <c r="P23" s="163">
        <f t="shared" si="9"/>
        <v>0</v>
      </c>
      <c r="Q23" s="163">
        <f t="shared" si="9"/>
        <v>0</v>
      </c>
      <c r="R23" s="163">
        <f t="shared" si="9"/>
        <v>0</v>
      </c>
      <c r="S23" s="386">
        <f t="shared" si="9"/>
        <v>642</v>
      </c>
      <c r="T23" s="396">
        <f t="shared" si="9"/>
        <v>642</v>
      </c>
    </row>
    <row r="24" spans="2:23" ht="15" thickBot="1" x14ac:dyDescent="0.4">
      <c r="I24" s="420"/>
    </row>
    <row r="25" spans="2:23" ht="50.25" customHeight="1" x14ac:dyDescent="0.35">
      <c r="I25" s="422" t="s">
        <v>149</v>
      </c>
      <c r="J25" s="416" t="str">
        <f t="shared" ref="J25:O25" si="10">+J3</f>
        <v>Estimated # Recordkeepers</v>
      </c>
      <c r="K25" s="165" t="str">
        <f t="shared" si="10"/>
        <v>Records Per Recordkeeper</v>
      </c>
      <c r="L25" s="165" t="str">
        <f t="shared" si="10"/>
        <v>Total Annual Records</v>
      </c>
      <c r="M25" s="165" t="str">
        <f t="shared" si="10"/>
        <v>Estimated Avg. # of Hours Per Record</v>
      </c>
      <c r="N25" s="165" t="str">
        <f t="shared" si="10"/>
        <v xml:space="preserve">Estimated Total Hours            </v>
      </c>
      <c r="O25" s="165" t="str">
        <f t="shared" si="10"/>
        <v>Current OMB Approved Burden Hrs</v>
      </c>
      <c r="P25" s="178" t="s">
        <v>23</v>
      </c>
      <c r="Q25" s="165" t="str">
        <f>+Q3</f>
        <v>Due to Authorizing Statute</v>
      </c>
      <c r="R25" s="165" t="str">
        <f>+R3</f>
        <v>Due to an adjustment</v>
      </c>
      <c r="S25" s="387" t="str">
        <f>+S3</f>
        <v>Due to program change</v>
      </c>
      <c r="T25" s="397" t="str">
        <f>+T3</f>
        <v>Total Difference</v>
      </c>
    </row>
    <row r="26" spans="2:23" x14ac:dyDescent="0.35">
      <c r="I26" s="272" t="s">
        <v>151</v>
      </c>
      <c r="J26" s="417">
        <f>SUM(J14)</f>
        <v>3367</v>
      </c>
      <c r="K26" s="74">
        <f>+L26/J26</f>
        <v>5.5491535491535489</v>
      </c>
      <c r="L26" s="75">
        <f>(L14)</f>
        <v>18684</v>
      </c>
      <c r="M26" s="74">
        <f>N26/L26</f>
        <v>8.1439600727895523E-2</v>
      </c>
      <c r="N26" s="74">
        <f>SUM(N14)</f>
        <v>1521.6175000000001</v>
      </c>
      <c r="O26" s="74">
        <f>(O14)</f>
        <v>879.92000000000007</v>
      </c>
      <c r="P26" s="75">
        <f>(P14)</f>
        <v>0</v>
      </c>
      <c r="Q26" s="75">
        <f>Q14</f>
        <v>0</v>
      </c>
      <c r="R26" s="74">
        <f>+R14</f>
        <v>0</v>
      </c>
      <c r="S26" s="388">
        <f>S14</f>
        <v>642</v>
      </c>
      <c r="T26" s="398">
        <f>+T14</f>
        <v>642</v>
      </c>
    </row>
    <row r="27" spans="2:23" x14ac:dyDescent="0.35">
      <c r="I27" s="272" t="s">
        <v>152</v>
      </c>
      <c r="J27" s="418">
        <f>SUM(J22)</f>
        <v>2210</v>
      </c>
      <c r="K27" s="78">
        <f>L27/J27</f>
        <v>40.689140271493216</v>
      </c>
      <c r="L27" s="76">
        <f>(L22)</f>
        <v>89923</v>
      </c>
      <c r="M27" s="78">
        <f>N27/L27</f>
        <v>8.1080479966193303E-2</v>
      </c>
      <c r="N27" s="78">
        <f>SUM(N22)</f>
        <v>7291</v>
      </c>
      <c r="O27" s="78">
        <f>(O22)</f>
        <v>7290.5</v>
      </c>
      <c r="P27" s="76">
        <f>(P22)</f>
        <v>0</v>
      </c>
      <c r="Q27" s="73">
        <f>Q22</f>
        <v>0</v>
      </c>
      <c r="R27" s="73">
        <f>+R22</f>
        <v>0</v>
      </c>
      <c r="S27" s="388">
        <f>S22</f>
        <v>0</v>
      </c>
      <c r="T27" s="398">
        <f>+T22</f>
        <v>0</v>
      </c>
    </row>
    <row r="28" spans="2:23" hidden="1" x14ac:dyDescent="0.35">
      <c r="I28" s="272"/>
      <c r="J28" s="172" t="e">
        <f>+SUMIF(#REF!,#REF!,($J$9:$J$22))</f>
        <v>#REF!</v>
      </c>
      <c r="K28" s="172" t="e">
        <f>+SUMIF(#REF!,#REF!,($K$9:$K$22))</f>
        <v>#REF!</v>
      </c>
      <c r="L28" s="172" t="e">
        <f>+SUMIF(#REF!,#REF!,($L$9:$L$22))</f>
        <v>#REF!</v>
      </c>
      <c r="M28" s="172" t="e">
        <f>+SUMIF(#REF!,#REF!,($M$9:$M$22))</f>
        <v>#REF!</v>
      </c>
      <c r="N28" s="172" t="e">
        <f>+SUMIF(#REF!,#REF!,($N$9:$N$22))</f>
        <v>#REF!</v>
      </c>
      <c r="O28" s="172" t="e">
        <f>+SUMIF(#REF!,#REF!,($O$9:$O$22))</f>
        <v>#REF!</v>
      </c>
      <c r="P28" s="172"/>
      <c r="Q28" s="172"/>
      <c r="R28" s="172"/>
      <c r="S28" s="389"/>
      <c r="T28" s="399" t="e">
        <f>+SUMIF(#REF!,#REF!,($T$9:$T$22))</f>
        <v>#REF!</v>
      </c>
    </row>
    <row r="29" spans="2:23" hidden="1" x14ac:dyDescent="0.35">
      <c r="I29" s="272"/>
      <c r="J29" s="172" t="e">
        <f>+SUMIF(#REF!,#REF!,($J$9:$J$22))</f>
        <v>#REF!</v>
      </c>
      <c r="K29" s="172" t="e">
        <f>+SUMIF(#REF!,#REF!,($K$9:$K$22))</f>
        <v>#REF!</v>
      </c>
      <c r="L29" s="172" t="e">
        <f>+SUMIF(#REF!,#REF!,($L$9:$L$22))</f>
        <v>#REF!</v>
      </c>
      <c r="M29" s="172" t="e">
        <f>+SUMIF(#REF!,#REF!,($M$9:$M$22))</f>
        <v>#REF!</v>
      </c>
      <c r="N29" s="172" t="e">
        <f>+SUMIF(#REF!,#REF!,($N$9:$N$22))</f>
        <v>#REF!</v>
      </c>
      <c r="O29" s="172" t="e">
        <f>+SUMIF(#REF!,#REF!,($O$9:$O$22))</f>
        <v>#REF!</v>
      </c>
      <c r="P29" s="172"/>
      <c r="Q29" s="172"/>
      <c r="R29" s="172"/>
      <c r="S29" s="389"/>
      <c r="T29" s="399" t="e">
        <f>+SUMIF(#REF!,#REF!,($T$9:$T$22))</f>
        <v>#REF!</v>
      </c>
    </row>
    <row r="30" spans="2:23" hidden="1" x14ac:dyDescent="0.35">
      <c r="I30" s="272"/>
      <c r="J30" s="172" t="e">
        <f>+SUMIF(#REF!,#REF!,($J$9:$J$22))</f>
        <v>#REF!</v>
      </c>
      <c r="K30" s="172" t="e">
        <f>+SUMIF(#REF!,#REF!,($K$9:$K$22))</f>
        <v>#REF!</v>
      </c>
      <c r="L30" s="172" t="e">
        <f>+SUMIF(#REF!,#REF!,($L$9:$L$22))</f>
        <v>#REF!</v>
      </c>
      <c r="M30" s="172" t="e">
        <f>+SUMIF(#REF!,#REF!,($M$9:$M$22))</f>
        <v>#REF!</v>
      </c>
      <c r="N30" s="172" t="e">
        <f>+SUMIF(#REF!,#REF!,($N$9:$N$22))</f>
        <v>#REF!</v>
      </c>
      <c r="O30" s="172" t="e">
        <f>+SUMIF(#REF!,#REF!,($O$9:$O$22))</f>
        <v>#REF!</v>
      </c>
      <c r="P30" s="172"/>
      <c r="Q30" s="172"/>
      <c r="R30" s="172"/>
      <c r="S30" s="389"/>
      <c r="T30" s="399" t="e">
        <f>+SUMIF(#REF!,#REF!,($T$9:$T$22))</f>
        <v>#REF!</v>
      </c>
    </row>
    <row r="31" spans="2:23" hidden="1" x14ac:dyDescent="0.35">
      <c r="I31" s="272"/>
      <c r="J31" s="172" t="e">
        <f>+SUMIF(#REF!,#REF!,($J$9:$J$22))</f>
        <v>#REF!</v>
      </c>
      <c r="K31" s="172" t="e">
        <f>+SUMIF(#REF!,#REF!,($K$9:$K$22))</f>
        <v>#REF!</v>
      </c>
      <c r="L31" s="172" t="e">
        <f>+SUMIF(#REF!,#REF!,($L$9:$L$22))</f>
        <v>#REF!</v>
      </c>
      <c r="M31" s="172" t="e">
        <f>+SUMIF(#REF!,#REF!,($M$9:$M$22))</f>
        <v>#REF!</v>
      </c>
      <c r="N31" s="172" t="e">
        <f>+SUMIF(#REF!,#REF!,($N$9:$N$22))</f>
        <v>#REF!</v>
      </c>
      <c r="O31" s="172" t="e">
        <f>+SUMIF(#REF!,#REF!,($O$9:$O$22))</f>
        <v>#REF!</v>
      </c>
      <c r="P31" s="172"/>
      <c r="Q31" s="172"/>
      <c r="R31" s="172"/>
      <c r="S31" s="389"/>
      <c r="T31" s="399" t="e">
        <f>+SUMIF(#REF!,#REF!,($T$9:$T$22))</f>
        <v>#REF!</v>
      </c>
    </row>
    <row r="32" spans="2:23" hidden="1" x14ac:dyDescent="0.35">
      <c r="I32" s="272"/>
      <c r="J32" s="172" t="e">
        <f>+SUMIF(#REF!,#REF!,($J$9:$J$22))</f>
        <v>#REF!</v>
      </c>
      <c r="K32" s="172" t="e">
        <f>+SUMIF(#REF!,#REF!,($K$9:$K$22))</f>
        <v>#REF!</v>
      </c>
      <c r="L32" s="172" t="e">
        <f>+SUMIF(#REF!,#REF!,($L$9:$L$22))</f>
        <v>#REF!</v>
      </c>
      <c r="M32" s="172" t="e">
        <f>+SUMIF(#REF!,#REF!,($M$9:$M$22))</f>
        <v>#REF!</v>
      </c>
      <c r="N32" s="172" t="e">
        <f>+SUMIF(#REF!,#REF!,($N$9:$N$22))</f>
        <v>#REF!</v>
      </c>
      <c r="O32" s="172" t="e">
        <f>+SUMIF(#REF!,#REF!,($O$9:$O$22))</f>
        <v>#REF!</v>
      </c>
      <c r="P32" s="172"/>
      <c r="Q32" s="172"/>
      <c r="R32" s="172"/>
      <c r="S32" s="389"/>
      <c r="T32" s="399" t="e">
        <f>+SUMIF(#REF!,#REF!,($T$9:$T$22))</f>
        <v>#REF!</v>
      </c>
    </row>
    <row r="33" spans="9:20" hidden="1" x14ac:dyDescent="0.35">
      <c r="I33" s="272"/>
      <c r="J33" s="172" t="e">
        <f>+SUMIF(#REF!,#REF!,($J$9:$J$22))</f>
        <v>#REF!</v>
      </c>
      <c r="K33" s="172" t="e">
        <f>+SUMIF(#REF!,#REF!,($K$9:$K$22))</f>
        <v>#REF!</v>
      </c>
      <c r="L33" s="172" t="e">
        <f>+SUMIF(#REF!,#REF!,($L$9:$L$22))</f>
        <v>#REF!</v>
      </c>
      <c r="M33" s="172" t="e">
        <f>+SUMIF(#REF!,#REF!,($M$9:$M$22))</f>
        <v>#REF!</v>
      </c>
      <c r="N33" s="172" t="e">
        <f>+SUMIF(#REF!,#REF!,($N$9:$N$22))</f>
        <v>#REF!</v>
      </c>
      <c r="O33" s="172" t="e">
        <f>+SUMIF(#REF!,#REF!,($O$9:$O$22))</f>
        <v>#REF!</v>
      </c>
      <c r="P33" s="172"/>
      <c r="Q33" s="172"/>
      <c r="R33" s="172"/>
      <c r="S33" s="389"/>
      <c r="T33" s="399" t="e">
        <f>+SUMIF(#REF!,#REF!,($T$9:$T$22))</f>
        <v>#REF!</v>
      </c>
    </row>
    <row r="34" spans="9:20" hidden="1" x14ac:dyDescent="0.35">
      <c r="I34" s="272"/>
      <c r="J34" s="172" t="e">
        <f>+SUMIF(#REF!,#REF!,($J$9:$J$22))</f>
        <v>#REF!</v>
      </c>
      <c r="K34" s="172" t="e">
        <f>+SUMIF(#REF!,#REF!,($K$9:$K$22))</f>
        <v>#REF!</v>
      </c>
      <c r="L34" s="172" t="e">
        <f>+SUMIF(#REF!,#REF!,($L$9:$L$22))</f>
        <v>#REF!</v>
      </c>
      <c r="M34" s="172" t="e">
        <f>+SUMIF(#REF!,#REF!,($M$9:$M$22))</f>
        <v>#REF!</v>
      </c>
      <c r="N34" s="172" t="e">
        <f>+SUMIF(#REF!,#REF!,($N$9:$N$22))</f>
        <v>#REF!</v>
      </c>
      <c r="O34" s="172" t="e">
        <f>+SUMIF(#REF!,#REF!,($O$9:$O$22))</f>
        <v>#REF!</v>
      </c>
      <c r="P34" s="172"/>
      <c r="Q34" s="172"/>
      <c r="R34" s="172"/>
      <c r="S34" s="389"/>
      <c r="T34" s="399" t="e">
        <f>+SUMIF(#REF!,#REF!,($T$9:$T$22))</f>
        <v>#REF!</v>
      </c>
    </row>
    <row r="35" spans="9:20" ht="15" thickBot="1" x14ac:dyDescent="0.4">
      <c r="I35" s="421" t="s">
        <v>154</v>
      </c>
      <c r="J35" s="419">
        <f>SUM(J26:J27)</f>
        <v>5577</v>
      </c>
      <c r="K35" s="174">
        <f>L35/J35</f>
        <v>19.474090012551549</v>
      </c>
      <c r="L35" s="175">
        <f>SUM(L26:L27)</f>
        <v>108607</v>
      </c>
      <c r="M35" s="174">
        <f>N35/L35</f>
        <v>8.1142260627768012E-2</v>
      </c>
      <c r="N35" s="176">
        <f>SUM(N26:N27)</f>
        <v>8812.6175000000003</v>
      </c>
      <c r="O35" s="176">
        <f>SUM(O26:O27)</f>
        <v>8170.42</v>
      </c>
      <c r="P35" s="175">
        <f>SUM(P26:P34)</f>
        <v>0</v>
      </c>
      <c r="Q35" s="175">
        <f t="shared" ref="Q35:S35" si="11">SUM(Q26:Q34)</f>
        <v>0</v>
      </c>
      <c r="R35" s="176">
        <f>SUM(R26:R34)</f>
        <v>0</v>
      </c>
      <c r="S35" s="176">
        <f t="shared" si="11"/>
        <v>642</v>
      </c>
      <c r="T35" s="400">
        <f>SUM(T26:T27)</f>
        <v>642</v>
      </c>
    </row>
    <row r="42" spans="9:20" x14ac:dyDescent="0.35">
      <c r="I42" s="55"/>
    </row>
    <row r="44" spans="9:20" ht="34.5" customHeight="1" x14ac:dyDescent="0.35">
      <c r="I44" s="499"/>
      <c r="J44" s="499"/>
      <c r="K44" s="499"/>
      <c r="L44" s="499"/>
      <c r="M44" s="499"/>
      <c r="N44" s="499"/>
      <c r="O44" s="499"/>
      <c r="P44" s="499"/>
      <c r="Q44" s="499"/>
      <c r="R44" s="499"/>
      <c r="S44" s="499"/>
      <c r="T44" s="499"/>
    </row>
  </sheetData>
  <sheetProtection selectLockedCells="1"/>
  <autoFilter ref="F3:T23" xr:uid="{00000000-0009-0000-0000-000001000000}"/>
  <dataConsolidate/>
  <mergeCells count="10">
    <mergeCell ref="I44:T44"/>
    <mergeCell ref="F1:T1"/>
    <mergeCell ref="F4:T4"/>
    <mergeCell ref="F15:T15"/>
    <mergeCell ref="H6:H8"/>
    <mergeCell ref="F14:I14"/>
    <mergeCell ref="F22:I22"/>
    <mergeCell ref="H2:I2"/>
    <mergeCell ref="F2:G2"/>
    <mergeCell ref="F6:F8"/>
  </mergeCells>
  <dataValidations count="1">
    <dataValidation type="list" allowBlank="1" showInputMessage="1" showErrorMessage="1" sqref="F18:G19 F9:G11 F13:G13" xr:uid="{00000000-0002-0000-0100-000000000000}">
      <formula1>$W$10:$W$22</formula1>
    </dataValidation>
  </dataValidations>
  <printOptions horizontalCentered="1"/>
  <pageMargins left="0.7" right="0.7" top="0.75" bottom="0.75" header="0.3" footer="0.3"/>
  <pageSetup paperSize="5" scale="64" fitToHeight="0" orientation="landscape" r:id="rId1"/>
  <headerFooter>
    <oddHeader>&amp;CAttachment A - Burden Chart for OMB Control #0584-0280 
&amp;"-,Bold"&amp;12 7 CFR Part 225 - Summer Food Service Program (SFSP)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2"/>
  <sheetViews>
    <sheetView showGridLines="0" topLeftCell="K1" zoomScale="90" zoomScaleNormal="90" zoomScalePageLayoutView="90" workbookViewId="0">
      <selection activeCell="V5" sqref="V5"/>
    </sheetView>
  </sheetViews>
  <sheetFormatPr defaultRowHeight="14.5" x14ac:dyDescent="0.35"/>
  <cols>
    <col min="2" max="2" width="10.1796875" customWidth="1"/>
    <col min="4" max="4" width="40.1796875" bestFit="1" customWidth="1"/>
    <col min="7" max="7" width="13.81640625" customWidth="1"/>
    <col min="8" max="8" width="42.1796875" customWidth="1"/>
    <col min="9" max="9" width="13.453125" customWidth="1"/>
    <col min="10" max="10" width="42.1796875" customWidth="1"/>
    <col min="11" max="11" width="13.1796875" customWidth="1"/>
    <col min="12" max="12" width="12.81640625" customWidth="1"/>
    <col min="13" max="13" width="10.54296875" customWidth="1"/>
    <col min="14" max="14" width="13.54296875" customWidth="1"/>
    <col min="15" max="15" width="14.1796875" customWidth="1"/>
    <col min="16" max="17" width="17.453125" customWidth="1"/>
    <col min="18" max="18" width="13.1796875" customWidth="1"/>
    <col min="19" max="19" width="16" customWidth="1"/>
    <col min="20" max="20" width="12.54296875" customWidth="1"/>
    <col min="21" max="21" width="21.81640625" customWidth="1"/>
  </cols>
  <sheetData>
    <row r="1" spans="1:21" ht="26" x14ac:dyDescent="0.6">
      <c r="B1" s="190"/>
      <c r="C1" s="196" t="s">
        <v>0</v>
      </c>
      <c r="D1" s="407" t="s">
        <v>1</v>
      </c>
      <c r="G1" s="506" t="s">
        <v>179</v>
      </c>
      <c r="H1" s="506"/>
      <c r="I1" s="506"/>
      <c r="J1" s="506"/>
      <c r="K1" s="506"/>
      <c r="L1" s="506"/>
      <c r="M1" s="506"/>
      <c r="N1" s="506"/>
      <c r="O1" s="506"/>
      <c r="P1" s="506"/>
      <c r="Q1" s="506"/>
      <c r="R1" s="506"/>
      <c r="S1" s="506"/>
      <c r="T1" s="506"/>
      <c r="U1" s="506"/>
    </row>
    <row r="2" spans="1:21" ht="21" customHeight="1" x14ac:dyDescent="0.35">
      <c r="A2" s="189"/>
      <c r="B2" s="190"/>
      <c r="C2" s="190"/>
      <c r="D2" s="334"/>
      <c r="G2" s="512" t="s">
        <v>3</v>
      </c>
      <c r="H2" s="512"/>
      <c r="I2" s="511" t="s">
        <v>4</v>
      </c>
      <c r="J2" s="511"/>
      <c r="K2" s="170" t="s">
        <v>5</v>
      </c>
      <c r="L2" s="170" t="s">
        <v>6</v>
      </c>
      <c r="M2" s="170" t="s">
        <v>7</v>
      </c>
      <c r="N2" s="170" t="s">
        <v>8</v>
      </c>
      <c r="O2" s="170" t="s">
        <v>9</v>
      </c>
      <c r="P2" s="170" t="s">
        <v>10</v>
      </c>
      <c r="Q2" s="170"/>
      <c r="R2" s="170"/>
      <c r="S2" s="170"/>
      <c r="T2" s="170"/>
      <c r="U2" s="171" t="s">
        <v>11</v>
      </c>
    </row>
    <row r="3" spans="1:21" ht="60" customHeight="1" x14ac:dyDescent="0.35">
      <c r="B3" s="191" t="s">
        <v>12</v>
      </c>
      <c r="C3" s="190"/>
      <c r="D3" s="195" t="s">
        <v>13</v>
      </c>
      <c r="G3" s="166" t="s">
        <v>156</v>
      </c>
      <c r="H3" s="166" t="s">
        <v>15</v>
      </c>
      <c r="I3" s="120" t="s">
        <v>156</v>
      </c>
      <c r="J3" s="120" t="s">
        <v>15</v>
      </c>
      <c r="K3" s="120" t="s">
        <v>17</v>
      </c>
      <c r="L3" s="120" t="s">
        <v>180</v>
      </c>
      <c r="M3" s="120" t="s">
        <v>181</v>
      </c>
      <c r="N3" s="120" t="s">
        <v>182</v>
      </c>
      <c r="O3" s="120" t="s">
        <v>21</v>
      </c>
      <c r="P3" s="120" t="s">
        <v>22</v>
      </c>
      <c r="Q3" s="120" t="s">
        <v>23</v>
      </c>
      <c r="R3" s="120" t="s">
        <v>24</v>
      </c>
      <c r="S3" s="120" t="s">
        <v>160</v>
      </c>
      <c r="T3" s="120" t="s">
        <v>183</v>
      </c>
      <c r="U3" s="121" t="s">
        <v>27</v>
      </c>
    </row>
    <row r="4" spans="1:21" x14ac:dyDescent="0.35">
      <c r="B4" s="192"/>
      <c r="D4" s="111"/>
      <c r="G4" s="515" t="s">
        <v>136</v>
      </c>
      <c r="H4" s="515"/>
      <c r="I4" s="515"/>
      <c r="J4" s="515"/>
      <c r="K4" s="515"/>
      <c r="L4" s="515"/>
      <c r="M4" s="515"/>
      <c r="N4" s="515"/>
      <c r="O4" s="515"/>
      <c r="P4" s="515"/>
      <c r="Q4" s="515"/>
      <c r="R4" s="515"/>
      <c r="S4" s="515"/>
      <c r="T4" s="515"/>
      <c r="U4" s="516"/>
    </row>
    <row r="5" spans="1:21" ht="113" customHeight="1" x14ac:dyDescent="0.35">
      <c r="B5" s="401">
        <f>1</f>
        <v>1</v>
      </c>
      <c r="D5" s="401" t="s">
        <v>53</v>
      </c>
      <c r="G5" s="222"/>
      <c r="H5" s="222"/>
      <c r="I5" s="222" t="s">
        <v>245</v>
      </c>
      <c r="J5" s="222" t="s">
        <v>250</v>
      </c>
      <c r="K5" s="464">
        <v>53</v>
      </c>
      <c r="L5" s="464">
        <f>ROUND(((2210*0.06)/K5), 0)</f>
        <v>3</v>
      </c>
      <c r="M5" s="465">
        <f>K5*L5</f>
        <v>159</v>
      </c>
      <c r="N5" s="466">
        <v>0.25</v>
      </c>
      <c r="O5" s="371">
        <f>M5*N5</f>
        <v>39.75</v>
      </c>
      <c r="P5" s="226">
        <v>0</v>
      </c>
      <c r="Q5" s="227">
        <v>0</v>
      </c>
      <c r="R5" s="226">
        <v>0</v>
      </c>
      <c r="S5" s="226">
        <v>0</v>
      </c>
      <c r="T5" s="226">
        <f>O5</f>
        <v>39.75</v>
      </c>
      <c r="U5" s="228">
        <v>39.75</v>
      </c>
    </row>
    <row r="6" spans="1:21" ht="58.4" customHeight="1" x14ac:dyDescent="0.35">
      <c r="B6" s="463">
        <f>B5+1</f>
        <v>2</v>
      </c>
      <c r="D6" s="203" t="s">
        <v>31</v>
      </c>
      <c r="G6" s="180" t="s">
        <v>184</v>
      </c>
      <c r="H6" s="180" t="s">
        <v>185</v>
      </c>
      <c r="I6" s="180" t="s">
        <v>184</v>
      </c>
      <c r="J6" s="180" t="s">
        <v>185</v>
      </c>
      <c r="K6" s="41">
        <v>53</v>
      </c>
      <c r="L6" s="41">
        <v>1</v>
      </c>
      <c r="M6" s="181">
        <f>K6*L6</f>
        <v>53</v>
      </c>
      <c r="N6" s="42">
        <v>0.25</v>
      </c>
      <c r="O6" s="472">
        <f>M6*N6</f>
        <v>13.25</v>
      </c>
      <c r="P6" s="183">
        <v>13.25</v>
      </c>
      <c r="Q6" s="183">
        <v>0</v>
      </c>
      <c r="R6" s="182">
        <v>0</v>
      </c>
      <c r="S6" s="182">
        <f>O6-P6</f>
        <v>0</v>
      </c>
      <c r="T6" s="183">
        <v>0</v>
      </c>
      <c r="U6" s="210">
        <f>O6-P6</f>
        <v>0</v>
      </c>
    </row>
    <row r="7" spans="1:21" ht="90.65" customHeight="1" x14ac:dyDescent="0.35">
      <c r="B7" s="463">
        <f>B6+1</f>
        <v>3</v>
      </c>
      <c r="D7" s="203" t="s">
        <v>31</v>
      </c>
      <c r="G7" s="180" t="s">
        <v>184</v>
      </c>
      <c r="H7" s="180" t="s">
        <v>186</v>
      </c>
      <c r="I7" s="180" t="s">
        <v>184</v>
      </c>
      <c r="J7" s="180" t="s">
        <v>186</v>
      </c>
      <c r="K7" s="41">
        <v>3314</v>
      </c>
      <c r="L7" s="41">
        <v>1</v>
      </c>
      <c r="M7" s="181">
        <f>K7*L7</f>
        <v>3314</v>
      </c>
      <c r="N7" s="42">
        <v>0.25</v>
      </c>
      <c r="O7" s="87">
        <v>828</v>
      </c>
      <c r="P7" s="182">
        <v>828</v>
      </c>
      <c r="Q7" s="183">
        <v>0</v>
      </c>
      <c r="R7" s="182">
        <v>0</v>
      </c>
      <c r="S7" s="182">
        <f>O7-P7</f>
        <v>0</v>
      </c>
      <c r="T7" s="183">
        <v>0</v>
      </c>
      <c r="U7" s="210">
        <f>O7-P7</f>
        <v>0</v>
      </c>
    </row>
    <row r="8" spans="1:21" ht="15.5" x14ac:dyDescent="0.35">
      <c r="B8" s="215"/>
      <c r="D8" s="204"/>
      <c r="G8" s="513" t="s">
        <v>136</v>
      </c>
      <c r="H8" s="513"/>
      <c r="I8" s="513"/>
      <c r="J8" s="514"/>
      <c r="K8" s="35">
        <f>3314+53</f>
        <v>3367</v>
      </c>
      <c r="L8" s="35">
        <f>M8/K8</f>
        <v>1.0472230472230473</v>
      </c>
      <c r="M8" s="35">
        <f>SUM(M5:M7)</f>
        <v>3526</v>
      </c>
      <c r="N8" s="62">
        <f>O8/M8</f>
        <v>0.24985819625638117</v>
      </c>
      <c r="O8" s="97">
        <f>SUM(O5:O7)</f>
        <v>881</v>
      </c>
      <c r="P8" s="97">
        <f t="shared" ref="P8:U8" si="0">SUM(P5:P7)</f>
        <v>841.25</v>
      </c>
      <c r="Q8" s="97">
        <f t="shared" si="0"/>
        <v>0</v>
      </c>
      <c r="R8" s="97">
        <f t="shared" si="0"/>
        <v>0</v>
      </c>
      <c r="S8" s="97">
        <f t="shared" si="0"/>
        <v>0</v>
      </c>
      <c r="T8" s="97">
        <f t="shared" si="0"/>
        <v>39.75</v>
      </c>
      <c r="U8" s="97">
        <f t="shared" si="0"/>
        <v>39.75</v>
      </c>
    </row>
    <row r="9" spans="1:21" x14ac:dyDescent="0.35">
      <c r="B9" s="216"/>
      <c r="D9" s="213"/>
      <c r="G9" s="515" t="s">
        <v>187</v>
      </c>
      <c r="H9" s="515"/>
      <c r="I9" s="515"/>
      <c r="J9" s="515"/>
      <c r="K9" s="515"/>
      <c r="L9" s="515"/>
      <c r="M9" s="515"/>
      <c r="N9" s="515"/>
      <c r="O9" s="515"/>
      <c r="P9" s="515"/>
      <c r="Q9" s="515"/>
      <c r="R9" s="515"/>
      <c r="S9" s="515"/>
      <c r="T9" s="515"/>
      <c r="U9" s="516"/>
    </row>
    <row r="10" spans="1:21" ht="87.65" customHeight="1" x14ac:dyDescent="0.35">
      <c r="B10" s="214">
        <f>B7+1</f>
        <v>4</v>
      </c>
      <c r="D10" s="203" t="s">
        <v>31</v>
      </c>
      <c r="G10" s="180" t="s">
        <v>184</v>
      </c>
      <c r="H10" s="180" t="s">
        <v>186</v>
      </c>
      <c r="I10" s="180" t="s">
        <v>184</v>
      </c>
      <c r="J10" s="180" t="s">
        <v>186</v>
      </c>
      <c r="K10" s="94">
        <v>2210</v>
      </c>
      <c r="L10" s="94">
        <v>1</v>
      </c>
      <c r="M10" s="184">
        <f>K10*L10</f>
        <v>2210</v>
      </c>
      <c r="N10" s="95">
        <v>0.25</v>
      </c>
      <c r="O10" s="475">
        <f>M10*N10</f>
        <v>552.5</v>
      </c>
      <c r="P10" s="185">
        <v>552.5</v>
      </c>
      <c r="Q10" s="185">
        <v>0</v>
      </c>
      <c r="R10" s="186">
        <v>0</v>
      </c>
      <c r="S10" s="88">
        <f>O10-P10</f>
        <v>0</v>
      </c>
      <c r="T10" s="61">
        <v>0</v>
      </c>
      <c r="U10" s="211">
        <f>O10-P10</f>
        <v>0</v>
      </c>
    </row>
    <row r="11" spans="1:21" ht="15.65" customHeight="1" x14ac:dyDescent="0.35">
      <c r="B11" s="215"/>
      <c r="D11" s="204"/>
      <c r="G11" s="513" t="s">
        <v>187</v>
      </c>
      <c r="H11" s="513"/>
      <c r="I11" s="513"/>
      <c r="J11" s="514"/>
      <c r="K11" s="90">
        <f>+MAX(K10)</f>
        <v>2210</v>
      </c>
      <c r="L11" s="90">
        <f>M11/K11</f>
        <v>1</v>
      </c>
      <c r="M11" s="90">
        <f>SUM(M10:M10)</f>
        <v>2210</v>
      </c>
      <c r="N11" s="91">
        <f>O11/M11</f>
        <v>0.25</v>
      </c>
      <c r="O11" s="476">
        <f>SUM(O10:O10)</f>
        <v>552.5</v>
      </c>
      <c r="P11" s="90">
        <f>SUM(P10:P10)</f>
        <v>552.5</v>
      </c>
      <c r="Q11" s="90">
        <v>0</v>
      </c>
      <c r="R11" s="92">
        <f>SUM(R10)</f>
        <v>0</v>
      </c>
      <c r="S11" s="92">
        <f>SUM(S10)</f>
        <v>0</v>
      </c>
      <c r="T11" s="92">
        <f>SUM(T10)</f>
        <v>0</v>
      </c>
      <c r="U11" s="93">
        <f>SUM(U10:U10)</f>
        <v>0</v>
      </c>
    </row>
    <row r="12" spans="1:21" ht="16" thickBot="1" x14ac:dyDescent="0.4">
      <c r="B12" s="216"/>
      <c r="D12" s="111"/>
      <c r="G12" s="188"/>
      <c r="H12" s="188"/>
      <c r="I12" s="22"/>
      <c r="J12" s="23" t="s">
        <v>188</v>
      </c>
      <c r="K12" s="34">
        <f>+K11+K8</f>
        <v>5577</v>
      </c>
      <c r="L12" s="63">
        <f>M12/K12</f>
        <v>1.0285099515868747</v>
      </c>
      <c r="M12" s="34">
        <f>+M11+M8</f>
        <v>5736</v>
      </c>
      <c r="N12" s="33">
        <f>O12/M12</f>
        <v>0.24991283124128313</v>
      </c>
      <c r="O12" s="96">
        <f t="shared" ref="O12:U12" si="1">+O11+O8</f>
        <v>1433.5</v>
      </c>
      <c r="P12" s="479">
        <f t="shared" si="1"/>
        <v>1393.75</v>
      </c>
      <c r="Q12" s="34">
        <f t="shared" si="1"/>
        <v>0</v>
      </c>
      <c r="R12" s="33">
        <f t="shared" si="1"/>
        <v>0</v>
      </c>
      <c r="S12" s="34">
        <f t="shared" si="1"/>
        <v>0</v>
      </c>
      <c r="T12" s="33">
        <f>+T11+T8</f>
        <v>39.75</v>
      </c>
      <c r="U12" s="312">
        <f t="shared" si="1"/>
        <v>39.75</v>
      </c>
    </row>
    <row r="13" spans="1:21" ht="15" thickBot="1" x14ac:dyDescent="0.4">
      <c r="J13" s="420"/>
    </row>
    <row r="14" spans="1:21" ht="62" x14ac:dyDescent="0.35">
      <c r="J14" s="422" t="s">
        <v>149</v>
      </c>
      <c r="K14" s="24" t="str">
        <f t="shared" ref="K14:P14" si="2">+K3</f>
        <v>Estimated # Respondents</v>
      </c>
      <c r="L14" s="24" t="str">
        <f t="shared" si="2"/>
        <v>Disclosures Per Respondent</v>
      </c>
      <c r="M14" s="24" t="str">
        <f t="shared" si="2"/>
        <v>Total Annual Disclosures</v>
      </c>
      <c r="N14" s="24" t="str">
        <f t="shared" si="2"/>
        <v>Estimated Avg. # of Hours Per Disclosure</v>
      </c>
      <c r="O14" s="24" t="str">
        <f t="shared" si="2"/>
        <v xml:space="preserve">Estimated Total Hours            </v>
      </c>
      <c r="P14" s="81" t="str">
        <f t="shared" si="2"/>
        <v>Current OMB Approved Burden Hrs</v>
      </c>
      <c r="Q14" s="194" t="s">
        <v>23</v>
      </c>
      <c r="R14" s="82" t="str">
        <f>+R3</f>
        <v>Due to Authorizing Statute</v>
      </c>
      <c r="S14" s="24" t="str">
        <f>+S3</f>
        <v>Due to an adjustment</v>
      </c>
      <c r="T14" s="24" t="str">
        <f>+T3</f>
        <v>Due to a program change</v>
      </c>
      <c r="U14" s="25" t="str">
        <f>+U3</f>
        <v>Total Difference</v>
      </c>
    </row>
    <row r="15" spans="1:21" ht="15.5" x14ac:dyDescent="0.35">
      <c r="J15" s="272" t="s">
        <v>189</v>
      </c>
      <c r="K15" s="76">
        <f>SUM(K8)</f>
        <v>3367</v>
      </c>
      <c r="L15" s="76">
        <f>M15/K15</f>
        <v>1.0472230472230473</v>
      </c>
      <c r="M15" s="76">
        <f>SUM(M8)</f>
        <v>3526</v>
      </c>
      <c r="N15" s="74">
        <f>O15/M15</f>
        <v>0.24985819625638117</v>
      </c>
      <c r="O15" s="74">
        <f>(O8)</f>
        <v>881</v>
      </c>
      <c r="P15" s="89">
        <f>P8</f>
        <v>841.25</v>
      </c>
      <c r="Q15" s="83">
        <f>Q8</f>
        <v>0</v>
      </c>
      <c r="R15" s="77">
        <v>0</v>
      </c>
      <c r="S15" s="83">
        <f>S8</f>
        <v>0</v>
      </c>
      <c r="T15" s="79">
        <f>T8</f>
        <v>39.75</v>
      </c>
      <c r="U15" s="193">
        <f>O15-P15</f>
        <v>39.75</v>
      </c>
    </row>
    <row r="16" spans="1:21" x14ac:dyDescent="0.35">
      <c r="J16" s="272" t="s">
        <v>152</v>
      </c>
      <c r="K16" s="76">
        <f>SUM(K11)</f>
        <v>2210</v>
      </c>
      <c r="L16" s="76">
        <f>M16/K16</f>
        <v>1</v>
      </c>
      <c r="M16" s="76">
        <f>SUM(M11)</f>
        <v>2210</v>
      </c>
      <c r="N16" s="74">
        <f>O16/M16</f>
        <v>0.25</v>
      </c>
      <c r="O16" s="75">
        <f>SUM(O11)</f>
        <v>552.5</v>
      </c>
      <c r="P16" s="477">
        <f>P10</f>
        <v>552.5</v>
      </c>
      <c r="Q16" s="76">
        <f>Q11</f>
        <v>0</v>
      </c>
      <c r="R16" s="76">
        <f t="shared" ref="R16:S16" si="3">R10</f>
        <v>0</v>
      </c>
      <c r="S16" s="76">
        <f t="shared" si="3"/>
        <v>0</v>
      </c>
      <c r="T16" s="76">
        <v>0</v>
      </c>
      <c r="U16" s="193">
        <f>O16-P16</f>
        <v>0</v>
      </c>
    </row>
    <row r="17" spans="10:21" ht="15" thickBot="1" x14ac:dyDescent="0.4">
      <c r="J17" s="421" t="s">
        <v>154</v>
      </c>
      <c r="K17" s="173">
        <f>SUM(K15:K16)</f>
        <v>5577</v>
      </c>
      <c r="L17" s="174">
        <f>M17/K17</f>
        <v>1.0285099515868747</v>
      </c>
      <c r="M17" s="175">
        <f>SUM(M15:M16)</f>
        <v>5736</v>
      </c>
      <c r="N17" s="174">
        <f>O17/M17</f>
        <v>0.24991283124128313</v>
      </c>
      <c r="O17" s="176">
        <f>SUM(O15:O16)</f>
        <v>1433.5</v>
      </c>
      <c r="P17" s="176">
        <f>SUM(P15:P16)</f>
        <v>1393.75</v>
      </c>
      <c r="Q17" s="175">
        <f>SUM(Q15:Q16)</f>
        <v>0</v>
      </c>
      <c r="R17" s="175">
        <f t="shared" ref="R17" si="4">SUM(R16:R16)</f>
        <v>0</v>
      </c>
      <c r="S17" s="175">
        <f>SUM(S15:S16)</f>
        <v>0</v>
      </c>
      <c r="T17" s="175">
        <f>SUM(T15:T16)</f>
        <v>39.75</v>
      </c>
      <c r="U17" s="177">
        <f>SUM(U15:U16)</f>
        <v>39.75</v>
      </c>
    </row>
    <row r="22" spans="10:21" x14ac:dyDescent="0.35">
      <c r="N22" s="64"/>
    </row>
  </sheetData>
  <mergeCells count="7">
    <mergeCell ref="G11:J11"/>
    <mergeCell ref="G1:U1"/>
    <mergeCell ref="G4:U4"/>
    <mergeCell ref="G8:J8"/>
    <mergeCell ref="G9:U9"/>
    <mergeCell ref="I2:J2"/>
    <mergeCell ref="G2:H2"/>
  </mergeCells>
  <pageMargins left="0.7" right="0.7" top="0.75" bottom="0.75" header="0.3" footer="0.3"/>
  <pageSetup paperSize="5" scale="73" fitToHeight="0" orientation="landscape" r:id="rId1"/>
  <headerFooter>
    <oddHeader>&amp;C&amp;"-,Bold"Attachment A - Burden Chart for OMB Control #0584-0280
7 CFR Part 225 - Summer Food Service Program (SFSP)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O32"/>
  <sheetViews>
    <sheetView showGridLines="0" zoomScale="90" zoomScaleNormal="90" workbookViewId="0">
      <selection activeCell="I17" sqref="I17"/>
    </sheetView>
  </sheetViews>
  <sheetFormatPr defaultRowHeight="14.5" x14ac:dyDescent="0.35"/>
  <cols>
    <col min="1" max="1" width="29.81640625" customWidth="1"/>
    <col min="2" max="2" width="12.1796875" style="261" bestFit="1" customWidth="1"/>
    <col min="3" max="3" width="13.81640625" style="261" bestFit="1" customWidth="1"/>
    <col min="4" max="4" width="18.81640625" style="261" bestFit="1" customWidth="1"/>
    <col min="5" max="5" width="18.54296875" style="261" bestFit="1" customWidth="1"/>
    <col min="6" max="6" width="15" bestFit="1" customWidth="1"/>
    <col min="7" max="7" width="13.1796875" style="261" bestFit="1" customWidth="1"/>
    <col min="8" max="9" width="16.453125" style="261" bestFit="1" customWidth="1"/>
    <col min="10" max="10" width="13.1796875" style="261" bestFit="1" customWidth="1"/>
    <col min="12" max="12" width="13" customWidth="1"/>
    <col min="13" max="13" width="17.1796875" customWidth="1"/>
    <col min="14" max="14" width="10.1796875" bestFit="1" customWidth="1"/>
    <col min="15" max="15" width="11.54296875" bestFit="1" customWidth="1"/>
  </cols>
  <sheetData>
    <row r="1" spans="1:13" ht="15" customHeight="1" x14ac:dyDescent="0.35">
      <c r="A1" s="517" t="s">
        <v>190</v>
      </c>
      <c r="B1" s="518"/>
      <c r="C1" s="518"/>
      <c r="D1" s="518"/>
      <c r="E1" s="518"/>
      <c r="F1" s="518"/>
      <c r="G1" s="518"/>
      <c r="H1" s="518"/>
      <c r="I1" s="518"/>
      <c r="J1" s="518"/>
    </row>
    <row r="2" spans="1:13" ht="13.5" customHeight="1" x14ac:dyDescent="0.35">
      <c r="A2" s="517"/>
      <c r="B2" s="518"/>
      <c r="C2" s="518"/>
      <c r="D2" s="518"/>
      <c r="E2" s="518"/>
      <c r="F2" s="518"/>
      <c r="G2" s="518"/>
      <c r="H2" s="518"/>
      <c r="I2" s="518"/>
      <c r="J2" s="518"/>
    </row>
    <row r="3" spans="1:13" ht="48" customHeight="1" x14ac:dyDescent="0.35">
      <c r="A3" s="13" t="s">
        <v>191</v>
      </c>
      <c r="B3" s="440" t="s">
        <v>17</v>
      </c>
      <c r="C3" s="440" t="s">
        <v>192</v>
      </c>
      <c r="D3" s="440" t="s">
        <v>193</v>
      </c>
      <c r="E3" s="440" t="s">
        <v>20</v>
      </c>
      <c r="F3" s="13" t="s">
        <v>194</v>
      </c>
      <c r="G3" s="434" t="s">
        <v>195</v>
      </c>
      <c r="H3" s="434" t="s">
        <v>196</v>
      </c>
      <c r="I3" s="434" t="s">
        <v>197</v>
      </c>
      <c r="J3" s="434" t="s">
        <v>198</v>
      </c>
    </row>
    <row r="4" spans="1:13" ht="15" x14ac:dyDescent="0.35">
      <c r="A4" s="12" t="s">
        <v>199</v>
      </c>
      <c r="B4" s="441"/>
      <c r="C4" s="441"/>
      <c r="D4" s="441"/>
      <c r="E4" s="441"/>
      <c r="F4" s="11"/>
      <c r="G4" s="435"/>
      <c r="H4" s="435"/>
      <c r="I4" s="435"/>
      <c r="J4" s="435"/>
    </row>
    <row r="5" spans="1:13" ht="15.75" customHeight="1" x14ac:dyDescent="0.35">
      <c r="A5" s="6" t="s">
        <v>200</v>
      </c>
      <c r="B5" s="442">
        <f>+Recordkeeping!J14</f>
        <v>3367</v>
      </c>
      <c r="C5" s="443">
        <f>+Recordkeeping!K14</f>
        <v>5.5491535491535489</v>
      </c>
      <c r="D5" s="442">
        <f>+Recordkeeping!L14</f>
        <v>18684</v>
      </c>
      <c r="E5" s="442">
        <f>+Recordkeeping!M14</f>
        <v>8.1439600727895523E-2</v>
      </c>
      <c r="F5" s="7">
        <f>+Recordkeeping!N14</f>
        <v>1521.6175000000001</v>
      </c>
      <c r="G5" s="64">
        <f>Recordkeeping!O14</f>
        <v>879.92000000000007</v>
      </c>
      <c r="H5" s="261">
        <f>Recordkeeping!R14</f>
        <v>0</v>
      </c>
      <c r="I5" s="261">
        <f>Recordkeeping!S14</f>
        <v>642</v>
      </c>
      <c r="J5" s="261">
        <f>Recordkeeping!T14</f>
        <v>642</v>
      </c>
    </row>
    <row r="6" spans="1:13" ht="19.5" customHeight="1" x14ac:dyDescent="0.35">
      <c r="A6" s="9" t="s">
        <v>201</v>
      </c>
      <c r="B6" s="443">
        <f>+Recordkeeping!J22</f>
        <v>2210</v>
      </c>
      <c r="C6" s="453">
        <f>+Recordkeeping!K22</f>
        <v>40.689140271493216</v>
      </c>
      <c r="D6" s="442">
        <f>+Recordkeeping!L22</f>
        <v>89923</v>
      </c>
      <c r="E6" s="442">
        <f>+Recordkeeping!M22</f>
        <v>8.1080479966193303E-2</v>
      </c>
      <c r="F6" s="7">
        <f>+Recordkeeping!N22</f>
        <v>7291</v>
      </c>
      <c r="G6" s="64">
        <f>Recordkeeping!O22</f>
        <v>7290.5</v>
      </c>
      <c r="H6" s="261">
        <f>Recordkeeping!R22</f>
        <v>0</v>
      </c>
      <c r="I6" s="261">
        <f>Recordkeeping!S22</f>
        <v>0</v>
      </c>
      <c r="J6" s="261">
        <f>Recordkeeping!T22</f>
        <v>0</v>
      </c>
    </row>
    <row r="7" spans="1:13" ht="19.5" customHeight="1" x14ac:dyDescent="0.35">
      <c r="A7" s="69" t="s">
        <v>202</v>
      </c>
      <c r="B7" s="443">
        <f>SUBTOTAL(109,B5:B6)</f>
        <v>5577</v>
      </c>
      <c r="C7" s="443">
        <f>SUM(D7/B7)</f>
        <v>19.474090012551549</v>
      </c>
      <c r="D7" s="443">
        <f>SUBTOTAL(109,D5:D6)</f>
        <v>108607</v>
      </c>
      <c r="E7" s="443">
        <f>SUM(F7/D7)</f>
        <v>8.1142260627768012E-2</v>
      </c>
      <c r="F7" s="56">
        <f>SUBTOTAL(109,F5:F6)</f>
        <v>8812.6175000000003</v>
      </c>
      <c r="G7" s="261">
        <f>SUM(G5,G6)</f>
        <v>8170.42</v>
      </c>
      <c r="H7" s="261">
        <f t="shared" ref="H7:J7" si="0">SUM(H5,H6)</f>
        <v>0</v>
      </c>
      <c r="I7" s="261">
        <f t="shared" si="0"/>
        <v>642</v>
      </c>
      <c r="J7" s="261">
        <f t="shared" si="0"/>
        <v>642</v>
      </c>
    </row>
    <row r="8" spans="1:13" ht="19.5" customHeight="1" x14ac:dyDescent="0.35">
      <c r="A8" s="15" t="s">
        <v>203</v>
      </c>
      <c r="B8" s="444"/>
      <c r="C8" s="444"/>
      <c r="D8" s="444"/>
      <c r="E8" s="444"/>
      <c r="F8" s="14"/>
      <c r="G8" s="432"/>
      <c r="H8" s="432"/>
      <c r="I8" s="432"/>
      <c r="J8" s="432"/>
    </row>
    <row r="9" spans="1:13" x14ac:dyDescent="0.35">
      <c r="A9" s="6" t="s">
        <v>200</v>
      </c>
      <c r="B9" s="451">
        <f>Reporting!J64</f>
        <v>3367</v>
      </c>
      <c r="C9" s="451">
        <f>Reporting!K64</f>
        <v>36.961565191565192</v>
      </c>
      <c r="D9" s="451">
        <f>Reporting!L64</f>
        <v>124449.59000000001</v>
      </c>
      <c r="E9" s="445">
        <f>Reporting!M64</f>
        <v>2.1084106003081251</v>
      </c>
      <c r="F9" s="493">
        <f>Reporting!N64</f>
        <v>262390.83476000006</v>
      </c>
      <c r="G9" s="436">
        <f>Reporting!O64</f>
        <v>253664.00976000002</v>
      </c>
      <c r="H9" s="436">
        <f>Reporting!R64</f>
        <v>0</v>
      </c>
      <c r="I9" s="436">
        <f>Reporting!S64</f>
        <v>8727</v>
      </c>
      <c r="J9" s="436">
        <f>Reporting!T64</f>
        <v>8727</v>
      </c>
    </row>
    <row r="10" spans="1:13" ht="19.5" customHeight="1" x14ac:dyDescent="0.35">
      <c r="A10" s="9" t="s">
        <v>201</v>
      </c>
      <c r="B10" s="446">
        <f>Reporting!J82</f>
        <v>2210</v>
      </c>
      <c r="C10" s="446">
        <f>Reporting!K82</f>
        <v>22.228380090497737</v>
      </c>
      <c r="D10" s="446">
        <v>49125</v>
      </c>
      <c r="E10" s="446">
        <f>Reporting!M82</f>
        <v>3.1757390780039052</v>
      </c>
      <c r="F10" s="98">
        <f>Reporting!N82</f>
        <v>156007.29300000001</v>
      </c>
      <c r="G10" s="430">
        <f>Reporting!O82</f>
        <v>155721.79300000001</v>
      </c>
      <c r="H10" s="430">
        <f>Reporting!R82</f>
        <v>0</v>
      </c>
      <c r="I10" s="430">
        <f>Reporting!S82</f>
        <v>286</v>
      </c>
      <c r="J10" s="430">
        <f>Reporting!T82</f>
        <v>286</v>
      </c>
    </row>
    <row r="11" spans="1:13" ht="19.5" customHeight="1" x14ac:dyDescent="0.35">
      <c r="A11" s="19" t="s">
        <v>144</v>
      </c>
      <c r="B11" s="447">
        <f>Reporting!J86</f>
        <v>58365</v>
      </c>
      <c r="C11" s="447">
        <f>Reporting!K86</f>
        <v>2</v>
      </c>
      <c r="D11" s="447">
        <f>Reporting!L86</f>
        <v>116730</v>
      </c>
      <c r="E11" s="447">
        <f>Reporting!M86</f>
        <v>0.375</v>
      </c>
      <c r="F11" s="20">
        <f>Reporting!N86</f>
        <v>43773.75</v>
      </c>
      <c r="G11" s="431">
        <f>Reporting!O86</f>
        <v>43773.75</v>
      </c>
      <c r="H11" s="431">
        <f>Reporting!Q86</f>
        <v>0</v>
      </c>
      <c r="I11" s="431">
        <f>Reporting!S86</f>
        <v>0</v>
      </c>
      <c r="J11" s="431">
        <f>Reporting!T86</f>
        <v>0</v>
      </c>
    </row>
    <row r="12" spans="1:13" ht="15.75" customHeight="1" x14ac:dyDescent="0.35">
      <c r="A12" s="69" t="s">
        <v>204</v>
      </c>
      <c r="B12" s="443">
        <f>SUBTOTAL(109,B8:B11)</f>
        <v>63942</v>
      </c>
      <c r="C12" s="443">
        <f>SUM(D12/B12)</f>
        <v>4.5401237058584343</v>
      </c>
      <c r="D12" s="443">
        <f>SUBTOTAL(109,D8:D11)</f>
        <v>290304.59000000003</v>
      </c>
      <c r="E12" s="443">
        <f>SUM(F12/D12)</f>
        <v>1.5920240109190145</v>
      </c>
      <c r="F12" s="100">
        <f>SUBTOTAL(109,F8:F11)</f>
        <v>462171.87776000006</v>
      </c>
      <c r="G12" s="261">
        <f>SUM(G9:G11)</f>
        <v>453159.55275999999</v>
      </c>
      <c r="H12" s="261">
        <f t="shared" ref="H12:J12" si="1">SUM(H9:H11)</f>
        <v>0</v>
      </c>
      <c r="I12" s="261">
        <f t="shared" si="1"/>
        <v>9013</v>
      </c>
      <c r="J12" s="261">
        <f t="shared" si="1"/>
        <v>9013</v>
      </c>
    </row>
    <row r="13" spans="1:13" ht="19.5" customHeight="1" x14ac:dyDescent="0.35">
      <c r="A13" s="15" t="s">
        <v>179</v>
      </c>
      <c r="B13" s="444"/>
      <c r="C13" s="444"/>
      <c r="D13" s="444"/>
      <c r="E13" s="444"/>
      <c r="F13" s="14"/>
      <c r="G13" s="432"/>
      <c r="H13" s="432"/>
      <c r="I13" s="432"/>
      <c r="J13" s="432"/>
      <c r="L13" s="64"/>
      <c r="M13" s="64"/>
    </row>
    <row r="14" spans="1:13" ht="17.25" customHeight="1" x14ac:dyDescent="0.35">
      <c r="A14" s="6" t="s">
        <v>200</v>
      </c>
      <c r="B14" s="452">
        <v>3367</v>
      </c>
      <c r="C14" s="448">
        <v>1</v>
      </c>
      <c r="D14" s="452">
        <v>3526</v>
      </c>
      <c r="E14" s="448">
        <v>0.25</v>
      </c>
      <c r="F14" s="99">
        <f>'Public Disclosure'!O15</f>
        <v>881</v>
      </c>
      <c r="G14" s="473">
        <v>841</v>
      </c>
      <c r="H14" s="437">
        <f>'Public Disclosure'!S8</f>
        <v>0</v>
      </c>
      <c r="I14" s="430">
        <f>'Public Disclosure'!T8</f>
        <v>39.75</v>
      </c>
      <c r="J14" s="430">
        <f>'Public Disclosure'!U8</f>
        <v>39.75</v>
      </c>
      <c r="L14" s="65"/>
      <c r="M14" s="65"/>
    </row>
    <row r="15" spans="1:13" ht="17.25" customHeight="1" x14ac:dyDescent="0.35">
      <c r="A15" s="9" t="s">
        <v>201</v>
      </c>
      <c r="B15" s="446">
        <v>2210</v>
      </c>
      <c r="C15" s="446">
        <v>1</v>
      </c>
      <c r="D15" s="446">
        <v>2210</v>
      </c>
      <c r="E15" s="446">
        <v>0.25</v>
      </c>
      <c r="F15" s="492">
        <v>553</v>
      </c>
      <c r="G15" s="474">
        <v>553</v>
      </c>
      <c r="H15" s="430">
        <f>'Public Disclosure'!S11</f>
        <v>0</v>
      </c>
      <c r="I15" s="430"/>
      <c r="J15" s="430"/>
      <c r="L15" s="48"/>
      <c r="M15" s="48"/>
    </row>
    <row r="16" spans="1:13" ht="17.25" customHeight="1" x14ac:dyDescent="0.35">
      <c r="A16" s="69" t="s">
        <v>205</v>
      </c>
      <c r="B16" s="443">
        <f>SUBTOTAL(109,B13:B15)</f>
        <v>5577</v>
      </c>
      <c r="C16" s="443">
        <f>SUM(D16/B16)</f>
        <v>1.0285099515868747</v>
      </c>
      <c r="D16" s="443">
        <f>SUBTOTAL(109,D13:D15)</f>
        <v>5736</v>
      </c>
      <c r="E16" s="443">
        <f>SUM(F16/D16)</f>
        <v>0.25</v>
      </c>
      <c r="F16" s="100">
        <f>SUM(F14:F15)</f>
        <v>1434</v>
      </c>
      <c r="G16" s="64">
        <v>1394</v>
      </c>
      <c r="H16" s="261">
        <f t="shared" ref="H16:J16" si="2">SUM(H14,H15)</f>
        <v>0</v>
      </c>
      <c r="I16" s="261">
        <f t="shared" si="2"/>
        <v>39.75</v>
      </c>
      <c r="J16" s="261">
        <f t="shared" si="2"/>
        <v>39.75</v>
      </c>
      <c r="L16" s="48"/>
      <c r="M16" s="48"/>
    </row>
    <row r="17" spans="1:15" ht="17.25" customHeight="1" x14ac:dyDescent="0.35">
      <c r="A17" s="10" t="s">
        <v>206</v>
      </c>
      <c r="B17" s="449">
        <f>B12</f>
        <v>63942</v>
      </c>
      <c r="C17" s="449">
        <f>SUM(D17/B17)</f>
        <v>6.3283536642582341</v>
      </c>
      <c r="D17" s="449">
        <f>+D7+D12+D16</f>
        <v>404647.59</v>
      </c>
      <c r="E17" s="449">
        <f>SUM(F17/D17)</f>
        <v>1.1674813020880712</v>
      </c>
      <c r="F17" s="80">
        <f>+F7+F12+F16</f>
        <v>472418.49526000005</v>
      </c>
      <c r="G17" s="433">
        <f>SUM(G7,G12,G16)</f>
        <v>462723.97275999998</v>
      </c>
      <c r="H17" s="433">
        <f t="shared" ref="H17:J17" si="3">SUM(H7,H12,H16)</f>
        <v>0</v>
      </c>
      <c r="I17" s="433">
        <f t="shared" si="3"/>
        <v>9694.75</v>
      </c>
      <c r="J17" s="433">
        <f t="shared" si="3"/>
        <v>9694.75</v>
      </c>
    </row>
    <row r="18" spans="1:15" ht="17.25" customHeight="1" x14ac:dyDescent="0.35">
      <c r="F18" s="48"/>
    </row>
    <row r="19" spans="1:15" x14ac:dyDescent="0.35">
      <c r="A19" s="4"/>
      <c r="B19" s="450"/>
      <c r="C19" s="450"/>
      <c r="D19" s="450"/>
      <c r="E19" s="450"/>
      <c r="F19" s="26"/>
    </row>
    <row r="24" spans="1:15" x14ac:dyDescent="0.35">
      <c r="J24" s="438"/>
      <c r="K24" s="68"/>
      <c r="L24" s="66"/>
      <c r="M24" s="68"/>
      <c r="N24" s="67"/>
      <c r="O24" s="72"/>
    </row>
    <row r="25" spans="1:15" x14ac:dyDescent="0.35">
      <c r="H25" s="438"/>
      <c r="I25" s="439"/>
      <c r="J25" s="438"/>
      <c r="K25" s="8"/>
      <c r="L25" s="217"/>
      <c r="M25" s="8"/>
      <c r="N25" s="218"/>
      <c r="O25" s="219"/>
    </row>
    <row r="26" spans="1:15" x14ac:dyDescent="0.35">
      <c r="K26" s="48"/>
      <c r="L26" s="48"/>
      <c r="M26" s="48"/>
      <c r="N26" s="48"/>
      <c r="O26" s="48"/>
    </row>
    <row r="30" spans="1:15" x14ac:dyDescent="0.35">
      <c r="J30" s="438"/>
      <c r="K30" s="68"/>
      <c r="L30" s="70"/>
      <c r="M30" s="68"/>
      <c r="N30" s="71"/>
      <c r="O30" s="72"/>
    </row>
    <row r="31" spans="1:15" x14ac:dyDescent="0.35">
      <c r="M31" s="64"/>
      <c r="O31" s="65"/>
    </row>
    <row r="32" spans="1:15" x14ac:dyDescent="0.35">
      <c r="K32" s="48"/>
      <c r="L32" s="48"/>
      <c r="M32" s="48"/>
      <c r="N32" s="48"/>
      <c r="O32" s="48"/>
    </row>
  </sheetData>
  <mergeCells count="1">
    <mergeCell ref="A1:J2"/>
  </mergeCells>
  <printOptions horizontalCentered="1"/>
  <pageMargins left="0.7" right="0.7" top="0.75" bottom="0.75" header="0.3" footer="0.3"/>
  <pageSetup scale="83" orientation="portrait" r:id="rId1"/>
  <headerFooter>
    <oddHeader>&amp;CAttachment A - Burden Chart for OMB Control # 0584-0280 7 CFR Part 225 Summer Food Service Program</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2E5D9-859D-4EBC-82B1-981266DB635A}">
  <dimension ref="B6:I18"/>
  <sheetViews>
    <sheetView showGridLines="0" workbookViewId="0">
      <selection activeCell="I23" sqref="I23"/>
    </sheetView>
  </sheetViews>
  <sheetFormatPr defaultRowHeight="14.5" x14ac:dyDescent="0.35"/>
  <cols>
    <col min="2" max="2" width="37.1796875" bestFit="1" customWidth="1"/>
    <col min="3" max="3" width="6.453125" customWidth="1"/>
    <col min="4" max="4" width="13.54296875" customWidth="1"/>
    <col min="5" max="5" width="7.453125" customWidth="1"/>
    <col min="6" max="6" width="2" bestFit="1" customWidth="1"/>
    <col min="7" max="7" width="8.54296875"/>
    <col min="8" max="8" width="2.453125" bestFit="1" customWidth="1"/>
    <col min="9" max="9" width="17.453125" customWidth="1"/>
  </cols>
  <sheetData>
    <row r="6" spans="2:9" ht="15.5" x14ac:dyDescent="0.35">
      <c r="B6" s="232" t="s">
        <v>207</v>
      </c>
      <c r="C6" s="109"/>
      <c r="D6" s="233"/>
      <c r="E6" s="202"/>
      <c r="F6" s="202"/>
      <c r="G6" s="234"/>
      <c r="H6" s="202"/>
      <c r="I6" s="235"/>
    </row>
    <row r="7" spans="2:9" x14ac:dyDescent="0.35">
      <c r="B7" s="236" t="s">
        <v>208</v>
      </c>
      <c r="C7" s="237" t="s">
        <v>209</v>
      </c>
      <c r="D7" s="238">
        <f>'Burden Summary'!F5+'Burden Summary'!F9+'Burden Summary'!F14</f>
        <v>264793.45226000005</v>
      </c>
      <c r="E7" s="189" t="s">
        <v>210</v>
      </c>
      <c r="F7" s="189" t="s">
        <v>211</v>
      </c>
      <c r="G7" s="239">
        <f>'Labor Rates'!D5</f>
        <v>50.16</v>
      </c>
      <c r="H7" s="240" t="s">
        <v>209</v>
      </c>
      <c r="I7" s="241">
        <f>D7*G7</f>
        <v>13282039.565361602</v>
      </c>
    </row>
    <row r="8" spans="2:9" x14ac:dyDescent="0.35">
      <c r="B8" s="242" t="s">
        <v>212</v>
      </c>
      <c r="C8" s="237" t="s">
        <v>209</v>
      </c>
      <c r="D8" s="238">
        <f>SUM(D7)</f>
        <v>264793.45226000005</v>
      </c>
      <c r="E8" s="189" t="s">
        <v>210</v>
      </c>
      <c r="F8" s="189"/>
      <c r="G8" s="239"/>
      <c r="H8" s="189"/>
      <c r="I8" s="241">
        <f>SUM(I7:I7)</f>
        <v>13282039.565361602</v>
      </c>
    </row>
    <row r="9" spans="2:9" ht="15.5" x14ac:dyDescent="0.35">
      <c r="B9" s="232" t="s">
        <v>213</v>
      </c>
      <c r="C9" s="243"/>
      <c r="D9" s="233"/>
      <c r="E9" s="202"/>
      <c r="F9" s="202"/>
      <c r="G9" s="234"/>
      <c r="H9" s="202"/>
      <c r="I9" s="235"/>
    </row>
    <row r="10" spans="2:9" x14ac:dyDescent="0.35">
      <c r="B10" s="236" t="s">
        <v>214</v>
      </c>
      <c r="C10" s="237" t="s">
        <v>209</v>
      </c>
      <c r="D10" s="238">
        <f>'Burden Summary'!F6+'Burden Summary'!F10+'Burden Summary'!F15</f>
        <v>163851.29300000001</v>
      </c>
      <c r="E10" s="189" t="s">
        <v>210</v>
      </c>
      <c r="F10" s="189" t="s">
        <v>211</v>
      </c>
      <c r="G10" s="239">
        <f>'Labor Rates'!D6</f>
        <v>15.42</v>
      </c>
      <c r="H10" s="240" t="s">
        <v>209</v>
      </c>
      <c r="I10" s="241">
        <f>D10*G10</f>
        <v>2526586.9380600001</v>
      </c>
    </row>
    <row r="11" spans="2:9" x14ac:dyDescent="0.35">
      <c r="B11" s="242" t="s">
        <v>212</v>
      </c>
      <c r="C11" s="237" t="s">
        <v>209</v>
      </c>
      <c r="D11" s="238">
        <f>SUM(D10)</f>
        <v>163851.29300000001</v>
      </c>
      <c r="E11" s="189" t="s">
        <v>210</v>
      </c>
      <c r="F11" s="189"/>
      <c r="G11" s="239"/>
      <c r="H11" s="189"/>
      <c r="I11" s="241">
        <f>SUM(I10:I10)</f>
        <v>2526586.9380600001</v>
      </c>
    </row>
    <row r="12" spans="2:9" ht="15.5" x14ac:dyDescent="0.35">
      <c r="B12" s="232" t="s">
        <v>215</v>
      </c>
      <c r="C12" s="243"/>
      <c r="D12" s="233"/>
      <c r="E12" s="202"/>
      <c r="F12" s="202"/>
      <c r="G12" s="234"/>
      <c r="H12" s="202"/>
      <c r="I12" s="241"/>
    </row>
    <row r="13" spans="2:9" x14ac:dyDescent="0.35">
      <c r="B13" s="236" t="s">
        <v>144</v>
      </c>
      <c r="C13" s="237" t="s">
        <v>209</v>
      </c>
      <c r="D13" s="238">
        <f>'Burden Summary'!F11</f>
        <v>43773.75</v>
      </c>
      <c r="E13" s="189" t="s">
        <v>210</v>
      </c>
      <c r="F13" s="189" t="s">
        <v>211</v>
      </c>
      <c r="G13" s="239">
        <f>'Labor Rates'!D7</f>
        <v>7.25</v>
      </c>
      <c r="H13" s="240" t="s">
        <v>209</v>
      </c>
      <c r="I13" s="241">
        <f>D13*G13</f>
        <v>317359.6875</v>
      </c>
    </row>
    <row r="14" spans="2:9" x14ac:dyDescent="0.35">
      <c r="B14" s="242" t="s">
        <v>212</v>
      </c>
      <c r="C14" s="237" t="s">
        <v>209</v>
      </c>
      <c r="D14" s="238">
        <f>SUM(D13)</f>
        <v>43773.75</v>
      </c>
      <c r="E14" s="189" t="s">
        <v>210</v>
      </c>
      <c r="F14" s="189"/>
      <c r="G14" s="239"/>
      <c r="H14" s="189"/>
      <c r="I14" s="241">
        <f>I13</f>
        <v>317359.6875</v>
      </c>
    </row>
    <row r="15" spans="2:9" x14ac:dyDescent="0.35">
      <c r="B15" s="209"/>
      <c r="C15" s="244"/>
      <c r="D15" s="238"/>
      <c r="E15" s="189"/>
      <c r="F15" s="189"/>
      <c r="G15" s="239"/>
      <c r="H15" s="189"/>
      <c r="I15" s="241"/>
    </row>
    <row r="16" spans="2:9" x14ac:dyDescent="0.35">
      <c r="B16" s="47" t="s">
        <v>216</v>
      </c>
      <c r="C16" s="245" t="s">
        <v>209</v>
      </c>
      <c r="D16" s="246"/>
      <c r="E16" s="55"/>
      <c r="F16" s="47"/>
      <c r="G16" s="247"/>
      <c r="H16" s="47"/>
      <c r="I16" s="248">
        <f>SUM(I8,I11,I14)</f>
        <v>16125986.190921603</v>
      </c>
    </row>
    <row r="17" spans="2:9" x14ac:dyDescent="0.35">
      <c r="B17" s="47" t="s">
        <v>217</v>
      </c>
      <c r="C17" s="245" t="s">
        <v>209</v>
      </c>
      <c r="D17" s="246"/>
      <c r="E17" s="47"/>
      <c r="F17" s="47"/>
      <c r="G17" s="247"/>
      <c r="H17" s="47"/>
      <c r="I17" s="248">
        <f>I16*0.33</f>
        <v>5321575.4430041295</v>
      </c>
    </row>
    <row r="18" spans="2:9" x14ac:dyDescent="0.35">
      <c r="B18" s="47" t="s">
        <v>218</v>
      </c>
      <c r="C18" s="245" t="s">
        <v>209</v>
      </c>
      <c r="D18" s="246">
        <f>D8+D11+D14</f>
        <v>472418.49526000005</v>
      </c>
      <c r="E18" s="47" t="s">
        <v>210</v>
      </c>
      <c r="F18" s="47"/>
      <c r="G18" s="247"/>
      <c r="H18" s="47"/>
      <c r="I18" s="248">
        <f>I16+I17</f>
        <v>21447561.633925732</v>
      </c>
    </row>
  </sheetData>
  <conditionalFormatting sqref="F7 H7">
    <cfRule type="dataBar" priority="6">
      <dataBar>
        <cfvo type="min"/>
        <cfvo type="max"/>
        <color rgb="FF638EC6"/>
      </dataBar>
      <extLst>
        <ext xmlns:x14="http://schemas.microsoft.com/office/spreadsheetml/2009/9/main" uri="{B025F937-C7B1-47D3-B67F-A62EFF666E3E}">
          <x14:id>{53A381C0-BA47-4453-B9D4-8D7A94DCE2B1}</x14:id>
        </ext>
      </extLst>
    </cfRule>
  </conditionalFormatting>
  <conditionalFormatting sqref="F10">
    <cfRule type="dataBar" priority="7">
      <dataBar>
        <cfvo type="min"/>
        <cfvo type="max"/>
        <color rgb="FF638EC6"/>
      </dataBar>
      <extLst>
        <ext xmlns:x14="http://schemas.microsoft.com/office/spreadsheetml/2009/9/main" uri="{B025F937-C7B1-47D3-B67F-A62EFF666E3E}">
          <x14:id>{98A9DE31-E8E6-4C1F-90FB-9DDCEF71A1DD}</x14:id>
        </ext>
      </extLst>
    </cfRule>
  </conditionalFormatting>
  <conditionalFormatting sqref="F13">
    <cfRule type="dataBar" priority="3">
      <dataBar>
        <cfvo type="min"/>
        <cfvo type="max"/>
        <color rgb="FF638EC6"/>
      </dataBar>
      <extLst>
        <ext xmlns:x14="http://schemas.microsoft.com/office/spreadsheetml/2009/9/main" uri="{B025F937-C7B1-47D3-B67F-A62EFF666E3E}">
          <x14:id>{2528C156-C866-480C-8C16-5A4303BF4B27}</x14:id>
        </ext>
      </extLst>
    </cfRule>
  </conditionalFormatting>
  <conditionalFormatting sqref="H10">
    <cfRule type="dataBar" priority="8">
      <dataBar>
        <cfvo type="min"/>
        <cfvo type="max"/>
        <color rgb="FF638EC6"/>
      </dataBar>
      <extLst>
        <ext xmlns:x14="http://schemas.microsoft.com/office/spreadsheetml/2009/9/main" uri="{B025F937-C7B1-47D3-B67F-A62EFF666E3E}">
          <x14:id>{23CFD95D-5B2D-45D8-A069-3556C714263B}</x14:id>
        </ext>
      </extLst>
    </cfRule>
  </conditionalFormatting>
  <conditionalFormatting sqref="H13">
    <cfRule type="dataBar" priority="1">
      <dataBar>
        <cfvo type="min"/>
        <cfvo type="max"/>
        <color rgb="FF638EC6"/>
      </dataBar>
      <extLst>
        <ext xmlns:x14="http://schemas.microsoft.com/office/spreadsheetml/2009/9/main" uri="{B025F937-C7B1-47D3-B67F-A62EFF666E3E}">
          <x14:id>{D9B158AB-E445-46FA-86A5-C2E33C45C8E3}</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3A381C0-BA47-4453-B9D4-8D7A94DCE2B1}">
            <x14:dataBar minLength="0" maxLength="100" gradient="0">
              <x14:cfvo type="autoMin"/>
              <x14:cfvo type="autoMax"/>
              <x14:negativeFillColor rgb="FFFF0000"/>
              <x14:axisColor rgb="FF000000"/>
            </x14:dataBar>
          </x14:cfRule>
          <xm:sqref>F7 H7</xm:sqref>
        </x14:conditionalFormatting>
        <x14:conditionalFormatting xmlns:xm="http://schemas.microsoft.com/office/excel/2006/main">
          <x14:cfRule type="dataBar" id="{98A9DE31-E8E6-4C1F-90FB-9DDCEF71A1DD}">
            <x14:dataBar minLength="0" maxLength="100" gradient="0">
              <x14:cfvo type="autoMin"/>
              <x14:cfvo type="autoMax"/>
              <x14:negativeFillColor rgb="FFFF0000"/>
              <x14:axisColor rgb="FF000000"/>
            </x14:dataBar>
          </x14:cfRule>
          <xm:sqref>F10</xm:sqref>
        </x14:conditionalFormatting>
        <x14:conditionalFormatting xmlns:xm="http://schemas.microsoft.com/office/excel/2006/main">
          <x14:cfRule type="dataBar" id="{2528C156-C866-480C-8C16-5A4303BF4B27}">
            <x14:dataBar minLength="0" maxLength="100" gradient="0">
              <x14:cfvo type="autoMin"/>
              <x14:cfvo type="autoMax"/>
              <x14:negativeFillColor rgb="FFFF0000"/>
              <x14:axisColor rgb="FF000000"/>
            </x14:dataBar>
          </x14:cfRule>
          <xm:sqref>F13</xm:sqref>
        </x14:conditionalFormatting>
        <x14:conditionalFormatting xmlns:xm="http://schemas.microsoft.com/office/excel/2006/main">
          <x14:cfRule type="dataBar" id="{23CFD95D-5B2D-45D8-A069-3556C714263B}">
            <x14:dataBar minLength="0" maxLength="100" gradient="0">
              <x14:cfvo type="autoMin"/>
              <x14:cfvo type="autoMax"/>
              <x14:negativeFillColor rgb="FFFF0000"/>
              <x14:axisColor rgb="FF000000"/>
            </x14:dataBar>
          </x14:cfRule>
          <xm:sqref>H10</xm:sqref>
        </x14:conditionalFormatting>
        <x14:conditionalFormatting xmlns:xm="http://schemas.microsoft.com/office/excel/2006/main">
          <x14:cfRule type="dataBar" id="{D9B158AB-E445-46FA-86A5-C2E33C45C8E3}">
            <x14:dataBar minLength="0" maxLength="100" gradient="0">
              <x14:cfvo type="autoMin"/>
              <x14:cfvo type="autoMax"/>
              <x14:negativeFillColor rgb="FFFF0000"/>
              <x14:axisColor rgb="FF000000"/>
            </x14:dataBar>
          </x14:cfRule>
          <xm:sqref>H13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5830F-7914-49E1-85D5-0F862D83EF80}">
  <dimension ref="B6:I20"/>
  <sheetViews>
    <sheetView showGridLines="0" workbookViewId="0"/>
  </sheetViews>
  <sheetFormatPr defaultRowHeight="14.5" x14ac:dyDescent="0.35"/>
  <cols>
    <col min="2" max="2" width="37.1796875" bestFit="1" customWidth="1"/>
    <col min="3" max="3" width="6.453125" customWidth="1"/>
    <col min="4" max="4" width="13.54296875" customWidth="1"/>
    <col min="5" max="5" width="7.453125" customWidth="1"/>
    <col min="6" max="6" width="2" bestFit="1" customWidth="1"/>
    <col min="8" max="8" width="2.453125" bestFit="1" customWidth="1"/>
    <col min="9" max="9" width="17.453125" customWidth="1"/>
  </cols>
  <sheetData>
    <row r="6" spans="2:9" ht="15.5" x14ac:dyDescent="0.35">
      <c r="B6" s="232" t="s">
        <v>207</v>
      </c>
      <c r="C6" s="109"/>
      <c r="D6" s="233"/>
      <c r="E6" s="202"/>
      <c r="F6" s="202"/>
      <c r="G6" s="234"/>
      <c r="H6" s="202"/>
      <c r="I6" s="235"/>
    </row>
    <row r="7" spans="2:9" x14ac:dyDescent="0.35">
      <c r="B7" s="236" t="s">
        <v>208</v>
      </c>
      <c r="C7" s="237" t="s">
        <v>209</v>
      </c>
      <c r="D7" s="238">
        <f>Reporting!T64+Recordkeeping!T14+'Public Disclosure'!U8</f>
        <v>9408.75</v>
      </c>
      <c r="E7" s="189" t="s">
        <v>210</v>
      </c>
      <c r="F7" s="189" t="s">
        <v>211</v>
      </c>
      <c r="G7" s="239">
        <f>'Labor Rates'!D5</f>
        <v>50.16</v>
      </c>
      <c r="H7" s="240" t="s">
        <v>209</v>
      </c>
      <c r="I7" s="241">
        <f>D7*G7</f>
        <v>471942.89999999997</v>
      </c>
    </row>
    <row r="8" spans="2:9" x14ac:dyDescent="0.35">
      <c r="B8" s="242" t="s">
        <v>212</v>
      </c>
      <c r="C8" s="237" t="s">
        <v>209</v>
      </c>
      <c r="D8" s="238">
        <f>SUM(D7)</f>
        <v>9408.75</v>
      </c>
      <c r="E8" s="189" t="s">
        <v>210</v>
      </c>
      <c r="F8" s="189"/>
      <c r="G8" s="239"/>
      <c r="H8" s="189"/>
      <c r="I8" s="241">
        <f>SUM(I7:I7)</f>
        <v>471942.89999999997</v>
      </c>
    </row>
    <row r="9" spans="2:9" ht="15.5" x14ac:dyDescent="0.35">
      <c r="B9" s="232" t="s">
        <v>213</v>
      </c>
      <c r="C9" s="243"/>
      <c r="D9" s="233"/>
      <c r="E9" s="202"/>
      <c r="F9" s="202"/>
      <c r="G9" s="234"/>
      <c r="H9" s="202"/>
      <c r="I9" s="235"/>
    </row>
    <row r="10" spans="2:9" x14ac:dyDescent="0.35">
      <c r="B10" s="236" t="s">
        <v>214</v>
      </c>
      <c r="C10" s="237" t="s">
        <v>209</v>
      </c>
      <c r="D10" s="238">
        <f>Reporting!T82+Recordkeeping!T22+'Public Disclosure'!U11</f>
        <v>286</v>
      </c>
      <c r="E10" s="189" t="s">
        <v>210</v>
      </c>
      <c r="F10" s="189" t="s">
        <v>211</v>
      </c>
      <c r="G10" s="239">
        <f>'Labor Rates'!D6</f>
        <v>15.42</v>
      </c>
      <c r="H10" s="240" t="s">
        <v>209</v>
      </c>
      <c r="I10" s="241">
        <f>D10*G10</f>
        <v>4410.12</v>
      </c>
    </row>
    <row r="11" spans="2:9" x14ac:dyDescent="0.35">
      <c r="B11" s="242" t="s">
        <v>212</v>
      </c>
      <c r="C11" s="237" t="s">
        <v>209</v>
      </c>
      <c r="D11" s="238">
        <f>SUM(D10)</f>
        <v>286</v>
      </c>
      <c r="E11" s="189" t="s">
        <v>210</v>
      </c>
      <c r="F11" s="189"/>
      <c r="G11" s="239"/>
      <c r="H11" s="189"/>
      <c r="I11" s="241">
        <f>SUM(I10:I10)</f>
        <v>4410.12</v>
      </c>
    </row>
    <row r="12" spans="2:9" ht="15.5" x14ac:dyDescent="0.35">
      <c r="B12" s="232" t="s">
        <v>215</v>
      </c>
      <c r="C12" s="243"/>
      <c r="D12" s="233"/>
      <c r="E12" s="202"/>
      <c r="F12" s="202"/>
      <c r="G12" s="234"/>
      <c r="H12" s="202"/>
      <c r="I12" s="241"/>
    </row>
    <row r="13" spans="2:9" x14ac:dyDescent="0.35">
      <c r="B13" s="236" t="s">
        <v>144</v>
      </c>
      <c r="C13" s="237" t="s">
        <v>209</v>
      </c>
      <c r="D13" s="238">
        <f>Reporting!T86</f>
        <v>0</v>
      </c>
      <c r="E13" s="189" t="s">
        <v>210</v>
      </c>
      <c r="F13" s="189" t="s">
        <v>211</v>
      </c>
      <c r="G13" s="239">
        <f>'Labor Rates'!D7</f>
        <v>7.25</v>
      </c>
      <c r="H13" s="240" t="s">
        <v>209</v>
      </c>
      <c r="I13" s="241">
        <f>D13*G13</f>
        <v>0</v>
      </c>
    </row>
    <row r="14" spans="2:9" x14ac:dyDescent="0.35">
      <c r="B14" s="242" t="s">
        <v>212</v>
      </c>
      <c r="C14" s="237" t="s">
        <v>209</v>
      </c>
      <c r="D14" s="238">
        <f>SUM(D13)</f>
        <v>0</v>
      </c>
      <c r="E14" s="189" t="s">
        <v>210</v>
      </c>
      <c r="F14" s="189"/>
      <c r="G14" s="239"/>
      <c r="H14" s="189"/>
      <c r="I14" s="241">
        <f>I13</f>
        <v>0</v>
      </c>
    </row>
    <row r="15" spans="2:9" x14ac:dyDescent="0.35">
      <c r="B15" s="209"/>
      <c r="C15" s="244"/>
      <c r="D15" s="238"/>
      <c r="E15" s="189"/>
      <c r="F15" s="189"/>
      <c r="G15" s="239"/>
      <c r="H15" s="189"/>
      <c r="I15" s="241"/>
    </row>
    <row r="16" spans="2:9" x14ac:dyDescent="0.35">
      <c r="B16" s="47" t="s">
        <v>216</v>
      </c>
      <c r="C16" s="245" t="s">
        <v>209</v>
      </c>
      <c r="D16" s="246"/>
      <c r="E16" s="47" t="s">
        <v>210</v>
      </c>
      <c r="F16" s="47"/>
      <c r="G16" s="247"/>
      <c r="H16" s="47"/>
      <c r="I16" s="248">
        <f>SUM(I8,I11,I14)</f>
        <v>476353.01999999996</v>
      </c>
    </row>
    <row r="17" spans="2:9" x14ac:dyDescent="0.35">
      <c r="B17" s="47" t="s">
        <v>217</v>
      </c>
      <c r="C17" s="245" t="s">
        <v>209</v>
      </c>
      <c r="D17" s="246"/>
      <c r="E17" s="47" t="s">
        <v>210</v>
      </c>
      <c r="F17" s="47"/>
      <c r="G17" s="247"/>
      <c r="H17" s="47"/>
      <c r="I17" s="248">
        <f>I16*0.33</f>
        <v>157196.49659999998</v>
      </c>
    </row>
    <row r="18" spans="2:9" x14ac:dyDescent="0.35">
      <c r="B18" s="47" t="s">
        <v>257</v>
      </c>
      <c r="C18" s="245" t="s">
        <v>209</v>
      </c>
      <c r="D18" s="484">
        <f>D8+D11+D14</f>
        <v>9694.75</v>
      </c>
      <c r="E18" s="47" t="s">
        <v>210</v>
      </c>
      <c r="F18" s="47"/>
      <c r="G18" s="247"/>
      <c r="H18" s="47"/>
      <c r="I18" s="248">
        <f>I16+I17</f>
        <v>633549.51659999997</v>
      </c>
    </row>
    <row r="19" spans="2:9" ht="29" x14ac:dyDescent="0.35">
      <c r="B19" s="481" t="s">
        <v>258</v>
      </c>
      <c r="C19" s="480" t="s">
        <v>209</v>
      </c>
      <c r="D19" s="482">
        <v>462698.97275999998</v>
      </c>
      <c r="E19" s="47" t="s">
        <v>210</v>
      </c>
      <c r="I19" s="483">
        <v>18387852</v>
      </c>
    </row>
    <row r="20" spans="2:9" x14ac:dyDescent="0.35">
      <c r="B20" s="47" t="s">
        <v>218</v>
      </c>
      <c r="C20" s="480" t="s">
        <v>209</v>
      </c>
      <c r="D20" s="482">
        <f>SUM(D18:D19)</f>
        <v>472393.72275999998</v>
      </c>
      <c r="E20" s="47" t="s">
        <v>210</v>
      </c>
      <c r="I20" s="483">
        <f>SUM(I18:I19)</f>
        <v>19021401.516600002</v>
      </c>
    </row>
  </sheetData>
  <conditionalFormatting sqref="F7 H7">
    <cfRule type="dataBar" priority="3">
      <dataBar>
        <cfvo type="min"/>
        <cfvo type="max"/>
        <color rgb="FF638EC6"/>
      </dataBar>
      <extLst>
        <ext xmlns:x14="http://schemas.microsoft.com/office/spreadsheetml/2009/9/main" uri="{B025F937-C7B1-47D3-B67F-A62EFF666E3E}">
          <x14:id>{AA9AB571-4F49-4A53-A70E-97578D5B49C1}</x14:id>
        </ext>
      </extLst>
    </cfRule>
  </conditionalFormatting>
  <conditionalFormatting sqref="F10">
    <cfRule type="dataBar" priority="4">
      <dataBar>
        <cfvo type="min"/>
        <cfvo type="max"/>
        <color rgb="FF638EC6"/>
      </dataBar>
      <extLst>
        <ext xmlns:x14="http://schemas.microsoft.com/office/spreadsheetml/2009/9/main" uri="{B025F937-C7B1-47D3-B67F-A62EFF666E3E}">
          <x14:id>{B0D634EE-16B9-4C49-AB23-53647CD4CB01}</x14:id>
        </ext>
      </extLst>
    </cfRule>
  </conditionalFormatting>
  <conditionalFormatting sqref="F13">
    <cfRule type="dataBar" priority="2">
      <dataBar>
        <cfvo type="min"/>
        <cfvo type="max"/>
        <color rgb="FF638EC6"/>
      </dataBar>
      <extLst>
        <ext xmlns:x14="http://schemas.microsoft.com/office/spreadsheetml/2009/9/main" uri="{B025F937-C7B1-47D3-B67F-A62EFF666E3E}">
          <x14:id>{6A8C7E87-49FD-4951-99AC-368F07857F61}</x14:id>
        </ext>
      </extLst>
    </cfRule>
  </conditionalFormatting>
  <conditionalFormatting sqref="H10">
    <cfRule type="dataBar" priority="5">
      <dataBar>
        <cfvo type="min"/>
        <cfvo type="max"/>
        <color rgb="FF638EC6"/>
      </dataBar>
      <extLst>
        <ext xmlns:x14="http://schemas.microsoft.com/office/spreadsheetml/2009/9/main" uri="{B025F937-C7B1-47D3-B67F-A62EFF666E3E}">
          <x14:id>{4EFA9B9C-F57F-4565-87EF-DE5F938BA4D0}</x14:id>
        </ext>
      </extLst>
    </cfRule>
  </conditionalFormatting>
  <conditionalFormatting sqref="H13">
    <cfRule type="dataBar" priority="1">
      <dataBar>
        <cfvo type="min"/>
        <cfvo type="max"/>
        <color rgb="FF638EC6"/>
      </dataBar>
      <extLst>
        <ext xmlns:x14="http://schemas.microsoft.com/office/spreadsheetml/2009/9/main" uri="{B025F937-C7B1-47D3-B67F-A62EFF666E3E}">
          <x14:id>{3A4294F7-DF43-4E57-BCA8-D9124BFA8402}</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AA9AB571-4F49-4A53-A70E-97578D5B49C1}">
            <x14:dataBar minLength="0" maxLength="100" gradient="0">
              <x14:cfvo type="autoMin"/>
              <x14:cfvo type="autoMax"/>
              <x14:negativeFillColor rgb="FFFF0000"/>
              <x14:axisColor rgb="FF000000"/>
            </x14:dataBar>
          </x14:cfRule>
          <xm:sqref>F7 H7</xm:sqref>
        </x14:conditionalFormatting>
        <x14:conditionalFormatting xmlns:xm="http://schemas.microsoft.com/office/excel/2006/main">
          <x14:cfRule type="dataBar" id="{B0D634EE-16B9-4C49-AB23-53647CD4CB01}">
            <x14:dataBar minLength="0" maxLength="100" gradient="0">
              <x14:cfvo type="autoMin"/>
              <x14:cfvo type="autoMax"/>
              <x14:negativeFillColor rgb="FFFF0000"/>
              <x14:axisColor rgb="FF000000"/>
            </x14:dataBar>
          </x14:cfRule>
          <xm:sqref>F10</xm:sqref>
        </x14:conditionalFormatting>
        <x14:conditionalFormatting xmlns:xm="http://schemas.microsoft.com/office/excel/2006/main">
          <x14:cfRule type="dataBar" id="{6A8C7E87-49FD-4951-99AC-368F07857F61}">
            <x14:dataBar minLength="0" maxLength="100" gradient="0">
              <x14:cfvo type="autoMin"/>
              <x14:cfvo type="autoMax"/>
              <x14:negativeFillColor rgb="FFFF0000"/>
              <x14:axisColor rgb="FF000000"/>
            </x14:dataBar>
          </x14:cfRule>
          <xm:sqref>F13</xm:sqref>
        </x14:conditionalFormatting>
        <x14:conditionalFormatting xmlns:xm="http://schemas.microsoft.com/office/excel/2006/main">
          <x14:cfRule type="dataBar" id="{4EFA9B9C-F57F-4565-87EF-DE5F938BA4D0}">
            <x14:dataBar minLength="0" maxLength="100" gradient="0">
              <x14:cfvo type="autoMin"/>
              <x14:cfvo type="autoMax"/>
              <x14:negativeFillColor rgb="FFFF0000"/>
              <x14:axisColor rgb="FF000000"/>
            </x14:dataBar>
          </x14:cfRule>
          <xm:sqref>H10</xm:sqref>
        </x14:conditionalFormatting>
        <x14:conditionalFormatting xmlns:xm="http://schemas.microsoft.com/office/excel/2006/main">
          <x14:cfRule type="dataBar" id="{3A4294F7-DF43-4E57-BCA8-D9124BFA8402}">
            <x14:dataBar minLength="0" maxLength="100" gradient="0">
              <x14:cfvo type="autoMin"/>
              <x14:cfvo type="autoMax"/>
              <x14:negativeFillColor rgb="FFFF0000"/>
              <x14:axisColor rgb="FF000000"/>
            </x14:dataBar>
          </x14:cfRule>
          <xm:sqref>H13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647D8-5DCC-4128-A201-FC7D0E044946}">
  <dimension ref="B1:E11"/>
  <sheetViews>
    <sheetView showGridLines="0" workbookViewId="0">
      <selection activeCell="E6" sqref="E6"/>
    </sheetView>
  </sheetViews>
  <sheetFormatPr defaultRowHeight="14.5" x14ac:dyDescent="0.35"/>
  <cols>
    <col min="2" max="2" width="18.453125" bestFit="1" customWidth="1"/>
    <col min="3" max="3" width="16.453125" customWidth="1"/>
    <col min="4" max="4" width="13.453125" customWidth="1"/>
    <col min="5" max="5" width="67.453125" customWidth="1"/>
  </cols>
  <sheetData>
    <row r="1" spans="2:5" ht="15" thickBot="1" x14ac:dyDescent="0.4"/>
    <row r="2" spans="2:5" x14ac:dyDescent="0.35">
      <c r="B2" s="519" t="s">
        <v>219</v>
      </c>
      <c r="C2" s="520"/>
      <c r="D2" s="521"/>
      <c r="E2" s="522"/>
    </row>
    <row r="3" spans="2:5" x14ac:dyDescent="0.35">
      <c r="B3" s="523" t="s">
        <v>220</v>
      </c>
      <c r="C3" s="524" t="s">
        <v>221</v>
      </c>
      <c r="D3" s="525" t="s">
        <v>222</v>
      </c>
      <c r="E3" s="526"/>
    </row>
    <row r="4" spans="2:5" ht="43.5" x14ac:dyDescent="0.35">
      <c r="B4" s="523"/>
      <c r="C4" s="524"/>
      <c r="D4" s="467" t="s">
        <v>223</v>
      </c>
      <c r="E4" s="205" t="s">
        <v>224</v>
      </c>
    </row>
    <row r="5" spans="2:5" ht="87" x14ac:dyDescent="0.35">
      <c r="B5" s="249" t="s">
        <v>208</v>
      </c>
      <c r="C5" s="206" t="s">
        <v>225</v>
      </c>
      <c r="D5" s="426">
        <v>50.16</v>
      </c>
      <c r="E5" s="427" t="s">
        <v>255</v>
      </c>
    </row>
    <row r="6" spans="2:5" ht="72.5" x14ac:dyDescent="0.35">
      <c r="B6" s="249" t="s">
        <v>214</v>
      </c>
      <c r="C6" s="206" t="s">
        <v>225</v>
      </c>
      <c r="D6" s="426">
        <v>15.42</v>
      </c>
      <c r="E6" s="427" t="s">
        <v>256</v>
      </c>
    </row>
    <row r="7" spans="2:5" ht="29.5" thickBot="1" x14ac:dyDescent="0.4">
      <c r="B7" s="207" t="s">
        <v>144</v>
      </c>
      <c r="C7" s="208" t="s">
        <v>225</v>
      </c>
      <c r="D7" s="428">
        <v>7.25</v>
      </c>
      <c r="E7" s="429" t="s">
        <v>226</v>
      </c>
    </row>
    <row r="10" spans="2:5" x14ac:dyDescent="0.35">
      <c r="E10" s="220"/>
    </row>
    <row r="11" spans="2:5" x14ac:dyDescent="0.35">
      <c r="E11" s="220"/>
    </row>
  </sheetData>
  <mergeCells count="4">
    <mergeCell ref="B2:E2"/>
    <mergeCell ref="B3:B4"/>
    <mergeCell ref="C3:C4"/>
    <mergeCell ref="D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8"/>
  <sheetViews>
    <sheetView showGridLines="0" zoomScaleNormal="100" workbookViewId="0">
      <selection activeCell="C77" sqref="C77"/>
    </sheetView>
  </sheetViews>
  <sheetFormatPr defaultRowHeight="14.5" x14ac:dyDescent="0.35"/>
  <cols>
    <col min="1" max="1" width="10.1796875" bestFit="1" customWidth="1"/>
    <col min="2" max="2" width="18.1796875" customWidth="1"/>
    <col min="3" max="3" width="112.81640625" customWidth="1"/>
  </cols>
  <sheetData>
    <row r="1" spans="1:3" s="30" customFormat="1" x14ac:dyDescent="0.35">
      <c r="A1" s="28" t="s">
        <v>227</v>
      </c>
      <c r="B1" s="29" t="s">
        <v>228</v>
      </c>
      <c r="C1" s="29" t="s">
        <v>229</v>
      </c>
    </row>
    <row r="2" spans="1:3" x14ac:dyDescent="0.35">
      <c r="A2" s="31"/>
      <c r="B2" s="37"/>
      <c r="C2" s="37"/>
    </row>
    <row r="3" spans="1:3" x14ac:dyDescent="0.35">
      <c r="A3" s="31"/>
      <c r="B3" s="37"/>
      <c r="C3" s="37"/>
    </row>
    <row r="4" spans="1:3" x14ac:dyDescent="0.35">
      <c r="A4" s="31"/>
      <c r="B4" s="37"/>
      <c r="C4" s="37"/>
    </row>
    <row r="5" spans="1:3" x14ac:dyDescent="0.35">
      <c r="A5" s="31"/>
      <c r="B5" s="37"/>
      <c r="C5" s="37"/>
    </row>
    <row r="6" spans="1:3" x14ac:dyDescent="0.35">
      <c r="A6" s="31"/>
      <c r="B6" s="37"/>
      <c r="C6" s="37"/>
    </row>
    <row r="7" spans="1:3" x14ac:dyDescent="0.35">
      <c r="A7" s="31"/>
      <c r="B7" s="37"/>
      <c r="C7" s="37"/>
    </row>
    <row r="8" spans="1:3" x14ac:dyDescent="0.35">
      <c r="A8" s="31"/>
      <c r="B8" s="37"/>
      <c r="C8" s="37"/>
    </row>
    <row r="9" spans="1:3" x14ac:dyDescent="0.35">
      <c r="A9" s="31"/>
      <c r="B9" s="37"/>
      <c r="C9" s="37"/>
    </row>
    <row r="10" spans="1:3" x14ac:dyDescent="0.35">
      <c r="A10" s="31"/>
      <c r="B10" s="37"/>
      <c r="C10" s="37"/>
    </row>
    <row r="11" spans="1:3" x14ac:dyDescent="0.35">
      <c r="A11" s="31"/>
      <c r="B11" s="37"/>
      <c r="C11" s="37"/>
    </row>
    <row r="12" spans="1:3" x14ac:dyDescent="0.35">
      <c r="A12" s="31"/>
      <c r="B12" s="37"/>
      <c r="C12" s="37"/>
    </row>
    <row r="13" spans="1:3" x14ac:dyDescent="0.35">
      <c r="A13" s="31"/>
      <c r="B13" s="37"/>
      <c r="C13" s="37"/>
    </row>
    <row r="14" spans="1:3" x14ac:dyDescent="0.35">
      <c r="A14" s="31"/>
      <c r="B14" s="37"/>
      <c r="C14" s="37"/>
    </row>
    <row r="15" spans="1:3" x14ac:dyDescent="0.35">
      <c r="A15" s="31"/>
      <c r="B15" s="37"/>
      <c r="C15" s="37"/>
    </row>
    <row r="16" spans="1:3" x14ac:dyDescent="0.35">
      <c r="A16" s="31"/>
      <c r="B16" s="37"/>
      <c r="C16" s="37"/>
    </row>
    <row r="17" spans="1:3" x14ac:dyDescent="0.35">
      <c r="A17" s="31"/>
      <c r="B17" s="37"/>
      <c r="C17" s="37"/>
    </row>
    <row r="18" spans="1:3" x14ac:dyDescent="0.35">
      <c r="A18" s="31"/>
      <c r="B18" s="37"/>
      <c r="C18" s="37"/>
    </row>
    <row r="19" spans="1:3" x14ac:dyDescent="0.35">
      <c r="A19" s="31"/>
      <c r="B19" s="37"/>
      <c r="C19" s="37"/>
    </row>
    <row r="20" spans="1:3" x14ac:dyDescent="0.35">
      <c r="A20" s="31"/>
      <c r="B20" s="37"/>
      <c r="C20" s="37"/>
    </row>
    <row r="21" spans="1:3" x14ac:dyDescent="0.35">
      <c r="A21" s="31"/>
      <c r="B21" s="37"/>
      <c r="C21" s="37"/>
    </row>
    <row r="22" spans="1:3" x14ac:dyDescent="0.35">
      <c r="A22" s="31"/>
      <c r="B22" s="37"/>
      <c r="C22" s="37"/>
    </row>
    <row r="23" spans="1:3" x14ac:dyDescent="0.35">
      <c r="A23" s="31"/>
      <c r="B23" s="37"/>
      <c r="C23" s="37"/>
    </row>
    <row r="24" spans="1:3" x14ac:dyDescent="0.35">
      <c r="A24" s="31"/>
      <c r="B24" s="37"/>
      <c r="C24" s="37"/>
    </row>
    <row r="25" spans="1:3" x14ac:dyDescent="0.35">
      <c r="A25" s="31"/>
      <c r="B25" s="37"/>
      <c r="C25" s="37"/>
    </row>
    <row r="26" spans="1:3" x14ac:dyDescent="0.35">
      <c r="A26" s="31"/>
      <c r="B26" s="37"/>
      <c r="C26" s="37"/>
    </row>
    <row r="27" spans="1:3" x14ac:dyDescent="0.35">
      <c r="A27" s="31"/>
      <c r="B27" s="37"/>
      <c r="C27" s="37"/>
    </row>
    <row r="28" spans="1:3" x14ac:dyDescent="0.35">
      <c r="A28" s="31"/>
      <c r="B28" s="37"/>
      <c r="C28" s="37"/>
    </row>
    <row r="29" spans="1:3" x14ac:dyDescent="0.35">
      <c r="A29" s="31"/>
      <c r="B29" s="37"/>
      <c r="C29" s="37"/>
    </row>
    <row r="30" spans="1:3" x14ac:dyDescent="0.35">
      <c r="A30" s="31"/>
      <c r="B30" s="37"/>
      <c r="C30" s="37"/>
    </row>
    <row r="31" spans="1:3" x14ac:dyDescent="0.35">
      <c r="A31" s="31"/>
      <c r="B31" s="37"/>
      <c r="C31" s="37"/>
    </row>
    <row r="32" spans="1:3" x14ac:dyDescent="0.35">
      <c r="A32" s="31"/>
      <c r="B32" s="37"/>
      <c r="C32" s="37"/>
    </row>
    <row r="33" spans="1:3" x14ac:dyDescent="0.35">
      <c r="A33" s="31"/>
      <c r="B33" s="37"/>
      <c r="C33" s="37"/>
    </row>
    <row r="34" spans="1:3" x14ac:dyDescent="0.35">
      <c r="A34" s="31"/>
      <c r="B34" s="37"/>
      <c r="C34" s="37"/>
    </row>
    <row r="35" spans="1:3" x14ac:dyDescent="0.35">
      <c r="A35" s="31"/>
      <c r="B35" s="37"/>
      <c r="C35" s="37"/>
    </row>
    <row r="36" spans="1:3" x14ac:dyDescent="0.35">
      <c r="A36" s="31"/>
      <c r="B36" s="37"/>
      <c r="C36" s="37"/>
    </row>
    <row r="37" spans="1:3" x14ac:dyDescent="0.35">
      <c r="A37" s="31"/>
      <c r="B37" s="37"/>
      <c r="C37" s="37"/>
    </row>
    <row r="38" spans="1:3" x14ac:dyDescent="0.35">
      <c r="A38" s="31"/>
      <c r="B38" s="37"/>
      <c r="C38" s="37"/>
    </row>
    <row r="39" spans="1:3" x14ac:dyDescent="0.35">
      <c r="A39" s="31"/>
      <c r="B39" s="37"/>
      <c r="C39" s="37"/>
    </row>
    <row r="40" spans="1:3" x14ac:dyDescent="0.35">
      <c r="A40" s="31"/>
      <c r="B40" s="37"/>
      <c r="C40" s="37"/>
    </row>
    <row r="41" spans="1:3" x14ac:dyDescent="0.35">
      <c r="A41" s="31"/>
      <c r="B41" s="37"/>
      <c r="C41" s="37"/>
    </row>
    <row r="42" spans="1:3" x14ac:dyDescent="0.35">
      <c r="A42" s="31"/>
      <c r="B42" s="37"/>
      <c r="C42" s="37"/>
    </row>
    <row r="43" spans="1:3" x14ac:dyDescent="0.35">
      <c r="A43" s="31"/>
      <c r="B43" s="37"/>
      <c r="C43" s="37"/>
    </row>
    <row r="44" spans="1:3" x14ac:dyDescent="0.35">
      <c r="A44" s="31"/>
      <c r="B44" s="37"/>
      <c r="C44" s="37"/>
    </row>
    <row r="45" spans="1:3" x14ac:dyDescent="0.35">
      <c r="A45" s="31"/>
      <c r="B45" s="37"/>
      <c r="C45" s="37"/>
    </row>
    <row r="46" spans="1:3" x14ac:dyDescent="0.35">
      <c r="A46" s="31"/>
      <c r="B46" s="37"/>
      <c r="C46" s="37"/>
    </row>
    <row r="47" spans="1:3" x14ac:dyDescent="0.35">
      <c r="A47" s="31"/>
      <c r="B47" s="37"/>
      <c r="C47" s="37"/>
    </row>
    <row r="48" spans="1:3" x14ac:dyDescent="0.35">
      <c r="A48" s="31"/>
      <c r="B48" s="37"/>
      <c r="C48" s="37"/>
    </row>
    <row r="49" spans="1:3" x14ac:dyDescent="0.35">
      <c r="A49" s="31"/>
      <c r="B49" s="37"/>
      <c r="C49" s="37"/>
    </row>
    <row r="50" spans="1:3" x14ac:dyDescent="0.35">
      <c r="A50" s="31"/>
      <c r="B50" s="37"/>
      <c r="C50" s="37"/>
    </row>
    <row r="51" spans="1:3" x14ac:dyDescent="0.35">
      <c r="A51" s="31"/>
      <c r="B51" s="37"/>
      <c r="C51" s="37"/>
    </row>
    <row r="52" spans="1:3" x14ac:dyDescent="0.35">
      <c r="A52" s="31"/>
      <c r="B52" s="37"/>
      <c r="C52" s="37"/>
    </row>
    <row r="53" spans="1:3" x14ac:dyDescent="0.35">
      <c r="A53" s="31"/>
      <c r="B53" s="37"/>
      <c r="C53" s="37"/>
    </row>
    <row r="54" spans="1:3" x14ac:dyDescent="0.35">
      <c r="A54" s="31"/>
      <c r="B54" s="37"/>
      <c r="C54" s="37"/>
    </row>
    <row r="55" spans="1:3" x14ac:dyDescent="0.35">
      <c r="A55" s="31"/>
      <c r="B55" s="37"/>
      <c r="C55" s="37"/>
    </row>
    <row r="56" spans="1:3" x14ac:dyDescent="0.35">
      <c r="A56" s="31"/>
      <c r="B56" s="37"/>
      <c r="C56" s="37"/>
    </row>
    <row r="57" spans="1:3" x14ac:dyDescent="0.35">
      <c r="A57" s="31"/>
      <c r="B57" s="37"/>
      <c r="C57" s="37"/>
    </row>
    <row r="58" spans="1:3" x14ac:dyDescent="0.35">
      <c r="A58" s="31"/>
      <c r="B58" s="37"/>
      <c r="C58" s="37"/>
    </row>
    <row r="59" spans="1:3" x14ac:dyDescent="0.35">
      <c r="A59" s="31"/>
      <c r="B59" s="37"/>
      <c r="C59" s="37"/>
    </row>
    <row r="60" spans="1:3" x14ac:dyDescent="0.35">
      <c r="A60" s="31"/>
      <c r="B60" s="37"/>
      <c r="C60" s="37"/>
    </row>
    <row r="61" spans="1:3" x14ac:dyDescent="0.35">
      <c r="A61" s="31"/>
      <c r="B61" s="37"/>
      <c r="C61" s="37"/>
    </row>
    <row r="62" spans="1:3" x14ac:dyDescent="0.35">
      <c r="A62" s="31"/>
      <c r="B62" s="37"/>
      <c r="C62" s="37"/>
    </row>
    <row r="63" spans="1:3" x14ac:dyDescent="0.35">
      <c r="A63" s="31"/>
      <c r="B63" s="37"/>
      <c r="C63" s="37"/>
    </row>
    <row r="64" spans="1:3" x14ac:dyDescent="0.35">
      <c r="A64" s="31"/>
      <c r="B64" s="37"/>
      <c r="C64" s="37"/>
    </row>
    <row r="65" spans="1:3" x14ac:dyDescent="0.35">
      <c r="A65" s="31"/>
      <c r="B65" s="37"/>
      <c r="C65" s="37"/>
    </row>
    <row r="66" spans="1:3" x14ac:dyDescent="0.35">
      <c r="A66" s="31"/>
      <c r="B66" s="37"/>
      <c r="C66" s="37"/>
    </row>
    <row r="67" spans="1:3" x14ac:dyDescent="0.35">
      <c r="A67" s="31"/>
      <c r="B67" s="37"/>
      <c r="C67" s="37"/>
    </row>
    <row r="68" spans="1:3" ht="15" thickBot="1" x14ac:dyDescent="0.4">
      <c r="A68" s="32"/>
      <c r="B68" s="27"/>
      <c r="C68" s="27"/>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90132a1-b740-41e9-a9d3-aef04dc8f2ab">
      <Terms xmlns="http://schemas.microsoft.com/office/infopath/2007/PartnerControls"/>
    </lcf76f155ced4ddcb4097134ff3c332f>
    <TaxCatchAll xmlns="73fb875a-8af9-4255-b008-0995492d31cd" xsi:nil="true"/>
    <SharedWithUsers xmlns="1fa27c74-dbb6-4e30-b933-9d82255035f8">
      <UserInfo>
        <DisplayName>Sandhu, Navneet - FNS</DisplayName>
        <AccountId>19</AccountId>
        <AccountType/>
      </UserInfo>
      <UserInfo>
        <DisplayName>Farmer, Andrea - FNS</DisplayName>
        <AccountId>27</AccountId>
        <AccountType/>
      </UserInfo>
      <UserInfo>
        <DisplayName>Fox, Ethan - FNS</DisplayName>
        <AccountId>67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63D8A803B97C449C3F4A0A11149BF6" ma:contentTypeVersion="12" ma:contentTypeDescription="Create a new document." ma:contentTypeScope="" ma:versionID="34a93b8d08d3cf2f3b36ffe5f3cce400">
  <xsd:schema xmlns:xsd="http://www.w3.org/2001/XMLSchema" xmlns:xs="http://www.w3.org/2001/XMLSchema" xmlns:p="http://schemas.microsoft.com/office/2006/metadata/properties" xmlns:ns2="190132a1-b740-41e9-a9d3-aef04dc8f2ab" xmlns:ns3="1fa27c74-dbb6-4e30-b933-9d82255035f8" xmlns:ns4="73fb875a-8af9-4255-b008-0995492d31cd" targetNamespace="http://schemas.microsoft.com/office/2006/metadata/properties" ma:root="true" ma:fieldsID="f8829a2b9a1b145c44a60c81f462162d" ns2:_="" ns3:_="" ns4:_="">
    <xsd:import namespace="190132a1-b740-41e9-a9d3-aef04dc8f2ab"/>
    <xsd:import namespace="1fa27c74-dbb6-4e30-b933-9d82255035f8"/>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0132a1-b740-41e9-a9d3-aef04dc8f2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a27c74-dbb6-4e30-b933-9d82255035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587fc19-7d4f-4113-b6f5-28a50fdb693f}" ma:internalName="TaxCatchAll" ma:showField="CatchAllData" ma:web="1fa27c74-dbb6-4e30-b933-9d82255035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547F0-4617-4B4C-9670-8A29DAB259E7}">
  <ds:schemaRefs>
    <ds:schemaRef ds:uri="http://schemas.microsoft.com/office/2006/metadata/properties"/>
    <ds:schemaRef ds:uri="http://schemas.microsoft.com/office/infopath/2007/PartnerControls"/>
    <ds:schemaRef ds:uri="190132a1-b740-41e9-a9d3-aef04dc8f2ab"/>
    <ds:schemaRef ds:uri="73fb875a-8af9-4255-b008-0995492d31cd"/>
    <ds:schemaRef ds:uri="1fa27c74-dbb6-4e30-b933-9d82255035f8"/>
  </ds:schemaRefs>
</ds:datastoreItem>
</file>

<file path=customXml/itemProps2.xml><?xml version="1.0" encoding="utf-8"?>
<ds:datastoreItem xmlns:ds="http://schemas.openxmlformats.org/officeDocument/2006/customXml" ds:itemID="{419D5F14-DB95-4720-A175-1B07518CE4C1}">
  <ds:schemaRefs>
    <ds:schemaRef ds:uri="http://schemas.microsoft.com/sharepoint/v3/contenttype/forms"/>
  </ds:schemaRefs>
</ds:datastoreItem>
</file>

<file path=customXml/itemProps3.xml><?xml version="1.0" encoding="utf-8"?>
<ds:datastoreItem xmlns:ds="http://schemas.openxmlformats.org/officeDocument/2006/customXml" ds:itemID="{526CEA26-7953-4807-B0E0-74CE7A453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0132a1-b740-41e9-a9d3-aef04dc8f2ab"/>
    <ds:schemaRef ds:uri="1fa27c74-dbb6-4e30-b933-9d82255035f8"/>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Reporting</vt:lpstr>
      <vt:lpstr>Recordkeeping</vt:lpstr>
      <vt:lpstr>Public Disclosure</vt:lpstr>
      <vt:lpstr>Burden Summary</vt:lpstr>
      <vt:lpstr>Respondent Costs</vt:lpstr>
      <vt:lpstr>Proposed Rule Respondent Costs</vt:lpstr>
      <vt:lpstr>Labor Rates</vt:lpstr>
      <vt:lpstr>Notes</vt:lpstr>
      <vt:lpstr>'Burden Summary'!Print_Area</vt:lpstr>
      <vt:lpstr>Recordkeeping!Print_Area</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mmalhotra</dc:creator>
  <cp:keywords/>
  <dc:description/>
  <cp:lastModifiedBy>Sandberg, Christina - FNS</cp:lastModifiedBy>
  <cp:revision/>
  <dcterms:created xsi:type="dcterms:W3CDTF">2011-04-25T16:43:00Z</dcterms:created>
  <dcterms:modified xsi:type="dcterms:W3CDTF">2024-12-13T22:33:57Z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01f1c89f902f41a08e3bc485a49ec5ed</vt:lpwstr>
  </property>
  <property fmtid="{D5CDD505-2E9C-101B-9397-08002B2CF9AE}" pid="3" name="ContentTypeId">
    <vt:lpwstr>0x010100DD63D8A803B97C449C3F4A0A11149BF6</vt:lpwstr>
  </property>
  <property fmtid="{D5CDD505-2E9C-101B-9397-08002B2CF9AE}" pid="4" name="MediaServiceImageTags">
    <vt:lpwstr/>
  </property>
</Properties>
</file>