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codeName="ThisWorkbook" defaultThemeVersion="124226"/>
  <mc:AlternateContent xmlns:mc="http://schemas.openxmlformats.org/markup-compatibility/2006">
    <mc:Choice Requires="x15">
      <x15ac:absPath xmlns:x15ac="http://schemas.microsoft.com/office/spreadsheetml/2010/11/ac" url="https://usdagcc-my.sharepoint.com/personal/christina_sandberg_usda_gov/Documents/Documents/Proposed Rule for Serious Deficiency Process in CACFP and SFSP/SFSP ROCIS Submission/"/>
    </mc:Choice>
  </mc:AlternateContent>
  <xr:revisionPtr revIDLastSave="92" documentId="8_{5B5826D3-3E40-4632-813A-35D900596C80}" xr6:coauthVersionLast="47" xr6:coauthVersionMax="47" xr10:uidLastSave="{653550F3-2F4C-4B9A-9B2F-F0140A9AE54B}"/>
  <bookViews>
    <workbookView xWindow="-110" yWindow="-110" windowWidth="19420" windowHeight="10300" xr2:uid="{00000000-000D-0000-FFFF-FFFF00000000}"/>
  </bookViews>
  <sheets>
    <sheet name="Reporting" sheetId="35" r:id="rId1"/>
    <sheet name="Recordkeeping" sheetId="8" r:id="rId2"/>
    <sheet name="Public Disclosure" sheetId="30" r:id="rId3"/>
    <sheet name="Burden Summary" sheetId="4" r:id="rId4"/>
    <sheet name="Respondent Costs" sheetId="34" r:id="rId5"/>
    <sheet name="Proposed Rule Respondent Costs" sheetId="36" r:id="rId6"/>
    <sheet name="Labor Rates" sheetId="32" r:id="rId7"/>
    <sheet name="Notes" sheetId="29" r:id="rId8"/>
    <sheet name="ESRI_MAPINFO_SHEET" sheetId="31" state="veryHidden" r:id="rId9"/>
  </sheets>
  <definedNames>
    <definedName name="_xlnm._FilterDatabase" localSheetId="1" hidden="1">Recordkeeping!$F$3:$T$23</definedName>
    <definedName name="_xlnm.Print_Area" localSheetId="3">'Burden Summary'!$A$1:$F$18</definedName>
    <definedName name="_xlnm.Print_Area" localSheetId="1">Recordkeeping!$F$1:$T$47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2" i="8" l="1"/>
  <c r="J22" i="8"/>
  <c r="D13" i="36" l="1"/>
  <c r="G13" i="36" l="1"/>
  <c r="D14" i="36"/>
  <c r="G10" i="36"/>
  <c r="G7" i="36"/>
  <c r="B66" i="35"/>
  <c r="S60" i="35"/>
  <c r="T60" i="35"/>
  <c r="N60" i="35"/>
  <c r="L60" i="35"/>
  <c r="B60" i="35"/>
  <c r="B61" i="35" s="1"/>
  <c r="I13" i="36" l="1"/>
  <c r="I14" i="36" s="1"/>
  <c r="P8" i="30"/>
  <c r="Q8" i="30"/>
  <c r="R8" i="30"/>
  <c r="T8" i="30"/>
  <c r="O8" i="30"/>
  <c r="M8" i="30"/>
  <c r="K8" i="30"/>
  <c r="J14" i="8"/>
  <c r="O64" i="35"/>
  <c r="P64" i="35"/>
  <c r="Q64" i="35"/>
  <c r="K32" i="35" l="1"/>
  <c r="L32" i="35" s="1"/>
  <c r="N32" i="35" s="1"/>
  <c r="S32" i="35" l="1"/>
  <c r="T32" i="35"/>
  <c r="K31" i="35"/>
  <c r="L31" i="35" s="1"/>
  <c r="N31" i="35" s="1"/>
  <c r="T5" i="30"/>
  <c r="O5" i="30"/>
  <c r="M5" i="30"/>
  <c r="L5" i="30"/>
  <c r="B7" i="30"/>
  <c r="B6" i="30"/>
  <c r="B5" i="30"/>
  <c r="T31" i="35" l="1"/>
  <c r="S31" i="35"/>
  <c r="K24" i="35"/>
  <c r="K25" i="35"/>
  <c r="K26" i="35"/>
  <c r="K27" i="35"/>
  <c r="K28" i="35"/>
  <c r="K29" i="35"/>
  <c r="K30" i="35"/>
  <c r="K23" i="35"/>
  <c r="J69" i="35"/>
  <c r="L69" i="35" s="1"/>
  <c r="N69" i="35" s="1"/>
  <c r="K15" i="35"/>
  <c r="L55" i="35"/>
  <c r="N55" i="35" s="1"/>
  <c r="L40" i="35"/>
  <c r="N40" i="35" s="1"/>
  <c r="T40" i="35" s="1"/>
  <c r="L41" i="35"/>
  <c r="N41" i="35" s="1"/>
  <c r="T41" i="35" s="1"/>
  <c r="L42" i="35"/>
  <c r="N42" i="35" s="1"/>
  <c r="T42" i="35" s="1"/>
  <c r="L43" i="35"/>
  <c r="N43" i="35" s="1"/>
  <c r="T43" i="35" s="1"/>
  <c r="L44" i="35"/>
  <c r="N44" i="35" s="1"/>
  <c r="T44" i="35" s="1"/>
  <c r="L45" i="35"/>
  <c r="N45" i="35" s="1"/>
  <c r="T69" i="35" l="1"/>
  <c r="S69" i="35"/>
  <c r="S55" i="35"/>
  <c r="T55" i="35"/>
  <c r="T45" i="35"/>
  <c r="S45" i="35"/>
  <c r="L23" i="35" l="1"/>
  <c r="N23" i="35" s="1"/>
  <c r="L30" i="35"/>
  <c r="N30" i="35" s="1"/>
  <c r="L25" i="35"/>
  <c r="N25" i="35" s="1"/>
  <c r="L26" i="35"/>
  <c r="N26" i="35" s="1"/>
  <c r="L27" i="35"/>
  <c r="N27" i="35" s="1"/>
  <c r="L28" i="35"/>
  <c r="N28" i="35" s="1"/>
  <c r="L29" i="35"/>
  <c r="N29" i="35" s="1"/>
  <c r="L24" i="35"/>
  <c r="N24" i="35" s="1"/>
  <c r="L59" i="35"/>
  <c r="N59" i="35" s="1"/>
  <c r="S23" i="35" l="1"/>
  <c r="T23" i="35"/>
  <c r="S27" i="35"/>
  <c r="T24" i="35"/>
  <c r="S26" i="35"/>
  <c r="T29" i="35"/>
  <c r="S25" i="35"/>
  <c r="T30" i="35"/>
  <c r="S24" i="35"/>
  <c r="T28" i="35"/>
  <c r="S29" i="35"/>
  <c r="T26" i="35"/>
  <c r="S30" i="35"/>
  <c r="T27" i="35"/>
  <c r="S28" i="35"/>
  <c r="T25" i="35"/>
  <c r="S59" i="35"/>
  <c r="T59" i="35"/>
  <c r="Q82" i="35"/>
  <c r="P82" i="35"/>
  <c r="O82" i="35"/>
  <c r="G10" i="4" s="1"/>
  <c r="B15" i="35"/>
  <c r="B16" i="35" s="1"/>
  <c r="B17" i="35" s="1"/>
  <c r="Q14" i="8" l="1"/>
  <c r="Q26" i="8" s="1"/>
  <c r="P14" i="8"/>
  <c r="O14" i="8"/>
  <c r="G5" i="4" s="1"/>
  <c r="L13" i="8"/>
  <c r="N13" i="8" s="1"/>
  <c r="J81" i="35"/>
  <c r="L51" i="35"/>
  <c r="N51" i="35" s="1"/>
  <c r="L56" i="35"/>
  <c r="N56" i="35" s="1"/>
  <c r="L52" i="35"/>
  <c r="N52" i="35" s="1"/>
  <c r="S52" i="35" s="1"/>
  <c r="L53" i="35"/>
  <c r="N53" i="35" s="1"/>
  <c r="L54" i="35"/>
  <c r="N54" i="35" s="1"/>
  <c r="L62" i="35"/>
  <c r="N62" i="35" s="1"/>
  <c r="L57" i="35"/>
  <c r="N57" i="35" s="1"/>
  <c r="S57" i="35" s="1"/>
  <c r="L58" i="35"/>
  <c r="N58" i="35" s="1"/>
  <c r="T58" i="35" s="1"/>
  <c r="L61" i="35"/>
  <c r="J63" i="35"/>
  <c r="L63" i="35" s="1"/>
  <c r="N63" i="35" s="1"/>
  <c r="L81" i="35" l="1"/>
  <c r="N81" i="35" s="1"/>
  <c r="R81" i="35" s="1"/>
  <c r="J82" i="35"/>
  <c r="S14" i="8"/>
  <c r="S61" i="35"/>
  <c r="T61" i="35"/>
  <c r="S53" i="35"/>
  <c r="T53" i="35"/>
  <c r="S63" i="35"/>
  <c r="T63" i="35"/>
  <c r="S56" i="35"/>
  <c r="T56" i="35"/>
  <c r="S62" i="35"/>
  <c r="T62" i="35"/>
  <c r="T51" i="35"/>
  <c r="S51" i="35"/>
  <c r="T54" i="35"/>
  <c r="S54" i="35"/>
  <c r="T57" i="35"/>
  <c r="T52" i="35"/>
  <c r="S58" i="35"/>
  <c r="S26" i="8" l="1"/>
  <c r="I5" i="4"/>
  <c r="T81" i="35"/>
  <c r="S81" i="35"/>
  <c r="L49" i="35"/>
  <c r="N49" i="35" s="1"/>
  <c r="L50" i="35"/>
  <c r="N50" i="35" s="1"/>
  <c r="L8" i="35"/>
  <c r="N8" i="35" s="1"/>
  <c r="T8" i="35" s="1"/>
  <c r="L9" i="35"/>
  <c r="N9" i="35" s="1"/>
  <c r="T9" i="35" s="1"/>
  <c r="L10" i="35"/>
  <c r="N10" i="35" s="1"/>
  <c r="T10" i="35" s="1"/>
  <c r="L11" i="35"/>
  <c r="N11" i="35" s="1"/>
  <c r="T11" i="35" s="1"/>
  <c r="L12" i="35"/>
  <c r="N12" i="35" s="1"/>
  <c r="T12" i="35" s="1"/>
  <c r="L13" i="35"/>
  <c r="N13" i="35" s="1"/>
  <c r="T13" i="35" s="1"/>
  <c r="L14" i="35"/>
  <c r="N14" i="35" s="1"/>
  <c r="T14" i="35" s="1"/>
  <c r="L15" i="35"/>
  <c r="N15" i="35" s="1"/>
  <c r="T50" i="35" l="1"/>
  <c r="S50" i="35"/>
  <c r="T49" i="35"/>
  <c r="S49" i="35"/>
  <c r="S15" i="35"/>
  <c r="T15" i="35"/>
  <c r="L79" i="35" l="1"/>
  <c r="N79" i="35" s="1"/>
  <c r="L76" i="35"/>
  <c r="N76" i="35" s="1"/>
  <c r="T76" i="35" s="1"/>
  <c r="K33" i="35"/>
  <c r="R79" i="35" l="1"/>
  <c r="T79" i="35"/>
  <c r="B10" i="30"/>
  <c r="B6" i="8"/>
  <c r="B7" i="8" s="1"/>
  <c r="B8" i="8" s="1"/>
  <c r="B6" i="35"/>
  <c r="B7" i="35" s="1"/>
  <c r="B8" i="35" s="1"/>
  <c r="B9" i="35" s="1"/>
  <c r="B10" i="35" s="1"/>
  <c r="B11" i="35" s="1"/>
  <c r="B12" i="35" s="1"/>
  <c r="B13" i="35" s="1"/>
  <c r="B14" i="35" s="1"/>
  <c r="B18" i="35" s="1"/>
  <c r="B19" i="35" s="1"/>
  <c r="P91" i="35"/>
  <c r="O91" i="35"/>
  <c r="L80" i="35"/>
  <c r="N80" i="35" s="1"/>
  <c r="I14" i="4"/>
  <c r="I16" i="4" s="1"/>
  <c r="O86" i="35"/>
  <c r="Q91" i="35"/>
  <c r="L35" i="35"/>
  <c r="N35" i="35" s="1"/>
  <c r="T35" i="35" s="1"/>
  <c r="L75" i="35"/>
  <c r="N75" i="35" s="1"/>
  <c r="T75" i="35" s="1"/>
  <c r="L77" i="35"/>
  <c r="N77" i="35" s="1"/>
  <c r="S77" i="35" s="1"/>
  <c r="L7" i="35"/>
  <c r="N7" i="35" s="1"/>
  <c r="P99" i="35"/>
  <c r="N98" i="35"/>
  <c r="N97" i="35"/>
  <c r="N96" i="35"/>
  <c r="N95" i="35"/>
  <c r="N94" i="35"/>
  <c r="N93" i="35"/>
  <c r="N92" i="35"/>
  <c r="T89" i="35"/>
  <c r="S89" i="35"/>
  <c r="R89" i="35"/>
  <c r="Q89" i="35"/>
  <c r="O89" i="35"/>
  <c r="N89" i="35"/>
  <c r="M89" i="35"/>
  <c r="K89" i="35"/>
  <c r="J89" i="35"/>
  <c r="L85" i="35"/>
  <c r="N85" i="35" s="1"/>
  <c r="L84" i="35"/>
  <c r="L78" i="35"/>
  <c r="N78" i="35" s="1"/>
  <c r="S78" i="35" s="1"/>
  <c r="L74" i="35"/>
  <c r="N74" i="35" s="1"/>
  <c r="L73" i="35"/>
  <c r="N73" i="35" s="1"/>
  <c r="T73" i="35" s="1"/>
  <c r="L72" i="35"/>
  <c r="N72" i="35" s="1"/>
  <c r="L71" i="35"/>
  <c r="N71" i="35" s="1"/>
  <c r="L70" i="35"/>
  <c r="N70" i="35" s="1"/>
  <c r="L68" i="35"/>
  <c r="N68" i="35" s="1"/>
  <c r="L67" i="35"/>
  <c r="N67" i="35" s="1"/>
  <c r="L66" i="35"/>
  <c r="J64" i="35"/>
  <c r="B9" i="4" s="1"/>
  <c r="L48" i="35"/>
  <c r="N48" i="35" s="1"/>
  <c r="R48" i="35" s="1"/>
  <c r="L47" i="35"/>
  <c r="N47" i="35" s="1"/>
  <c r="T47" i="35" s="1"/>
  <c r="L46" i="35"/>
  <c r="N46" i="35" s="1"/>
  <c r="T46" i="35" s="1"/>
  <c r="L22" i="35"/>
  <c r="N22" i="35" s="1"/>
  <c r="L21" i="35"/>
  <c r="N21" i="35" s="1"/>
  <c r="L20" i="35"/>
  <c r="N20" i="35" s="1"/>
  <c r="L19" i="35"/>
  <c r="N19" i="35" s="1"/>
  <c r="L18" i="35"/>
  <c r="N18" i="35" s="1"/>
  <c r="L17" i="35"/>
  <c r="N17" i="35" s="1"/>
  <c r="L16" i="35"/>
  <c r="N16" i="35" s="1"/>
  <c r="S43" i="35"/>
  <c r="S42" i="35"/>
  <c r="S41" i="35"/>
  <c r="S40" i="35"/>
  <c r="L39" i="35"/>
  <c r="N39" i="35" s="1"/>
  <c r="S38" i="35"/>
  <c r="R38" i="35"/>
  <c r="L37" i="35"/>
  <c r="N37" i="35" s="1"/>
  <c r="R37" i="35" s="1"/>
  <c r="L36" i="35"/>
  <c r="N36" i="35" s="1"/>
  <c r="T36" i="35" s="1"/>
  <c r="L34" i="35"/>
  <c r="N34" i="35" s="1"/>
  <c r="T34" i="35" s="1"/>
  <c r="S14" i="35"/>
  <c r="S13" i="35"/>
  <c r="S12" i="35"/>
  <c r="S11" i="35"/>
  <c r="S10" i="35"/>
  <c r="S9" i="35"/>
  <c r="L6" i="35"/>
  <c r="N6" i="35" l="1"/>
  <c r="O90" i="35"/>
  <c r="G9" i="4"/>
  <c r="N66" i="35"/>
  <c r="T66" i="35" s="1"/>
  <c r="L82" i="35"/>
  <c r="O99" i="35"/>
  <c r="G11" i="4"/>
  <c r="I10" i="4"/>
  <c r="B20" i="35"/>
  <c r="B21" i="35" s="1"/>
  <c r="B22" i="35" s="1"/>
  <c r="B23" i="35" s="1"/>
  <c r="B24" i="35" s="1"/>
  <c r="B9" i="8"/>
  <c r="B12" i="8"/>
  <c r="B10" i="4"/>
  <c r="J86" i="35"/>
  <c r="L86" i="35"/>
  <c r="D11" i="4" s="1"/>
  <c r="L33" i="35"/>
  <c r="N33" i="35" s="1"/>
  <c r="S86" i="35"/>
  <c r="Q86" i="35"/>
  <c r="T7" i="35"/>
  <c r="S7" i="35"/>
  <c r="K95" i="35"/>
  <c r="T95" i="35"/>
  <c r="O97" i="35"/>
  <c r="K93" i="35"/>
  <c r="O93" i="35"/>
  <c r="K97" i="35"/>
  <c r="T97" i="35"/>
  <c r="O95" i="35"/>
  <c r="T71" i="35"/>
  <c r="R71" i="35"/>
  <c r="T72" i="35"/>
  <c r="R72" i="35"/>
  <c r="T6" i="35"/>
  <c r="R6" i="35"/>
  <c r="T68" i="35"/>
  <c r="R68" i="35"/>
  <c r="T74" i="35"/>
  <c r="R74" i="35"/>
  <c r="R73" i="35"/>
  <c r="T93" i="35"/>
  <c r="K92" i="35"/>
  <c r="K94" i="35"/>
  <c r="K98" i="35"/>
  <c r="O87" i="35"/>
  <c r="O92" i="35"/>
  <c r="O94" i="35"/>
  <c r="O96" i="35"/>
  <c r="O98" i="35"/>
  <c r="K96" i="35"/>
  <c r="P87" i="35"/>
  <c r="J90" i="35"/>
  <c r="T92" i="35"/>
  <c r="T94" i="35"/>
  <c r="T96" i="35"/>
  <c r="T98" i="35"/>
  <c r="R22" i="35"/>
  <c r="T22" i="35"/>
  <c r="S44" i="35"/>
  <c r="T17" i="35"/>
  <c r="R18" i="35"/>
  <c r="T18" i="35"/>
  <c r="R20" i="35"/>
  <c r="T20" i="35"/>
  <c r="R70" i="35"/>
  <c r="T70" i="35"/>
  <c r="T85" i="35"/>
  <c r="R85" i="35"/>
  <c r="T21" i="35"/>
  <c r="R21" i="35"/>
  <c r="R39" i="35"/>
  <c r="T39" i="35"/>
  <c r="R16" i="35"/>
  <c r="T16" i="35"/>
  <c r="T67" i="35"/>
  <c r="R67" i="35"/>
  <c r="T19" i="35"/>
  <c r="R19" i="35"/>
  <c r="T37" i="35"/>
  <c r="T48" i="35"/>
  <c r="P90" i="35"/>
  <c r="P100" i="35" s="1"/>
  <c r="J92" i="35"/>
  <c r="J93" i="35"/>
  <c r="J94" i="35"/>
  <c r="J95" i="35"/>
  <c r="J96" i="35"/>
  <c r="J97" i="35"/>
  <c r="J98" i="35"/>
  <c r="S34" i="35"/>
  <c r="S36" i="35"/>
  <c r="L92" i="35"/>
  <c r="L93" i="35"/>
  <c r="L94" i="35"/>
  <c r="L95" i="35"/>
  <c r="L96" i="35"/>
  <c r="L97" i="35"/>
  <c r="L98" i="35"/>
  <c r="N84" i="35"/>
  <c r="N86" i="35" s="1"/>
  <c r="F11" i="4" s="1"/>
  <c r="D13" i="34" s="1"/>
  <c r="D14" i="34" s="1"/>
  <c r="M92" i="35"/>
  <c r="M93" i="35"/>
  <c r="M94" i="35"/>
  <c r="M95" i="35"/>
  <c r="M96" i="35"/>
  <c r="M97" i="35"/>
  <c r="M98" i="35"/>
  <c r="R64" i="35" l="1"/>
  <c r="N64" i="35"/>
  <c r="N90" i="35" s="1"/>
  <c r="L64" i="35"/>
  <c r="B25" i="35"/>
  <c r="B26" i="35" s="1"/>
  <c r="B27" i="35" s="1"/>
  <c r="B28" i="35" s="1"/>
  <c r="B29" i="35" s="1"/>
  <c r="B30" i="35" s="1"/>
  <c r="B31" i="35" s="1"/>
  <c r="B32" i="35" s="1"/>
  <c r="B33" i="35" s="1"/>
  <c r="R66" i="35"/>
  <c r="R82" i="35" s="1"/>
  <c r="H10" i="4" s="1"/>
  <c r="N82" i="35"/>
  <c r="S99" i="35"/>
  <c r="I11" i="4"/>
  <c r="J10" i="4"/>
  <c r="G12" i="4"/>
  <c r="Q99" i="35"/>
  <c r="H11" i="4"/>
  <c r="O100" i="35"/>
  <c r="B10" i="8"/>
  <c r="B11" i="8" s="1"/>
  <c r="B13" i="8"/>
  <c r="B17" i="8" s="1"/>
  <c r="B20" i="8" s="1"/>
  <c r="S91" i="35"/>
  <c r="L99" i="35"/>
  <c r="B11" i="4"/>
  <c r="J99" i="35"/>
  <c r="Q90" i="35"/>
  <c r="S33" i="35"/>
  <c r="T33" i="35"/>
  <c r="L91" i="35"/>
  <c r="K86" i="35"/>
  <c r="R84" i="35"/>
  <c r="T84" i="35"/>
  <c r="T86" i="35" s="1"/>
  <c r="J11" i="4" s="1"/>
  <c r="G13" i="34"/>
  <c r="I13" i="34" s="1"/>
  <c r="I14" i="34" s="1"/>
  <c r="G10" i="34"/>
  <c r="G7" i="34"/>
  <c r="F9" i="4" l="1"/>
  <c r="I9" i="4"/>
  <c r="I12" i="4" s="1"/>
  <c r="R91" i="35"/>
  <c r="B34" i="35"/>
  <c r="B35" i="35" s="1"/>
  <c r="B36" i="35" s="1"/>
  <c r="B37" i="35" s="1"/>
  <c r="T91" i="35"/>
  <c r="R90" i="35"/>
  <c r="H9" i="4"/>
  <c r="H12" i="4" s="1"/>
  <c r="Q100" i="35"/>
  <c r="T90" i="35"/>
  <c r="J9" i="4"/>
  <c r="J12" i="4" s="1"/>
  <c r="K99" i="35"/>
  <c r="C11" i="4"/>
  <c r="M82" i="35"/>
  <c r="F10" i="4"/>
  <c r="L90" i="35"/>
  <c r="L100" i="35" s="1"/>
  <c r="D9" i="4"/>
  <c r="R86" i="35"/>
  <c r="R99" i="35" s="1"/>
  <c r="K64" i="35"/>
  <c r="L87" i="35"/>
  <c r="T99" i="35"/>
  <c r="Q87" i="35"/>
  <c r="M64" i="35"/>
  <c r="N87" i="35"/>
  <c r="N91" i="35"/>
  <c r="T87" i="35"/>
  <c r="N99" i="35"/>
  <c r="M86" i="35"/>
  <c r="S87" i="35" l="1"/>
  <c r="S90" i="35"/>
  <c r="S100" i="35" s="1"/>
  <c r="B38" i="35"/>
  <c r="B40" i="35" s="1"/>
  <c r="B42" i="35" s="1"/>
  <c r="B44" i="35" s="1"/>
  <c r="B39" i="35"/>
  <c r="N100" i="35"/>
  <c r="M100" i="35" s="1"/>
  <c r="R100" i="35"/>
  <c r="T100" i="35"/>
  <c r="M99" i="35"/>
  <c r="E11" i="4"/>
  <c r="M91" i="35"/>
  <c r="E10" i="4"/>
  <c r="M90" i="35"/>
  <c r="E9" i="4"/>
  <c r="K90" i="35"/>
  <c r="C9" i="4"/>
  <c r="M87" i="35"/>
  <c r="R87" i="35"/>
  <c r="B41" i="35" l="1"/>
  <c r="B43" i="35" s="1"/>
  <c r="B45" i="35"/>
  <c r="B46" i="35" s="1"/>
  <c r="B47" i="35" s="1"/>
  <c r="B48" i="35" s="1"/>
  <c r="B49" i="35" s="1"/>
  <c r="B50" i="35" s="1"/>
  <c r="B51" i="35" s="1"/>
  <c r="B52" i="35" s="1"/>
  <c r="B53" i="35" s="1"/>
  <c r="B54" i="35" s="1"/>
  <c r="B55" i="35" s="1"/>
  <c r="B56" i="35" s="1"/>
  <c r="B57" i="35" s="1"/>
  <c r="G6" i="4"/>
  <c r="G7" i="4" s="1"/>
  <c r="M10" i="30"/>
  <c r="O10" i="30" s="1"/>
  <c r="S10" i="30" s="1"/>
  <c r="M7" i="30"/>
  <c r="M6" i="30"/>
  <c r="O6" i="30" l="1"/>
  <c r="U7" i="30"/>
  <c r="U8" i="30" s="1"/>
  <c r="S7" i="30"/>
  <c r="S8" i="30" s="1"/>
  <c r="U6" i="30" l="1"/>
  <c r="J14" i="4" s="1"/>
  <c r="J16" i="4" s="1"/>
  <c r="S6" i="30"/>
  <c r="H14" i="4" s="1"/>
  <c r="J91" i="35" l="1"/>
  <c r="J87" i="35"/>
  <c r="K87" i="35" s="1"/>
  <c r="K82" i="35"/>
  <c r="T10" i="8"/>
  <c r="T11" i="8"/>
  <c r="J100" i="35" l="1"/>
  <c r="K100" i="35" s="1"/>
  <c r="K91" i="35"/>
  <c r="C10" i="4"/>
  <c r="P15" i="30" l="1"/>
  <c r="R10" i="8"/>
  <c r="R11" i="8"/>
  <c r="S15" i="30" l="1"/>
  <c r="P22" i="8"/>
  <c r="Q22" i="8"/>
  <c r="Q27" i="8" s="1"/>
  <c r="S22" i="8"/>
  <c r="L12" i="8"/>
  <c r="N12" i="8" s="1"/>
  <c r="I6" i="4" l="1"/>
  <c r="I7" i="4" s="1"/>
  <c r="I17" i="4" s="1"/>
  <c r="S27" i="8"/>
  <c r="T12" i="8"/>
  <c r="R12" i="8"/>
  <c r="Q16" i="30"/>
  <c r="Q15" i="30"/>
  <c r="Q12" i="30" l="1"/>
  <c r="R16" i="30"/>
  <c r="Q17" i="30" l="1"/>
  <c r="P27" i="8"/>
  <c r="P26" i="8" l="1"/>
  <c r="P35" i="8" s="1"/>
  <c r="P23" i="8"/>
  <c r="B16" i="4"/>
  <c r="J23" i="8"/>
  <c r="J26" i="8" l="1"/>
  <c r="P16" i="30" l="1"/>
  <c r="P17" i="30" s="1"/>
  <c r="M15" i="30"/>
  <c r="K15" i="30"/>
  <c r="O15" i="30" l="1"/>
  <c r="N15" i="30" s="1"/>
  <c r="L15" i="30"/>
  <c r="L8" i="30"/>
  <c r="O27" i="8"/>
  <c r="N8" i="30" l="1"/>
  <c r="U15" i="30"/>
  <c r="F14" i="4"/>
  <c r="T15" i="30"/>
  <c r="T17" i="30" s="1"/>
  <c r="N18" i="8" l="1"/>
  <c r="N19" i="8"/>
  <c r="T19" i="8" l="1"/>
  <c r="R19" i="8"/>
  <c r="T18" i="8"/>
  <c r="R18" i="8"/>
  <c r="D16" i="4" l="1"/>
  <c r="C16" i="4" l="1"/>
  <c r="R11" i="30"/>
  <c r="R12" i="30" s="1"/>
  <c r="K11" i="30"/>
  <c r="K16" i="30" s="1"/>
  <c r="K17" i="30" s="1"/>
  <c r="U10" i="30"/>
  <c r="R17" i="30"/>
  <c r="U14" i="30"/>
  <c r="T14" i="30"/>
  <c r="S14" i="30"/>
  <c r="R14" i="30"/>
  <c r="P14" i="30"/>
  <c r="O14" i="30"/>
  <c r="N14" i="30"/>
  <c r="M14" i="30"/>
  <c r="L14" i="30"/>
  <c r="K14" i="30"/>
  <c r="P11" i="30"/>
  <c r="M11" i="30"/>
  <c r="P12" i="30" l="1"/>
  <c r="G17" i="4"/>
  <c r="M12" i="30"/>
  <c r="M16" i="30"/>
  <c r="M17" i="30" s="1"/>
  <c r="L17" i="30" s="1"/>
  <c r="K12" i="30"/>
  <c r="T11" i="30"/>
  <c r="T12" i="30" s="1"/>
  <c r="L11" i="30"/>
  <c r="O11" i="30"/>
  <c r="O12" i="30" s="1"/>
  <c r="U11" i="30"/>
  <c r="S11" i="30" l="1"/>
  <c r="S16" i="30"/>
  <c r="S17" i="30" s="1"/>
  <c r="U12" i="30"/>
  <c r="L12" i="30"/>
  <c r="N12" i="30"/>
  <c r="L16" i="30"/>
  <c r="O16" i="30"/>
  <c r="N11" i="30"/>
  <c r="S12" i="30" l="1"/>
  <c r="H15" i="4"/>
  <c r="H16" i="4" s="1"/>
  <c r="U16" i="30"/>
  <c r="U17" i="30" s="1"/>
  <c r="N16" i="30"/>
  <c r="O17" i="30"/>
  <c r="N17" i="30" s="1"/>
  <c r="F16" i="4" l="1"/>
  <c r="E16" i="4" s="1"/>
  <c r="L20" i="8" l="1"/>
  <c r="N20" i="8" l="1"/>
  <c r="R20" i="8" s="1"/>
  <c r="T20" i="8" l="1"/>
  <c r="O23" i="8"/>
  <c r="B5" i="4"/>
  <c r="L8" i="8"/>
  <c r="N8" i="8" s="1"/>
  <c r="T8" i="8" s="1"/>
  <c r="L7" i="8"/>
  <c r="N7" i="8" s="1"/>
  <c r="T7" i="8" s="1"/>
  <c r="L6" i="8"/>
  <c r="N6" i="8" l="1"/>
  <c r="O26" i="8"/>
  <c r="O35" i="8" s="1"/>
  <c r="R8" i="8"/>
  <c r="T6" i="8" l="1"/>
  <c r="J27" i="8" l="1"/>
  <c r="J35" i="8" s="1"/>
  <c r="B6" i="4"/>
  <c r="B7" i="4" s="1"/>
  <c r="L10" i="8"/>
  <c r="L17" i="8" l="1"/>
  <c r="N17" i="8" s="1"/>
  <c r="N9" i="8"/>
  <c r="N14" i="8" s="1"/>
  <c r="L11" i="8"/>
  <c r="L14" i="8" s="1"/>
  <c r="K14" i="8" s="1"/>
  <c r="C5" i="4" l="1"/>
  <c r="T9" i="8"/>
  <c r="T14" i="8" s="1"/>
  <c r="R9" i="8"/>
  <c r="R14" i="8" s="1"/>
  <c r="H5" i="4" s="1"/>
  <c r="M14" i="8"/>
  <c r="L26" i="8"/>
  <c r="J5" i="4" l="1"/>
  <c r="D7" i="36"/>
  <c r="T26" i="8"/>
  <c r="N26" i="8"/>
  <c r="R26" i="8"/>
  <c r="T17" i="8"/>
  <c r="R17" i="8"/>
  <c r="D5" i="4"/>
  <c r="F5" i="4"/>
  <c r="D7" i="34" s="1"/>
  <c r="E5" i="4"/>
  <c r="J25" i="8"/>
  <c r="J33" i="8"/>
  <c r="J34" i="8"/>
  <c r="J30" i="8"/>
  <c r="J31" i="8"/>
  <c r="J32" i="8"/>
  <c r="M25" i="8"/>
  <c r="K28" i="8"/>
  <c r="J29" i="8"/>
  <c r="K25" i="8"/>
  <c r="L25" i="8"/>
  <c r="N25" i="8"/>
  <c r="O25" i="8"/>
  <c r="Q25" i="8"/>
  <c r="R25" i="8"/>
  <c r="S25" i="8"/>
  <c r="T25" i="8"/>
  <c r="Q23" i="8"/>
  <c r="S23" i="8"/>
  <c r="L16" i="8"/>
  <c r="D8" i="36" l="1"/>
  <c r="I7" i="36"/>
  <c r="I8" i="36" s="1"/>
  <c r="D8" i="34"/>
  <c r="I7" i="34"/>
  <c r="I8" i="34" s="1"/>
  <c r="N16" i="8"/>
  <c r="M26" i="8"/>
  <c r="S35" i="8"/>
  <c r="Q35" i="8"/>
  <c r="M32" i="8"/>
  <c r="O32" i="8"/>
  <c r="K32" i="8"/>
  <c r="N31" i="8"/>
  <c r="O30" i="8"/>
  <c r="M34" i="8"/>
  <c r="O33" i="8"/>
  <c r="T32" i="8"/>
  <c r="N32" i="8"/>
  <c r="L32" i="8"/>
  <c r="T31" i="8"/>
  <c r="L31" i="8"/>
  <c r="T30" i="8"/>
  <c r="M30" i="8"/>
  <c r="O34" i="8"/>
  <c r="K34" i="8"/>
  <c r="T33" i="8"/>
  <c r="M33" i="8"/>
  <c r="K33" i="8"/>
  <c r="L29" i="8"/>
  <c r="N30" i="8"/>
  <c r="L30" i="8"/>
  <c r="O31" i="8"/>
  <c r="M31" i="8"/>
  <c r="K31" i="8"/>
  <c r="K30" i="8"/>
  <c r="M29" i="8"/>
  <c r="N29" i="8"/>
  <c r="O29" i="8"/>
  <c r="T29" i="8"/>
  <c r="M28" i="8"/>
  <c r="O28" i="8"/>
  <c r="L28" i="8"/>
  <c r="N28" i="8"/>
  <c r="T28" i="8"/>
  <c r="T34" i="8"/>
  <c r="N34" i="8"/>
  <c r="L34" i="8"/>
  <c r="N33" i="8"/>
  <c r="L33" i="8"/>
  <c r="J28" i="8"/>
  <c r="K29" i="8"/>
  <c r="T16" i="8" l="1"/>
  <c r="T22" i="8" s="1"/>
  <c r="R16" i="8"/>
  <c r="R22" i="8" s="1"/>
  <c r="H6" i="4" s="1"/>
  <c r="H7" i="4" s="1"/>
  <c r="H17" i="4" s="1"/>
  <c r="K26" i="8"/>
  <c r="D10" i="36" l="1"/>
  <c r="J6" i="4"/>
  <c r="J7" i="4" s="1"/>
  <c r="J17" i="4" s="1"/>
  <c r="F12" i="4"/>
  <c r="D11" i="36" l="1"/>
  <c r="D18" i="36" s="1"/>
  <c r="D20" i="36" s="1"/>
  <c r="I10" i="36"/>
  <c r="I11" i="36" s="1"/>
  <c r="I16" i="36" s="1"/>
  <c r="I17" i="36" s="1"/>
  <c r="I18" i="36" s="1"/>
  <c r="I20" i="36" s="1"/>
  <c r="T23" i="8"/>
  <c r="T27" i="8"/>
  <c r="T35" i="8" s="1"/>
  <c r="R23" i="8"/>
  <c r="R27" i="8"/>
  <c r="R35" i="8" s="1"/>
  <c r="D12" i="4" l="1"/>
  <c r="B12" i="4" l="1"/>
  <c r="B17" i="4" s="1"/>
  <c r="E12" i="4"/>
  <c r="C12" i="4" l="1"/>
  <c r="B58" i="35"/>
  <c r="B59" i="35"/>
  <c r="B67" i="35" l="1"/>
  <c r="B68" i="35" s="1"/>
  <c r="B62" i="35"/>
  <c r="B63" i="35" s="1"/>
  <c r="B69" i="35" l="1"/>
  <c r="B70" i="35" s="1"/>
  <c r="B71" i="35" s="1"/>
  <c r="B72" i="35" s="1"/>
  <c r="B73" i="35" s="1"/>
  <c r="B74" i="35" s="1"/>
  <c r="B75" i="35" s="1"/>
  <c r="B76" i="35" s="1"/>
  <c r="B79" i="35" l="1"/>
  <c r="B77" i="35"/>
  <c r="B78" i="35" s="1"/>
  <c r="B80" i="35"/>
  <c r="B81" i="35"/>
  <c r="B84" i="35" s="1"/>
  <c r="B85" i="35" s="1"/>
  <c r="N21" i="8" l="1"/>
  <c r="L21" i="8"/>
  <c r="L22" i="8" s="1"/>
  <c r="L23" i="8" l="1"/>
  <c r="K23" i="8" s="1"/>
  <c r="K22" i="8"/>
  <c r="C6" i="4" s="1"/>
  <c r="L27" i="8"/>
  <c r="D6" i="4"/>
  <c r="D7" i="4" s="1"/>
  <c r="F6" i="4"/>
  <c r="N23" i="8"/>
  <c r="M23" i="8" s="1"/>
  <c r="M22" i="8"/>
  <c r="E6" i="4" s="1"/>
  <c r="N27" i="8"/>
  <c r="D17" i="4" l="1"/>
  <c r="C17" i="4" s="1"/>
  <c r="C7" i="4"/>
  <c r="M27" i="8"/>
  <c r="N35" i="8"/>
  <c r="F7" i="4"/>
  <c r="D10" i="34"/>
  <c r="K27" i="8"/>
  <c r="L35" i="8"/>
  <c r="K35" i="8" s="1"/>
  <c r="M35" i="8" l="1"/>
  <c r="D11" i="34"/>
  <c r="D18" i="34" s="1"/>
  <c r="I10" i="34"/>
  <c r="I11" i="34" s="1"/>
  <c r="I16" i="34" s="1"/>
  <c r="E7" i="4"/>
  <c r="F17" i="4"/>
  <c r="E17" i="4" s="1"/>
  <c r="I17" i="34" l="1"/>
  <c r="I18" i="3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Hoang, Thoa K. - FNS</author>
    <author>Delehanty, Emily - FNS</author>
    <author>bkowtha</author>
    <author>Windows User</author>
    <author>tc={F42C7FEA-7F00-4CA0-A3AF-564D63C40E75}</author>
  </authors>
  <commentList>
    <comment ref="M6" authorId="0" shapeId="0" xr:uid="{56ACCC89-D004-4330-9703-C5C990EADF34}">
      <text>
        <r>
          <rPr>
            <b/>
            <sz val="9"/>
            <color indexed="81"/>
            <rFont val="Tahoma"/>
            <family val="2"/>
          </rPr>
          <t xml:space="preserve">Hoang, Thoa K. - FNS
</t>
        </r>
        <r>
          <rPr>
            <sz val="11"/>
            <color indexed="81"/>
            <rFont val="Tahoma"/>
            <family val="2"/>
          </rPr>
          <t>PRAO instructed CNP to consider reading and reviewing handbooks, policy guidance, and instructions as reporting burden. Therefore, CNP is estimating that on average,  Sas will spend 3 hours per month reviewing materials, totally 36 hours annually</t>
        </r>
      </text>
    </comment>
    <comment ref="F16" authorId="1" shapeId="0" xr:uid="{273B6F4F-B552-4769-9805-8C2D7EDF28BE}">
      <text>
        <r>
          <rPr>
            <b/>
            <sz val="9"/>
            <color indexed="81"/>
            <rFont val="Tahoma"/>
            <family val="2"/>
          </rPr>
          <t>Delehanty, Emily - FNS:</t>
        </r>
        <r>
          <rPr>
            <sz val="9"/>
            <color indexed="81"/>
            <rFont val="Tahoma"/>
            <family val="2"/>
          </rPr>
          <t xml:space="preserve">
Updated citation</t>
        </r>
      </text>
    </comment>
    <comment ref="H16" authorId="1" shapeId="0" xr:uid="{29292A7C-6D28-4CC1-A023-8933D014BB14}">
      <text>
        <r>
          <rPr>
            <b/>
            <sz val="9"/>
            <color indexed="81"/>
            <rFont val="Tahoma"/>
            <family val="2"/>
          </rPr>
          <t>Delehanty, Emily - FNS:</t>
        </r>
        <r>
          <rPr>
            <sz val="9"/>
            <color indexed="81"/>
            <rFont val="Tahoma"/>
            <family val="2"/>
          </rPr>
          <t xml:space="preserve">
Updated citation</t>
        </r>
      </text>
    </comment>
    <comment ref="M16" authorId="1" shapeId="0" xr:uid="{B6EB7094-4FF4-4DBB-9531-31EF346B3696}">
      <text>
        <r>
          <rPr>
            <b/>
            <sz val="9"/>
            <color indexed="81"/>
            <rFont val="Tahoma"/>
            <family val="2"/>
          </rPr>
          <t>Delehanty, Emily - FNS:</t>
        </r>
        <r>
          <rPr>
            <sz val="9"/>
            <color indexed="81"/>
            <rFont val="Tahoma"/>
            <family val="2"/>
          </rPr>
          <t xml:space="preserve">
changed due to including 225.6(c)(4) requirements. PRAO instructed CNP to include review of policy, handbooks, and instructions as burden. Therefore, CNP estiamte that on average, sponsors will spend 3 hours per month reviewing guidance from FNS, totally 36 hours annually, on top of the 3.4 hours for submitting a written application to participate in SFSP to their SA.
</t>
        </r>
      </text>
    </comment>
    <comment ref="F17" authorId="1" shapeId="0" xr:uid="{EA4FB8E8-6201-4B50-9727-DE8872EC5ACA}">
      <text>
        <r>
          <rPr>
            <b/>
            <sz val="9"/>
            <color indexed="81"/>
            <rFont val="Tahoma"/>
            <family val="2"/>
          </rPr>
          <t xml:space="preserve">Delehanty, Emily - FNS:
Updated </t>
        </r>
        <r>
          <rPr>
            <sz val="9"/>
            <color indexed="81"/>
            <rFont val="Tahoma"/>
            <family val="2"/>
          </rPr>
          <t>citation</t>
        </r>
      </text>
    </comment>
    <comment ref="H17" authorId="1" shapeId="0" xr:uid="{1F0795E4-CFDB-4E51-A7C9-744B2604BDA0}">
      <text>
        <r>
          <rPr>
            <b/>
            <sz val="9"/>
            <color indexed="81"/>
            <rFont val="Tahoma"/>
            <family val="2"/>
          </rPr>
          <t xml:space="preserve">Delehanty, Emily - FNS:
Updated </t>
        </r>
        <r>
          <rPr>
            <sz val="9"/>
            <color indexed="81"/>
            <rFont val="Tahoma"/>
            <family val="2"/>
          </rPr>
          <t>citation</t>
        </r>
      </text>
    </comment>
    <comment ref="F22" authorId="1" shapeId="0" xr:uid="{ABE7B800-7183-48E6-946D-1774A0E9FAEC}">
      <text>
        <r>
          <rPr>
            <b/>
            <sz val="9"/>
            <color indexed="81"/>
            <rFont val="Tahoma"/>
            <family val="2"/>
          </rPr>
          <t>Delehanty, Emily - FNS:</t>
        </r>
        <r>
          <rPr>
            <sz val="9"/>
            <color indexed="81"/>
            <rFont val="Tahoma"/>
            <family val="2"/>
          </rPr>
          <t xml:space="preserve">
change in citation. ( How do we calculate this from the total number of meals vended? -TH)</t>
        </r>
      </text>
    </comment>
    <comment ref="H22" authorId="1" shapeId="0" xr:uid="{19DB6C7E-594C-41F1-9BCF-DC97FF8F5483}">
      <text>
        <r>
          <rPr>
            <b/>
            <sz val="9"/>
            <color indexed="81"/>
            <rFont val="Tahoma"/>
            <family val="2"/>
          </rPr>
          <t>Delehanty, Emily - FNS:</t>
        </r>
        <r>
          <rPr>
            <sz val="9"/>
            <color indexed="81"/>
            <rFont val="Tahoma"/>
            <family val="2"/>
          </rPr>
          <t xml:space="preserve">
change in citation. ( How do we calculate this from the total number of meals vended? -TH)</t>
        </r>
      </text>
    </comment>
    <comment ref="K33" authorId="0" shapeId="0" xr:uid="{908A69B6-1701-437C-88B9-BE03C0E3A773}">
      <text>
        <r>
          <rPr>
            <b/>
            <sz val="9"/>
            <color indexed="81"/>
            <rFont val="Tahoma"/>
            <family val="2"/>
          </rPr>
          <t>Hoang, Thoa K. - FNS:</t>
        </r>
        <r>
          <rPr>
            <sz val="9"/>
            <color indexed="81"/>
            <rFont val="Tahoma"/>
            <family val="2"/>
          </rPr>
          <t xml:space="preserve">
On average, this is how many applications FNS estimate State agencies have to review
</t>
        </r>
      </text>
    </comment>
    <comment ref="N34" authorId="0" shapeId="0" xr:uid="{CD487997-461D-4D68-AB12-A11517B5F815}">
      <text>
        <r>
          <rPr>
            <b/>
            <sz val="9"/>
            <color indexed="81"/>
            <rFont val="Tahoma"/>
            <family val="2"/>
          </rPr>
          <t>Hoang, Thoa K. - FNS:</t>
        </r>
        <r>
          <rPr>
            <sz val="9"/>
            <color indexed="81"/>
            <rFont val="Tahoma"/>
            <family val="2"/>
          </rPr>
          <t xml:space="preserve">
SAs sibmit one report and time is adjusted in consultation with SA staff. </t>
        </r>
      </text>
    </comment>
    <comment ref="K35" authorId="0" shapeId="0" xr:uid="{1B442725-2D5C-4BAF-9D7A-CC97724B785F}">
      <text>
        <r>
          <rPr>
            <b/>
            <sz val="9"/>
            <color indexed="81"/>
            <rFont val="Tahoma"/>
            <family val="2"/>
          </rPr>
          <t>Hoang, Thoa K. - FNS:</t>
        </r>
        <r>
          <rPr>
            <sz val="9"/>
            <color indexed="81"/>
            <rFont val="Tahoma"/>
            <family val="2"/>
          </rPr>
          <t xml:space="preserve">
Total number of sponsors operating the program/number of state agencies 5,524/53= 104</t>
        </r>
      </text>
    </comment>
    <comment ref="K36" authorId="2" shapeId="0" xr:uid="{60070B2C-4E88-4E2E-8BA0-653CEF5DA7DE}">
      <text>
        <r>
          <rPr>
            <b/>
            <sz val="10"/>
            <color indexed="81"/>
            <rFont val="Tahoma"/>
            <family val="2"/>
          </rPr>
          <t>bkowtha:</t>
        </r>
        <r>
          <rPr>
            <sz val="10"/>
            <color indexed="81"/>
            <rFont val="Tahoma"/>
            <family val="2"/>
          </rPr>
          <t xml:space="preserve">
one report per SA</t>
        </r>
      </text>
    </comment>
    <comment ref="K37" authorId="3" shapeId="0" xr:uid="{3AFF69EF-B759-49FD-A1B8-21F53B212E12}">
      <text>
        <r>
          <rPr>
            <b/>
            <sz val="9"/>
            <color indexed="81"/>
            <rFont val="Tahoma"/>
            <family val="2"/>
          </rPr>
          <t xml:space="preserve">bkowtha:
</t>
        </r>
        <r>
          <rPr>
            <sz val="9"/>
            <color indexed="81"/>
            <rFont val="Tahoma"/>
            <family val="2"/>
          </rPr>
          <t>average number of sponsors [(5,524/53=104) x 3] reports =312</t>
        </r>
      </text>
    </comment>
    <comment ref="N37" authorId="0" shapeId="0" xr:uid="{3625A409-00D2-4825-9DEB-695B2B93D9C7}">
      <text>
        <r>
          <rPr>
            <b/>
            <sz val="9"/>
            <color indexed="81"/>
            <rFont val="Tahoma"/>
            <family val="2"/>
          </rPr>
          <t>Hoang, Thoa K. - FNS:</t>
        </r>
        <r>
          <rPr>
            <sz val="9"/>
            <color indexed="81"/>
            <rFont val="Tahoma"/>
            <family val="2"/>
          </rPr>
          <t xml:space="preserve">
increase due to increase in number of sponsors.</t>
        </r>
      </text>
    </comment>
    <comment ref="K39" authorId="3" shapeId="0" xr:uid="{26B45E65-0F08-4DB8-B146-1A025D3928B5}">
      <text>
        <r>
          <rPr>
            <b/>
            <sz val="9"/>
            <color indexed="81"/>
            <rFont val="Tahoma"/>
            <family val="2"/>
          </rPr>
          <t xml:space="preserve">bkowtha:
</t>
        </r>
        <r>
          <rPr>
            <sz val="9"/>
            <color indexed="81"/>
            <rFont val="Tahoma"/>
            <family val="2"/>
          </rPr>
          <t xml:space="preserve">10% of average number sponsors </t>
        </r>
      </text>
    </comment>
    <comment ref="J63" authorId="4" shapeId="0" xr:uid="{F42C7FEA-7F00-4CA0-A3AF-564D63C40E75}">
      <text>
        <t>[Threaded comment]
Your version of Excel allows you to read this threaded comment; however, any edits to it will get removed if the file is opened in a newer version of Excel. Learn more: https://go.microsoft.com/fwlink/?linkid=870924
Comment:
    NDB [Number of Sponsors, School Sponsors + Number of Sponsors, Gov't Sponsors] * 30% [Assume Serious Management Problems will occur at the same rate as CACFP].</t>
      </text>
    </comment>
    <comment ref="F66" authorId="1" shapeId="0" xr:uid="{08E0FDE5-0810-45CE-A93A-12F41135B6E7}">
      <text>
        <r>
          <rPr>
            <b/>
            <sz val="9"/>
            <color indexed="81"/>
            <rFont val="Tahoma"/>
            <family val="2"/>
          </rPr>
          <t>Delehanty, Emily - FNS:</t>
        </r>
        <r>
          <rPr>
            <sz val="9"/>
            <color indexed="81"/>
            <rFont val="Tahoma"/>
            <family val="2"/>
          </rPr>
          <t xml:space="preserve">
Updated citation</t>
        </r>
      </text>
    </comment>
    <comment ref="H66" authorId="1" shapeId="0" xr:uid="{0C24D1D1-51BB-41DA-A36A-DBAFB8D771FE}">
      <text>
        <r>
          <rPr>
            <b/>
            <sz val="9"/>
            <color indexed="81"/>
            <rFont val="Tahoma"/>
            <family val="2"/>
          </rPr>
          <t>Delehanty, Emily - FNS:</t>
        </r>
        <r>
          <rPr>
            <sz val="9"/>
            <color indexed="81"/>
            <rFont val="Tahoma"/>
            <family val="2"/>
          </rPr>
          <t xml:space="preserve">
Updated citation</t>
        </r>
      </text>
    </comment>
    <comment ref="J66" authorId="0" shapeId="0" xr:uid="{6056501A-1B3F-40DA-927C-8FDB09CC5F17}">
      <text>
        <r>
          <rPr>
            <b/>
            <sz val="9"/>
            <color indexed="81"/>
            <rFont val="Tahoma"/>
            <family val="2"/>
          </rPr>
          <t>Hoang, Thoa K. - FNS:</t>
        </r>
        <r>
          <rPr>
            <sz val="9"/>
            <color indexed="81"/>
            <rFont val="Tahoma"/>
            <family val="2"/>
          </rPr>
          <t xml:space="preserve">
Number of sponsors in the NDB 2018 SFSP public use report (1/9/19)</t>
        </r>
      </text>
    </comment>
    <comment ref="M66" authorId="1" shapeId="0" xr:uid="{DA2AABBF-BF39-47AB-8BCE-E652691704D8}">
      <text>
        <r>
          <rPr>
            <b/>
            <sz val="9"/>
            <color indexed="81"/>
            <rFont val="Tahoma"/>
            <family val="2"/>
          </rPr>
          <t>Delehanty, Emily - FNS:</t>
        </r>
        <r>
          <rPr>
            <sz val="9"/>
            <color indexed="81"/>
            <rFont val="Tahoma"/>
            <family val="2"/>
          </rPr>
          <t xml:space="preserve">
changed due to including 225.6(c)(4) requirements. PRAO instructed CNP to include review of policy, handbooks, and instructions as burden. Therefore, CNP estiamte that on average, sponsors will spend 3 hours per month reviewing guidance from FNS, totally 36 hours annually, on top of the 3.4 hours for submitting a written application to participate in SFSP to their SA.
</t>
        </r>
      </text>
    </comment>
    <comment ref="F67" authorId="1" shapeId="0" xr:uid="{FA48419E-8602-495D-9DFA-D6E953C1B7EC}">
      <text>
        <r>
          <rPr>
            <b/>
            <sz val="9"/>
            <color indexed="81"/>
            <rFont val="Tahoma"/>
            <family val="2"/>
          </rPr>
          <t xml:space="preserve">Delehanty, Emily - FNS:
Updated </t>
        </r>
        <r>
          <rPr>
            <sz val="9"/>
            <color indexed="81"/>
            <rFont val="Tahoma"/>
            <family val="2"/>
          </rPr>
          <t>citation</t>
        </r>
      </text>
    </comment>
    <comment ref="H67" authorId="1" shapeId="0" xr:uid="{A2022EE7-A8F5-4E17-A071-4E67A16840D1}">
      <text>
        <r>
          <rPr>
            <b/>
            <sz val="9"/>
            <color indexed="81"/>
            <rFont val="Tahoma"/>
            <family val="2"/>
          </rPr>
          <t xml:space="preserve">Delehanty, Emily - FNS:
Updated </t>
        </r>
        <r>
          <rPr>
            <sz val="9"/>
            <color indexed="81"/>
            <rFont val="Tahoma"/>
            <family val="2"/>
          </rPr>
          <t>citation</t>
        </r>
      </text>
    </comment>
    <comment ref="J67" authorId="0" shapeId="0" xr:uid="{53778186-D7AB-465C-944B-831D471AA5F1}">
      <text>
        <r>
          <rPr>
            <b/>
            <sz val="9"/>
            <color indexed="81"/>
            <rFont val="Tahoma"/>
            <family val="2"/>
          </rPr>
          <t>Hoang, Thoa K. - FNS:</t>
        </r>
        <r>
          <rPr>
            <sz val="9"/>
            <color indexed="81"/>
            <rFont val="Tahoma"/>
            <family val="2"/>
          </rPr>
          <t xml:space="preserve">
2018 close out data from the regions showed that around 80.69%. (100-80.69= 19.31) 19.31% x  the number of sponsors
</t>
        </r>
      </text>
    </comment>
    <comment ref="J70" authorId="0" shapeId="0" xr:uid="{A8D43F44-1083-4DA0-AA9E-EC7EA80894D2}">
      <text>
        <r>
          <rPr>
            <b/>
            <sz val="9"/>
            <color indexed="81"/>
            <rFont val="Tahoma"/>
            <family val="2"/>
          </rPr>
          <t>Hoang, Thoa K. - FNS:</t>
        </r>
        <r>
          <rPr>
            <sz val="9"/>
            <color indexed="81"/>
            <rFont val="Tahoma"/>
            <family val="2"/>
          </rPr>
          <t xml:space="preserve">
This number is based on the SNAR081-R1 Analysis Data. NDB FY2018 Thru 7/2018. The number of residential camps as of July 2018. </t>
        </r>
      </text>
    </comment>
    <comment ref="J71" authorId="3" shapeId="0" xr:uid="{9E924CAD-94F2-416B-AEA4-D60ADD14DF87}">
      <text>
        <r>
          <rPr>
            <b/>
            <sz val="9"/>
            <color indexed="81"/>
            <rFont val="Tahoma"/>
            <family val="2"/>
          </rPr>
          <t>bkowtha:
10% of sponsors</t>
        </r>
      </text>
    </comment>
    <comment ref="J72" authorId="0" shapeId="0" xr:uid="{6A09A5D6-197A-4BC4-A335-E36DD22594C0}">
      <text>
        <r>
          <rPr>
            <b/>
            <sz val="9"/>
            <color indexed="81"/>
            <rFont val="Tahoma"/>
            <family val="2"/>
          </rPr>
          <t>Hoang, Thoa K. - FNS:</t>
        </r>
        <r>
          <rPr>
            <sz val="9"/>
            <color indexed="81"/>
            <rFont val="Tahoma"/>
            <family val="2"/>
          </rPr>
          <t xml:space="preserve">
Based on the characteristic study from 2015, 34.93% of sponsors contract with an FSMC. (Number of sponsors  multiply by 34.93%)</t>
        </r>
      </text>
    </comment>
    <comment ref="J73" authorId="0" shapeId="0" xr:uid="{ED3EC13E-885A-402E-A62A-62AFB7C0CDED}">
      <text>
        <r>
          <rPr>
            <b/>
            <sz val="9"/>
            <color indexed="81"/>
            <rFont val="Tahoma"/>
            <family val="2"/>
          </rPr>
          <t>Hoang, Thoa K. - FNS:</t>
        </r>
        <r>
          <rPr>
            <sz val="9"/>
            <color indexed="81"/>
            <rFont val="Tahoma"/>
            <family val="2"/>
          </rPr>
          <t xml:space="preserve">
34.93% of sponsors (5,524) would have contracts with FSMC. 1% of these sponsors would sbmit a special request</t>
        </r>
      </text>
    </comment>
    <comment ref="F74" authorId="1" shapeId="0" xr:uid="{0ACB3FDE-1FCD-4732-A4C7-EC4C695AFC60}">
      <text>
        <r>
          <rPr>
            <b/>
            <sz val="9"/>
            <color indexed="81"/>
            <rFont val="Tahoma"/>
            <family val="2"/>
          </rPr>
          <t>Delehanty, Emily - FNS:</t>
        </r>
        <r>
          <rPr>
            <sz val="9"/>
            <color indexed="81"/>
            <rFont val="Tahoma"/>
            <family val="2"/>
          </rPr>
          <t xml:space="preserve">
change in citation. ( How do we calculate this from the total number of meals vended? -TH)</t>
        </r>
      </text>
    </comment>
    <comment ref="H74" authorId="1" shapeId="0" xr:uid="{27AFBFAA-7D78-4D3D-9632-54661C9BC6CE}">
      <text>
        <r>
          <rPr>
            <b/>
            <sz val="9"/>
            <color indexed="81"/>
            <rFont val="Tahoma"/>
            <family val="2"/>
          </rPr>
          <t>Delehanty, Emily - FNS:</t>
        </r>
        <r>
          <rPr>
            <sz val="9"/>
            <color indexed="81"/>
            <rFont val="Tahoma"/>
            <family val="2"/>
          </rPr>
          <t xml:space="preserve">
change in citation. ( How do we calculate this from the total number of meals vended? -TH)</t>
        </r>
      </text>
    </comment>
    <comment ref="J74" authorId="0" shapeId="0" xr:uid="{548DAA98-C59D-4210-8875-3E527189626B}">
      <text>
        <r>
          <rPr>
            <b/>
            <sz val="9"/>
            <color indexed="81"/>
            <rFont val="Tahoma"/>
            <family val="2"/>
          </rPr>
          <t>Hoang, Thoa K. - FNS:</t>
        </r>
        <r>
          <rPr>
            <sz val="9"/>
            <color indexed="81"/>
            <rFont val="Tahoma"/>
            <family val="2"/>
          </rPr>
          <t xml:space="preserve">
Based on the characteristic study from 2015, 34.93% of sponsors contract with an FSMC. (Number of sponsors  multiply by 34.93%)</t>
        </r>
      </text>
    </comment>
    <comment ref="J84" authorId="0" shapeId="0" xr:uid="{0ACDB217-0EA6-493A-A5CB-67CA038806A4}">
      <text>
        <r>
          <rPr>
            <b/>
            <sz val="9"/>
            <color indexed="81"/>
            <rFont val="Tahoma"/>
            <family val="2"/>
          </rPr>
          <t>Hoang, Thoa K. - FNS:</t>
        </r>
        <r>
          <rPr>
            <sz val="9"/>
            <color indexed="81"/>
            <rFont val="Tahoma"/>
            <family val="2"/>
          </rPr>
          <t xml:space="preserve">
This number is the ADA for residential camps. This was choosen because camps have to determine eligibility of children attending the camps. So a suggestion is to use the ADA of residential camps.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Delehanty, Emily - FNS</author>
    <author>Kowtha, Bramaramba - FNS</author>
    <author>Windows User</author>
    <author>bkowtha</author>
    <author>Hoang, Thoa K. - FNS</author>
  </authors>
  <commentList>
    <comment ref="F5" authorId="0" shapeId="0" xr:uid="{4A496DFF-1F1C-4B54-82FD-82F711F9E2EC}">
      <text>
        <r>
          <rPr>
            <b/>
            <sz val="9"/>
            <color indexed="81"/>
            <rFont val="Tahoma"/>
            <family val="2"/>
          </rPr>
          <t>Delehanty, Emily - FNS:</t>
        </r>
        <r>
          <rPr>
            <sz val="9"/>
            <color indexed="81"/>
            <rFont val="Tahoma"/>
            <family val="2"/>
          </rPr>
          <t xml:space="preserve">
change in citation</t>
        </r>
      </text>
    </comment>
    <comment ref="H5" authorId="0" shapeId="0" xr:uid="{00000000-0006-0000-0100-000001000000}">
      <text>
        <r>
          <rPr>
            <b/>
            <sz val="9"/>
            <color indexed="81"/>
            <rFont val="Tahoma"/>
            <family val="2"/>
          </rPr>
          <t>Delehanty, Emily - FNS:</t>
        </r>
        <r>
          <rPr>
            <sz val="9"/>
            <color indexed="81"/>
            <rFont val="Tahoma"/>
            <family val="2"/>
          </rPr>
          <t xml:space="preserve">
change in citation</t>
        </r>
      </text>
    </comment>
    <comment ref="K6" authorId="1" shapeId="0" xr:uid="{00000000-0006-0000-0100-000002000000}">
      <text>
        <r>
          <rPr>
            <b/>
            <sz val="9"/>
            <color indexed="81"/>
            <rFont val="Tahoma"/>
            <family val="2"/>
          </rPr>
          <t>Kowtha, Bramaramba - FNS:</t>
        </r>
        <r>
          <rPr>
            <sz val="9"/>
            <color indexed="81"/>
            <rFont val="Tahoma"/>
            <family val="2"/>
          </rPr>
          <t xml:space="preserve">
average number of reveiws conducted by each SA per requirements. This is a general estimate. </t>
        </r>
      </text>
    </comment>
    <comment ref="K7" authorId="1" shapeId="0" xr:uid="{00000000-0006-0000-0100-000003000000}">
      <text>
        <r>
          <rPr>
            <b/>
            <sz val="9"/>
            <color indexed="81"/>
            <rFont val="Tahoma"/>
            <family val="2"/>
          </rPr>
          <t>Kowtha, Bramaramba - FNS:</t>
        </r>
        <r>
          <rPr>
            <sz val="9"/>
            <color indexed="81"/>
            <rFont val="Tahoma"/>
            <family val="2"/>
          </rPr>
          <t xml:space="preserve">
avg number</t>
        </r>
      </text>
    </comment>
    <comment ref="K8" authorId="2" shapeId="0" xr:uid="{00000000-0006-0000-0100-000004000000}">
      <text>
        <r>
          <rPr>
            <b/>
            <sz val="9"/>
            <color indexed="81"/>
            <rFont val="Tahoma"/>
            <family val="2"/>
          </rPr>
          <t>bkowtha:
5524</t>
        </r>
        <r>
          <rPr>
            <sz val="9"/>
            <color indexed="81"/>
            <rFont val="Tahoma"/>
            <family val="2"/>
          </rPr>
          <t>/53=104</t>
        </r>
      </text>
    </comment>
    <comment ref="J17" authorId="3" shapeId="0" xr:uid="{00000000-0006-0000-0100-000005000000}">
      <text>
        <r>
          <rPr>
            <b/>
            <sz val="10"/>
            <color indexed="81"/>
            <rFont val="Tahoma"/>
            <family val="2"/>
          </rPr>
          <t>bkowtha:</t>
        </r>
        <r>
          <rPr>
            <sz val="10"/>
            <color indexed="81"/>
            <rFont val="Tahoma"/>
            <family val="2"/>
          </rPr>
          <t xml:space="preserve">
This number is based on the SNAR081-R1 Analysis Data. NDB FY2018 Thru 7/2018. The number of residential camps as of July 2018. </t>
        </r>
      </text>
    </comment>
    <comment ref="J20" authorId="4" shapeId="0" xr:uid="{00000000-0006-0000-0100-000006000000}">
      <text>
        <r>
          <rPr>
            <b/>
            <sz val="9"/>
            <color indexed="81"/>
            <rFont val="Tahoma"/>
            <family val="2"/>
          </rPr>
          <t>Hoang, Thoa K. - FNS:</t>
        </r>
        <r>
          <rPr>
            <sz val="9"/>
            <color indexed="81"/>
            <rFont val="Tahoma"/>
            <family val="2"/>
          </rPr>
          <t xml:space="preserve">
from the characteristic study, FNS knows that 38% of sponsors are closed enrolled or camps. Only camps or closed enrolled sponsors would collect eligiblity information. 5,524 was multiply by 38% to determine this number
</t>
        </r>
        <r>
          <rPr>
            <b/>
            <sz val="9"/>
            <color indexed="81"/>
            <rFont val="Tahoma"/>
            <family val="2"/>
          </rPr>
          <t xml:space="preserve">
</t>
        </r>
      </text>
    </comment>
    <comment ref="K20" authorId="1" shapeId="0" xr:uid="{00000000-0006-0000-0100-000007000000}">
      <text>
        <r>
          <rPr>
            <b/>
            <sz val="9"/>
            <color indexed="81"/>
            <rFont val="Tahoma"/>
            <family val="2"/>
          </rPr>
          <t>Kowtha, Bramaramba - FNS:</t>
        </r>
        <r>
          <rPr>
            <sz val="9"/>
            <color indexed="81"/>
            <rFont val="Tahoma"/>
            <family val="2"/>
          </rPr>
          <t xml:space="preserve">
5524/53=104
</t>
        </r>
      </text>
    </comment>
  </commentList>
</comments>
</file>

<file path=xl/sharedStrings.xml><?xml version="1.0" encoding="utf-8"?>
<sst xmlns="http://schemas.openxmlformats.org/spreadsheetml/2006/main" count="607" uniqueCount="263">
  <si>
    <t>Legend</t>
  </si>
  <si>
    <t>Not included in previously approved ICR</t>
  </si>
  <si>
    <t>Reporting</t>
  </si>
  <si>
    <t>Previously Approved ICR</t>
  </si>
  <si>
    <t>Review of Regulations</t>
  </si>
  <si>
    <t>A</t>
  </si>
  <si>
    <t>B</t>
  </si>
  <si>
    <t>C = (A*B)</t>
  </si>
  <si>
    <t>D</t>
  </si>
  <si>
    <t>E= (C*D)</t>
  </si>
  <si>
    <t>F</t>
  </si>
  <si>
    <t>G =E-F</t>
  </si>
  <si>
    <t>Item in Burden Narrative</t>
  </si>
  <si>
    <t>Requirement in Previously Approved ICR</t>
  </si>
  <si>
    <t>Section of Regulation / Form</t>
  </si>
  <si>
    <t>Title</t>
  </si>
  <si>
    <t>Section of Regulation/ Form</t>
  </si>
  <si>
    <t>Estimated # Respondents</t>
  </si>
  <si>
    <t>Responses per Respondents</t>
  </si>
  <si>
    <t>Total Annual Records</t>
  </si>
  <si>
    <t>Estimated Avg. # of Hours Per Response</t>
  </si>
  <si>
    <t xml:space="preserve">Estimated Total Hours            </t>
  </si>
  <si>
    <t>Current OMB Approved Burden Hrs</t>
  </si>
  <si>
    <t>Previous Burden in Use Without Approval</t>
  </si>
  <si>
    <t>Due to Authorizing Statute</t>
  </si>
  <si>
    <t>Due to Program Adjustment</t>
  </si>
  <si>
    <t>Due to Program Change</t>
  </si>
  <si>
    <t>Total Difference</t>
  </si>
  <si>
    <t>Justification</t>
  </si>
  <si>
    <t xml:space="preserve">Data Validation - List </t>
  </si>
  <si>
    <t>State/Local/Tribal Government Level</t>
  </si>
  <si>
    <t>Yes</t>
  </si>
  <si>
    <t>225.3(b)</t>
  </si>
  <si>
    <t xml:space="preserve">SAs, by November 1 of each fiscal year, notify USDA if it intends to administer the Summer Food Service Program. The agreement shall contain an assurance that the State agency will comply with policy, instructions, guidance, and handbooks issued by FNS . </t>
  </si>
  <si>
    <t>225.4(a)</t>
  </si>
  <si>
    <t>SAs, by Feb. 15 of each year, submit to FNSRO a Program Management and Administration Plan for that fiscal year.</t>
  </si>
  <si>
    <t>SFSP</t>
  </si>
  <si>
    <t xml:space="preserve">225.6(b)(2) </t>
  </si>
  <si>
    <t xml:space="preserve">SAs inform potential sponsors of procedure for advance and administrative cost payments. </t>
  </si>
  <si>
    <t>Add this!</t>
  </si>
  <si>
    <t>225.6(h)(2)</t>
  </si>
  <si>
    <t>SAs develop a standard contract for use by sponsors and FSMCs</t>
  </si>
  <si>
    <t xml:space="preserve">225.7(c) </t>
  </si>
  <si>
    <t>SAs develop and make available to sponsor food specifications and model meal quality standards to be a part of all contracts between vended sponsors and FSMCs.</t>
  </si>
  <si>
    <t xml:space="preserve">            </t>
  </si>
  <si>
    <t>225.7(d)</t>
  </si>
  <si>
    <t>SAs conduct program monitoring assistance, to include pre-approval visits, sponsor reviews, follow-up reviews, development of monitoring system, FSMC facility visits, development of forms, and corrective action.</t>
  </si>
  <si>
    <t>225.7(d)(2)</t>
  </si>
  <si>
    <t>SAs conduct program monitoring assistance for sites.</t>
  </si>
  <si>
    <t>225.7(d)(6), 225.7€</t>
  </si>
  <si>
    <r>
      <t xml:space="preserve">SAs conduct inspections of food service management company. </t>
    </r>
    <r>
      <rPr>
        <sz val="11"/>
        <color rgb="FFFF0000"/>
        <rFont val="Calibri"/>
        <family val="2"/>
      </rPr>
      <t>The SA shall establish an order of priority and promptly respond to compliants. SA may conduct inspections of self-preparation and vended sponsors' food preparation facilities.</t>
    </r>
  </si>
  <si>
    <t>225.7(f)</t>
  </si>
  <si>
    <t xml:space="preserve">SAs establish a financial management system to identify program costs and establish standards for sponsor recordkeeping and reporting. </t>
  </si>
  <si>
    <t>No</t>
  </si>
  <si>
    <t>225.6(c)(5)</t>
  </si>
  <si>
    <t>The SA must determine if a sponsoring organization operates in more than one State.</t>
  </si>
  <si>
    <t xml:space="preserve">225.6(c)(1), 225.6(c)(4), 225.14(a), 225.14(c) </t>
  </si>
  <si>
    <t xml:space="preserve">Sponsors submit written application to SAs for participation in SFSP. The sponsor must demonstrate financial and administrative capability for Program operations and accept final financial and administrative responsibility for total Program operations at all sites at which it proposes to conduct a food service. In order to do so, sponsors must comply with policy, instructions, guidance, and handbooks issued by FNS. </t>
  </si>
  <si>
    <t>225.6(c)(2)</t>
  </si>
  <si>
    <t>New sponsors, new sites, and, as determined by the State agency, sponsors and sites which have experienced significent operational problems, must  submit site information for each site where a food service operation is proposed.</t>
  </si>
  <si>
    <t>225.6(c)(3)</t>
  </si>
  <si>
    <t>Experienced sponsors and experienced sites must  submit site information for each site where a food service operation is proposed.</t>
  </si>
  <si>
    <t>225.6(e), 225.14(c)(7)</t>
  </si>
  <si>
    <t>Sponsors approved for participation in SFSP enter into written agreements with SAs to operate program in accordance with regulatory requirements.</t>
  </si>
  <si>
    <t>225.6(e) &amp; 225.14(c)(7)</t>
  </si>
  <si>
    <t>225.6(h)(2)(iii)</t>
  </si>
  <si>
    <t xml:space="preserve">Sponsors provide FSMC with a list of approved sites, along with the approved level for the number of meals which may be claimed for reimbursement for each site. </t>
  </si>
  <si>
    <t>225.6(h)(3)</t>
  </si>
  <si>
    <t>Sponsors submit requests to SAs for exception to unitizing requirement for certain components of a meal.</t>
  </si>
  <si>
    <t>225.6(h)(5), 225.6(h)(2)</t>
  </si>
  <si>
    <t>Sponsors submit to SAs copies of contracts with FSMC, bids received, and reason for selection on FSMC chosen.</t>
  </si>
  <si>
    <t>225.6(h)(2) &amp; 225.5(h)(5)</t>
  </si>
  <si>
    <t>225.6(n)</t>
  </si>
  <si>
    <t>SAs must determine if a sponsoring organization is an MSSO, as described in paragraphs (b)(1)(xv) and (b)(2)(iii)(L). SAs must assume the role of the CSA, if the MSSOs center of operations is located within the State. Each SA that approves an MSSO must follow the requirements described in paragraph (i).</t>
  </si>
  <si>
    <t>SAs must enter into a permanent written agreement with the MSSO, as described in paragraph (b)(4).</t>
  </si>
  <si>
    <t>SAs must approve the MSSOs administrative budget.</t>
  </si>
  <si>
    <t>SAs must provide summaries of the MSSO reviews that are conducted to the CSA. If the SA chooses to conduct a full review, the SA should request the necessary records from the CSA.</t>
  </si>
  <si>
    <t>SAs must conduct audit resolution activities. The SA must review audit reports, address audit findings, and implement corrective actions, as required under 2 CFR part 200, subpart D, and USDA implementing regulations 2 CFR 400 and 415.</t>
  </si>
  <si>
    <t>SAs  notify all other State agencies that have agreements with the MSSO of termination and disqualification actions, as described in paragraph (c)(2)(i).</t>
  </si>
  <si>
    <t>If it determines that an MSSOs center of operations is located within the State, the SA must assume the role of the CSA.</t>
  </si>
  <si>
    <t>If an MSSO has for-profit status, the cognizant agency must establish audit thresholds and requirements.</t>
  </si>
  <si>
    <t xml:space="preserve">The State agency must review sponsors and sites to ensure compliance with Program regulations. Per policy guidance, State agencies must validate 100% of claims for sponsors under review. </t>
  </si>
  <si>
    <t>225.8(d)(1)</t>
  </si>
  <si>
    <t>SAs submit to FNSRO a list of names and addresses of potential private nonprofit organizations and for each site, the address, first day of operation, and estimated daily attendance by May 1 each year.</t>
  </si>
  <si>
    <t>225.8(d)(2)</t>
  </si>
  <si>
    <t>SAs, within 5 days of approval of sponsors, must notify FNSROs of sponsors, approved sites, locations, and days of operation and estimated daily attendance.</t>
  </si>
  <si>
    <t>Seamless Summer</t>
  </si>
  <si>
    <t>225.9(b)(2)</t>
  </si>
  <si>
    <t>SAs prepare and submit a list sponsors eligible to receive commodities and daily number of eligible means to be served by each sponsor by June 1.</t>
  </si>
  <si>
    <t>225.9(d)(4)</t>
  </si>
  <si>
    <t xml:space="preserve">SAs forward reimbursements for valid claims. </t>
  </si>
  <si>
    <t>SAs arrange for audits of their own operations per 7 CFR Part 3015.</t>
  </si>
  <si>
    <t>225.12(a)</t>
  </si>
  <si>
    <t>SAs establish claims against sponsors and recover payment not properly payable.</t>
  </si>
  <si>
    <t>225.13 (a)</t>
  </si>
  <si>
    <t>SAs establish hearing appeal procedures.</t>
  </si>
  <si>
    <t>SAs make available to sponsors information on procurement standards.</t>
  </si>
  <si>
    <t>225.15(j)</t>
  </si>
  <si>
    <t>SAs that plan to use or disclose information in ways not permitted must obtain written consent form parent/guardian.</t>
  </si>
  <si>
    <t>225.15(k)</t>
  </si>
  <si>
    <t>SAs should enter into written agreement with party requesting disclosure information.</t>
  </si>
  <si>
    <t>225.8(b)</t>
  </si>
  <si>
    <t>SAs submit to FNS a final report on SFSP operations for each month of operations</t>
  </si>
  <si>
    <t>225.13(a)</t>
  </si>
  <si>
    <t>SAs must establish a procedure to be followed by an applicant appealing for a fair hearing.</t>
  </si>
  <si>
    <t>225.15(d)(2)</t>
  </si>
  <si>
    <t>Sponsors must visit each of their sites at least once during the first week of operation under the Program.</t>
  </si>
  <si>
    <t>225.15(d)(3)</t>
  </si>
  <si>
    <t>Sponsors must review food service operations for all sites at least once during the first 4 weeks of Program operations, and thereafter maintain a reasonable level of monitoring.</t>
  </si>
  <si>
    <t>225.16(a)</t>
  </si>
  <si>
    <t>Within two weeks of receiving notification of their approval, sponsors shall submit to the State agency a copy of their letter advising the appropriate health department of their intention to provide a food service during a specific period at specific sites.</t>
  </si>
  <si>
    <t>225.18(a)(2)(i) and 225.18(a)(3)</t>
  </si>
  <si>
    <t>SAs must identify serious management problems and define a set of standands to help measure the severity of a problem to determine what rises to the level of a serious management problem and how it affects the sponsor or facility's ability to meet Program requirements.</t>
  </si>
  <si>
    <t>225.18(a)(2)(ii) and 225.18(a)(6)(i)</t>
  </si>
  <si>
    <t>225.18(a)(2)(iii) and 225.18(c)(2)(ii)</t>
  </si>
  <si>
    <t>SAs must receive and approve the corrective action plan within 15 days from the date the sponsor received the notice and monitor the full implementation of the corrective action plan.</t>
  </si>
  <si>
    <t>225.18(a)(2)(iv) and 225.18(a)(6)(ii)</t>
  </si>
  <si>
    <t>If corrective action has been taken to fully correct each serious management problem, SAs must notify a sponsor's executive director and chairman of the board of directors, and RPIs, that the serious management problem has been vacated. If corrective action has not been taken or fully implemented, the SA must notify the sponsor of its proposed termination and disqualification. The notice must inform the sponsor, responsible principals, and responsible individuals of the right and procedures for seeking a fair hearing.</t>
  </si>
  <si>
    <t>SAs must submit written documentation to the hearing official prior to the beginning of the hearing, within 30 days after receiving the notice of action.</t>
  </si>
  <si>
    <t>225.18(a)(2)(v) and 225.18(f)(2)</t>
  </si>
  <si>
    <t>225.18(a)(2)(vi) and 225.18(a)(6)(iii)</t>
  </si>
  <si>
    <t>SAs must notify a sponsor's executive director and chairman of the board that serious management problems have been vacated and advise the institution that procedures and policies must be fully implemented to correct the serious management problem if the sponsor's appeal is upheld. If the sponsor's appeal is denied, the sponsor must be notified that the program agreement is terminated and declared seriously deficient.</t>
  </si>
  <si>
    <t>225.18(c)(3)</t>
  </si>
  <si>
    <t>SAs must conduct and prioritize follow-up reviews and more frequent full reviews of sponsors with serious management problems, including one full review occurring at least once every year.</t>
  </si>
  <si>
    <t>225.18(d)(2)</t>
  </si>
  <si>
    <t>225.18(e)(2)(iii)</t>
  </si>
  <si>
    <t>If all serious management problems have been corrected and all debts have been repaid, SAs may elect to remove a sponsor and RPIs from the National Disqualified List, and must submit all requests for early removals to the appropriate FNSRO.</t>
  </si>
  <si>
    <t>225.18(e)(3)(ii)</t>
  </si>
  <si>
    <t>SAs must enter into written agreements with FNS, consistent with 5 U.S.C. 552a(o) of the CMA, in order to participate in a matching program involving a FNS Federal system of records.</t>
  </si>
  <si>
    <t>225.18(g)(2)</t>
  </si>
  <si>
    <t>SAs must send a necessary demand letter for the collection of unearned payments, including any assessment of interest, as described in 225.12(b), and refer the claim to the appropriate State authority for pursuit of the debt payment. SAs must assess interest on sponsors' debts established on or after July 29, 2002, based on the Current Value of Funds Rate, which is published annually by Treasury in the Federal Reserve and is available from the FNSRO, and notify the sponsor that interest will be charged on debts not paid in full within 30 days of the inital demand for remittance up to the date of payment.</t>
  </si>
  <si>
    <t>225.18(b)(2)</t>
  </si>
  <si>
    <t>SAs notify terminated sponsors in writing.</t>
  </si>
  <si>
    <t>Pre-existing requirement. Moved and incorporated into the SD process for SFSP (the only thing that has changed is the regulatory cite).</t>
  </si>
  <si>
    <t>225.18(c)(1)</t>
  </si>
  <si>
    <t>Sponsors must describe and document the action taken to correct each serious management problem in a corrective action plan and submit it to the SA.</t>
  </si>
  <si>
    <t>State/Local/Tribal Governments</t>
  </si>
  <si>
    <t>Businesses (Non-profit Institutions and Camps)</t>
  </si>
  <si>
    <t xml:space="preserve">Sponsors submit written application to SAs for participation in SFSP. The sponsor must demonstrates financial and administrative capability for Program operations and accepts final financial and administrative responsibility for total Program operations at all sites at which it proposes to conduct a food service. In order to do so, sponsors must comply with policy, instructions, guidance, and handbooks issued by FNS . </t>
  </si>
  <si>
    <t>Camps submit copy of hearing procedures.</t>
  </si>
  <si>
    <t>Sponsors that plan to use or disclose info in ways not permitted by law must obtain written consent from parent/guardian.</t>
  </si>
  <si>
    <t>Sponsors should enter into written agreement with the party eligibility information.</t>
  </si>
  <si>
    <t>Camps and other distribute free meal applications to children enrolled in SFSP.</t>
  </si>
  <si>
    <t>Sponsors must describe and document the actions taken to correct each serious management problem in a corrective action plan and submit it to the SA.</t>
  </si>
  <si>
    <t>Households</t>
  </si>
  <si>
    <t>225.15(f)</t>
  </si>
  <si>
    <t>Households read instructions, complete free meal and return to camps and sites.</t>
  </si>
  <si>
    <t>Households provide written consent for sponsors to use or disclose information.</t>
  </si>
  <si>
    <t xml:space="preserve"> Total Reporting Burden</t>
  </si>
  <si>
    <t>Program Rule</t>
  </si>
  <si>
    <t>Number of Responses</t>
  </si>
  <si>
    <t>SLT Burden</t>
  </si>
  <si>
    <t>Business Burden</t>
  </si>
  <si>
    <t>Household Burden</t>
  </si>
  <si>
    <t>Total</t>
  </si>
  <si>
    <t>Recordkeeping</t>
  </si>
  <si>
    <t>Section of Regulation/Form</t>
  </si>
  <si>
    <t>Estimated # Recordkeepers</t>
  </si>
  <si>
    <t>Records Per Recordkeeper</t>
  </si>
  <si>
    <t>Estimated Avg. # of Hours Per Record</t>
  </si>
  <si>
    <t>Due to an adjustment</t>
  </si>
  <si>
    <t>Due to program change</t>
  </si>
  <si>
    <t>225.8 (a), 225.7(d)(5), 225.13(d)</t>
  </si>
  <si>
    <t>SAs maintain complete and accurate accounting records appeals for three years.</t>
  </si>
  <si>
    <t>1.  Reviews</t>
  </si>
  <si>
    <t>2.  Appeals</t>
  </si>
  <si>
    <t>3.  Accounting</t>
  </si>
  <si>
    <t>SAs that plan to use or disclose information in ways not permitted must obtain written consent parent/guardian.</t>
  </si>
  <si>
    <t>SA should enter into written agreement with party requesting disclosure information.</t>
  </si>
  <si>
    <t>225.18(i)(2)</t>
  </si>
  <si>
    <t>SA documents the process used to determine the data and report that process to FNS on or before March 1 of each year.</t>
  </si>
  <si>
    <t>225.15 (c), 225.15 (a), 225.15(g)</t>
  </si>
  <si>
    <t>Sponsors must maintain records which justify all costs and meals claimed.</t>
  </si>
  <si>
    <t>225.6(c)(5)(xii)</t>
  </si>
  <si>
    <t>Camps must maintain a written record of hearing for 3 years.</t>
  </si>
  <si>
    <t>Sponsors should enter into written agreement with the party requesting eligibility information</t>
  </si>
  <si>
    <t>225.16(b)(1)</t>
  </si>
  <si>
    <t>Camps and sponsors must maintain copies of the documentation establishing the eligibility of child receiving meals and all other meal service requirement information.</t>
  </si>
  <si>
    <t xml:space="preserve"> Total Recordkeeping Burden</t>
  </si>
  <si>
    <t>Public Disclosure</t>
  </si>
  <si>
    <t>Disclosures Per Respondent</t>
  </si>
  <si>
    <t>Total Annual Disclosures</t>
  </si>
  <si>
    <t>Estimated Avg. # of Hours Per Disclosure</t>
  </si>
  <si>
    <t>Due to a program change</t>
  </si>
  <si>
    <t>225.15(e)</t>
  </si>
  <si>
    <t>Per policy guidance, State agency can issue a media release on behalf of the sponsor.</t>
  </si>
  <si>
    <t>Each sponsor shall annually announce in the media serving the area from which it draws its attendance the availability of free meals</t>
  </si>
  <si>
    <t>Businesses (Non-Profit Institutions and Camps)</t>
  </si>
  <si>
    <t xml:space="preserve"> Total Public Disclosure Burden</t>
  </si>
  <si>
    <t>S/L/T Burden</t>
  </si>
  <si>
    <t>ICR #0584-0280, 7 CFR Part 225, Summer Food Service Program (SFSP) - Summary</t>
  </si>
  <si>
    <t xml:space="preserve"> </t>
  </si>
  <si>
    <t>Responses Per Respondent</t>
  </si>
  <si>
    <t>Total Annual Responses (Col. BxC)</t>
  </si>
  <si>
    <t>Estimated Total Hours (Col. DxE)</t>
  </si>
  <si>
    <t>Previously Approved Burden Hours</t>
  </si>
  <si>
    <t>Change in Burden Hours Due to an Adjustment</t>
  </si>
  <si>
    <t>Change in Burden Hours Due to Program Change</t>
  </si>
  <si>
    <t>Total Difference in Burden Hours</t>
  </si>
  <si>
    <t xml:space="preserve">Recordkeeping </t>
  </si>
  <si>
    <t xml:space="preserve">State/Local/Tribal Government </t>
  </si>
  <si>
    <t xml:space="preserve">Businessess </t>
  </si>
  <si>
    <t xml:space="preserve">Total Recordkeeping Total </t>
  </si>
  <si>
    <t xml:space="preserve">Reporting </t>
  </si>
  <si>
    <t xml:space="preserve">Total Reporting Total </t>
  </si>
  <si>
    <t xml:space="preserve">Total Public Disclosure Total </t>
  </si>
  <si>
    <t>TOTAL BURDEN FOR SFSP</t>
  </si>
  <si>
    <t>State and Local Government Level</t>
  </si>
  <si>
    <t>State/Local/Tribal Government Agencies</t>
  </si>
  <si>
    <t>=</t>
  </si>
  <si>
    <t>hours</t>
  </si>
  <si>
    <t>x</t>
  </si>
  <si>
    <t>Subtotal</t>
  </si>
  <si>
    <t>Business Level</t>
  </si>
  <si>
    <t>Non-profit Institutions and Camps</t>
  </si>
  <si>
    <t>Household Level</t>
  </si>
  <si>
    <t>Subtotal All Respondents</t>
  </si>
  <si>
    <t>Fringe/overhead (0.33)</t>
  </si>
  <si>
    <t>Total cost to public:</t>
  </si>
  <si>
    <t>Summer Food Service Program (SFSP) ICR Labor Rates (OMB Control No. 0584-0280)</t>
  </si>
  <si>
    <t>Type of Respondent</t>
  </si>
  <si>
    <t>Estimate in Previously Approved ICR</t>
  </si>
  <si>
    <t>Updated Estimate</t>
  </si>
  <si>
    <t>UNLOADED Loaded Hourly Wage Rate</t>
  </si>
  <si>
    <t>Data Source</t>
  </si>
  <si>
    <t>-</t>
  </si>
  <si>
    <t>U.S. Department of Labor. Available at http://www.dol.gov/whd/minimumwage.htm, last accessed on July 21, 2023.</t>
  </si>
  <si>
    <t xml:space="preserve">Date </t>
  </si>
  <si>
    <t xml:space="preserve">User Initials </t>
  </si>
  <si>
    <t xml:space="preserve">Comments </t>
  </si>
  <si>
    <t>Sponsoring organizations that are approved to operate the Program in more than one State must provide: the number of affiliated sites it operates, by State; the number of unaffiliated sites it operates; the names, addresses, and phone numbers of the organization's headquarters and the officials who have administrative responsibility; and the names, addresses, and phone numbers of the financial records center and the officals who have financial responsibilty.</t>
  </si>
  <si>
    <t>225.18(e)(3)(iii)(B)</t>
  </si>
  <si>
    <t>SAs may request FNS to waive the two-step independent verification and notice requirement of the CMA.</t>
  </si>
  <si>
    <t>SAs must maintain a SA list and must include the following information: 1.) Names and mailing addresses of each sponsor that is determined to have a serious management problem; 2.) Names, mailing addresses, and dates of birth of each responsible principals and responsible individuals (RPIs); and 3.) The status of the sponsor as it progresses through the stages of corrective action, termination, suspension, and disqualification, as applicable. (Forms FNS-843 and FNS-844.)</t>
  </si>
  <si>
    <t>225.18(b)</t>
  </si>
  <si>
    <t>SAs must notify an sponsor's executive director and chairman of the board of directors, and RPIs, that serious management problems have been identified, must be addressed, and corrected. The notice must include all of the necessary information and the SA must add the sponsor and RPIs to the SA list and provide a copy of the notice to the appropriate FNSRO.</t>
  </si>
  <si>
    <t xml:space="preserve">Hearing official must hold hearing, in addition to a review of written information upon written request for a fair hearing by the sponsor, responsible principals, or responsible individuals,  to determine that the SA or sponsor followed Program requirements in taking action under appeal.   </t>
  </si>
  <si>
    <t>225.6(n)(1)(i)</t>
  </si>
  <si>
    <t>225.6(n)(1)(ii)</t>
  </si>
  <si>
    <t xml:space="preserve">SAs must conduct monitoring of MSSO Program operations within the State, as described in paragraph (k)(4) and should coordinate monitoring with the CSA to streamline reviews and minimize duplication of the review content.  The SA may base the review cycle on the number of facilities operating within the State. </t>
  </si>
  <si>
    <t>225.6(n)(1)(iii)</t>
  </si>
  <si>
    <t>225.6(n)(1)(iii)(C)</t>
  </si>
  <si>
    <t>225.6(n)(1)(iv)</t>
  </si>
  <si>
    <t>225.6(n)(1)(v)</t>
  </si>
  <si>
    <t>225.6(n)(2)</t>
  </si>
  <si>
    <t>225.6(n)(2)(iii)</t>
  </si>
  <si>
    <t>The CSA must conduct a full review at the MSSO headquarters and financial records center. The CSA must coordinate the timing of the reviews and make copies of monitoring reports and findings available to all other State agencies that have agreements with the MSSO.</t>
  </si>
  <si>
    <t>225.6(n)(2)(iv)</t>
  </si>
  <si>
    <t>225.18(a)(2)(v) and 225.18(f)(1)(iii)(E)</t>
  </si>
  <si>
    <t>225.18(h)(2)(i)</t>
  </si>
  <si>
    <t>The CSA must conduct a full review at the MSSO headquarters and financial records center. The CSA must coordinate the timing of reviews and make copies of monitoring reports and findings available to all other State agencies that have agreements with the MSSO.</t>
  </si>
  <si>
    <t>Attachment F: SFSP ICR Burden Estimates</t>
  </si>
  <si>
    <t>SAs must develop a contingency plan to ensure that eligible participants continue to have access to meal service</t>
  </si>
  <si>
    <t xml:space="preserve">SAs must terminate for cause the Program agreement no later than 45 days after the date of the sponsor's disqualification by FNS.  </t>
  </si>
  <si>
    <t>Camps and sponsors must maintain copies of the documentation establishing the eligibility of children receiving meals and all other meal service requirement information.</t>
  </si>
  <si>
    <t>Bureau of Labor Statistics (BLS) Occupational Employment and Wages Statistics data from May 2023; Occupation Code 11-9031 Education and Childcare Administrators, Preschool and Daycare; Mean Hourly Wage Rate for State Government = $50.16. Available at https://www.bls.gov/oes/current/naics4_999200.htm#11-0000, last accessed on May 20, 2024.</t>
  </si>
  <si>
    <t>Bureau of Labor Statistics (BLS) Occupational Employment and Wages Statistics data from May 2023; Occupation Code 39-9011 Childcare Workers; Mean Hourly Wage Rate = $15.42. Available at https://www.bls.gov/oes/current/oes_nat.htm#00-0000, last accessed on May 20, 2024.</t>
  </si>
  <si>
    <t>Total cost of proposed rule:</t>
  </si>
  <si>
    <t>Currently approved costs for OMB # 0584-0280:</t>
  </si>
  <si>
    <t xml:space="preserve">Sponsors submit written application to SAs for participation in SFSP. The sponsor must demonstrate financial and administrative capability for Program operations and accepts final financial and administrative responsibility for total Program operations at all sites at which it proposes to conduct a food service. In order to do so, sponsors must comply with policy, instructions, guidance, and handbooks issued by FNS . </t>
  </si>
  <si>
    <t>225.16(f)(3)</t>
  </si>
  <si>
    <t>Summer Food Service Program Sponsors maintain documentation demonstrating that service sites qualify for the menu planning option to serve vegetables to meet the grains requirement by serving primarily American Indian and Alaska Native children.</t>
  </si>
  <si>
    <t>Households enrolled in camps or closed enrolled sites read instructions, complete free meal and return to camps and sites.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</si>
</sst>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8" formatCode="&quot;$&quot;#,##0.00_);[Red]\(&quot;$&quot;#,##0.00\)"/>
    <numFmt numFmtId="41" formatCode="_(* #,##0_);_(* \(#,##0\);_(* &quot;-&quot;_);_(@_)"/>
    <numFmt numFmtId="43" formatCode="_(* #,##0.00_);_(* \(#,##0.00\);_(* &quot;-&quot;??_);_(@_)"/>
    <numFmt numFmtId="164" formatCode="_(* #,##0_);_(* \(#,##0\);_(* &quot;-&quot;??_);_(@_)"/>
    <numFmt numFmtId="165" formatCode="_(* #,##0.0_);_(* \(#,##0.0\);_(* &quot;-&quot;??_);_(@_)"/>
    <numFmt numFmtId="166" formatCode="m/d/yy;@"/>
    <numFmt numFmtId="167" formatCode="#,##0.0000000_);\(#,##0.0000000\)"/>
    <numFmt numFmtId="168" formatCode="_(* #,##0.00000_);_(* \(#,##0.00000\);_(* &quot;-&quot;??_);_(@_)"/>
    <numFmt numFmtId="169" formatCode="_(* #,##0.000000_);_(* \(#,##0.000000\);_(* &quot;-&quot;??_);_(@_)"/>
    <numFmt numFmtId="170" formatCode="#,##0.000000_);\(#,##0.000000\)"/>
    <numFmt numFmtId="171" formatCode="#,##0.00\ [$€-1];[Red]\-#,##0.00\ [$€-1]"/>
    <numFmt numFmtId="172" formatCode="&quot;$&quot;#,##0.00"/>
    <numFmt numFmtId="173" formatCode="#,##0.000"/>
    <numFmt numFmtId="174" formatCode="&quot;$&quot;#,##0"/>
  </numFmts>
  <fonts count="47" x14ac:knownFonts="1">
    <font>
      <sz val="11"/>
      <color theme="1"/>
      <name val="Calibri"/>
      <family val="2"/>
      <scheme val="minor"/>
    </font>
    <font>
      <b/>
      <sz val="11"/>
      <color theme="1"/>
      <name val="Calibri"/>
      <family val="2"/>
      <scheme val="minor"/>
    </font>
    <font>
      <sz val="10"/>
      <name val="Arial"/>
      <family val="2"/>
    </font>
    <font>
      <sz val="10"/>
      <name val="Arial"/>
      <family val="2"/>
    </font>
    <font>
      <b/>
      <sz val="10"/>
      <name val="Arial"/>
      <family val="2"/>
    </font>
    <font>
      <sz val="10"/>
      <name val="Calibri"/>
      <family val="2"/>
      <scheme val="minor"/>
    </font>
    <font>
      <b/>
      <sz val="10"/>
      <name val="Calibri"/>
      <family val="2"/>
      <scheme val="minor"/>
    </font>
    <font>
      <sz val="10"/>
      <name val="Cambria"/>
      <family val="1"/>
      <scheme val="major"/>
    </font>
    <font>
      <sz val="8"/>
      <color indexed="8"/>
      <name val="Cambria"/>
      <family val="1"/>
      <scheme val="major"/>
    </font>
    <font>
      <sz val="10"/>
      <color theme="0"/>
      <name val="Cambria"/>
      <family val="1"/>
      <scheme val="major"/>
    </font>
    <font>
      <sz val="10"/>
      <color indexed="8"/>
      <name val="Cambria"/>
      <family val="1"/>
      <scheme val="major"/>
    </font>
    <font>
      <sz val="10"/>
      <color indexed="8"/>
      <name val="Calibri"/>
      <family val="2"/>
      <scheme val="minor"/>
    </font>
    <font>
      <b/>
      <sz val="12"/>
      <color indexed="8"/>
      <name val="Cambria"/>
      <family val="1"/>
      <scheme val="major"/>
    </font>
    <font>
      <sz val="11"/>
      <color indexed="8"/>
      <name val="Cambria"/>
      <family val="1"/>
      <scheme val="major"/>
    </font>
    <font>
      <sz val="8"/>
      <name val="Cambria"/>
      <family val="1"/>
      <scheme val="major"/>
    </font>
    <font>
      <b/>
      <sz val="12"/>
      <name val="Cambria"/>
      <family val="1"/>
      <scheme val="major"/>
    </font>
    <font>
      <b/>
      <sz val="12"/>
      <name val="Calibri"/>
      <family val="2"/>
      <scheme val="minor"/>
    </font>
    <font>
      <sz val="11"/>
      <name val="Calibri"/>
      <family val="2"/>
      <scheme val="minor"/>
    </font>
    <font>
      <sz val="12"/>
      <color theme="1"/>
      <name val="Calibri"/>
      <family val="2"/>
      <scheme val="minor"/>
    </font>
    <font>
      <b/>
      <sz val="11"/>
      <name val="Calibri"/>
      <family val="2"/>
      <scheme val="minor"/>
    </font>
    <font>
      <b/>
      <sz val="11"/>
      <color theme="3" tint="-0.249977111117893"/>
      <name val="Calibri"/>
      <family val="2"/>
      <scheme val="minor"/>
    </font>
    <font>
      <sz val="11"/>
      <color theme="1"/>
      <name val="Calibri"/>
      <family val="2"/>
    </font>
    <font>
      <sz val="11"/>
      <name val="Calibri"/>
      <family val="2"/>
    </font>
    <font>
      <sz val="9"/>
      <color indexed="81"/>
      <name val="Tahoma"/>
      <family val="2"/>
    </font>
    <font>
      <b/>
      <sz val="9"/>
      <color indexed="81"/>
      <name val="Tahoma"/>
      <family val="2"/>
    </font>
    <font>
      <sz val="10"/>
      <color indexed="81"/>
      <name val="Tahoma"/>
      <family val="2"/>
    </font>
    <font>
      <b/>
      <sz val="10"/>
      <color indexed="81"/>
      <name val="Tahoma"/>
      <family val="2"/>
    </font>
    <font>
      <sz val="11"/>
      <color theme="1"/>
      <name val="Calibri"/>
      <family val="2"/>
      <scheme val="minor"/>
    </font>
    <font>
      <sz val="12"/>
      <color indexed="8"/>
      <name val="Calibri"/>
      <family val="2"/>
      <scheme val="minor"/>
    </font>
    <font>
      <sz val="11"/>
      <color indexed="81"/>
      <name val="Tahoma"/>
      <family val="2"/>
    </font>
    <font>
      <b/>
      <sz val="11"/>
      <name val="Calibri"/>
      <family val="2"/>
    </font>
    <font>
      <sz val="11"/>
      <color rgb="FF006100"/>
      <name val="Calibri"/>
      <family val="2"/>
      <scheme val="minor"/>
    </font>
    <font>
      <sz val="11"/>
      <color rgb="FF9C5700"/>
      <name val="Calibri"/>
      <family val="2"/>
      <scheme val="minor"/>
    </font>
    <font>
      <b/>
      <sz val="20"/>
      <color theme="1"/>
      <name val="Calibri"/>
      <family val="2"/>
    </font>
    <font>
      <b/>
      <sz val="11"/>
      <color theme="1"/>
      <name val="Calibri"/>
      <family val="2"/>
    </font>
    <font>
      <sz val="11"/>
      <color indexed="8"/>
      <name val="Calibri"/>
      <family val="2"/>
    </font>
    <font>
      <b/>
      <sz val="11"/>
      <color indexed="8"/>
      <name val="Calibri"/>
      <family val="2"/>
    </font>
    <font>
      <b/>
      <sz val="20"/>
      <color theme="1"/>
      <name val="Calibri"/>
      <family val="2"/>
      <scheme val="minor"/>
    </font>
    <font>
      <sz val="11"/>
      <color indexed="8"/>
      <name val="Calibri"/>
      <family val="2"/>
      <scheme val="minor"/>
    </font>
    <font>
      <b/>
      <sz val="11"/>
      <color indexed="8"/>
      <name val="Calibri"/>
      <family val="2"/>
      <scheme val="minor"/>
    </font>
    <font>
      <b/>
      <sz val="11"/>
      <color rgb="FFFF0000"/>
      <name val="Calibri"/>
      <family val="2"/>
      <scheme val="minor"/>
    </font>
    <font>
      <b/>
      <i/>
      <sz val="12"/>
      <color theme="1"/>
      <name val="Calibri"/>
      <family val="2"/>
      <scheme val="minor"/>
    </font>
    <font>
      <sz val="11"/>
      <color rgb="FFFF0000"/>
      <name val="Calibri"/>
      <family val="2"/>
      <scheme val="minor"/>
    </font>
    <font>
      <sz val="11"/>
      <color rgb="FFFF0000"/>
      <name val="Calibri"/>
      <family val="2"/>
    </font>
    <font>
      <sz val="11"/>
      <color theme="0"/>
      <name val="Calibri"/>
      <family val="2"/>
      <scheme val="minor"/>
    </font>
    <font>
      <sz val="11"/>
      <color rgb="FF000000"/>
      <name val="Calibri"/>
      <family val="2"/>
      <scheme val="minor"/>
    </font>
    <font>
      <sz val="10"/>
      <color indexed="8"/>
      <name val="Cambria"/>
      <family val="1"/>
      <scheme val="major"/>
    </font>
  </fonts>
  <fills count="22">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6" tint="0.39997558519241921"/>
        <bgColor indexed="64"/>
      </patternFill>
    </fill>
    <fill>
      <patternFill patternType="solid">
        <fgColor theme="3"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4" tint="0.39997558519241921"/>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rgb="FF76933C"/>
        <bgColor indexed="64"/>
      </patternFill>
    </fill>
    <fill>
      <patternFill patternType="solid">
        <fgColor rgb="FFBFBFBF"/>
        <bgColor indexed="64"/>
      </patternFill>
    </fill>
    <fill>
      <patternFill patternType="solid">
        <fgColor rgb="FF95B3D7"/>
        <bgColor indexed="64"/>
      </patternFill>
    </fill>
    <fill>
      <patternFill patternType="solid">
        <fgColor rgb="FFD8E4BC"/>
        <bgColor indexed="64"/>
      </patternFill>
    </fill>
    <fill>
      <patternFill patternType="solid">
        <fgColor rgb="FFC6EFCE"/>
      </patternFill>
    </fill>
    <fill>
      <patternFill patternType="solid">
        <fgColor rgb="FFFFEB9C"/>
      </patternFill>
    </fill>
    <fill>
      <patternFill patternType="solid">
        <fgColor theme="0"/>
        <bgColor indexed="64"/>
      </patternFill>
    </fill>
    <fill>
      <patternFill patternType="solid">
        <fgColor theme="0" tint="-0.249977111117893"/>
        <bgColor rgb="FF000000"/>
      </patternFill>
    </fill>
  </fills>
  <borders count="4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s>
  <cellStyleXfs count="11">
    <xf numFmtId="0" fontId="0" fillId="0" borderId="0"/>
    <xf numFmtId="0" fontId="2"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43" fontId="27" fillId="0" borderId="0" applyFont="0" applyFill="0" applyBorder="0" applyAlignment="0" applyProtection="0"/>
    <xf numFmtId="0" fontId="31" fillId="18" borderId="0" applyNumberFormat="0" applyBorder="0" applyAlignment="0" applyProtection="0"/>
    <xf numFmtId="0" fontId="32" fillId="19" borderId="0" applyNumberFormat="0" applyBorder="0" applyAlignment="0" applyProtection="0"/>
  </cellStyleXfs>
  <cellXfs count="527">
    <xf numFmtId="0" fontId="0" fillId="0" borderId="0" xfId="0"/>
    <xf numFmtId="0" fontId="5" fillId="0" borderId="0" xfId="1" applyFont="1"/>
    <xf numFmtId="0" fontId="4" fillId="0" borderId="0" xfId="4" applyFont="1" applyAlignment="1">
      <alignment horizontal="center"/>
    </xf>
    <xf numFmtId="0" fontId="4" fillId="0" borderId="0" xfId="4" applyFont="1" applyAlignment="1">
      <alignment horizontal="center" vertical="center" wrapText="1"/>
    </xf>
    <xf numFmtId="0" fontId="3" fillId="0" borderId="0" xfId="4"/>
    <xf numFmtId="0" fontId="11" fillId="2" borderId="2" xfId="1" applyFont="1" applyFill="1" applyBorder="1" applyAlignment="1">
      <alignment horizontal="center" vertical="center" wrapText="1"/>
    </xf>
    <xf numFmtId="0" fontId="10" fillId="0" borderId="0" xfId="0" applyFont="1" applyAlignment="1">
      <alignment vertical="center"/>
    </xf>
    <xf numFmtId="164" fontId="10" fillId="0" borderId="0" xfId="3" applyNumberFormat="1" applyFont="1" applyBorder="1" applyAlignment="1">
      <alignment vertical="center"/>
    </xf>
    <xf numFmtId="164" fontId="10" fillId="0" borderId="0" xfId="3" applyNumberFormat="1" applyFont="1" applyFill="1" applyBorder="1" applyAlignment="1">
      <alignment vertical="center"/>
    </xf>
    <xf numFmtId="0" fontId="10" fillId="0" borderId="0" xfId="0" applyFont="1" applyAlignment="1">
      <alignment horizontal="left" vertical="center"/>
    </xf>
    <xf numFmtId="0" fontId="9" fillId="3" borderId="0" xfId="0" applyFont="1" applyFill="1" applyAlignment="1">
      <alignment horizontal="left" vertical="center"/>
    </xf>
    <xf numFmtId="0" fontId="8" fillId="7" borderId="0" xfId="0" applyFont="1" applyFill="1" applyAlignment="1">
      <alignment horizontal="center" vertical="center" wrapText="1"/>
    </xf>
    <xf numFmtId="0" fontId="12" fillId="7" borderId="0" xfId="0" applyFont="1" applyFill="1" applyAlignment="1">
      <alignment horizontal="center" vertical="center" wrapText="1"/>
    </xf>
    <xf numFmtId="0" fontId="10" fillId="2" borderId="4" xfId="0" applyFont="1" applyFill="1" applyBorder="1" applyAlignment="1">
      <alignment horizontal="center" vertical="center" wrapText="1"/>
    </xf>
    <xf numFmtId="0" fontId="14" fillId="8" borderId="0" xfId="0" applyFont="1" applyFill="1" applyAlignment="1">
      <alignment horizontal="center" vertical="center" wrapText="1"/>
    </xf>
    <xf numFmtId="0" fontId="15" fillId="8" borderId="0" xfId="0" applyFont="1" applyFill="1" applyAlignment="1">
      <alignment horizontal="center" vertical="center" wrapText="1"/>
    </xf>
    <xf numFmtId="0" fontId="1" fillId="9" borderId="16" xfId="0" applyFont="1" applyFill="1" applyBorder="1" applyAlignment="1">
      <alignment horizontal="center"/>
    </xf>
    <xf numFmtId="0" fontId="0" fillId="9" borderId="17" xfId="0" applyFill="1" applyBorder="1"/>
    <xf numFmtId="0" fontId="0" fillId="9" borderId="17" xfId="0" applyFill="1" applyBorder="1" applyAlignment="1">
      <alignment horizontal="center"/>
    </xf>
    <xf numFmtId="0" fontId="10" fillId="6" borderId="0" xfId="0" applyFont="1" applyFill="1" applyAlignment="1">
      <alignment vertical="center"/>
    </xf>
    <xf numFmtId="164" fontId="10" fillId="6" borderId="4" xfId="3" applyNumberFormat="1" applyFont="1" applyFill="1" applyBorder="1" applyAlignment="1">
      <alignment vertical="center"/>
    </xf>
    <xf numFmtId="0" fontId="11" fillId="2" borderId="0" xfId="1" applyFont="1" applyFill="1" applyAlignment="1">
      <alignment horizontal="center" vertical="center" wrapText="1"/>
    </xf>
    <xf numFmtId="43" fontId="6" fillId="9" borderId="13" xfId="3" applyFont="1" applyFill="1" applyBorder="1" applyAlignment="1" applyProtection="1">
      <alignment vertical="center" wrapText="1"/>
    </xf>
    <xf numFmtId="43" fontId="16" fillId="9" borderId="14" xfId="3" applyFont="1" applyFill="1" applyBorder="1" applyAlignment="1" applyProtection="1">
      <alignment horizontal="right" vertical="center"/>
    </xf>
    <xf numFmtId="0" fontId="18" fillId="11" borderId="23" xfId="0" applyFont="1" applyFill="1" applyBorder="1" applyAlignment="1">
      <alignment horizontal="center" vertical="center" wrapText="1"/>
    </xf>
    <xf numFmtId="0" fontId="18" fillId="11" borderId="24" xfId="0" applyFont="1" applyFill="1" applyBorder="1" applyAlignment="1">
      <alignment horizontal="center" vertical="center" wrapText="1"/>
    </xf>
    <xf numFmtId="0" fontId="2" fillId="0" borderId="0" xfId="4" applyFont="1"/>
    <xf numFmtId="0" fontId="0" fillId="0" borderId="18" xfId="0" applyBorder="1"/>
    <xf numFmtId="0" fontId="20" fillId="0" borderId="7" xfId="0" applyFont="1" applyBorder="1" applyAlignment="1">
      <alignment horizontal="center"/>
    </xf>
    <xf numFmtId="0" fontId="20" fillId="0" borderId="16" xfId="0" applyFont="1" applyBorder="1" applyAlignment="1">
      <alignment horizontal="center"/>
    </xf>
    <xf numFmtId="0" fontId="20" fillId="0" borderId="0" xfId="0" applyFont="1"/>
    <xf numFmtId="166" fontId="0" fillId="0" borderId="19" xfId="0" applyNumberFormat="1" applyBorder="1"/>
    <xf numFmtId="166" fontId="0" fillId="0" borderId="25" xfId="0" applyNumberFormat="1" applyBorder="1"/>
    <xf numFmtId="39" fontId="6" fillId="9" borderId="14" xfId="3" applyNumberFormat="1" applyFont="1" applyFill="1" applyBorder="1" applyProtection="1"/>
    <xf numFmtId="37" fontId="6" fillId="9" borderId="14" xfId="3" applyNumberFormat="1" applyFont="1" applyFill="1" applyBorder="1" applyProtection="1"/>
    <xf numFmtId="3" fontId="5" fillId="11" borderId="1" xfId="3" applyNumberFormat="1" applyFont="1" applyFill="1" applyBorder="1" applyAlignment="1" applyProtection="1">
      <alignment vertical="center"/>
    </xf>
    <xf numFmtId="0" fontId="22" fillId="0" borderId="1" xfId="0" applyFont="1" applyBorder="1" applyAlignment="1">
      <alignment vertical="center" wrapText="1"/>
    </xf>
    <xf numFmtId="0" fontId="0" fillId="0" borderId="17" xfId="0" applyBorder="1"/>
    <xf numFmtId="0" fontId="22" fillId="0" borderId="1" xfId="1" applyFont="1" applyBorder="1" applyAlignment="1">
      <alignment vertical="center" wrapText="1"/>
    </xf>
    <xf numFmtId="0" fontId="17" fillId="0" borderId="0" xfId="0" applyFont="1"/>
    <xf numFmtId="0" fontId="17" fillId="0" borderId="17" xfId="0" applyFont="1" applyBorder="1"/>
    <xf numFmtId="37" fontId="17" fillId="0" borderId="1" xfId="6" applyNumberFormat="1" applyFont="1" applyFill="1" applyBorder="1" applyAlignment="1" applyProtection="1">
      <alignment vertical="center"/>
      <protection locked="0"/>
    </xf>
    <xf numFmtId="39" fontId="17" fillId="0" borderId="1" xfId="6" applyNumberFormat="1" applyFont="1" applyFill="1" applyBorder="1" applyAlignment="1" applyProtection="1">
      <alignment vertical="center"/>
      <protection locked="0"/>
    </xf>
    <xf numFmtId="0" fontId="0" fillId="0" borderId="17" xfId="0" applyBorder="1" applyAlignment="1">
      <alignment horizontal="center"/>
    </xf>
    <xf numFmtId="3" fontId="22" fillId="0" borderId="1" xfId="1" applyNumberFormat="1" applyFont="1" applyBorder="1" applyAlignment="1">
      <alignment horizontal="right" vertical="center"/>
    </xf>
    <xf numFmtId="0" fontId="11" fillId="0" borderId="0" xfId="1" applyFont="1" applyAlignment="1">
      <alignment horizontal="center" vertical="center" wrapText="1"/>
    </xf>
    <xf numFmtId="0" fontId="1" fillId="9" borderId="17" xfId="0" applyFont="1" applyFill="1" applyBorder="1" applyAlignment="1">
      <alignment horizontal="center"/>
    </xf>
    <xf numFmtId="0" fontId="1" fillId="0" borderId="0" xfId="0" applyFont="1" applyAlignment="1">
      <alignment horizontal="center"/>
    </xf>
    <xf numFmtId="164" fontId="0" fillId="0" borderId="0" xfId="0" applyNumberFormat="1"/>
    <xf numFmtId="0" fontId="1" fillId="0" borderId="16" xfId="0" applyFont="1" applyBorder="1" applyAlignment="1">
      <alignment horizontal="center"/>
    </xf>
    <xf numFmtId="3" fontId="22" fillId="0" borderId="1" xfId="1" applyNumberFormat="1" applyFont="1" applyBorder="1" applyAlignment="1">
      <alignment vertical="center"/>
    </xf>
    <xf numFmtId="0" fontId="22" fillId="0" borderId="26" xfId="1" applyFont="1" applyBorder="1" applyAlignment="1">
      <alignment vertical="center" wrapText="1"/>
    </xf>
    <xf numFmtId="3" fontId="21" fillId="0" borderId="1" xfId="0" applyNumberFormat="1" applyFont="1" applyBorder="1" applyAlignment="1" applyProtection="1">
      <alignment vertical="center"/>
      <protection locked="0"/>
    </xf>
    <xf numFmtId="3" fontId="17" fillId="0" borderId="1" xfId="3" applyNumberFormat="1" applyFont="1" applyFill="1" applyBorder="1" applyAlignment="1" applyProtection="1">
      <alignment vertical="center"/>
    </xf>
    <xf numFmtId="3" fontId="21" fillId="0" borderId="1" xfId="0" applyNumberFormat="1" applyFont="1" applyBorder="1" applyAlignment="1">
      <alignment vertical="center"/>
    </xf>
    <xf numFmtId="0" fontId="1" fillId="0" borderId="0" xfId="0" applyFont="1"/>
    <xf numFmtId="39" fontId="10" fillId="0" borderId="0" xfId="3" applyNumberFormat="1" applyFont="1" applyFill="1" applyBorder="1" applyAlignment="1">
      <alignment vertical="center"/>
    </xf>
    <xf numFmtId="0" fontId="22" fillId="0" borderId="2" xfId="0" applyFont="1" applyBorder="1" applyAlignment="1">
      <alignment vertical="center" wrapText="1"/>
    </xf>
    <xf numFmtId="0" fontId="0" fillId="0" borderId="0" xfId="0" applyAlignment="1">
      <alignment wrapText="1"/>
    </xf>
    <xf numFmtId="2" fontId="22" fillId="0" borderId="1" xfId="1" applyNumberFormat="1" applyFont="1" applyBorder="1" applyAlignment="1">
      <alignment horizontal="left" vertical="center" wrapText="1"/>
    </xf>
    <xf numFmtId="0" fontId="22" fillId="0" borderId="1" xfId="1" applyFont="1" applyBorder="1" applyAlignment="1">
      <alignment horizontal="left" vertical="center" wrapText="1"/>
    </xf>
    <xf numFmtId="3" fontId="5" fillId="0" borderId="1" xfId="3" applyNumberFormat="1" applyFont="1" applyFill="1" applyBorder="1" applyAlignment="1" applyProtection="1">
      <alignment horizontal="right" vertical="center" indent="2"/>
      <protection locked="0"/>
    </xf>
    <xf numFmtId="4" fontId="5" fillId="11" borderId="1" xfId="3" applyNumberFormat="1" applyFont="1" applyFill="1" applyBorder="1" applyAlignment="1" applyProtection="1">
      <alignment vertical="center"/>
    </xf>
    <xf numFmtId="3" fontId="6" fillId="9" borderId="14" xfId="3" applyNumberFormat="1" applyFont="1" applyFill="1" applyBorder="1" applyProtection="1"/>
    <xf numFmtId="3" fontId="0" fillId="0" borderId="0" xfId="0" applyNumberFormat="1"/>
    <xf numFmtId="164" fontId="0" fillId="0" borderId="0" xfId="8" applyNumberFormat="1" applyFont="1"/>
    <xf numFmtId="168" fontId="10" fillId="0" borderId="0" xfId="6" applyNumberFormat="1" applyFont="1" applyFill="1" applyBorder="1" applyAlignment="1">
      <alignment vertical="center"/>
    </xf>
    <xf numFmtId="167" fontId="10" fillId="0" borderId="0" xfId="6" applyNumberFormat="1" applyFont="1" applyFill="1" applyBorder="1" applyAlignment="1">
      <alignment vertical="center"/>
    </xf>
    <xf numFmtId="164" fontId="10" fillId="0" borderId="0" xfId="6" applyNumberFormat="1" applyFont="1" applyFill="1" applyBorder="1" applyAlignment="1">
      <alignment vertical="center"/>
    </xf>
    <xf numFmtId="0" fontId="13" fillId="0" borderId="0" xfId="0" applyFont="1" applyAlignment="1">
      <alignment horizontal="right" vertical="center"/>
    </xf>
    <xf numFmtId="169" fontId="10" fillId="0" borderId="0" xfId="6" applyNumberFormat="1" applyFont="1" applyFill="1" applyBorder="1" applyAlignment="1">
      <alignment vertical="center"/>
    </xf>
    <xf numFmtId="170" fontId="10" fillId="0" borderId="0" xfId="6" applyNumberFormat="1" applyFont="1" applyFill="1" applyBorder="1" applyAlignment="1">
      <alignment vertical="center"/>
    </xf>
    <xf numFmtId="37" fontId="10" fillId="0" borderId="0" xfId="6" applyNumberFormat="1" applyFont="1" applyFill="1" applyBorder="1" applyAlignment="1">
      <alignment vertical="center"/>
    </xf>
    <xf numFmtId="165" fontId="17" fillId="13" borderId="1" xfId="0" applyNumberFormat="1" applyFont="1" applyFill="1" applyBorder="1"/>
    <xf numFmtId="39" fontId="17" fillId="13" borderId="1" xfId="0" applyNumberFormat="1" applyFont="1" applyFill="1" applyBorder="1"/>
    <xf numFmtId="37" fontId="17" fillId="13" borderId="1" xfId="0" applyNumberFormat="1" applyFont="1" applyFill="1" applyBorder="1"/>
    <xf numFmtId="164" fontId="17" fillId="13" borderId="1" xfId="0" applyNumberFormat="1" applyFont="1" applyFill="1" applyBorder="1"/>
    <xf numFmtId="0" fontId="18" fillId="13" borderId="1" xfId="0" applyFont="1" applyFill="1" applyBorder="1" applyAlignment="1">
      <alignment wrapText="1"/>
    </xf>
    <xf numFmtId="43" fontId="17" fillId="13" borderId="1" xfId="0" applyNumberFormat="1" applyFont="1" applyFill="1" applyBorder="1"/>
    <xf numFmtId="37" fontId="18" fillId="13" borderId="1" xfId="0" applyNumberFormat="1" applyFont="1" applyFill="1" applyBorder="1" applyAlignment="1">
      <alignment horizontal="right" wrapText="1"/>
    </xf>
    <xf numFmtId="39" fontId="9" fillId="3" borderId="0" xfId="3" applyNumberFormat="1" applyFont="1" applyFill="1" applyBorder="1" applyAlignment="1">
      <alignment vertical="center"/>
    </xf>
    <xf numFmtId="0" fontId="18" fillId="11" borderId="29" xfId="0" applyFont="1" applyFill="1" applyBorder="1" applyAlignment="1">
      <alignment horizontal="center" vertical="center" wrapText="1"/>
    </xf>
    <xf numFmtId="0" fontId="18" fillId="11" borderId="30" xfId="0" applyFont="1" applyFill="1" applyBorder="1" applyAlignment="1">
      <alignment horizontal="center" vertical="center" wrapText="1"/>
    </xf>
    <xf numFmtId="3" fontId="18" fillId="13" borderId="1" xfId="0" applyNumberFormat="1" applyFont="1" applyFill="1" applyBorder="1" applyAlignment="1">
      <alignment wrapText="1"/>
    </xf>
    <xf numFmtId="4" fontId="22" fillId="0" borderId="1" xfId="1" applyNumberFormat="1" applyFont="1" applyBorder="1" applyAlignment="1">
      <alignment vertical="center"/>
    </xf>
    <xf numFmtId="0" fontId="21" fillId="0" borderId="1" xfId="0" applyFont="1" applyBorder="1" applyAlignment="1">
      <alignment vertical="center" wrapText="1"/>
    </xf>
    <xf numFmtId="3" fontId="22" fillId="0" borderId="1" xfId="1" applyNumberFormat="1" applyFont="1" applyBorder="1" applyAlignment="1" applyProtection="1">
      <alignment vertical="center"/>
      <protection locked="0"/>
    </xf>
    <xf numFmtId="4" fontId="5" fillId="0" borderId="1" xfId="3" applyNumberFormat="1" applyFont="1" applyFill="1" applyBorder="1" applyAlignment="1" applyProtection="1">
      <alignment vertical="center"/>
    </xf>
    <xf numFmtId="4" fontId="5" fillId="0" borderId="1" xfId="3" applyNumberFormat="1" applyFont="1" applyFill="1" applyBorder="1" applyAlignment="1" applyProtection="1">
      <alignment horizontal="right" vertical="center"/>
    </xf>
    <xf numFmtId="4" fontId="18" fillId="13" borderId="1" xfId="0" applyNumberFormat="1" applyFont="1" applyFill="1" applyBorder="1" applyAlignment="1">
      <alignment wrapText="1"/>
    </xf>
    <xf numFmtId="3" fontId="5" fillId="11" borderId="1" xfId="3" applyNumberFormat="1" applyFont="1" applyFill="1" applyBorder="1" applyAlignment="1" applyProtection="1">
      <alignment horizontal="right" vertical="center"/>
    </xf>
    <xf numFmtId="4" fontId="5" fillId="11" borderId="1" xfId="3" applyNumberFormat="1" applyFont="1" applyFill="1" applyBorder="1" applyAlignment="1" applyProtection="1">
      <alignment horizontal="right" vertical="center"/>
    </xf>
    <xf numFmtId="37" fontId="5" fillId="11" borderId="1" xfId="3" applyNumberFormat="1" applyFont="1" applyFill="1" applyBorder="1" applyAlignment="1" applyProtection="1">
      <alignment horizontal="right" vertical="center"/>
      <protection locked="0"/>
    </xf>
    <xf numFmtId="37" fontId="5" fillId="11" borderId="11" xfId="3" applyNumberFormat="1" applyFont="1" applyFill="1" applyBorder="1" applyAlignment="1" applyProtection="1">
      <alignment horizontal="right" vertical="center"/>
    </xf>
    <xf numFmtId="37" fontId="5" fillId="0" borderId="1" xfId="6" applyNumberFormat="1" applyFont="1" applyFill="1" applyBorder="1" applyAlignment="1" applyProtection="1">
      <alignment horizontal="right" vertical="center"/>
      <protection locked="0"/>
    </xf>
    <xf numFmtId="39" fontId="5" fillId="0" borderId="1" xfId="6" applyNumberFormat="1" applyFont="1" applyFill="1" applyBorder="1" applyAlignment="1" applyProtection="1">
      <alignment horizontal="right" vertical="center"/>
      <protection locked="0"/>
    </xf>
    <xf numFmtId="39" fontId="6" fillId="15" borderId="14" xfId="3" applyNumberFormat="1" applyFont="1" applyFill="1" applyBorder="1" applyProtection="1"/>
    <xf numFmtId="4" fontId="5" fillId="16" borderId="1" xfId="3" applyNumberFormat="1" applyFont="1" applyFill="1" applyBorder="1" applyAlignment="1" applyProtection="1">
      <alignment vertical="center"/>
    </xf>
    <xf numFmtId="43" fontId="10" fillId="5" borderId="0" xfId="3" applyFont="1" applyFill="1" applyBorder="1" applyAlignment="1">
      <alignment vertical="center"/>
    </xf>
    <xf numFmtId="43" fontId="7" fillId="5" borderId="0" xfId="0" applyNumberFormat="1" applyFont="1" applyFill="1" applyAlignment="1">
      <alignment horizontal="right" vertical="center" wrapText="1"/>
    </xf>
    <xf numFmtId="39" fontId="10" fillId="4" borderId="0" xfId="3" applyNumberFormat="1" applyFont="1" applyFill="1" applyBorder="1" applyAlignment="1">
      <alignment vertical="center"/>
    </xf>
    <xf numFmtId="4" fontId="21" fillId="0" borderId="1" xfId="0" applyNumberFormat="1" applyFont="1" applyBorder="1" applyAlignment="1">
      <alignment vertical="center"/>
    </xf>
    <xf numFmtId="0" fontId="21" fillId="0" borderId="1" xfId="0" applyFont="1" applyBorder="1" applyAlignment="1">
      <alignment vertical="center"/>
    </xf>
    <xf numFmtId="0" fontId="21" fillId="0" borderId="0" xfId="0" applyFont="1"/>
    <xf numFmtId="0" fontId="21" fillId="0" borderId="1" xfId="0" applyFont="1" applyBorder="1" applyAlignment="1">
      <alignment horizontal="left" vertical="center" wrapText="1"/>
    </xf>
    <xf numFmtId="0" fontId="21" fillId="0" borderId="0" xfId="0" applyFont="1" applyAlignment="1">
      <alignment wrapText="1"/>
    </xf>
    <xf numFmtId="3" fontId="34" fillId="0" borderId="1" xfId="0" applyNumberFormat="1" applyFont="1" applyBorder="1"/>
    <xf numFmtId="4" fontId="34" fillId="0" borderId="1" xfId="0" applyNumberFormat="1" applyFont="1" applyBorder="1"/>
    <xf numFmtId="0" fontId="30" fillId="0" borderId="2" xfId="6" applyNumberFormat="1" applyFont="1" applyFill="1" applyBorder="1" applyAlignment="1" applyProtection="1">
      <alignment horizontal="center" vertical="center" wrapText="1"/>
      <protection locked="0"/>
    </xf>
    <xf numFmtId="0" fontId="1" fillId="0" borderId="0" xfId="0" applyFont="1" applyAlignment="1">
      <alignment horizontal="center" vertical="center"/>
    </xf>
    <xf numFmtId="0" fontId="1" fillId="0" borderId="0" xfId="0" applyFont="1" applyAlignment="1">
      <alignment horizontal="center" vertical="center" wrapText="1"/>
    </xf>
    <xf numFmtId="0" fontId="0" fillId="15" borderId="1" xfId="0" applyFill="1" applyBorder="1"/>
    <xf numFmtId="0" fontId="0" fillId="9" borderId="31" xfId="0" applyFill="1" applyBorder="1"/>
    <xf numFmtId="0" fontId="0" fillId="14" borderId="31" xfId="0" applyFill="1" applyBorder="1"/>
    <xf numFmtId="0" fontId="0" fillId="15" borderId="31" xfId="0" applyFill="1" applyBorder="1"/>
    <xf numFmtId="0" fontId="0" fillId="12" borderId="31" xfId="0" applyFill="1" applyBorder="1"/>
    <xf numFmtId="0" fontId="0" fillId="0" borderId="1" xfId="0" applyBorder="1" applyAlignment="1">
      <alignment vertical="center" wrapText="1"/>
    </xf>
    <xf numFmtId="0" fontId="0" fillId="0" borderId="1" xfId="0" applyBorder="1" applyAlignment="1">
      <alignment vertical="top" wrapText="1"/>
    </xf>
    <xf numFmtId="3" fontId="0" fillId="0" borderId="1" xfId="0" applyNumberFormat="1" applyBorder="1" applyAlignment="1" applyProtection="1">
      <alignment vertical="center" wrapText="1"/>
      <protection locked="0"/>
    </xf>
    <xf numFmtId="0" fontId="0" fillId="0" borderId="1" xfId="0" applyBorder="1" applyAlignment="1">
      <alignment horizontal="left" vertical="top" wrapText="1"/>
    </xf>
    <xf numFmtId="0" fontId="38" fillId="4" borderId="1" xfId="1" applyFont="1" applyFill="1" applyBorder="1" applyAlignment="1">
      <alignment horizontal="center" vertical="center" wrapText="1"/>
    </xf>
    <xf numFmtId="0" fontId="38" fillId="4" borderId="11" xfId="1" applyFont="1" applyFill="1" applyBorder="1" applyAlignment="1">
      <alignment horizontal="center" vertical="center" wrapText="1"/>
    </xf>
    <xf numFmtId="0" fontId="38" fillId="0" borderId="28" xfId="1" applyFont="1" applyBorder="1" applyAlignment="1">
      <alignment horizontal="left" vertical="top" wrapText="1"/>
    </xf>
    <xf numFmtId="0" fontId="38" fillId="0" borderId="1" xfId="1" applyFont="1" applyBorder="1" applyAlignment="1">
      <alignment horizontal="left" vertical="top" wrapText="1"/>
    </xf>
    <xf numFmtId="0" fontId="38" fillId="0" borderId="1" xfId="1" applyFont="1" applyBorder="1" applyAlignment="1">
      <alignment horizontal="right" vertical="center" wrapText="1"/>
    </xf>
    <xf numFmtId="0" fontId="38" fillId="0" borderId="1" xfId="1" applyFont="1" applyBorder="1" applyAlignment="1">
      <alignment horizontal="right" wrapText="1"/>
    </xf>
    <xf numFmtId="2" fontId="38" fillId="0" borderId="1" xfId="1" applyNumberFormat="1" applyFont="1" applyBorder="1" applyAlignment="1">
      <alignment horizontal="right" vertical="center" wrapText="1"/>
    </xf>
    <xf numFmtId="1" fontId="38" fillId="0" borderId="1" xfId="1" applyNumberFormat="1" applyFont="1" applyBorder="1" applyAlignment="1">
      <alignment horizontal="right" vertical="center" wrapText="1"/>
    </xf>
    <xf numFmtId="0" fontId="17" fillId="0" borderId="27" xfId="0" applyFont="1" applyBorder="1" applyAlignment="1">
      <alignment vertical="center"/>
    </xf>
    <xf numFmtId="0" fontId="17" fillId="0" borderId="27" xfId="0" applyFont="1" applyBorder="1" applyAlignment="1">
      <alignment vertical="center" wrapText="1"/>
    </xf>
    <xf numFmtId="3" fontId="0" fillId="0" borderId="27" xfId="0" applyNumberFormat="1" applyBorder="1" applyAlignment="1" applyProtection="1">
      <alignment vertical="center"/>
      <protection locked="0"/>
    </xf>
    <xf numFmtId="3" fontId="17" fillId="0" borderId="27" xfId="3" applyNumberFormat="1" applyFont="1" applyFill="1" applyBorder="1" applyAlignment="1" applyProtection="1">
      <alignment vertical="center"/>
    </xf>
    <xf numFmtId="4" fontId="0" fillId="0" borderId="27" xfId="0" applyNumberFormat="1" applyBorder="1" applyAlignment="1" applyProtection="1">
      <alignment vertical="center"/>
      <protection locked="0"/>
    </xf>
    <xf numFmtId="3" fontId="0" fillId="0" borderId="27" xfId="0" applyNumberFormat="1" applyBorder="1" applyAlignment="1">
      <alignment vertical="center"/>
    </xf>
    <xf numFmtId="37" fontId="17" fillId="0" borderId="27" xfId="3" applyNumberFormat="1" applyFont="1" applyFill="1" applyBorder="1" applyAlignment="1" applyProtection="1">
      <alignment horizontal="right" vertical="center"/>
      <protection locked="0"/>
    </xf>
    <xf numFmtId="0" fontId="17" fillId="0" borderId="1" xfId="0" applyFont="1" applyBorder="1" applyAlignment="1">
      <alignment vertical="center" wrapText="1"/>
    </xf>
    <xf numFmtId="3" fontId="17" fillId="0" borderId="1" xfId="0" applyNumberFormat="1" applyFont="1" applyBorder="1" applyAlignment="1" applyProtection="1">
      <alignment vertical="center"/>
      <protection locked="0"/>
    </xf>
    <xf numFmtId="4" fontId="17" fillId="0" borderId="1" xfId="0" applyNumberFormat="1" applyFont="1" applyBorder="1" applyAlignment="1" applyProtection="1">
      <alignment vertical="center"/>
      <protection locked="0"/>
    </xf>
    <xf numFmtId="3" fontId="0" fillId="0" borderId="1" xfId="0" applyNumberFormat="1" applyBorder="1" applyAlignment="1">
      <alignment vertical="center"/>
    </xf>
    <xf numFmtId="3" fontId="17" fillId="0" borderId="1" xfId="3" applyNumberFormat="1" applyFont="1" applyFill="1" applyBorder="1" applyAlignment="1" applyProtection="1">
      <alignment horizontal="right" vertical="center"/>
      <protection locked="0"/>
    </xf>
    <xf numFmtId="0" fontId="0" fillId="0" borderId="1" xfId="0" applyBorder="1" applyAlignment="1">
      <alignment vertical="center"/>
    </xf>
    <xf numFmtId="3" fontId="0" fillId="0" borderId="1" xfId="0" applyNumberFormat="1" applyBorder="1" applyAlignment="1" applyProtection="1">
      <alignment vertical="center"/>
      <protection locked="0"/>
    </xf>
    <xf numFmtId="4" fontId="0" fillId="0" borderId="1" xfId="0" applyNumberFormat="1" applyBorder="1" applyAlignment="1" applyProtection="1">
      <alignment vertical="center"/>
      <protection locked="0"/>
    </xf>
    <xf numFmtId="37" fontId="17" fillId="0" borderId="1" xfId="3" applyNumberFormat="1" applyFont="1" applyFill="1" applyBorder="1" applyAlignment="1" applyProtection="1">
      <alignment horizontal="right" vertical="center"/>
      <protection locked="0"/>
    </xf>
    <xf numFmtId="4" fontId="17" fillId="0" borderId="1" xfId="3" applyNumberFormat="1" applyFont="1" applyFill="1" applyBorder="1" applyAlignment="1" applyProtection="1">
      <alignment vertical="center"/>
    </xf>
    <xf numFmtId="4" fontId="0" fillId="0" borderId="1" xfId="0" applyNumberFormat="1" applyBorder="1" applyAlignment="1">
      <alignment vertical="center"/>
    </xf>
    <xf numFmtId="164" fontId="17" fillId="11" borderId="1" xfId="3" applyNumberFormat="1" applyFont="1" applyFill="1" applyBorder="1" applyAlignment="1" applyProtection="1">
      <alignment horizontal="right" vertical="center"/>
    </xf>
    <xf numFmtId="3" fontId="17" fillId="11" borderId="1" xfId="3" applyNumberFormat="1" applyFont="1" applyFill="1" applyBorder="1" applyAlignment="1" applyProtection="1">
      <alignment vertical="center"/>
    </xf>
    <xf numFmtId="4" fontId="17" fillId="11" borderId="1" xfId="3" applyNumberFormat="1" applyFont="1" applyFill="1" applyBorder="1" applyAlignment="1" applyProtection="1">
      <alignment vertical="center"/>
    </xf>
    <xf numFmtId="3" fontId="0" fillId="0" borderId="1" xfId="0" applyNumberFormat="1" applyBorder="1" applyAlignment="1" applyProtection="1">
      <alignment horizontal="right" vertical="center" wrapText="1"/>
      <protection locked="0"/>
    </xf>
    <xf numFmtId="3" fontId="17" fillId="0" borderId="1" xfId="3" applyNumberFormat="1" applyFont="1" applyFill="1" applyBorder="1" applyAlignment="1" applyProtection="1">
      <alignment horizontal="right" vertical="center"/>
    </xf>
    <xf numFmtId="4" fontId="0" fillId="0" borderId="1" xfId="0" applyNumberFormat="1" applyBorder="1" applyAlignment="1" applyProtection="1">
      <alignment horizontal="right" vertical="center" wrapText="1"/>
      <protection locked="0"/>
    </xf>
    <xf numFmtId="4" fontId="17" fillId="0" borderId="1" xfId="3" applyNumberFormat="1" applyFont="1" applyFill="1" applyBorder="1" applyAlignment="1" applyProtection="1">
      <alignment horizontal="right" vertical="center"/>
    </xf>
    <xf numFmtId="4" fontId="0" fillId="0" borderId="1" xfId="0" applyNumberFormat="1" applyBorder="1" applyAlignment="1">
      <alignment horizontal="right" vertical="center" wrapText="1"/>
    </xf>
    <xf numFmtId="3" fontId="0" fillId="0" borderId="1" xfId="0" applyNumberFormat="1" applyBorder="1" applyAlignment="1">
      <alignment horizontal="right" vertical="center" wrapText="1"/>
    </xf>
    <xf numFmtId="164" fontId="17" fillId="0" borderId="1" xfId="3" applyNumberFormat="1" applyFont="1" applyFill="1" applyBorder="1" applyAlignment="1" applyProtection="1">
      <alignment horizontal="right" vertical="center"/>
      <protection locked="0"/>
    </xf>
    <xf numFmtId="0" fontId="17" fillId="0" borderId="1" xfId="3" applyNumberFormat="1" applyFont="1" applyFill="1" applyBorder="1" applyAlignment="1" applyProtection="1">
      <alignment vertical="center" wrapText="1"/>
      <protection locked="0"/>
    </xf>
    <xf numFmtId="164" fontId="17" fillId="0" borderId="1" xfId="3" applyNumberFormat="1" applyFont="1" applyFill="1" applyBorder="1" applyAlignment="1" applyProtection="1">
      <alignment vertical="center"/>
      <protection locked="0"/>
    </xf>
    <xf numFmtId="164" fontId="17" fillId="0" borderId="1" xfId="3" applyNumberFormat="1" applyFont="1" applyFill="1" applyBorder="1" applyAlignment="1" applyProtection="1">
      <alignment horizontal="right" vertical="center"/>
    </xf>
    <xf numFmtId="39" fontId="17" fillId="0" borderId="1" xfId="3" applyNumberFormat="1" applyFont="1" applyFill="1" applyBorder="1" applyAlignment="1" applyProtection="1">
      <alignment horizontal="right" vertical="center"/>
    </xf>
    <xf numFmtId="43" fontId="17" fillId="0" borderId="1" xfId="3" applyFont="1" applyFill="1" applyBorder="1" applyAlignment="1" applyProtection="1">
      <alignment horizontal="right" vertical="center"/>
      <protection locked="0"/>
    </xf>
    <xf numFmtId="43" fontId="19" fillId="9" borderId="13" xfId="3" applyFont="1" applyFill="1" applyBorder="1" applyAlignment="1" applyProtection="1">
      <alignment vertical="center" wrapText="1"/>
    </xf>
    <xf numFmtId="43" fontId="19" fillId="9" borderId="14" xfId="3" applyFont="1" applyFill="1" applyBorder="1" applyAlignment="1" applyProtection="1">
      <alignment horizontal="right" vertical="center"/>
    </xf>
    <xf numFmtId="37" fontId="19" fillId="9" borderId="14" xfId="3" applyNumberFormat="1" applyFont="1" applyFill="1" applyBorder="1" applyProtection="1"/>
    <xf numFmtId="39" fontId="19" fillId="9" borderId="14" xfId="3" applyNumberFormat="1" applyFont="1" applyFill="1" applyBorder="1" applyProtection="1"/>
    <xf numFmtId="0" fontId="0" fillId="11" borderId="23" xfId="0" applyFill="1" applyBorder="1" applyAlignment="1">
      <alignment horizontal="center" vertical="center" wrapText="1"/>
    </xf>
    <xf numFmtId="0" fontId="38" fillId="4" borderId="2" xfId="1" applyFont="1" applyFill="1" applyBorder="1" applyAlignment="1">
      <alignment horizontal="center" vertical="center" wrapText="1"/>
    </xf>
    <xf numFmtId="0" fontId="19" fillId="0" borderId="33" xfId="3" applyNumberFormat="1" applyFont="1" applyFill="1" applyBorder="1" applyAlignment="1" applyProtection="1">
      <alignment horizontal="center" vertical="center" wrapText="1"/>
      <protection locked="0"/>
    </xf>
    <xf numFmtId="0" fontId="19" fillId="0" borderId="2" xfId="3" applyNumberFormat="1" applyFont="1" applyFill="1" applyBorder="1" applyAlignment="1" applyProtection="1">
      <alignment horizontal="center" vertical="center" wrapText="1"/>
      <protection locked="0"/>
    </xf>
    <xf numFmtId="43" fontId="19" fillId="9" borderId="13" xfId="3" applyFont="1" applyFill="1" applyBorder="1" applyAlignment="1" applyProtection="1">
      <alignment horizontal="center" vertical="center"/>
    </xf>
    <xf numFmtId="0" fontId="17" fillId="0" borderId="1" xfId="4" applyFont="1" applyBorder="1" applyAlignment="1">
      <alignment horizontal="center"/>
    </xf>
    <xf numFmtId="0" fontId="17" fillId="0" borderId="11" xfId="4" applyFont="1" applyBorder="1" applyAlignment="1">
      <alignment horizontal="center"/>
    </xf>
    <xf numFmtId="165" fontId="17" fillId="13" borderId="0" xfId="0" applyNumberFormat="1" applyFont="1" applyFill="1"/>
    <xf numFmtId="37" fontId="0" fillId="0" borderId="14" xfId="0" applyNumberFormat="1" applyBorder="1"/>
    <xf numFmtId="2" fontId="0" fillId="0" borderId="14" xfId="0" applyNumberFormat="1" applyBorder="1"/>
    <xf numFmtId="3" fontId="0" fillId="0" borderId="14" xfId="0" applyNumberFormat="1" applyBorder="1"/>
    <xf numFmtId="4" fontId="0" fillId="0" borderId="14" xfId="0" applyNumberFormat="1" applyBorder="1"/>
    <xf numFmtId="3" fontId="0" fillId="0" borderId="15" xfId="0" applyNumberFormat="1" applyBorder="1"/>
    <xf numFmtId="0" fontId="38" fillId="11" borderId="23" xfId="1" applyFont="1" applyFill="1" applyBorder="1" applyAlignment="1">
      <alignment horizontal="center" vertical="center" wrapText="1"/>
    </xf>
    <xf numFmtId="0" fontId="19" fillId="18" borderId="1" xfId="9" applyFont="1" applyBorder="1" applyAlignment="1">
      <alignment horizontal="center" vertical="center" wrapText="1"/>
    </xf>
    <xf numFmtId="0" fontId="17" fillId="0" borderId="1" xfId="1" applyFont="1" applyBorder="1" applyAlignment="1">
      <alignment vertical="center" wrapText="1"/>
    </xf>
    <xf numFmtId="37" fontId="17" fillId="0" borderId="1" xfId="6" applyNumberFormat="1" applyFont="1" applyFill="1" applyBorder="1" applyAlignment="1" applyProtection="1">
      <alignment vertical="center"/>
    </xf>
    <xf numFmtId="4" fontId="17" fillId="0" borderId="1" xfId="1" applyNumberFormat="1" applyFont="1" applyBorder="1" applyAlignment="1">
      <alignment vertical="center"/>
    </xf>
    <xf numFmtId="3" fontId="17" fillId="0" borderId="1" xfId="1" applyNumberFormat="1" applyFont="1" applyBorder="1" applyAlignment="1">
      <alignment vertical="center"/>
    </xf>
    <xf numFmtId="37" fontId="5" fillId="0" borderId="1" xfId="6" applyNumberFormat="1" applyFont="1" applyFill="1" applyBorder="1" applyAlignment="1" applyProtection="1">
      <alignment horizontal="right" vertical="center"/>
    </xf>
    <xf numFmtId="3" fontId="5" fillId="0" borderId="1" xfId="1" applyNumberFormat="1" applyFont="1" applyBorder="1" applyAlignment="1">
      <alignment horizontal="right" vertical="center"/>
    </xf>
    <xf numFmtId="1" fontId="5" fillId="0" borderId="1" xfId="6" applyNumberFormat="1" applyFont="1" applyFill="1" applyBorder="1" applyAlignment="1" applyProtection="1">
      <alignment horizontal="right" vertical="center"/>
      <protection locked="0"/>
    </xf>
    <xf numFmtId="0" fontId="38" fillId="0" borderId="27" xfId="1" applyFont="1" applyBorder="1" applyAlignment="1">
      <alignment horizontal="center" vertical="center" wrapText="1"/>
    </xf>
    <xf numFmtId="43" fontId="6" fillId="9" borderId="13" xfId="3" applyFont="1" applyFill="1" applyBorder="1" applyAlignment="1" applyProtection="1">
      <alignment horizontal="center" vertical="center"/>
    </xf>
    <xf numFmtId="0" fontId="0" fillId="0" borderId="0" xfId="0" applyAlignment="1">
      <alignment horizontal="center"/>
    </xf>
    <xf numFmtId="0" fontId="19" fillId="0" borderId="0" xfId="0" applyFont="1"/>
    <xf numFmtId="0" fontId="19" fillId="0" borderId="1" xfId="0" applyFont="1" applyBorder="1" applyAlignment="1">
      <alignment horizontal="center" vertical="center" wrapText="1"/>
    </xf>
    <xf numFmtId="0" fontId="17" fillId="15" borderId="1" xfId="0" applyFont="1" applyFill="1" applyBorder="1"/>
    <xf numFmtId="164" fontId="17" fillId="13" borderId="11" xfId="0" applyNumberFormat="1" applyFont="1" applyFill="1" applyBorder="1"/>
    <xf numFmtId="0" fontId="28" fillId="11" borderId="23" xfId="1" applyFont="1" applyFill="1" applyBorder="1" applyAlignment="1">
      <alignment horizontal="center" vertical="center" wrapText="1"/>
    </xf>
    <xf numFmtId="0" fontId="19" fillId="0" borderId="1" xfId="0" applyFont="1" applyBorder="1" applyAlignment="1">
      <alignment horizontal="center" vertical="center"/>
    </xf>
    <xf numFmtId="0" fontId="19" fillId="0" borderId="0" xfId="0" applyFont="1" applyAlignment="1">
      <alignment vertical="center"/>
    </xf>
    <xf numFmtId="0" fontId="0" fillId="0" borderId="31" xfId="0" applyBorder="1" applyAlignment="1">
      <alignment horizontal="center" vertical="center"/>
    </xf>
    <xf numFmtId="0" fontId="0" fillId="14" borderId="31" xfId="0" applyFill="1" applyBorder="1" applyAlignment="1">
      <alignment horizontal="center" vertical="center"/>
    </xf>
    <xf numFmtId="0" fontId="0" fillId="15" borderId="31" xfId="0" applyFill="1" applyBorder="1" applyAlignment="1">
      <alignment horizontal="center" vertical="center"/>
    </xf>
    <xf numFmtId="0" fontId="0" fillId="12" borderId="31" xfId="0" applyFill="1" applyBorder="1" applyAlignment="1">
      <alignment horizontal="center" vertical="center"/>
    </xf>
    <xf numFmtId="0" fontId="0" fillId="0" borderId="34"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16" borderId="1" xfId="0" applyFill="1" applyBorder="1" applyAlignment="1">
      <alignment horizontal="center" vertical="center"/>
    </xf>
    <xf numFmtId="0" fontId="1" fillId="0" borderId="11" xfId="0" applyFont="1" applyBorder="1" applyAlignment="1">
      <alignment horizontal="center" vertical="center"/>
    </xf>
    <xf numFmtId="172" fontId="0" fillId="0" borderId="5" xfId="0" applyNumberFormat="1" applyBorder="1" applyAlignment="1">
      <alignment horizontal="center" vertical="center"/>
    </xf>
    <xf numFmtId="0" fontId="0" fillId="0" borderId="12" xfId="0" applyBorder="1" applyAlignment="1">
      <alignment horizontal="left" vertical="center"/>
    </xf>
    <xf numFmtId="172" fontId="0" fillId="0" borderId="14" xfId="0" applyNumberFormat="1" applyBorder="1" applyAlignment="1">
      <alignment horizontal="center" vertical="center"/>
    </xf>
    <xf numFmtId="0" fontId="0" fillId="0" borderId="0" xfId="0" applyAlignment="1">
      <alignment vertical="center"/>
    </xf>
    <xf numFmtId="4" fontId="17" fillId="0" borderId="11" xfId="1" applyNumberFormat="1" applyFont="1" applyBorder="1" applyAlignment="1">
      <alignment vertical="center"/>
    </xf>
    <xf numFmtId="2" fontId="5" fillId="0" borderId="11" xfId="6" applyNumberFormat="1" applyFont="1" applyFill="1" applyBorder="1" applyAlignment="1" applyProtection="1">
      <alignment horizontal="right" vertical="center"/>
    </xf>
    <xf numFmtId="0" fontId="0" fillId="11" borderId="1" xfId="0" applyFill="1" applyBorder="1" applyAlignment="1">
      <alignment horizontal="center" vertical="center"/>
    </xf>
    <xf numFmtId="0" fontId="0" fillId="15" borderId="1" xfId="0" applyFill="1" applyBorder="1" applyAlignment="1">
      <alignment horizontal="center" vertical="center"/>
    </xf>
    <xf numFmtId="0" fontId="17" fillId="0" borderId="1" xfId="0" applyFont="1" applyBorder="1" applyAlignment="1">
      <alignment horizontal="center" vertical="center"/>
    </xf>
    <xf numFmtId="0" fontId="17" fillId="16" borderId="1" xfId="0" applyFont="1" applyFill="1" applyBorder="1" applyAlignment="1">
      <alignment horizontal="center" vertical="center"/>
    </xf>
    <xf numFmtId="0" fontId="17" fillId="15" borderId="1" xfId="0" applyFont="1" applyFill="1" applyBorder="1" applyAlignment="1">
      <alignment horizontal="center" vertical="center"/>
    </xf>
    <xf numFmtId="168" fontId="10" fillId="0" borderId="0" xfId="3" applyNumberFormat="1" applyFont="1" applyFill="1" applyBorder="1" applyAlignment="1">
      <alignment vertical="center"/>
    </xf>
    <xf numFmtId="167" fontId="10" fillId="0" borderId="0" xfId="3" applyNumberFormat="1" applyFont="1" applyFill="1" applyBorder="1" applyAlignment="1">
      <alignment vertical="center"/>
    </xf>
    <xf numFmtId="37" fontId="10" fillId="0" borderId="0" xfId="3" applyNumberFormat="1" applyFont="1" applyFill="1" applyBorder="1" applyAlignment="1">
      <alignment vertical="center"/>
    </xf>
    <xf numFmtId="0" fontId="0" fillId="0" borderId="0" xfId="0" applyAlignment="1">
      <alignment horizontal="left" vertical="center" wrapText="1"/>
    </xf>
    <xf numFmtId="0" fontId="31" fillId="18" borderId="31" xfId="9" applyBorder="1" applyAlignment="1">
      <alignment horizontal="center" vertical="center"/>
    </xf>
    <xf numFmtId="0" fontId="31" fillId="18" borderId="1" xfId="9" applyBorder="1" applyAlignment="1">
      <alignment vertical="center" wrapText="1"/>
    </xf>
    <xf numFmtId="4" fontId="31" fillId="18" borderId="1" xfId="9" applyNumberFormat="1" applyBorder="1" applyAlignment="1">
      <alignment horizontal="right" vertical="center"/>
    </xf>
    <xf numFmtId="0" fontId="31" fillId="18" borderId="27" xfId="9" applyBorder="1" applyAlignment="1">
      <alignment vertical="center" wrapText="1"/>
    </xf>
    <xf numFmtId="0" fontId="31" fillId="18" borderId="1" xfId="9" applyBorder="1" applyAlignment="1">
      <alignment vertical="center"/>
    </xf>
    <xf numFmtId="4" fontId="31" fillId="18" borderId="1" xfId="9" applyNumberFormat="1" applyBorder="1" applyAlignment="1">
      <alignment vertical="center"/>
    </xf>
    <xf numFmtId="3" fontId="31" fillId="18" borderId="1" xfId="9" applyNumberFormat="1" applyBorder="1" applyAlignment="1">
      <alignment vertical="center"/>
    </xf>
    <xf numFmtId="4" fontId="31" fillId="18" borderId="11" xfId="9" applyNumberFormat="1" applyBorder="1" applyAlignment="1">
      <alignment vertical="center"/>
    </xf>
    <xf numFmtId="3" fontId="31" fillId="18" borderId="1" xfId="9" applyNumberFormat="1" applyBorder="1" applyAlignment="1" applyProtection="1">
      <alignment vertical="center"/>
      <protection locked="0"/>
    </xf>
    <xf numFmtId="3" fontId="31" fillId="18" borderId="1" xfId="9" applyNumberFormat="1" applyBorder="1" applyAlignment="1">
      <alignment horizontal="right" vertical="center"/>
    </xf>
    <xf numFmtId="4" fontId="31" fillId="18" borderId="1" xfId="9" applyNumberFormat="1" applyBorder="1" applyAlignment="1" applyProtection="1">
      <alignment vertical="center"/>
      <protection locked="0"/>
    </xf>
    <xf numFmtId="0" fontId="41" fillId="0" borderId="0" xfId="0" applyFont="1" applyAlignment="1">
      <alignment vertical="center"/>
    </xf>
    <xf numFmtId="173" fontId="1" fillId="0" borderId="0" xfId="0" applyNumberFormat="1" applyFont="1" applyAlignment="1">
      <alignment horizontal="right" vertical="center"/>
    </xf>
    <xf numFmtId="172" fontId="0" fillId="0" borderId="0" xfId="0" applyNumberFormat="1" applyAlignment="1">
      <alignment horizontal="center" vertical="center"/>
    </xf>
    <xf numFmtId="174" fontId="0" fillId="0" borderId="0" xfId="0" applyNumberFormat="1" applyAlignment="1">
      <alignment horizontal="right" vertical="center"/>
    </xf>
    <xf numFmtId="0" fontId="0" fillId="0" borderId="0" xfId="0" applyAlignment="1">
      <alignment horizontal="left" vertical="center" indent="2"/>
    </xf>
    <xf numFmtId="3" fontId="0" fillId="0" borderId="0" xfId="0" quotePrefix="1" applyNumberFormat="1" applyAlignment="1">
      <alignment horizontal="center"/>
    </xf>
    <xf numFmtId="173" fontId="0" fillId="0" borderId="0" xfId="0" applyNumberFormat="1" applyAlignment="1">
      <alignment horizontal="right"/>
    </xf>
    <xf numFmtId="172" fontId="0" fillId="0" borderId="0" xfId="0" applyNumberFormat="1" applyAlignment="1">
      <alignment horizontal="center"/>
    </xf>
    <xf numFmtId="0" fontId="0" fillId="0" borderId="0" xfId="0" quotePrefix="1" applyAlignment="1">
      <alignment horizontal="center"/>
    </xf>
    <xf numFmtId="174" fontId="0" fillId="0" borderId="0" xfId="0" applyNumberFormat="1" applyAlignment="1">
      <alignment horizontal="right"/>
    </xf>
    <xf numFmtId="0" fontId="0" fillId="0" borderId="0" xfId="0" applyAlignment="1">
      <alignment horizontal="right" vertical="center"/>
    </xf>
    <xf numFmtId="0" fontId="1" fillId="0" borderId="0" xfId="0" applyFont="1" applyAlignment="1">
      <alignment vertical="center"/>
    </xf>
    <xf numFmtId="3" fontId="0" fillId="0" borderId="0" xfId="0" applyNumberFormat="1" applyAlignment="1">
      <alignment horizontal="center"/>
    </xf>
    <xf numFmtId="3" fontId="1" fillId="0" borderId="0" xfId="0" quotePrefix="1" applyNumberFormat="1" applyFont="1" applyAlignment="1">
      <alignment horizontal="center"/>
    </xf>
    <xf numFmtId="173" fontId="1" fillId="0" borderId="0" xfId="0" applyNumberFormat="1" applyFont="1" applyAlignment="1">
      <alignment horizontal="right"/>
    </xf>
    <xf numFmtId="172" fontId="1" fillId="0" borderId="0" xfId="0" applyNumberFormat="1" applyFont="1" applyAlignment="1">
      <alignment horizontal="center"/>
    </xf>
    <xf numFmtId="174" fontId="1" fillId="0" borderId="0" xfId="0" applyNumberFormat="1" applyFont="1" applyAlignment="1">
      <alignment horizontal="right"/>
    </xf>
    <xf numFmtId="0" fontId="0" fillId="0" borderId="10" xfId="0" applyBorder="1" applyAlignment="1">
      <alignment horizontal="left" vertical="center" wrapText="1"/>
    </xf>
    <xf numFmtId="0" fontId="17" fillId="20" borderId="0" xfId="0" applyFont="1" applyFill="1"/>
    <xf numFmtId="0" fontId="17" fillId="20" borderId="17" xfId="0" applyFont="1" applyFill="1" applyBorder="1"/>
    <xf numFmtId="3" fontId="21" fillId="0" borderId="1" xfId="0" applyNumberFormat="1" applyFont="1" applyBorder="1" applyAlignment="1">
      <alignment horizontal="right" vertical="center"/>
    </xf>
    <xf numFmtId="3" fontId="21" fillId="0" borderId="0" xfId="0" applyNumberFormat="1" applyFont="1"/>
    <xf numFmtId="3" fontId="21" fillId="6" borderId="23" xfId="0" applyNumberFormat="1" applyFont="1" applyFill="1" applyBorder="1" applyAlignment="1">
      <alignment horizontal="center" vertical="center" wrapText="1"/>
    </xf>
    <xf numFmtId="3" fontId="22" fillId="13" borderId="1" xfId="0" applyNumberFormat="1" applyFont="1" applyFill="1" applyBorder="1"/>
    <xf numFmtId="3" fontId="22" fillId="0" borderId="1" xfId="6" applyNumberFormat="1" applyFont="1" applyFill="1" applyBorder="1" applyAlignment="1" applyProtection="1">
      <alignment vertical="center"/>
      <protection locked="0"/>
    </xf>
    <xf numFmtId="4" fontId="22" fillId="0" borderId="1" xfId="6" applyNumberFormat="1" applyFont="1" applyFill="1" applyBorder="1" applyAlignment="1" applyProtection="1">
      <alignment vertical="center"/>
      <protection locked="0"/>
    </xf>
    <xf numFmtId="4" fontId="21" fillId="0" borderId="0" xfId="0" applyNumberFormat="1" applyFont="1"/>
    <xf numFmtId="4" fontId="21" fillId="6" borderId="23" xfId="0" applyNumberFormat="1" applyFont="1" applyFill="1" applyBorder="1" applyAlignment="1">
      <alignment horizontal="center" vertical="center" wrapText="1"/>
    </xf>
    <xf numFmtId="4" fontId="22" fillId="13" borderId="1" xfId="0" applyNumberFormat="1" applyFont="1" applyFill="1" applyBorder="1"/>
    <xf numFmtId="4" fontId="0" fillId="0" borderId="0" xfId="0" applyNumberFormat="1"/>
    <xf numFmtId="3" fontId="31" fillId="18" borderId="27" xfId="9" applyNumberFormat="1" applyBorder="1" applyAlignment="1" applyProtection="1">
      <alignment vertical="center"/>
      <protection locked="0"/>
    </xf>
    <xf numFmtId="4" fontId="17" fillId="20" borderId="32" xfId="9" applyNumberFormat="1" applyFont="1" applyFill="1" applyBorder="1" applyAlignment="1" applyProtection="1">
      <alignment vertical="center"/>
    </xf>
    <xf numFmtId="4" fontId="22" fillId="0" borderId="11" xfId="6" applyNumberFormat="1" applyFont="1" applyFill="1" applyBorder="1" applyAlignment="1" applyProtection="1">
      <alignment vertical="center"/>
    </xf>
    <xf numFmtId="4" fontId="21" fillId="0" borderId="11" xfId="0" applyNumberFormat="1" applyFont="1" applyBorder="1" applyAlignment="1">
      <alignment vertical="center"/>
    </xf>
    <xf numFmtId="4" fontId="31" fillId="18" borderId="11" xfId="9" applyNumberFormat="1" applyBorder="1" applyAlignment="1" applyProtection="1">
      <alignment vertical="center"/>
    </xf>
    <xf numFmtId="4" fontId="21" fillId="6" borderId="24" xfId="0" applyNumberFormat="1" applyFont="1" applyFill="1" applyBorder="1" applyAlignment="1">
      <alignment horizontal="center" vertical="center" wrapText="1"/>
    </xf>
    <xf numFmtId="4" fontId="22" fillId="0" borderId="5" xfId="1" applyNumberFormat="1" applyFont="1" applyBorder="1" applyAlignment="1">
      <alignment vertical="center"/>
    </xf>
    <xf numFmtId="4" fontId="31" fillId="18" borderId="5" xfId="9" applyNumberFormat="1" applyBorder="1" applyAlignment="1">
      <alignment vertical="center"/>
    </xf>
    <xf numFmtId="4" fontId="22" fillId="0" borderId="1" xfId="8" applyNumberFormat="1" applyFont="1" applyFill="1" applyBorder="1" applyAlignment="1" applyProtection="1">
      <alignment vertical="center"/>
    </xf>
    <xf numFmtId="4" fontId="22" fillId="0" borderId="1" xfId="1" applyNumberFormat="1" applyFont="1" applyBorder="1" applyAlignment="1">
      <alignment horizontal="right" vertical="center"/>
    </xf>
    <xf numFmtId="0" fontId="0" fillId="0" borderId="1" xfId="0" applyBorder="1"/>
    <xf numFmtId="0" fontId="4" fillId="0" borderId="0" xfId="7" applyFont="1" applyAlignment="1">
      <alignment horizontal="center" vertical="center" wrapText="1"/>
    </xf>
    <xf numFmtId="0" fontId="4" fillId="0" borderId="0" xfId="7" applyFont="1" applyAlignment="1">
      <alignment horizontal="center"/>
    </xf>
    <xf numFmtId="43" fontId="30" fillId="0" borderId="2" xfId="6" applyFont="1" applyFill="1" applyBorder="1" applyAlignment="1" applyProtection="1">
      <alignment horizontal="center" vertical="center" wrapText="1"/>
      <protection locked="0"/>
    </xf>
    <xf numFmtId="0" fontId="22" fillId="0" borderId="27" xfId="1" applyFont="1" applyBorder="1" applyAlignment="1">
      <alignment vertical="center" wrapText="1"/>
    </xf>
    <xf numFmtId="171" fontId="22" fillId="0" borderId="1" xfId="1" applyNumberFormat="1" applyFont="1" applyBorder="1" applyAlignment="1">
      <alignment horizontal="left" vertical="center" wrapText="1"/>
    </xf>
    <xf numFmtId="0" fontId="22" fillId="0" borderId="1" xfId="1" applyFont="1" applyBorder="1" applyAlignment="1">
      <alignment wrapText="1"/>
    </xf>
    <xf numFmtId="4" fontId="22" fillId="14" borderId="1" xfId="6" applyNumberFormat="1" applyFont="1" applyFill="1" applyBorder="1" applyAlignment="1" applyProtection="1">
      <alignment vertical="center"/>
    </xf>
    <xf numFmtId="4" fontId="22" fillId="14" borderId="11" xfId="6" applyNumberFormat="1" applyFont="1" applyFill="1" applyBorder="1" applyAlignment="1" applyProtection="1">
      <alignment vertical="center"/>
    </xf>
    <xf numFmtId="0" fontId="42" fillId="0" borderId="0" xfId="0" applyFont="1"/>
    <xf numFmtId="0" fontId="42" fillId="0" borderId="17" xfId="0" applyFont="1" applyBorder="1"/>
    <xf numFmtId="4" fontId="22" fillId="0" borderId="1" xfId="6" applyNumberFormat="1" applyFont="1" applyFill="1" applyBorder="1" applyAlignment="1" applyProtection="1">
      <alignment vertical="center"/>
    </xf>
    <xf numFmtId="3" fontId="22" fillId="12" borderId="1" xfId="6" applyNumberFormat="1" applyFont="1" applyFill="1" applyBorder="1" applyAlignment="1" applyProtection="1">
      <alignment vertical="center"/>
    </xf>
    <xf numFmtId="4" fontId="22" fillId="14" borderId="1" xfId="6" applyNumberFormat="1" applyFont="1" applyFill="1" applyBorder="1" applyAlignment="1" applyProtection="1">
      <alignment vertical="center"/>
      <protection locked="0"/>
    </xf>
    <xf numFmtId="4" fontId="22" fillId="12" borderId="1" xfId="6" applyNumberFormat="1" applyFont="1" applyFill="1" applyBorder="1" applyAlignment="1" applyProtection="1">
      <alignment vertical="center"/>
    </xf>
    <xf numFmtId="4" fontId="22" fillId="12" borderId="11" xfId="6" applyNumberFormat="1" applyFont="1" applyFill="1" applyBorder="1" applyAlignment="1" applyProtection="1">
      <alignment vertical="center"/>
    </xf>
    <xf numFmtId="0" fontId="30" fillId="9" borderId="13" xfId="6" applyNumberFormat="1" applyFont="1" applyFill="1" applyBorder="1" applyAlignment="1" applyProtection="1">
      <alignment horizontal="center" vertical="center"/>
    </xf>
    <xf numFmtId="0" fontId="30" fillId="9" borderId="13" xfId="6" applyNumberFormat="1" applyFont="1" applyFill="1" applyBorder="1" applyAlignment="1" applyProtection="1">
      <alignment vertical="center" wrapText="1"/>
    </xf>
    <xf numFmtId="0" fontId="30" fillId="9" borderId="14" xfId="6" applyNumberFormat="1" applyFont="1" applyFill="1" applyBorder="1" applyAlignment="1" applyProtection="1">
      <alignment horizontal="right" vertical="center"/>
    </xf>
    <xf numFmtId="43" fontId="22" fillId="13" borderId="1" xfId="0" applyNumberFormat="1" applyFont="1" applyFill="1" applyBorder="1"/>
    <xf numFmtId="165" fontId="22" fillId="13" borderId="1" xfId="0" applyNumberFormat="1" applyFont="1" applyFill="1" applyBorder="1"/>
    <xf numFmtId="4" fontId="30" fillId="9" borderId="14" xfId="6" applyNumberFormat="1" applyFont="1" applyFill="1" applyBorder="1" applyProtection="1"/>
    <xf numFmtId="3" fontId="30" fillId="9" borderId="14" xfId="6" applyNumberFormat="1" applyFont="1" applyFill="1" applyBorder="1" applyProtection="1"/>
    <xf numFmtId="3" fontId="22" fillId="0" borderId="1" xfId="6" applyNumberFormat="1" applyFont="1" applyFill="1" applyBorder="1" applyAlignment="1" applyProtection="1">
      <alignment horizontal="right" vertical="center"/>
    </xf>
    <xf numFmtId="3" fontId="31" fillId="18" borderId="1" xfId="9" applyNumberFormat="1" applyBorder="1" applyAlignment="1" applyProtection="1">
      <alignment horizontal="right" vertical="center"/>
    </xf>
    <xf numFmtId="3" fontId="22" fillId="14" borderId="1" xfId="6" applyNumberFormat="1" applyFont="1" applyFill="1" applyBorder="1" applyAlignment="1" applyProtection="1">
      <alignment horizontal="right" vertical="center"/>
    </xf>
    <xf numFmtId="3" fontId="22" fillId="12" borderId="1" xfId="6" applyNumberFormat="1" applyFont="1" applyFill="1" applyBorder="1" applyAlignment="1" applyProtection="1">
      <alignment horizontal="right" vertical="center"/>
    </xf>
    <xf numFmtId="3" fontId="30" fillId="9" borderId="14" xfId="6" applyNumberFormat="1" applyFont="1" applyFill="1" applyBorder="1" applyAlignment="1" applyProtection="1">
      <alignment horizontal="right"/>
    </xf>
    <xf numFmtId="3" fontId="21" fillId="0" borderId="0" xfId="0" applyNumberFormat="1" applyFont="1" applyAlignment="1">
      <alignment horizontal="right"/>
    </xf>
    <xf numFmtId="3" fontId="22" fillId="13" borderId="1" xfId="0" applyNumberFormat="1" applyFont="1" applyFill="1" applyBorder="1" applyAlignment="1">
      <alignment horizontal="right"/>
    </xf>
    <xf numFmtId="3" fontId="34" fillId="0" borderId="1" xfId="0" applyNumberFormat="1" applyFont="1" applyBorder="1" applyAlignment="1">
      <alignment horizontal="right"/>
    </xf>
    <xf numFmtId="3" fontId="0" fillId="0" borderId="1" xfId="0" applyNumberFormat="1" applyBorder="1" applyAlignment="1">
      <alignment horizontal="right"/>
    </xf>
    <xf numFmtId="3" fontId="0" fillId="0" borderId="0" xfId="0" applyNumberFormat="1" applyAlignment="1">
      <alignment horizontal="right"/>
    </xf>
    <xf numFmtId="4" fontId="22" fillId="0" borderId="5" xfId="6" applyNumberFormat="1" applyFont="1" applyFill="1" applyBorder="1" applyAlignment="1" applyProtection="1">
      <alignment vertical="center"/>
    </xf>
    <xf numFmtId="4" fontId="30" fillId="15" borderId="14" xfId="6" applyNumberFormat="1" applyFont="1" applyFill="1" applyBorder="1" applyProtection="1"/>
    <xf numFmtId="4" fontId="31" fillId="18" borderId="27" xfId="9" applyNumberFormat="1" applyBorder="1" applyAlignment="1" applyProtection="1">
      <alignment vertical="center"/>
      <protection locked="0"/>
    </xf>
    <xf numFmtId="4" fontId="21" fillId="0" borderId="0" xfId="0" applyNumberFormat="1" applyFont="1" applyAlignment="1">
      <alignment vertical="center"/>
    </xf>
    <xf numFmtId="4" fontId="22" fillId="0" borderId="1" xfId="0" applyNumberFormat="1" applyFont="1" applyBorder="1" applyAlignment="1" applyProtection="1">
      <alignment vertical="center"/>
      <protection locked="0"/>
    </xf>
    <xf numFmtId="4" fontId="31" fillId="18" borderId="0" xfId="9" applyNumberFormat="1" applyAlignment="1">
      <alignment vertical="center"/>
    </xf>
    <xf numFmtId="4" fontId="22" fillId="0" borderId="1" xfId="6" applyNumberFormat="1" applyFont="1" applyFill="1" applyBorder="1" applyAlignment="1" applyProtection="1">
      <alignment horizontal="right" vertical="center" indent="2"/>
      <protection locked="0"/>
    </xf>
    <xf numFmtId="39" fontId="6" fillId="9" borderId="15" xfId="3" applyNumberFormat="1" applyFont="1" applyFill="1" applyBorder="1" applyProtection="1"/>
    <xf numFmtId="4" fontId="30" fillId="9" borderId="14" xfId="6" applyNumberFormat="1" applyFont="1" applyFill="1" applyBorder="1" applyAlignment="1" applyProtection="1">
      <alignment horizontal="right"/>
    </xf>
    <xf numFmtId="4" fontId="22" fillId="12" borderId="1" xfId="6" applyNumberFormat="1" applyFont="1" applyFill="1" applyBorder="1" applyAlignment="1" applyProtection="1">
      <alignment horizontal="right" vertical="center"/>
    </xf>
    <xf numFmtId="0" fontId="39" fillId="0" borderId="27" xfId="1" applyFont="1" applyBorder="1" applyAlignment="1">
      <alignment horizontal="center" vertical="center" wrapText="1"/>
    </xf>
    <xf numFmtId="0" fontId="1" fillId="0" borderId="1" xfId="0" applyFont="1" applyBorder="1" applyAlignment="1">
      <alignment horizontal="center" vertical="center"/>
    </xf>
    <xf numFmtId="0" fontId="31" fillId="18" borderId="27" xfId="9" applyBorder="1" applyAlignment="1">
      <alignment horizontal="left" vertical="center" wrapText="1"/>
    </xf>
    <xf numFmtId="4" fontId="31" fillId="18" borderId="27" xfId="9" applyNumberFormat="1" applyBorder="1" applyAlignment="1">
      <alignment vertical="center"/>
    </xf>
    <xf numFmtId="3" fontId="31" fillId="18" borderId="27" xfId="9" applyNumberFormat="1" applyBorder="1" applyAlignment="1">
      <alignment vertical="center"/>
    </xf>
    <xf numFmtId="4" fontId="17" fillId="0" borderId="1" xfId="6" applyNumberFormat="1" applyFont="1" applyBorder="1" applyAlignment="1">
      <alignment vertical="center"/>
    </xf>
    <xf numFmtId="0" fontId="0" fillId="20" borderId="0" xfId="0" applyFill="1"/>
    <xf numFmtId="0" fontId="1" fillId="20" borderId="16" xfId="0" applyFont="1" applyFill="1" applyBorder="1" applyAlignment="1">
      <alignment horizontal="center"/>
    </xf>
    <xf numFmtId="0" fontId="17" fillId="20" borderId="31" xfId="9" applyFont="1" applyFill="1" applyBorder="1" applyAlignment="1">
      <alignment horizontal="center" vertical="center"/>
    </xf>
    <xf numFmtId="0" fontId="17" fillId="20" borderId="27" xfId="9" applyFont="1" applyFill="1" applyBorder="1" applyAlignment="1">
      <alignment horizontal="left" vertical="center" wrapText="1"/>
    </xf>
    <xf numFmtId="0" fontId="17" fillId="20" borderId="27" xfId="9" applyFont="1" applyFill="1" applyBorder="1" applyAlignment="1">
      <alignment vertical="center" wrapText="1"/>
    </xf>
    <xf numFmtId="3" fontId="17" fillId="20" borderId="27" xfId="9" applyNumberFormat="1" applyFont="1" applyFill="1" applyBorder="1" applyAlignment="1" applyProtection="1">
      <alignment vertical="center"/>
      <protection locked="0"/>
    </xf>
    <xf numFmtId="3" fontId="17" fillId="20" borderId="27" xfId="9" applyNumberFormat="1" applyFont="1" applyFill="1" applyBorder="1" applyAlignment="1" applyProtection="1">
      <alignment horizontal="right" vertical="center"/>
    </xf>
    <xf numFmtId="4" fontId="17" fillId="20" borderId="27" xfId="9" applyNumberFormat="1" applyFont="1" applyFill="1" applyBorder="1" applyAlignment="1" applyProtection="1">
      <alignment vertical="center"/>
      <protection locked="0"/>
    </xf>
    <xf numFmtId="4" fontId="17" fillId="20" borderId="28" xfId="9" applyNumberFormat="1" applyFont="1" applyFill="1" applyBorder="1" applyAlignment="1">
      <alignment vertical="center"/>
    </xf>
    <xf numFmtId="4" fontId="17" fillId="20" borderId="27" xfId="9" applyNumberFormat="1" applyFont="1" applyFill="1" applyBorder="1" applyAlignment="1">
      <alignment vertical="center"/>
    </xf>
    <xf numFmtId="3" fontId="17" fillId="20" borderId="27" xfId="9" applyNumberFormat="1" applyFont="1" applyFill="1" applyBorder="1" applyAlignment="1">
      <alignment vertical="center"/>
    </xf>
    <xf numFmtId="4" fontId="17" fillId="20" borderId="0" xfId="9" applyNumberFormat="1" applyFont="1" applyFill="1" applyAlignment="1">
      <alignment vertical="center"/>
    </xf>
    <xf numFmtId="0" fontId="19" fillId="20" borderId="16" xfId="0" applyFont="1" applyFill="1" applyBorder="1" applyAlignment="1">
      <alignment horizontal="center"/>
    </xf>
    <xf numFmtId="0" fontId="19" fillId="20" borderId="0" xfId="10" applyFont="1" applyFill="1" applyBorder="1" applyAlignment="1">
      <alignment horizontal="center" vertical="center"/>
    </xf>
    <xf numFmtId="4" fontId="22" fillId="0" borderId="1" xfId="1" applyNumberFormat="1" applyFont="1" applyBorder="1" applyAlignment="1" applyProtection="1">
      <alignment vertical="center"/>
      <protection locked="0"/>
    </xf>
    <xf numFmtId="0" fontId="17" fillId="20" borderId="1" xfId="9" applyFont="1" applyFill="1" applyBorder="1" applyAlignment="1">
      <alignment vertical="center" wrapText="1"/>
    </xf>
    <xf numFmtId="3" fontId="17" fillId="20" borderId="1" xfId="9" applyNumberFormat="1" applyFont="1" applyFill="1" applyBorder="1" applyAlignment="1" applyProtection="1">
      <alignment vertical="center"/>
      <protection locked="0"/>
    </xf>
    <xf numFmtId="3" fontId="17" fillId="20" borderId="1" xfId="9" applyNumberFormat="1" applyFont="1" applyFill="1" applyBorder="1" applyAlignment="1" applyProtection="1">
      <alignment horizontal="right" vertical="center"/>
    </xf>
    <xf numFmtId="4" fontId="17" fillId="20" borderId="1" xfId="9" applyNumberFormat="1" applyFont="1" applyFill="1" applyBorder="1" applyAlignment="1" applyProtection="1">
      <alignment vertical="center"/>
      <protection locked="0"/>
    </xf>
    <xf numFmtId="4" fontId="17" fillId="20" borderId="1" xfId="9" applyNumberFormat="1" applyFont="1" applyFill="1" applyBorder="1" applyAlignment="1" applyProtection="1">
      <alignment vertical="center"/>
    </xf>
    <xf numFmtId="4" fontId="17" fillId="20" borderId="1" xfId="9" applyNumberFormat="1" applyFont="1" applyFill="1" applyBorder="1" applyAlignment="1">
      <alignment horizontal="right" vertical="center"/>
    </xf>
    <xf numFmtId="4" fontId="17" fillId="20" borderId="5" xfId="9" applyNumberFormat="1" applyFont="1" applyFill="1" applyBorder="1" applyAlignment="1" applyProtection="1">
      <alignment vertical="center"/>
    </xf>
    <xf numFmtId="4" fontId="17" fillId="20" borderId="1" xfId="9" applyNumberFormat="1" applyFont="1" applyFill="1" applyBorder="1" applyAlignment="1">
      <alignment vertical="center"/>
    </xf>
    <xf numFmtId="3" fontId="17" fillId="20" borderId="1" xfId="9" applyNumberFormat="1" applyFont="1" applyFill="1" applyBorder="1" applyAlignment="1">
      <alignment vertical="center"/>
    </xf>
    <xf numFmtId="0" fontId="17" fillId="20" borderId="17" xfId="0" applyFont="1" applyFill="1" applyBorder="1" applyAlignment="1">
      <alignment horizontal="center"/>
    </xf>
    <xf numFmtId="0" fontId="19" fillId="20" borderId="17" xfId="0" applyFont="1" applyFill="1" applyBorder="1" applyAlignment="1">
      <alignment horizontal="center"/>
    </xf>
    <xf numFmtId="0" fontId="1" fillId="20" borderId="36" xfId="0" applyFont="1" applyFill="1" applyBorder="1" applyAlignment="1">
      <alignment horizontal="center" vertical="center" wrapText="1"/>
    </xf>
    <xf numFmtId="0" fontId="11" fillId="20" borderId="2" xfId="1" applyFont="1" applyFill="1" applyBorder="1" applyAlignment="1">
      <alignment horizontal="center" vertical="center" wrapText="1"/>
    </xf>
    <xf numFmtId="0" fontId="5" fillId="20" borderId="0" xfId="1" applyFont="1" applyFill="1"/>
    <xf numFmtId="0" fontId="36" fillId="20" borderId="1" xfId="1" applyFont="1" applyFill="1" applyBorder="1" applyAlignment="1">
      <alignment horizontal="center" vertical="center" wrapText="1"/>
    </xf>
    <xf numFmtId="3" fontId="36" fillId="20" borderId="1" xfId="1" applyNumberFormat="1" applyFont="1" applyFill="1" applyBorder="1" applyAlignment="1">
      <alignment horizontal="center" vertical="center" wrapText="1"/>
    </xf>
    <xf numFmtId="4" fontId="36" fillId="20" borderId="1" xfId="1" applyNumberFormat="1" applyFont="1" applyFill="1" applyBorder="1" applyAlignment="1">
      <alignment horizontal="center" vertical="center" wrapText="1"/>
    </xf>
    <xf numFmtId="0" fontId="31" fillId="18" borderId="1" xfId="9" applyBorder="1" applyAlignment="1">
      <alignment horizontal="left" vertical="top" wrapText="1"/>
    </xf>
    <xf numFmtId="0" fontId="31" fillId="18" borderId="2" xfId="9" applyBorder="1" applyAlignment="1">
      <alignment horizontal="left" vertical="center" wrapText="1"/>
    </xf>
    <xf numFmtId="4" fontId="36" fillId="20" borderId="11" xfId="1" applyNumberFormat="1" applyFont="1" applyFill="1" applyBorder="1" applyAlignment="1">
      <alignment horizontal="center" vertical="center" wrapText="1"/>
    </xf>
    <xf numFmtId="4" fontId="17" fillId="20" borderId="11" xfId="9" applyNumberFormat="1" applyFont="1" applyFill="1" applyBorder="1" applyAlignment="1" applyProtection="1">
      <alignment vertical="center"/>
    </xf>
    <xf numFmtId="4" fontId="22" fillId="0" borderId="11" xfId="1" applyNumberFormat="1" applyFont="1" applyBorder="1" applyAlignment="1">
      <alignment vertical="center"/>
    </xf>
    <xf numFmtId="4" fontId="30" fillId="9" borderId="15" xfId="6" applyNumberFormat="1" applyFont="1" applyFill="1" applyBorder="1" applyProtection="1"/>
    <xf numFmtId="4" fontId="17" fillId="20" borderId="27" xfId="9" applyNumberFormat="1" applyFont="1" applyFill="1" applyBorder="1" applyAlignment="1" applyProtection="1">
      <alignment horizontal="right" vertical="center"/>
      <protection locked="0"/>
    </xf>
    <xf numFmtId="4" fontId="22" fillId="0" borderId="1" xfId="6" applyNumberFormat="1" applyFont="1" applyFill="1" applyBorder="1" applyAlignment="1" applyProtection="1">
      <alignment horizontal="right" vertical="center"/>
      <protection locked="0"/>
    </xf>
    <xf numFmtId="4" fontId="31" fillId="18" borderId="27" xfId="9" applyNumberFormat="1" applyBorder="1" applyAlignment="1" applyProtection="1">
      <alignment horizontal="right" vertical="center"/>
      <protection locked="0"/>
    </xf>
    <xf numFmtId="4" fontId="21" fillId="0" borderId="1" xfId="0" applyNumberFormat="1" applyFont="1" applyBorder="1" applyAlignment="1">
      <alignment horizontal="right" vertical="center"/>
    </xf>
    <xf numFmtId="4" fontId="17" fillId="20" borderId="1" xfId="9" applyNumberFormat="1" applyFont="1" applyFill="1" applyBorder="1" applyAlignment="1" applyProtection="1">
      <alignment horizontal="right" vertical="center"/>
      <protection locked="0"/>
    </xf>
    <xf numFmtId="4" fontId="21" fillId="0" borderId="1" xfId="0" applyNumberFormat="1" applyFont="1" applyBorder="1" applyAlignment="1" applyProtection="1">
      <alignment horizontal="right" vertical="center"/>
      <protection locked="0"/>
    </xf>
    <xf numFmtId="4" fontId="21" fillId="0" borderId="0" xfId="0" applyNumberFormat="1" applyFont="1" applyAlignment="1">
      <alignment horizontal="right"/>
    </xf>
    <xf numFmtId="4" fontId="22" fillId="13" borderId="1" xfId="0" applyNumberFormat="1" applyFont="1" applyFill="1" applyBorder="1" applyAlignment="1">
      <alignment horizontal="right"/>
    </xf>
    <xf numFmtId="4" fontId="34" fillId="0" borderId="1" xfId="0" applyNumberFormat="1" applyFont="1" applyBorder="1" applyAlignment="1">
      <alignment horizontal="right"/>
    </xf>
    <xf numFmtId="4" fontId="0" fillId="0" borderId="0" xfId="0" applyNumberFormat="1" applyAlignment="1">
      <alignment horizontal="right"/>
    </xf>
    <xf numFmtId="4" fontId="31" fillId="18" borderId="1" xfId="9" applyNumberFormat="1" applyBorder="1" applyAlignment="1" applyProtection="1">
      <alignment horizontal="right" vertical="center" wrapText="1"/>
      <protection locked="0"/>
    </xf>
    <xf numFmtId="4" fontId="31" fillId="18" borderId="1" xfId="9" applyNumberFormat="1" applyBorder="1" applyAlignment="1" applyProtection="1">
      <alignment horizontal="right" vertical="center"/>
      <protection locked="0"/>
    </xf>
    <xf numFmtId="4" fontId="31" fillId="18" borderId="1" xfId="9" applyNumberFormat="1" applyBorder="1" applyAlignment="1" applyProtection="1">
      <alignment vertical="center"/>
    </xf>
    <xf numFmtId="0" fontId="31" fillId="18" borderId="1" xfId="9" applyBorder="1" applyAlignment="1">
      <alignment horizontal="left" vertical="center" wrapText="1"/>
    </xf>
    <xf numFmtId="0" fontId="31" fillId="18" borderId="2" xfId="9" applyNumberFormat="1" applyBorder="1" applyAlignment="1" applyProtection="1">
      <alignment horizontal="center" vertical="center" wrapText="1"/>
      <protection locked="0"/>
    </xf>
    <xf numFmtId="37" fontId="31" fillId="18" borderId="1" xfId="9" applyNumberFormat="1" applyBorder="1" applyAlignment="1" applyProtection="1">
      <alignment horizontal="right" vertical="center"/>
      <protection locked="0"/>
    </xf>
    <xf numFmtId="39" fontId="31" fillId="18" borderId="1" xfId="9" applyNumberFormat="1" applyBorder="1" applyAlignment="1" applyProtection="1">
      <alignment horizontal="right" vertical="center"/>
      <protection locked="0"/>
    </xf>
    <xf numFmtId="43" fontId="31" fillId="18" borderId="1" xfId="9" applyNumberFormat="1" applyBorder="1" applyAlignment="1" applyProtection="1">
      <alignment horizontal="right" vertical="center"/>
    </xf>
    <xf numFmtId="4" fontId="31" fillId="18" borderId="1" xfId="9" applyNumberFormat="1" applyBorder="1" applyAlignment="1" applyProtection="1">
      <alignment horizontal="right" vertical="center"/>
    </xf>
    <xf numFmtId="4" fontId="31" fillId="18" borderId="5" xfId="9" applyNumberFormat="1" applyBorder="1" applyAlignment="1" applyProtection="1">
      <alignment horizontal="right" vertical="center"/>
    </xf>
    <xf numFmtId="4" fontId="31" fillId="18" borderId="11" xfId="9" applyNumberFormat="1" applyBorder="1" applyAlignment="1" applyProtection="1">
      <alignment horizontal="right" vertical="center"/>
    </xf>
    <xf numFmtId="4" fontId="17" fillId="0" borderId="1" xfId="4" applyNumberFormat="1" applyFont="1" applyBorder="1" applyAlignment="1">
      <alignment horizontal="center"/>
    </xf>
    <xf numFmtId="4" fontId="38" fillId="4" borderId="1" xfId="1" applyNumberFormat="1" applyFont="1" applyFill="1" applyBorder="1" applyAlignment="1">
      <alignment horizontal="center" vertical="center" wrapText="1"/>
    </xf>
    <xf numFmtId="4" fontId="39" fillId="0" borderId="27" xfId="1" applyNumberFormat="1" applyFont="1" applyBorder="1" applyAlignment="1">
      <alignment horizontal="center" vertical="center" wrapText="1"/>
    </xf>
    <xf numFmtId="4" fontId="38" fillId="0" borderId="1" xfId="1" applyNumberFormat="1" applyFont="1" applyBorder="1" applyAlignment="1">
      <alignment horizontal="right" vertical="center" wrapText="1"/>
    </xf>
    <xf numFmtId="4" fontId="17" fillId="0" borderId="27" xfId="3" applyNumberFormat="1" applyFont="1" applyFill="1" applyBorder="1" applyAlignment="1" applyProtection="1">
      <alignment horizontal="right" vertical="center"/>
      <protection locked="0"/>
    </xf>
    <xf numFmtId="4" fontId="17" fillId="0" borderId="1" xfId="3" applyNumberFormat="1" applyFont="1" applyFill="1" applyBorder="1" applyAlignment="1" applyProtection="1">
      <alignment horizontal="right" vertical="center"/>
      <protection locked="0"/>
    </xf>
    <xf numFmtId="4" fontId="19" fillId="9" borderId="14" xfId="3" applyNumberFormat="1" applyFont="1" applyFill="1" applyBorder="1" applyProtection="1"/>
    <xf numFmtId="4" fontId="0" fillId="11" borderId="23" xfId="0" applyNumberFormat="1" applyFill="1" applyBorder="1" applyAlignment="1">
      <alignment horizontal="center" vertical="center" wrapText="1"/>
    </xf>
    <xf numFmtId="4" fontId="17" fillId="13" borderId="1" xfId="0" applyNumberFormat="1" applyFont="1" applyFill="1" applyBorder="1"/>
    <xf numFmtId="4" fontId="17" fillId="13" borderId="0" xfId="0" applyNumberFormat="1" applyFont="1" applyFill="1"/>
    <xf numFmtId="4" fontId="17" fillId="0" borderId="11" xfId="4" applyNumberFormat="1" applyFont="1" applyBorder="1" applyAlignment="1">
      <alignment horizontal="center"/>
    </xf>
    <xf numFmtId="4" fontId="38" fillId="4" borderId="11" xfId="1" applyNumberFormat="1" applyFont="1" applyFill="1" applyBorder="1" applyAlignment="1">
      <alignment horizontal="center" vertical="center" wrapText="1"/>
    </xf>
    <xf numFmtId="4" fontId="39" fillId="0" borderId="32" xfId="1" applyNumberFormat="1" applyFont="1" applyBorder="1" applyAlignment="1">
      <alignment horizontal="center" vertical="center" wrapText="1"/>
    </xf>
    <xf numFmtId="4" fontId="38" fillId="0" borderId="11" xfId="1" applyNumberFormat="1" applyFont="1" applyBorder="1" applyAlignment="1">
      <alignment horizontal="right" vertical="center" wrapText="1"/>
    </xf>
    <xf numFmtId="4" fontId="17" fillId="0" borderId="11" xfId="3" applyNumberFormat="1" applyFont="1" applyFill="1" applyBorder="1" applyAlignment="1" applyProtection="1">
      <alignment horizontal="right" vertical="center"/>
    </xf>
    <xf numFmtId="4" fontId="17" fillId="11" borderId="11" xfId="3" applyNumberFormat="1" applyFont="1" applyFill="1" applyBorder="1" applyAlignment="1" applyProtection="1">
      <alignment vertical="center"/>
    </xf>
    <xf numFmtId="4" fontId="19" fillId="9" borderId="15" xfId="3" applyNumberFormat="1" applyFont="1" applyFill="1" applyBorder="1" applyProtection="1"/>
    <xf numFmtId="4" fontId="0" fillId="11" borderId="24" xfId="0" applyNumberFormat="1" applyFill="1" applyBorder="1" applyAlignment="1">
      <alignment horizontal="center" vertical="center" wrapText="1"/>
    </xf>
    <xf numFmtId="4" fontId="17" fillId="13" borderId="11" xfId="0" applyNumberFormat="1" applyFont="1" applyFill="1" applyBorder="1"/>
    <xf numFmtId="4" fontId="17" fillId="13" borderId="20" xfId="0" applyNumberFormat="1" applyFont="1" applyFill="1" applyBorder="1"/>
    <xf numFmtId="4" fontId="0" fillId="0" borderId="15" xfId="0" applyNumberFormat="1" applyBorder="1"/>
    <xf numFmtId="0" fontId="31" fillId="18" borderId="1" xfId="9" applyBorder="1" applyAlignment="1">
      <alignment horizontal="center" vertical="center"/>
    </xf>
    <xf numFmtId="0" fontId="31" fillId="18" borderId="1" xfId="9" applyBorder="1" applyAlignment="1">
      <alignment vertical="top" wrapText="1"/>
    </xf>
    <xf numFmtId="3" fontId="31" fillId="18" borderId="1" xfId="9" applyNumberFormat="1" applyBorder="1" applyAlignment="1" applyProtection="1">
      <alignment vertical="center"/>
    </xf>
    <xf numFmtId="1" fontId="31" fillId="18" borderId="1" xfId="9" applyNumberFormat="1" applyBorder="1" applyAlignment="1">
      <alignment horizontal="right" vertical="center" wrapText="1"/>
    </xf>
    <xf numFmtId="4" fontId="31" fillId="18" borderId="11" xfId="9" applyNumberFormat="1" applyBorder="1" applyAlignment="1">
      <alignment horizontal="right" vertical="center" wrapText="1"/>
    </xf>
    <xf numFmtId="0" fontId="19" fillId="20" borderId="0" xfId="10" applyFont="1" applyFill="1" applyBorder="1" applyAlignment="1">
      <alignment horizontal="center" vertical="center" wrapText="1"/>
    </xf>
    <xf numFmtId="0" fontId="19" fillId="18" borderId="27" xfId="9" applyFont="1" applyBorder="1" applyAlignment="1">
      <alignment horizontal="center" vertical="center"/>
    </xf>
    <xf numFmtId="0" fontId="5" fillId="21" borderId="0" xfId="0" applyFont="1" applyFill="1" applyAlignment="1">
      <alignment wrapText="1"/>
    </xf>
    <xf numFmtId="0" fontId="21" fillId="0" borderId="1" xfId="0" applyFont="1" applyBorder="1"/>
    <xf numFmtId="0" fontId="34" fillId="0" borderId="1" xfId="0" applyFont="1" applyBorder="1"/>
    <xf numFmtId="0" fontId="21" fillId="6" borderId="27" xfId="0" applyFont="1" applyFill="1" applyBorder="1" applyAlignment="1">
      <alignment horizontal="center" vertical="center"/>
    </xf>
    <xf numFmtId="0" fontId="21" fillId="0" borderId="35" xfId="0" applyFont="1" applyBorder="1"/>
    <xf numFmtId="0" fontId="21" fillId="0" borderId="39" xfId="0" applyFont="1" applyBorder="1"/>
    <xf numFmtId="37" fontId="30" fillId="15" borderId="26" xfId="6" applyNumberFormat="1" applyFont="1" applyFill="1" applyBorder="1" applyProtection="1"/>
    <xf numFmtId="0" fontId="35" fillId="6" borderId="27" xfId="1" applyFont="1" applyFill="1" applyBorder="1" applyAlignment="1">
      <alignment horizontal="center" vertical="center" wrapText="1"/>
    </xf>
    <xf numFmtId="0" fontId="0" fillId="11" borderId="30" xfId="0" applyFill="1" applyBorder="1" applyAlignment="1">
      <alignment horizontal="center" vertical="center" wrapText="1"/>
    </xf>
    <xf numFmtId="37" fontId="17" fillId="13" borderId="2" xfId="0" applyNumberFormat="1" applyFont="1" applyFill="1" applyBorder="1"/>
    <xf numFmtId="164" fontId="17" fillId="13" borderId="2" xfId="0" applyNumberFormat="1" applyFont="1" applyFill="1" applyBorder="1"/>
    <xf numFmtId="37" fontId="0" fillId="0" borderId="13" xfId="0" applyNumberFormat="1" applyBorder="1"/>
    <xf numFmtId="0" fontId="0" fillId="0" borderId="39" xfId="0" applyBorder="1"/>
    <xf numFmtId="0" fontId="1" fillId="0" borderId="14" xfId="0" applyFont="1" applyBorder="1"/>
    <xf numFmtId="0" fontId="0" fillId="11" borderId="27" xfId="0" applyFill="1" applyBorder="1" applyAlignment="1">
      <alignment horizontal="center" vertical="center"/>
    </xf>
    <xf numFmtId="0" fontId="31" fillId="18" borderId="1" xfId="9" applyNumberFormat="1" applyBorder="1" applyAlignment="1" applyProtection="1">
      <alignment horizontal="center" vertical="center" wrapText="1"/>
      <protection locked="0"/>
    </xf>
    <xf numFmtId="0" fontId="19" fillId="0" borderId="1" xfId="3" applyNumberFormat="1" applyFont="1" applyFill="1" applyBorder="1" applyAlignment="1" applyProtection="1">
      <alignment horizontal="center" vertical="center" wrapText="1"/>
      <protection locked="0"/>
    </xf>
    <xf numFmtId="43" fontId="19" fillId="9" borderId="14" xfId="3" applyFont="1" applyFill="1" applyBorder="1" applyAlignment="1" applyProtection="1">
      <alignment horizontal="center" vertical="center"/>
    </xf>
    <xf numFmtId="8" fontId="45" fillId="0" borderId="5" xfId="0" applyNumberFormat="1" applyFont="1" applyBorder="1" applyAlignment="1">
      <alignment horizontal="center" vertical="center"/>
    </xf>
    <xf numFmtId="0" fontId="45" fillId="0" borderId="11" xfId="0" applyFont="1" applyBorder="1" applyAlignment="1">
      <alignment horizontal="left" vertical="center" wrapText="1"/>
    </xf>
    <xf numFmtId="8" fontId="45" fillId="0" borderId="37" xfId="0" applyNumberFormat="1" applyFont="1" applyBorder="1" applyAlignment="1">
      <alignment horizontal="center" vertical="center"/>
    </xf>
    <xf numFmtId="0" fontId="45" fillId="0" borderId="15" xfId="0" applyFont="1" applyBorder="1" applyAlignment="1">
      <alignment horizontal="left" vertical="center" wrapText="1"/>
    </xf>
    <xf numFmtId="4" fontId="0" fillId="5" borderId="0" xfId="0" applyNumberFormat="1" applyFill="1"/>
    <xf numFmtId="4" fontId="0" fillId="6" borderId="0" xfId="0" applyNumberFormat="1" applyFill="1"/>
    <xf numFmtId="4" fontId="0" fillId="8" borderId="0" xfId="0" applyNumberFormat="1" applyFill="1"/>
    <xf numFmtId="4" fontId="44" fillId="3" borderId="0" xfId="0" applyNumberFormat="1" applyFont="1" applyFill="1"/>
    <xf numFmtId="4" fontId="46" fillId="2" borderId="4" xfId="0" applyNumberFormat="1" applyFont="1" applyFill="1" applyBorder="1" applyAlignment="1">
      <alignment horizontal="center" vertical="center" wrapText="1"/>
    </xf>
    <xf numFmtId="4" fontId="0" fillId="7" borderId="0" xfId="0" applyNumberFormat="1" applyFill="1"/>
    <xf numFmtId="4" fontId="17" fillId="10" borderId="0" xfId="0" applyNumberFormat="1" applyFont="1" applyFill="1"/>
    <xf numFmtId="4" fontId="0" fillId="5" borderId="0" xfId="8" applyNumberFormat="1" applyFont="1" applyFill="1"/>
    <xf numFmtId="4" fontId="13" fillId="0" borderId="0" xfId="0" applyNumberFormat="1" applyFont="1" applyAlignment="1">
      <alignment horizontal="right" vertical="center"/>
    </xf>
    <xf numFmtId="4" fontId="10" fillId="0" borderId="0" xfId="6" applyNumberFormat="1" applyFont="1" applyFill="1" applyBorder="1" applyAlignment="1">
      <alignment vertical="center"/>
    </xf>
    <xf numFmtId="4" fontId="10" fillId="2" borderId="4" xfId="0" applyNumberFormat="1" applyFont="1" applyFill="1" applyBorder="1" applyAlignment="1">
      <alignment horizontal="center" vertical="center" wrapText="1"/>
    </xf>
    <xf numFmtId="4" fontId="8" fillId="7" borderId="0" xfId="0" applyNumberFormat="1" applyFont="1" applyFill="1" applyAlignment="1">
      <alignment horizontal="center" vertical="center" wrapText="1"/>
    </xf>
    <xf numFmtId="4" fontId="10" fillId="0" borderId="0" xfId="3" applyNumberFormat="1" applyFont="1" applyBorder="1" applyAlignment="1">
      <alignment vertical="center"/>
    </xf>
    <xf numFmtId="4" fontId="10" fillId="0" borderId="0" xfId="3" applyNumberFormat="1" applyFont="1" applyFill="1" applyBorder="1" applyAlignment="1">
      <alignment vertical="center"/>
    </xf>
    <xf numFmtId="4" fontId="14" fillId="8" borderId="0" xfId="0" applyNumberFormat="1" applyFont="1" applyFill="1" applyAlignment="1">
      <alignment horizontal="center" vertical="center" wrapText="1"/>
    </xf>
    <xf numFmtId="4" fontId="10" fillId="17" borderId="0" xfId="3" applyNumberFormat="1" applyFont="1" applyFill="1" applyBorder="1" applyAlignment="1">
      <alignment vertical="center"/>
    </xf>
    <xf numFmtId="4" fontId="10" fillId="5" borderId="0" xfId="3" applyNumberFormat="1" applyFont="1" applyFill="1" applyBorder="1" applyAlignment="1">
      <alignment vertical="center"/>
    </xf>
    <xf numFmtId="4" fontId="10" fillId="6" borderId="4" xfId="3" applyNumberFormat="1" applyFont="1" applyFill="1" applyBorder="1" applyAlignment="1">
      <alignment vertical="center"/>
    </xf>
    <xf numFmtId="4" fontId="7" fillId="5" borderId="0" xfId="0" applyNumberFormat="1" applyFont="1" applyFill="1" applyAlignment="1">
      <alignment horizontal="right" vertical="center" wrapText="1"/>
    </xf>
    <xf numFmtId="4" fontId="9" fillId="3" borderId="0" xfId="3" applyNumberFormat="1" applyFont="1" applyFill="1" applyBorder="1" applyAlignment="1">
      <alignment vertical="center"/>
    </xf>
    <xf numFmtId="4" fontId="3" fillId="0" borderId="0" xfId="4" applyNumberFormat="1"/>
    <xf numFmtId="4" fontId="10" fillId="10" borderId="0" xfId="3" applyNumberFormat="1" applyFont="1" applyFill="1" applyBorder="1" applyAlignment="1">
      <alignment vertical="center"/>
    </xf>
    <xf numFmtId="4" fontId="7" fillId="5" borderId="0" xfId="8" applyNumberFormat="1" applyFont="1" applyFill="1" applyBorder="1" applyAlignment="1">
      <alignment horizontal="right" vertical="center" wrapText="1"/>
    </xf>
    <xf numFmtId="4" fontId="10" fillId="0" borderId="0" xfId="3" applyNumberFormat="1" applyFont="1" applyFill="1" applyBorder="1" applyAlignment="1">
      <alignment horizontal="right" vertical="center"/>
    </xf>
    <xf numFmtId="0" fontId="31" fillId="18" borderId="1" xfId="9" applyBorder="1" applyAlignment="1">
      <alignment horizontal="right" vertical="center" wrapText="1"/>
    </xf>
    <xf numFmtId="3" fontId="31" fillId="18" borderId="1" xfId="9" applyNumberFormat="1" applyBorder="1" applyAlignment="1">
      <alignment horizontal="right" vertical="center" wrapText="1"/>
    </xf>
    <xf numFmtId="4" fontId="31" fillId="18" borderId="1" xfId="9" applyNumberFormat="1" applyBorder="1" applyAlignment="1">
      <alignment horizontal="right" vertical="center" wrapText="1"/>
    </xf>
    <xf numFmtId="43" fontId="31" fillId="18" borderId="1" xfId="9" applyNumberFormat="1" applyBorder="1" applyAlignment="1" applyProtection="1">
      <alignment horizontal="center" vertical="center" wrapText="1"/>
      <protection locked="0"/>
    </xf>
    <xf numFmtId="43" fontId="31" fillId="18" borderId="2" xfId="9" applyNumberFormat="1" applyBorder="1" applyAlignment="1" applyProtection="1">
      <alignment horizontal="center" vertical="center" wrapText="1"/>
      <protection locked="0"/>
    </xf>
    <xf numFmtId="0" fontId="31" fillId="18" borderId="2" xfId="9" applyBorder="1" applyAlignment="1">
      <alignment vertical="center" wrapText="1"/>
    </xf>
    <xf numFmtId="4" fontId="31" fillId="18" borderId="5" xfId="9" applyNumberFormat="1" applyBorder="1" applyAlignment="1" applyProtection="1">
      <alignment vertical="center"/>
    </xf>
    <xf numFmtId="0" fontId="19" fillId="18" borderId="38" xfId="9" applyFont="1" applyBorder="1" applyAlignment="1">
      <alignment horizontal="center" vertical="center" wrapText="1"/>
    </xf>
    <xf numFmtId="0" fontId="19" fillId="20" borderId="0" xfId="0" applyFont="1" applyFill="1" applyAlignment="1">
      <alignment horizontal="center"/>
    </xf>
    <xf numFmtId="37" fontId="17" fillId="0" borderId="1" xfId="0" applyNumberFormat="1" applyFont="1" applyBorder="1" applyAlignment="1">
      <alignment horizontal="center" vertical="center"/>
    </xf>
    <xf numFmtId="37" fontId="31" fillId="18" borderId="1" xfId="9" applyNumberFormat="1" applyBorder="1" applyAlignment="1" applyProtection="1">
      <alignment vertical="center"/>
      <protection locked="0"/>
    </xf>
    <xf numFmtId="37" fontId="31" fillId="18" borderId="1" xfId="9" applyNumberFormat="1" applyBorder="1" applyAlignment="1" applyProtection="1">
      <alignment vertical="center"/>
    </xf>
    <xf numFmtId="39" fontId="31" fillId="18" borderId="1" xfId="9" applyNumberFormat="1" applyBorder="1" applyAlignment="1" applyProtection="1">
      <alignment vertical="center"/>
      <protection locked="0"/>
    </xf>
    <xf numFmtId="0" fontId="1" fillId="0" borderId="1" xfId="0" applyFont="1" applyBorder="1" applyAlignment="1">
      <alignment horizontal="center" vertical="center" wrapText="1"/>
    </xf>
    <xf numFmtId="3" fontId="22" fillId="0" borderId="27" xfId="7" applyNumberFormat="1" applyFont="1" applyBorder="1" applyAlignment="1">
      <alignment horizontal="center"/>
    </xf>
    <xf numFmtId="4" fontId="22" fillId="0" borderId="27" xfId="7" applyNumberFormat="1" applyFont="1" applyBorder="1" applyAlignment="1">
      <alignment horizontal="center"/>
    </xf>
    <xf numFmtId="0" fontId="22" fillId="0" borderId="27" xfId="7" applyFont="1" applyBorder="1" applyAlignment="1">
      <alignment horizontal="center"/>
    </xf>
    <xf numFmtId="4" fontId="22" fillId="0" borderId="32" xfId="7" applyNumberFormat="1" applyFont="1" applyBorder="1" applyAlignment="1">
      <alignment horizontal="center"/>
    </xf>
    <xf numFmtId="3" fontId="5" fillId="0" borderId="1" xfId="3" applyNumberFormat="1" applyFont="1" applyFill="1" applyBorder="1" applyAlignment="1" applyProtection="1">
      <alignment vertical="center"/>
    </xf>
    <xf numFmtId="3" fontId="0" fillId="5" borderId="0" xfId="8" applyNumberFormat="1" applyFont="1" applyFill="1"/>
    <xf numFmtId="3" fontId="0" fillId="5" borderId="0" xfId="0" applyNumberFormat="1" applyFill="1"/>
    <xf numFmtId="3" fontId="5" fillId="0" borderId="1" xfId="3" applyNumberFormat="1" applyFont="1" applyFill="1" applyBorder="1" applyAlignment="1" applyProtection="1">
      <alignment horizontal="right" vertical="center"/>
    </xf>
    <xf numFmtId="3" fontId="5" fillId="16" borderId="1" xfId="3" applyNumberFormat="1" applyFont="1" applyFill="1" applyBorder="1" applyAlignment="1" applyProtection="1">
      <alignment horizontal="right" vertical="center"/>
    </xf>
    <xf numFmtId="41" fontId="17" fillId="13" borderId="1" xfId="0" applyNumberFormat="1" applyFont="1" applyFill="1" applyBorder="1"/>
    <xf numFmtId="3" fontId="22" fillId="0" borderId="1" xfId="6" applyNumberFormat="1" applyFont="1" applyFill="1" applyBorder="1" applyAlignment="1" applyProtection="1">
      <alignment vertical="center"/>
    </xf>
    <xf numFmtId="2" fontId="6" fillId="9" borderId="14" xfId="3" applyNumberFormat="1" applyFont="1" applyFill="1" applyBorder="1" applyProtection="1"/>
    <xf numFmtId="3" fontId="1" fillId="0" borderId="0" xfId="0" applyNumberFormat="1" applyFont="1" applyAlignment="1">
      <alignment horizontal="center"/>
    </xf>
    <xf numFmtId="0" fontId="1" fillId="0" borderId="0" xfId="0" applyFont="1" applyAlignment="1">
      <alignment horizontal="center" wrapText="1"/>
    </xf>
    <xf numFmtId="3" fontId="1" fillId="0" borderId="0" xfId="0" applyNumberFormat="1" applyFont="1"/>
    <xf numFmtId="174" fontId="1" fillId="0" borderId="0" xfId="0" applyNumberFormat="1" applyFont="1"/>
    <xf numFmtId="3" fontId="1" fillId="0" borderId="0" xfId="0" applyNumberFormat="1" applyFont="1" applyAlignment="1">
      <alignment horizontal="right"/>
    </xf>
    <xf numFmtId="0" fontId="5" fillId="0" borderId="1" xfId="6" applyNumberFormat="1" applyFont="1" applyFill="1" applyBorder="1" applyAlignment="1" applyProtection="1">
      <alignment vertical="center" wrapText="1"/>
      <protection locked="0"/>
    </xf>
    <xf numFmtId="164" fontId="5" fillId="0" borderId="1" xfId="6" applyNumberFormat="1" applyFont="1" applyFill="1" applyBorder="1" applyAlignment="1" applyProtection="1">
      <alignment vertical="center"/>
      <protection locked="0"/>
    </xf>
    <xf numFmtId="164" fontId="5" fillId="0" borderId="1" xfId="6" applyNumberFormat="1" applyFont="1" applyFill="1" applyBorder="1" applyAlignment="1" applyProtection="1">
      <alignment horizontal="right" vertical="center"/>
      <protection locked="0"/>
    </xf>
    <xf numFmtId="39" fontId="5" fillId="0" borderId="1" xfId="6" applyNumberFormat="1" applyFont="1" applyFill="1" applyBorder="1" applyAlignment="1" applyProtection="1">
      <alignment horizontal="right" vertical="center"/>
    </xf>
    <xf numFmtId="4" fontId="5" fillId="0" borderId="1" xfId="6" applyNumberFormat="1" applyFont="1" applyFill="1" applyBorder="1" applyAlignment="1" applyProtection="1">
      <alignment horizontal="right" vertical="center"/>
    </xf>
    <xf numFmtId="43" fontId="5" fillId="0" borderId="1" xfId="6" applyFont="1" applyFill="1" applyBorder="1" applyAlignment="1" applyProtection="1">
      <alignment horizontal="right" vertical="center"/>
      <protection locked="0"/>
    </xf>
    <xf numFmtId="0" fontId="5" fillId="0" borderId="1" xfId="6" applyNumberFormat="1" applyFont="1" applyFill="1" applyBorder="1" applyAlignment="1" applyProtection="1">
      <alignment horizontal="right" vertical="center" wrapText="1"/>
      <protection locked="0"/>
    </xf>
    <xf numFmtId="164" fontId="10" fillId="5" borderId="0" xfId="3" applyNumberFormat="1" applyFont="1" applyFill="1" applyBorder="1" applyAlignment="1">
      <alignment vertical="center"/>
    </xf>
    <xf numFmtId="43" fontId="10" fillId="17" borderId="0" xfId="3" applyFont="1" applyFill="1" applyBorder="1" applyAlignment="1">
      <alignment vertical="center"/>
    </xf>
    <xf numFmtId="0" fontId="0" fillId="0" borderId="0" xfId="0" applyAlignment="1">
      <alignment horizontal="left"/>
    </xf>
    <xf numFmtId="0" fontId="36" fillId="9" borderId="6" xfId="1" applyFont="1" applyFill="1" applyBorder="1" applyAlignment="1">
      <alignment horizontal="center" vertical="center" wrapText="1"/>
    </xf>
    <xf numFmtId="0" fontId="36" fillId="9" borderId="21" xfId="1" applyFont="1" applyFill="1" applyBorder="1" applyAlignment="1">
      <alignment horizontal="center" vertical="center" wrapText="1"/>
    </xf>
    <xf numFmtId="0" fontId="30" fillId="12" borderId="6" xfId="6" applyNumberFormat="1" applyFont="1" applyFill="1" applyBorder="1" applyAlignment="1" applyProtection="1">
      <alignment horizontal="left" vertical="center" wrapText="1"/>
    </xf>
    <xf numFmtId="0" fontId="30" fillId="12" borderId="2" xfId="6" applyNumberFormat="1" applyFont="1" applyFill="1" applyBorder="1" applyAlignment="1" applyProtection="1">
      <alignment horizontal="left" vertical="center" wrapText="1"/>
    </xf>
    <xf numFmtId="0" fontId="0" fillId="0" borderId="0" xfId="0" applyAlignment="1">
      <alignment horizontal="left" wrapText="1"/>
    </xf>
    <xf numFmtId="0" fontId="37" fillId="0" borderId="8" xfId="0" applyFont="1" applyBorder="1" applyAlignment="1">
      <alignment horizontal="center"/>
    </xf>
    <xf numFmtId="0" fontId="37" fillId="0" borderId="9" xfId="0" applyFont="1" applyBorder="1" applyAlignment="1">
      <alignment horizontal="center"/>
    </xf>
    <xf numFmtId="0" fontId="33" fillId="0" borderId="1" xfId="0" applyFont="1" applyBorder="1" applyAlignment="1">
      <alignment horizontal="center"/>
    </xf>
    <xf numFmtId="0" fontId="30" fillId="2" borderId="27" xfId="7" applyFont="1" applyFill="1" applyBorder="1" applyAlignment="1">
      <alignment horizontal="center"/>
    </xf>
    <xf numFmtId="0" fontId="30" fillId="9" borderId="27" xfId="7" applyFont="1" applyFill="1" applyBorder="1" applyAlignment="1">
      <alignment horizontal="center" wrapText="1"/>
    </xf>
    <xf numFmtId="0" fontId="36" fillId="9" borderId="1" xfId="1" applyFont="1" applyFill="1" applyBorder="1" applyAlignment="1">
      <alignment horizontal="center" vertical="center" wrapText="1"/>
    </xf>
    <xf numFmtId="0" fontId="37" fillId="0" borderId="1" xfId="0" applyFont="1" applyBorder="1" applyAlignment="1">
      <alignment horizontal="center"/>
    </xf>
    <xf numFmtId="0" fontId="39" fillId="9" borderId="1" xfId="1" applyFont="1" applyFill="1" applyBorder="1" applyAlignment="1">
      <alignment horizontal="center" vertical="center" wrapText="1"/>
    </xf>
    <xf numFmtId="0" fontId="40" fillId="0" borderId="1" xfId="1" applyFont="1" applyBorder="1" applyAlignment="1">
      <alignment horizontal="left" vertical="center" wrapText="1"/>
    </xf>
    <xf numFmtId="0" fontId="19" fillId="11" borderId="1" xfId="3" applyNumberFormat="1" applyFont="1" applyFill="1" applyBorder="1" applyAlignment="1" applyProtection="1">
      <alignment horizontal="left" vertical="center" wrapText="1"/>
      <protection locked="0"/>
    </xf>
    <xf numFmtId="0" fontId="19" fillId="11" borderId="1" xfId="3" applyNumberFormat="1" applyFont="1" applyFill="1" applyBorder="1" applyAlignment="1" applyProtection="1">
      <alignment horizontal="left" vertical="top" wrapText="1"/>
      <protection locked="0"/>
    </xf>
    <xf numFmtId="0" fontId="19" fillId="15" borderId="1" xfId="4" applyFont="1" applyFill="1" applyBorder="1" applyAlignment="1">
      <alignment horizontal="center"/>
    </xf>
    <xf numFmtId="0" fontId="19" fillId="2" borderId="1" xfId="4" applyFont="1" applyFill="1" applyBorder="1" applyAlignment="1">
      <alignment horizontal="center"/>
    </xf>
    <xf numFmtId="0" fontId="16" fillId="11" borderId="6" xfId="3" applyNumberFormat="1" applyFont="1" applyFill="1" applyBorder="1" applyAlignment="1" applyProtection="1">
      <alignment horizontal="left" vertical="top" wrapText="1"/>
      <protection locked="0"/>
    </xf>
    <xf numFmtId="0" fontId="16" fillId="11" borderId="2" xfId="3" applyNumberFormat="1" applyFont="1" applyFill="1" applyBorder="1" applyAlignment="1" applyProtection="1">
      <alignment horizontal="left" vertical="top" wrapText="1"/>
      <protection locked="0"/>
    </xf>
    <xf numFmtId="0" fontId="39" fillId="9" borderId="6" xfId="1" applyFont="1" applyFill="1" applyBorder="1" applyAlignment="1">
      <alignment horizontal="center" vertical="center" wrapText="1"/>
    </xf>
    <xf numFmtId="0" fontId="39" fillId="9" borderId="21" xfId="1" applyFont="1" applyFill="1" applyBorder="1" applyAlignment="1">
      <alignment horizontal="center" vertical="center" wrapText="1"/>
    </xf>
    <xf numFmtId="0" fontId="12" fillId="0" borderId="3" xfId="0" applyFont="1" applyBorder="1" applyAlignment="1">
      <alignment horizontal="center" vertical="center"/>
    </xf>
    <xf numFmtId="0" fontId="12" fillId="0" borderId="0" xfId="0" applyFont="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29" xfId="0" applyFont="1" applyBorder="1" applyAlignment="1">
      <alignment horizontal="center" vertical="center"/>
    </xf>
    <xf numFmtId="0" fontId="1" fillId="0" borderId="24" xfId="0" applyFont="1" applyBorder="1" applyAlignment="1">
      <alignment horizontal="center" vertical="center"/>
    </xf>
    <xf numFmtId="0" fontId="1" fillId="0" borderId="10" xfId="0" applyFont="1" applyBorder="1" applyAlignment="1">
      <alignment horizontal="center" vertical="center"/>
    </xf>
    <xf numFmtId="0" fontId="1" fillId="0" borderId="1" xfId="0" applyFont="1" applyBorder="1" applyAlignment="1">
      <alignment horizontal="center" vertical="center" wrapText="1"/>
    </xf>
    <xf numFmtId="0" fontId="1" fillId="0" borderId="5" xfId="0" applyFont="1" applyBorder="1" applyAlignment="1">
      <alignment horizontal="center" vertical="center"/>
    </xf>
    <xf numFmtId="0" fontId="1" fillId="0" borderId="21" xfId="0" applyFont="1" applyBorder="1" applyAlignment="1">
      <alignment horizontal="center" vertical="center"/>
    </xf>
  </cellXfs>
  <cellStyles count="11">
    <cellStyle name="Comma" xfId="8" builtinId="3"/>
    <cellStyle name="Comma 2" xfId="3" xr:uid="{00000000-0005-0000-0000-000001000000}"/>
    <cellStyle name="Comma 2 2" xfId="6" xr:uid="{00000000-0005-0000-0000-000002000000}"/>
    <cellStyle name="Comma 3" xfId="2" xr:uid="{00000000-0005-0000-0000-000003000000}"/>
    <cellStyle name="Comma 3 2" xfId="5" xr:uid="{00000000-0005-0000-0000-000004000000}"/>
    <cellStyle name="Good" xfId="9" builtinId="26"/>
    <cellStyle name="Neutral" xfId="10" builtinId="28"/>
    <cellStyle name="Normal" xfId="0" builtinId="0"/>
    <cellStyle name="Normal 2" xfId="1" xr:uid="{00000000-0005-0000-0000-000006000000}"/>
    <cellStyle name="Normal 3" xfId="4" xr:uid="{00000000-0005-0000-0000-000007000000}"/>
    <cellStyle name="Normal 3 2" xfId="7" xr:uid="{00000000-0005-0000-0000-000008000000}"/>
  </cellStyles>
  <dxfs count="16">
    <dxf>
      <border diagonalUp="0" diagonalDown="0">
        <left style="medium">
          <color indexed="64"/>
        </left>
        <right style="medium">
          <color indexed="64"/>
        </right>
        <top/>
        <bottom/>
        <vertical/>
        <horizontal/>
      </border>
    </dxf>
    <dxf>
      <border diagonalUp="0" diagonalDown="0">
        <left style="medium">
          <color indexed="64"/>
        </left>
        <right style="medium">
          <color indexed="64"/>
        </right>
        <top/>
        <bottom/>
        <vertical/>
        <horizontal/>
      </border>
    </dxf>
    <dxf>
      <numFmt numFmtId="166" formatCode="m/d/yy;@"/>
    </dxf>
    <dxf>
      <font>
        <b/>
        <strike val="0"/>
        <outline val="0"/>
        <shadow val="0"/>
        <u val="none"/>
        <vertAlign val="baseline"/>
        <sz val="11"/>
        <color theme="3" tint="-0.249977111117893"/>
        <name val="Calibri"/>
        <scheme val="minor"/>
      </font>
      <alignment horizontal="center" vertical="bottom" textRotation="0" wrapText="0" relativeIndent="0" justifyLastLine="0" shrinkToFit="0" readingOrder="0"/>
    </dxf>
    <dxf>
      <numFmt numFmtId="4" formatCode="#,##0.00"/>
    </dxf>
    <dxf>
      <numFmt numFmtId="4" formatCode="#,##0.00"/>
    </dxf>
    <dxf>
      <numFmt numFmtId="4" formatCode="#,##0.00"/>
    </dxf>
    <dxf>
      <numFmt numFmtId="4" formatCode="#,##0.00"/>
    </dxf>
    <dxf>
      <numFmt numFmtId="164" formatCode="_(* #,##0_);_(* \(#,##0\);_(* &quot;-&quot;??_);_(@_)"/>
    </dxf>
    <dxf>
      <numFmt numFmtId="4" formatCode="#,##0.00"/>
    </dxf>
    <dxf>
      <numFmt numFmtId="4" formatCode="#,##0.00"/>
    </dxf>
    <dxf>
      <numFmt numFmtId="4" formatCode="#,##0.00"/>
    </dxf>
    <dxf>
      <numFmt numFmtId="4" formatCode="#,##0.00"/>
    </dxf>
    <dxf>
      <border outline="0">
        <left style="thin">
          <color indexed="64"/>
        </left>
        <right style="thin">
          <color indexed="64"/>
        </right>
        <bottom style="thin">
          <color indexed="64"/>
        </bottom>
      </border>
    </dxf>
    <dxf>
      <border outline="0">
        <bottom style="thin">
          <color indexed="64"/>
        </bottom>
      </border>
    </dxf>
    <dxf>
      <font>
        <b val="0"/>
        <i val="0"/>
        <strike val="0"/>
        <condense val="0"/>
        <extend val="0"/>
        <outline val="0"/>
        <shadow val="0"/>
        <u val="none"/>
        <vertAlign val="baseline"/>
        <sz val="10"/>
        <color indexed="8"/>
        <name val="Cambria"/>
        <scheme val="major"/>
      </font>
      <fill>
        <patternFill patternType="solid">
          <fgColor indexed="64"/>
          <bgColor theme="0" tint="-0.14999847407452621"/>
        </patternFill>
      </fill>
      <alignment horizontal="center" vertical="center" textRotation="0" wrapText="1" relativeIndent="0" justifyLastLine="0" shrinkToFit="0" readingOrder="0"/>
    </dxf>
  </dxfs>
  <tableStyles count="0" defaultTableStyle="TableStyleMedium9" defaultPivotStyle="PivotStyleLight16"/>
  <colors>
    <mruColors>
      <color rgb="FF95B3D7"/>
      <color rgb="FFBFBFBF"/>
      <color rgb="FF76933C"/>
      <color rgb="FFFFFFFF"/>
      <color rgb="FF92D050"/>
      <color rgb="FFD8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8</xdr:row>
      <xdr:rowOff>126965</xdr:rowOff>
    </xdr:to>
    <xdr:sp macro="" textlink="">
      <xdr:nvSpPr>
        <xdr:cNvPr id="2" name="EsriDoNotEdit">
          <a:extLst>
            <a:ext uri="{FF2B5EF4-FFF2-40B4-BE49-F238E27FC236}">
              <a16:creationId xmlns:a16="http://schemas.microsoft.com/office/drawing/2014/main" id="{00000000-0008-0000-0500-000002000000}"/>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persons/person.xml><?xml version="1.0" encoding="utf-8"?>
<personList xmlns="http://schemas.microsoft.com/office/spreadsheetml/2018/threadedcomments" xmlns:x="http://schemas.openxmlformats.org/spreadsheetml/2006/main">
  <person displayName="Fox, Ethan - FNS" id="{FFC9747D-2FDF-41E5-87A9-2882B022B082}" userId="S::Ethan.Fox@usda.gov::e3bf22c6-cffd-4b84-826d-6d9f8e4058f7"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3:J18" totalsRowShown="0" headerRowDxfId="15" headerRowBorderDxfId="14" tableBorderDxfId="13">
  <tableColumns count="10">
    <tableColumn id="1" xr3:uid="{00000000-0010-0000-0000-000001000000}" name=" "/>
    <tableColumn id="2" xr3:uid="{00000000-0010-0000-0000-000002000000}" name="Estimated # Respondents" dataDxfId="12"/>
    <tableColumn id="3" xr3:uid="{00000000-0010-0000-0000-000003000000}" name="Responses Per Respondent" dataDxfId="11"/>
    <tableColumn id="4" xr3:uid="{00000000-0010-0000-0000-000004000000}" name="Total Annual Responses (Col. BxC)" dataDxfId="10"/>
    <tableColumn id="5" xr3:uid="{00000000-0010-0000-0000-000005000000}" name="Estimated Avg. # of Hours Per Response" dataDxfId="9"/>
    <tableColumn id="6" xr3:uid="{00000000-0010-0000-0000-000006000000}" name="Estimated Total Hours (Col. DxE)" dataDxfId="8"/>
    <tableColumn id="7" xr3:uid="{3465B078-E99D-48F5-8C95-63232DB31AAB}" name="Previously Approved Burden Hours" dataDxfId="7"/>
    <tableColumn id="8" xr3:uid="{EC8A1AEF-3A21-4E59-BD60-A65DC42218BF}" name="Change in Burden Hours Due to an Adjustment" dataDxfId="6"/>
    <tableColumn id="9" xr3:uid="{22EE800A-B5B4-4C02-9B76-42F2B4376BE2}" name="Change in Burden Hours Due to Program Change" dataDxfId="5"/>
    <tableColumn id="10" xr3:uid="{4A7CF904-8E8F-44B9-9A1E-1B5847381C8D}" name="Total Difference in Burden Hours" dataDxfId="4"/>
  </tableColumns>
  <tableStyleInfo name="TableStyleMedium2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Table6" displayName="Table6" ref="A1:C66" totalsRowShown="0" headerRowDxfId="3">
  <autoFilter ref="A1:C66" xr:uid="{00000000-0009-0000-0100-000006000000}"/>
  <tableColumns count="3">
    <tableColumn id="1" xr3:uid="{00000000-0010-0000-0100-000001000000}" name="Date " dataDxfId="2"/>
    <tableColumn id="2" xr3:uid="{00000000-0010-0000-0100-000002000000}" name="User Initials " dataDxfId="1"/>
    <tableColumn id="3" xr3:uid="{00000000-0010-0000-0100-000003000000}" name="Comments " dataDxfId="0"/>
  </tableColumns>
  <tableStyleInfo name="TableStyleDark1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63" dT="2023-04-12T00:54:51.06" personId="{FFC9747D-2FDF-41E5-87A9-2882B022B082}" id="{F42C7FEA-7F00-4CA0-A3AF-564D63C40E75}">
    <text>NDB [Number of Sponsors, School Sponsors + Number of Sponsors, Gov't Sponsors] * 30% [Assume Serious Management Problems will occur at the same rate as CACFP].</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29517-768C-4EDF-BD2D-0CB8D1F24B30}">
  <dimension ref="B1:X113"/>
  <sheetViews>
    <sheetView showGridLines="0" tabSelected="1" topLeftCell="I1" zoomScale="80" zoomScaleNormal="80" workbookViewId="0">
      <selection activeCell="U84" sqref="U84"/>
    </sheetView>
  </sheetViews>
  <sheetFormatPr defaultColWidth="9.1796875" defaultRowHeight="14.5" outlineLevelCol="1" x14ac:dyDescent="0.35"/>
  <cols>
    <col min="2" max="2" width="10.1796875" customWidth="1"/>
    <col min="4" max="4" width="40.1796875" bestFit="1" customWidth="1"/>
    <col min="6" max="6" width="18" customWidth="1"/>
    <col min="7" max="7" width="42" customWidth="1"/>
    <col min="8" max="8" width="18" style="58" customWidth="1"/>
    <col min="9" max="9" width="57.1796875" customWidth="1"/>
    <col min="10" max="10" width="15.81640625" style="64" bestFit="1" customWidth="1"/>
    <col min="11" max="11" width="17" style="368" bestFit="1" customWidth="1"/>
    <col min="12" max="12" width="19.453125" style="304" bestFit="1" customWidth="1"/>
    <col min="13" max="13" width="18.81640625" style="261" customWidth="1"/>
    <col min="14" max="14" width="21.453125" style="261" bestFit="1" customWidth="1"/>
    <col min="15" max="15" width="16.54296875" style="261" customWidth="1"/>
    <col min="16" max="16" width="20.54296875" bestFit="1" customWidth="1"/>
    <col min="17" max="17" width="17.453125" style="261" bestFit="1" customWidth="1" outlineLevel="1"/>
    <col min="18" max="18" width="21.453125" style="261" bestFit="1" customWidth="1" outlineLevel="1"/>
    <col min="19" max="19" width="18.453125" style="261" bestFit="1" customWidth="1" outlineLevel="1"/>
    <col min="20" max="20" width="21.54296875" style="261" bestFit="1" customWidth="1"/>
    <col min="21" max="21" width="22.54296875" customWidth="1" outlineLevel="1"/>
    <col min="23" max="23" width="20.453125" hidden="1" customWidth="1" outlineLevel="1"/>
    <col min="24" max="24" width="9.1796875" collapsed="1"/>
    <col min="70" max="70" width="8.81640625" customWidth="1"/>
  </cols>
  <sheetData>
    <row r="1" spans="2:23" ht="27" customHeight="1" thickBot="1" x14ac:dyDescent="0.65">
      <c r="C1" s="109" t="s">
        <v>0</v>
      </c>
      <c r="D1" s="461" t="s">
        <v>1</v>
      </c>
      <c r="F1" s="500" t="s">
        <v>251</v>
      </c>
      <c r="G1" s="500"/>
      <c r="H1" s="500"/>
      <c r="I1" s="500"/>
      <c r="J1" s="500"/>
      <c r="K1" s="500"/>
      <c r="L1" s="500"/>
      <c r="M1" s="500"/>
      <c r="N1" s="500"/>
      <c r="O1" s="500"/>
      <c r="P1" s="500"/>
      <c r="Q1" s="500"/>
      <c r="R1" s="500"/>
      <c r="S1" s="500"/>
      <c r="T1" s="501"/>
    </row>
    <row r="2" spans="2:23" ht="30.75" customHeight="1" x14ac:dyDescent="0.6">
      <c r="D2" s="334"/>
      <c r="F2" s="502" t="s">
        <v>2</v>
      </c>
      <c r="G2" s="502"/>
      <c r="H2" s="502"/>
      <c r="I2" s="502"/>
      <c r="J2" s="502"/>
      <c r="K2" s="502"/>
      <c r="L2" s="502"/>
      <c r="M2" s="502"/>
      <c r="N2" s="502"/>
      <c r="O2" s="502"/>
      <c r="P2" s="502"/>
      <c r="Q2" s="502"/>
      <c r="R2" s="502"/>
      <c r="S2" s="502"/>
      <c r="T2" s="502"/>
    </row>
    <row r="3" spans="2:23" ht="24" customHeight="1" thickBot="1" x14ac:dyDescent="0.4">
      <c r="F3" s="503" t="s">
        <v>3</v>
      </c>
      <c r="G3" s="503"/>
      <c r="H3" s="504" t="s">
        <v>4</v>
      </c>
      <c r="I3" s="504"/>
      <c r="J3" s="468" t="s">
        <v>5</v>
      </c>
      <c r="K3" s="469" t="s">
        <v>6</v>
      </c>
      <c r="L3" s="468" t="s">
        <v>7</v>
      </c>
      <c r="M3" s="469" t="s">
        <v>8</v>
      </c>
      <c r="N3" s="469" t="s">
        <v>9</v>
      </c>
      <c r="O3" s="469" t="s">
        <v>10</v>
      </c>
      <c r="P3" s="470"/>
      <c r="Q3" s="469"/>
      <c r="R3" s="469"/>
      <c r="S3" s="469"/>
      <c r="T3" s="471" t="s">
        <v>11</v>
      </c>
      <c r="U3" s="273"/>
      <c r="V3" s="274"/>
    </row>
    <row r="4" spans="2:23" s="321" customFormat="1" ht="59.5" customHeight="1" thickBot="1" x14ac:dyDescent="0.4">
      <c r="B4" s="347" t="s">
        <v>12</v>
      </c>
      <c r="D4" s="347" t="s">
        <v>13</v>
      </c>
      <c r="F4" s="350" t="s">
        <v>14</v>
      </c>
      <c r="G4" s="350" t="s">
        <v>15</v>
      </c>
      <c r="H4" s="350" t="s">
        <v>16</v>
      </c>
      <c r="I4" s="350" t="s">
        <v>15</v>
      </c>
      <c r="J4" s="351" t="s">
        <v>17</v>
      </c>
      <c r="K4" s="352" t="s">
        <v>18</v>
      </c>
      <c r="L4" s="351" t="s">
        <v>19</v>
      </c>
      <c r="M4" s="352" t="s">
        <v>20</v>
      </c>
      <c r="N4" s="352" t="s">
        <v>21</v>
      </c>
      <c r="O4" s="352" t="s">
        <v>22</v>
      </c>
      <c r="P4" s="350" t="s">
        <v>23</v>
      </c>
      <c r="Q4" s="352" t="s">
        <v>24</v>
      </c>
      <c r="R4" s="352" t="s">
        <v>25</v>
      </c>
      <c r="S4" s="352" t="s">
        <v>26</v>
      </c>
      <c r="T4" s="355" t="s">
        <v>27</v>
      </c>
      <c r="U4" s="348" t="s">
        <v>28</v>
      </c>
      <c r="V4" s="349"/>
      <c r="W4" s="322" t="s">
        <v>29</v>
      </c>
    </row>
    <row r="5" spans="2:23" ht="18.649999999999999" customHeight="1" thickBot="1" x14ac:dyDescent="0.4">
      <c r="B5" s="112"/>
      <c r="D5" s="112"/>
      <c r="F5" s="505" t="s">
        <v>30</v>
      </c>
      <c r="G5" s="505"/>
      <c r="H5" s="505"/>
      <c r="I5" s="505"/>
      <c r="J5" s="505"/>
      <c r="K5" s="505"/>
      <c r="L5" s="505"/>
      <c r="M5" s="505"/>
      <c r="N5" s="505"/>
      <c r="O5" s="505"/>
      <c r="P5" s="505"/>
      <c r="Q5" s="505"/>
      <c r="R5" s="505"/>
      <c r="S5" s="505"/>
      <c r="T5" s="505"/>
      <c r="U5" s="408"/>
      <c r="V5" s="1"/>
      <c r="W5" s="49"/>
    </row>
    <row r="6" spans="2:23" s="250" customFormat="1" ht="102.65" customHeight="1" x14ac:dyDescent="0.35">
      <c r="B6" s="323">
        <f>1</f>
        <v>1</v>
      </c>
      <c r="D6" s="323" t="s">
        <v>31</v>
      </c>
      <c r="F6" s="324" t="s">
        <v>32</v>
      </c>
      <c r="G6" s="325" t="s">
        <v>33</v>
      </c>
      <c r="H6" s="324" t="s">
        <v>32</v>
      </c>
      <c r="I6" s="325" t="s">
        <v>33</v>
      </c>
      <c r="J6" s="326">
        <v>53</v>
      </c>
      <c r="K6" s="359">
        <v>1</v>
      </c>
      <c r="L6" s="327">
        <f t="shared" ref="L6:L15" si="0">+J6*K6</f>
        <v>53</v>
      </c>
      <c r="M6" s="328">
        <v>36</v>
      </c>
      <c r="N6" s="329">
        <f t="shared" ref="N6:N15" si="1">L6*M6</f>
        <v>1908</v>
      </c>
      <c r="O6" s="330">
        <v>1908</v>
      </c>
      <c r="P6" s="331">
        <v>0</v>
      </c>
      <c r="Q6" s="328">
        <v>0</v>
      </c>
      <c r="R6" s="332">
        <f>N6-O6</f>
        <v>0</v>
      </c>
      <c r="S6" s="328">
        <v>0</v>
      </c>
      <c r="T6" s="263">
        <f>+N6-O6</f>
        <v>0</v>
      </c>
      <c r="W6" s="333"/>
    </row>
    <row r="7" spans="2:23" ht="43.5" x14ac:dyDescent="0.35">
      <c r="B7" s="197">
        <f>B6+1</f>
        <v>2</v>
      </c>
      <c r="D7" s="197" t="s">
        <v>31</v>
      </c>
      <c r="F7" s="36" t="s">
        <v>34</v>
      </c>
      <c r="G7" s="36" t="s">
        <v>35</v>
      </c>
      <c r="H7" s="36" t="s">
        <v>34</v>
      </c>
      <c r="I7" s="36" t="s">
        <v>35</v>
      </c>
      <c r="J7" s="256">
        <v>53</v>
      </c>
      <c r="K7" s="360">
        <v>1</v>
      </c>
      <c r="L7" s="295">
        <f t="shared" si="0"/>
        <v>53</v>
      </c>
      <c r="M7" s="257">
        <v>1</v>
      </c>
      <c r="N7" s="268">
        <f t="shared" si="1"/>
        <v>53</v>
      </c>
      <c r="O7" s="84">
        <v>53</v>
      </c>
      <c r="P7" s="50">
        <v>0</v>
      </c>
      <c r="Q7" s="257">
        <v>0</v>
      </c>
      <c r="R7" s="309">
        <v>0</v>
      </c>
      <c r="S7" s="309">
        <f>N7-O7</f>
        <v>0</v>
      </c>
      <c r="T7" s="264">
        <f>+N7-O7</f>
        <v>0</v>
      </c>
      <c r="W7" s="43" t="s">
        <v>36</v>
      </c>
    </row>
    <row r="8" spans="2:23" ht="29" hidden="1" x14ac:dyDescent="0.35">
      <c r="B8" s="197">
        <f t="shared" ref="B8:B14" si="2">B7+1</f>
        <v>3</v>
      </c>
      <c r="D8" s="197" t="s">
        <v>31</v>
      </c>
      <c r="F8" s="108"/>
      <c r="G8" s="108"/>
      <c r="H8" s="36" t="s">
        <v>37</v>
      </c>
      <c r="I8" s="36" t="s">
        <v>38</v>
      </c>
      <c r="J8" s="256">
        <v>0</v>
      </c>
      <c r="K8" s="360">
        <v>0</v>
      </c>
      <c r="L8" s="295">
        <f t="shared" si="0"/>
        <v>0</v>
      </c>
      <c r="M8" s="257">
        <v>0</v>
      </c>
      <c r="N8" s="268">
        <f t="shared" si="1"/>
        <v>0</v>
      </c>
      <c r="O8" s="271">
        <v>0</v>
      </c>
      <c r="P8" s="44"/>
      <c r="Q8" s="257"/>
      <c r="R8" s="309"/>
      <c r="S8" s="309">
        <v>0</v>
      </c>
      <c r="T8" s="264">
        <f t="shared" ref="T8:T15" si="3">+N8-O8</f>
        <v>0</v>
      </c>
      <c r="U8" t="s">
        <v>39</v>
      </c>
      <c r="W8" s="43"/>
    </row>
    <row r="9" spans="2:23" hidden="1" x14ac:dyDescent="0.35">
      <c r="B9" s="197">
        <f t="shared" si="2"/>
        <v>4</v>
      </c>
      <c r="D9" s="197" t="s">
        <v>31</v>
      </c>
      <c r="F9" s="108"/>
      <c r="G9" s="108"/>
      <c r="H9" s="36" t="s">
        <v>40</v>
      </c>
      <c r="I9" s="36" t="s">
        <v>41</v>
      </c>
      <c r="J9" s="256">
        <v>0</v>
      </c>
      <c r="K9" s="360">
        <v>0</v>
      </c>
      <c r="L9" s="295">
        <f t="shared" si="0"/>
        <v>0</v>
      </c>
      <c r="M9" s="257">
        <v>0</v>
      </c>
      <c r="N9" s="268">
        <f t="shared" si="1"/>
        <v>0</v>
      </c>
      <c r="O9" s="271">
        <v>0</v>
      </c>
      <c r="P9" s="44"/>
      <c r="Q9" s="257"/>
      <c r="R9" s="309"/>
      <c r="S9" s="309">
        <f t="shared" ref="S9:S34" si="4">N9-O9</f>
        <v>0</v>
      </c>
      <c r="T9" s="264">
        <f t="shared" si="3"/>
        <v>0</v>
      </c>
      <c r="W9" s="43"/>
    </row>
    <row r="10" spans="2:23" ht="43.5" hidden="1" x14ac:dyDescent="0.35">
      <c r="B10" s="197">
        <f t="shared" si="2"/>
        <v>5</v>
      </c>
      <c r="D10" s="197" t="s">
        <v>31</v>
      </c>
      <c r="F10" s="108"/>
      <c r="G10" s="108"/>
      <c r="H10" s="36" t="s">
        <v>42</v>
      </c>
      <c r="I10" s="36" t="s">
        <v>43</v>
      </c>
      <c r="J10" s="256">
        <v>0</v>
      </c>
      <c r="K10" s="360">
        <v>0</v>
      </c>
      <c r="L10" s="295">
        <f t="shared" si="0"/>
        <v>0</v>
      </c>
      <c r="M10" s="257">
        <v>0</v>
      </c>
      <c r="N10" s="268">
        <f t="shared" si="1"/>
        <v>0</v>
      </c>
      <c r="O10" s="271">
        <v>0</v>
      </c>
      <c r="P10" s="44"/>
      <c r="Q10" s="257" t="s">
        <v>44</v>
      </c>
      <c r="R10" s="309"/>
      <c r="S10" s="309">
        <f t="shared" si="4"/>
        <v>0</v>
      </c>
      <c r="T10" s="264">
        <f t="shared" si="3"/>
        <v>0</v>
      </c>
      <c r="W10" s="43"/>
    </row>
    <row r="11" spans="2:23" ht="58" hidden="1" x14ac:dyDescent="0.35">
      <c r="B11" s="197">
        <f t="shared" si="2"/>
        <v>6</v>
      </c>
      <c r="D11" s="197" t="s">
        <v>31</v>
      </c>
      <c r="F11" s="108"/>
      <c r="G11" s="108"/>
      <c r="H11" s="36" t="s">
        <v>45</v>
      </c>
      <c r="I11" s="36" t="s">
        <v>46</v>
      </c>
      <c r="J11" s="256">
        <v>0</v>
      </c>
      <c r="K11" s="360">
        <v>0</v>
      </c>
      <c r="L11" s="295">
        <f t="shared" si="0"/>
        <v>0</v>
      </c>
      <c r="M11" s="257">
        <v>0</v>
      </c>
      <c r="N11" s="268">
        <f t="shared" si="1"/>
        <v>0</v>
      </c>
      <c r="O11" s="271">
        <v>0</v>
      </c>
      <c r="P11" s="44"/>
      <c r="Q11" s="257"/>
      <c r="R11" s="309"/>
      <c r="S11" s="309">
        <f t="shared" si="4"/>
        <v>0</v>
      </c>
      <c r="T11" s="264">
        <f t="shared" si="3"/>
        <v>0</v>
      </c>
      <c r="W11" s="43"/>
    </row>
    <row r="12" spans="2:23" hidden="1" x14ac:dyDescent="0.35">
      <c r="B12" s="197">
        <f t="shared" si="2"/>
        <v>7</v>
      </c>
      <c r="D12" s="197" t="s">
        <v>31</v>
      </c>
      <c r="F12" s="108"/>
      <c r="G12" s="108"/>
      <c r="H12" s="36" t="s">
        <v>47</v>
      </c>
      <c r="I12" s="36" t="s">
        <v>48</v>
      </c>
      <c r="J12" s="256">
        <v>0</v>
      </c>
      <c r="K12" s="360">
        <v>0</v>
      </c>
      <c r="L12" s="295">
        <f t="shared" si="0"/>
        <v>0</v>
      </c>
      <c r="M12" s="257">
        <v>0</v>
      </c>
      <c r="N12" s="268">
        <f t="shared" si="1"/>
        <v>0</v>
      </c>
      <c r="O12" s="271">
        <v>0</v>
      </c>
      <c r="P12" s="44"/>
      <c r="Q12" s="257"/>
      <c r="R12" s="309"/>
      <c r="S12" s="309">
        <f t="shared" si="4"/>
        <v>0</v>
      </c>
      <c r="T12" s="264">
        <f t="shared" si="3"/>
        <v>0</v>
      </c>
      <c r="W12" s="43"/>
    </row>
    <row r="13" spans="2:23" ht="58" hidden="1" x14ac:dyDescent="0.35">
      <c r="B13" s="197">
        <f t="shared" si="2"/>
        <v>8</v>
      </c>
      <c r="D13" s="197" t="s">
        <v>31</v>
      </c>
      <c r="F13" s="108"/>
      <c r="G13" s="108"/>
      <c r="H13" s="36" t="s">
        <v>49</v>
      </c>
      <c r="I13" s="36" t="s">
        <v>50</v>
      </c>
      <c r="J13" s="256">
        <v>0</v>
      </c>
      <c r="K13" s="360">
        <v>0</v>
      </c>
      <c r="L13" s="295">
        <f t="shared" si="0"/>
        <v>0</v>
      </c>
      <c r="M13" s="257">
        <v>0</v>
      </c>
      <c r="N13" s="268">
        <f t="shared" si="1"/>
        <v>0</v>
      </c>
      <c r="O13" s="271">
        <v>0</v>
      </c>
      <c r="P13" s="44"/>
      <c r="Q13" s="257"/>
      <c r="R13" s="309"/>
      <c r="S13" s="309">
        <f t="shared" si="4"/>
        <v>0</v>
      </c>
      <c r="T13" s="264">
        <f t="shared" si="3"/>
        <v>0</v>
      </c>
      <c r="W13" s="43"/>
    </row>
    <row r="14" spans="2:23" ht="43.5" hidden="1" x14ac:dyDescent="0.35">
      <c r="B14" s="197">
        <f t="shared" si="2"/>
        <v>9</v>
      </c>
      <c r="D14" s="197" t="s">
        <v>31</v>
      </c>
      <c r="F14" s="108"/>
      <c r="G14" s="108"/>
      <c r="H14" s="36" t="s">
        <v>51</v>
      </c>
      <c r="I14" s="36" t="s">
        <v>52</v>
      </c>
      <c r="J14" s="256">
        <v>0</v>
      </c>
      <c r="K14" s="360">
        <v>0</v>
      </c>
      <c r="L14" s="295">
        <f t="shared" si="0"/>
        <v>0</v>
      </c>
      <c r="M14" s="257">
        <v>0</v>
      </c>
      <c r="N14" s="268">
        <f t="shared" si="1"/>
        <v>0</v>
      </c>
      <c r="O14" s="271">
        <v>0</v>
      </c>
      <c r="P14" s="44"/>
      <c r="Q14" s="257"/>
      <c r="R14" s="309"/>
      <c r="S14" s="309">
        <f t="shared" si="4"/>
        <v>0</v>
      </c>
      <c r="T14" s="264">
        <f t="shared" si="3"/>
        <v>0</v>
      </c>
      <c r="W14" s="43"/>
    </row>
    <row r="15" spans="2:23" s="250" customFormat="1" ht="29" x14ac:dyDescent="0.35">
      <c r="B15" s="221">
        <f>3</f>
        <v>3</v>
      </c>
      <c r="D15" s="221" t="s">
        <v>53</v>
      </c>
      <c r="F15" s="317"/>
      <c r="G15" s="224"/>
      <c r="H15" s="354" t="s">
        <v>54</v>
      </c>
      <c r="I15" s="353" t="s">
        <v>55</v>
      </c>
      <c r="J15" s="262">
        <v>53</v>
      </c>
      <c r="K15" s="361">
        <f>ROUND(((2210*0.06)/J15), 0)</f>
        <v>3</v>
      </c>
      <c r="L15" s="296">
        <f t="shared" si="0"/>
        <v>159</v>
      </c>
      <c r="M15" s="307">
        <v>0.25</v>
      </c>
      <c r="N15" s="269">
        <f t="shared" si="1"/>
        <v>39.75</v>
      </c>
      <c r="O15" s="318">
        <v>0</v>
      </c>
      <c r="P15" s="319">
        <v>0</v>
      </c>
      <c r="Q15" s="307">
        <v>0</v>
      </c>
      <c r="R15" s="226">
        <v>0</v>
      </c>
      <c r="S15" s="307">
        <f t="shared" si="4"/>
        <v>39.75</v>
      </c>
      <c r="T15" s="266">
        <f t="shared" si="3"/>
        <v>39.75</v>
      </c>
      <c r="W15" s="346"/>
    </row>
    <row r="16" spans="2:23" ht="147.65" customHeight="1" x14ac:dyDescent="0.35">
      <c r="B16" s="197">
        <f>B15+1</f>
        <v>4</v>
      </c>
      <c r="D16" s="197" t="s">
        <v>31</v>
      </c>
      <c r="F16" s="38" t="s">
        <v>56</v>
      </c>
      <c r="G16" s="38" t="s">
        <v>57</v>
      </c>
      <c r="H16" s="38" t="s">
        <v>56</v>
      </c>
      <c r="I16" s="38" t="s">
        <v>57</v>
      </c>
      <c r="J16" s="256">
        <v>3314</v>
      </c>
      <c r="K16" s="362">
        <v>1</v>
      </c>
      <c r="L16" s="252">
        <f t="shared" ref="L16:L19" si="5">+J16*K16</f>
        <v>3314</v>
      </c>
      <c r="M16" s="257">
        <v>39.5</v>
      </c>
      <c r="N16" s="101">
        <f>+L16*M16</f>
        <v>130903</v>
      </c>
      <c r="O16" s="101">
        <v>130903</v>
      </c>
      <c r="P16" s="102">
        <v>0</v>
      </c>
      <c r="Q16" s="101">
        <v>0</v>
      </c>
      <c r="R16" s="101">
        <f>N16-O16</f>
        <v>0</v>
      </c>
      <c r="S16" s="101">
        <v>0</v>
      </c>
      <c r="T16" s="265">
        <f t="shared" ref="T16:T19" si="6">N16-O16</f>
        <v>0</v>
      </c>
    </row>
    <row r="17" spans="2:20" ht="102.65" customHeight="1" x14ac:dyDescent="0.35">
      <c r="B17" s="197">
        <f>B16+1</f>
        <v>5</v>
      </c>
      <c r="D17" s="197" t="s">
        <v>31</v>
      </c>
      <c r="F17" s="276" t="s">
        <v>58</v>
      </c>
      <c r="G17" s="38" t="s">
        <v>59</v>
      </c>
      <c r="H17" s="276" t="s">
        <v>58</v>
      </c>
      <c r="I17" s="38" t="s">
        <v>59</v>
      </c>
      <c r="J17" s="256">
        <v>640</v>
      </c>
      <c r="K17" s="362">
        <v>1</v>
      </c>
      <c r="L17" s="252">
        <f t="shared" si="5"/>
        <v>640</v>
      </c>
      <c r="M17" s="101">
        <v>1</v>
      </c>
      <c r="N17" s="101">
        <f t="shared" ref="N17:N33" si="7">+L17*M17</f>
        <v>640</v>
      </c>
      <c r="O17" s="101">
        <v>640</v>
      </c>
      <c r="P17" s="102">
        <v>0</v>
      </c>
      <c r="Q17" s="101">
        <v>0</v>
      </c>
      <c r="R17" s="101">
        <v>0</v>
      </c>
      <c r="S17" s="101">
        <v>0</v>
      </c>
      <c r="T17" s="265">
        <f t="shared" si="6"/>
        <v>0</v>
      </c>
    </row>
    <row r="18" spans="2:20" ht="59.15" customHeight="1" x14ac:dyDescent="0.35">
      <c r="B18" s="197">
        <f t="shared" ref="B18:B38" si="8">B17+1</f>
        <v>6</v>
      </c>
      <c r="D18" s="197" t="s">
        <v>31</v>
      </c>
      <c r="F18" s="276" t="s">
        <v>60</v>
      </c>
      <c r="G18" s="38" t="s">
        <v>61</v>
      </c>
      <c r="H18" s="276" t="s">
        <v>60</v>
      </c>
      <c r="I18" s="38" t="s">
        <v>61</v>
      </c>
      <c r="J18" s="256">
        <v>2675</v>
      </c>
      <c r="K18" s="362">
        <v>1</v>
      </c>
      <c r="L18" s="252">
        <f t="shared" si="5"/>
        <v>2675</v>
      </c>
      <c r="M18" s="101">
        <v>1</v>
      </c>
      <c r="N18" s="101">
        <f t="shared" si="7"/>
        <v>2675</v>
      </c>
      <c r="O18" s="101">
        <v>2675</v>
      </c>
      <c r="P18" s="102">
        <v>0</v>
      </c>
      <c r="Q18" s="101">
        <v>0</v>
      </c>
      <c r="R18" s="101">
        <f>N18-O18</f>
        <v>0</v>
      </c>
      <c r="S18" s="101">
        <v>0</v>
      </c>
      <c r="T18" s="265">
        <f t="shared" si="6"/>
        <v>0</v>
      </c>
    </row>
    <row r="19" spans="2:20" ht="58" x14ac:dyDescent="0.35">
      <c r="B19" s="197">
        <f t="shared" si="8"/>
        <v>7</v>
      </c>
      <c r="D19" s="197" t="s">
        <v>31</v>
      </c>
      <c r="F19" s="277" t="s">
        <v>62</v>
      </c>
      <c r="G19" s="38" t="s">
        <v>63</v>
      </c>
      <c r="H19" s="277" t="s">
        <v>64</v>
      </c>
      <c r="I19" s="38" t="s">
        <v>63</v>
      </c>
      <c r="J19" s="256">
        <v>332</v>
      </c>
      <c r="K19" s="362">
        <v>1</v>
      </c>
      <c r="L19" s="252">
        <f t="shared" si="5"/>
        <v>332</v>
      </c>
      <c r="M19" s="101">
        <v>0.123</v>
      </c>
      <c r="N19" s="101">
        <f t="shared" si="7"/>
        <v>40.835999999999999</v>
      </c>
      <c r="O19" s="101">
        <v>40.835999999999999</v>
      </c>
      <c r="P19" s="102">
        <v>0</v>
      </c>
      <c r="Q19" s="101"/>
      <c r="R19" s="101">
        <f>N19-O19</f>
        <v>0</v>
      </c>
      <c r="S19" s="101"/>
      <c r="T19" s="265">
        <f t="shared" si="6"/>
        <v>0</v>
      </c>
    </row>
    <row r="20" spans="2:20" ht="71.5" customHeight="1" x14ac:dyDescent="0.35">
      <c r="B20" s="197">
        <f>B19+1</f>
        <v>8</v>
      </c>
      <c r="D20" s="197" t="s">
        <v>31</v>
      </c>
      <c r="F20" s="38" t="s">
        <v>65</v>
      </c>
      <c r="G20" s="38" t="s">
        <v>66</v>
      </c>
      <c r="H20" s="38" t="s">
        <v>65</v>
      </c>
      <c r="I20" s="38" t="s">
        <v>66</v>
      </c>
      <c r="J20" s="256">
        <v>1157</v>
      </c>
      <c r="K20" s="362">
        <v>1</v>
      </c>
      <c r="L20" s="252">
        <f>+J20*K20</f>
        <v>1157</v>
      </c>
      <c r="M20" s="101">
        <v>0.5</v>
      </c>
      <c r="N20" s="101">
        <f t="shared" si="7"/>
        <v>578.5</v>
      </c>
      <c r="O20" s="101">
        <v>578.5</v>
      </c>
      <c r="P20" s="102">
        <v>0</v>
      </c>
      <c r="Q20" s="101">
        <v>0</v>
      </c>
      <c r="R20" s="101">
        <f>N20-O20</f>
        <v>0</v>
      </c>
      <c r="S20" s="101">
        <v>0</v>
      </c>
      <c r="T20" s="265">
        <f>N20-O20</f>
        <v>0</v>
      </c>
    </row>
    <row r="21" spans="2:20" ht="43.5" x14ac:dyDescent="0.35">
      <c r="B21" s="197">
        <f t="shared" si="8"/>
        <v>9</v>
      </c>
      <c r="D21" s="197" t="s">
        <v>31</v>
      </c>
      <c r="F21" s="38" t="s">
        <v>67</v>
      </c>
      <c r="G21" s="38" t="s">
        <v>68</v>
      </c>
      <c r="H21" s="38" t="s">
        <v>67</v>
      </c>
      <c r="I21" s="38" t="s">
        <v>68</v>
      </c>
      <c r="J21" s="256">
        <v>11.57</v>
      </c>
      <c r="K21" s="362">
        <v>1</v>
      </c>
      <c r="L21" s="252">
        <f>+J21*K21</f>
        <v>11.57</v>
      </c>
      <c r="M21" s="101">
        <v>0.5</v>
      </c>
      <c r="N21" s="101">
        <f t="shared" si="7"/>
        <v>5.7850000000000001</v>
      </c>
      <c r="O21" s="101">
        <v>5.7850000000000001</v>
      </c>
      <c r="P21" s="102">
        <v>0</v>
      </c>
      <c r="Q21" s="101">
        <v>0</v>
      </c>
      <c r="R21" s="101">
        <f>N21-O21</f>
        <v>0</v>
      </c>
      <c r="S21" s="101">
        <v>0</v>
      </c>
      <c r="T21" s="265">
        <f>N21-O21</f>
        <v>0</v>
      </c>
    </row>
    <row r="22" spans="2:20" ht="43.5" x14ac:dyDescent="0.35">
      <c r="B22" s="197">
        <f>B21+1</f>
        <v>10</v>
      </c>
      <c r="D22" s="197" t="s">
        <v>31</v>
      </c>
      <c r="F22" s="38" t="s">
        <v>69</v>
      </c>
      <c r="G22" s="38" t="s">
        <v>70</v>
      </c>
      <c r="H22" s="38" t="s">
        <v>71</v>
      </c>
      <c r="I22" s="38" t="s">
        <v>70</v>
      </c>
      <c r="J22" s="256">
        <v>1157</v>
      </c>
      <c r="K22" s="362">
        <v>1</v>
      </c>
      <c r="L22" s="252">
        <f>+J22*K22</f>
        <v>1157</v>
      </c>
      <c r="M22" s="101">
        <v>20</v>
      </c>
      <c r="N22" s="101">
        <f t="shared" si="7"/>
        <v>23140</v>
      </c>
      <c r="O22" s="101">
        <v>23140</v>
      </c>
      <c r="P22" s="102">
        <v>0</v>
      </c>
      <c r="Q22" s="101">
        <v>0</v>
      </c>
      <c r="R22" s="101">
        <f>N22-O22</f>
        <v>0</v>
      </c>
      <c r="S22" s="101">
        <v>0</v>
      </c>
      <c r="T22" s="265">
        <f>N22-O22</f>
        <v>0</v>
      </c>
    </row>
    <row r="23" spans="2:20" ht="101.5" customHeight="1" x14ac:dyDescent="0.35">
      <c r="B23" s="221">
        <f t="shared" ref="B23:B24" si="9">B22+1</f>
        <v>11</v>
      </c>
      <c r="D23" s="221" t="s">
        <v>53</v>
      </c>
      <c r="F23" s="222"/>
      <c r="G23" s="222"/>
      <c r="H23" s="353" t="s">
        <v>72</v>
      </c>
      <c r="I23" s="353" t="s">
        <v>73</v>
      </c>
      <c r="J23" s="229">
        <v>53</v>
      </c>
      <c r="K23" s="223">
        <f>ROUND(((2210*0.06)/J23), 0)</f>
        <v>3</v>
      </c>
      <c r="L23" s="230">
        <f>+J23*K23</f>
        <v>159</v>
      </c>
      <c r="M23" s="226">
        <v>0.25</v>
      </c>
      <c r="N23" s="226">
        <f t="shared" si="7"/>
        <v>39.75</v>
      </c>
      <c r="O23" s="226">
        <v>0</v>
      </c>
      <c r="P23" s="225">
        <v>0</v>
      </c>
      <c r="Q23" s="226">
        <v>0</v>
      </c>
      <c r="R23" s="226">
        <v>0</v>
      </c>
      <c r="S23" s="226">
        <f>N23-O23</f>
        <v>39.75</v>
      </c>
      <c r="T23" s="228">
        <f>N23-O23</f>
        <v>39.75</v>
      </c>
    </row>
    <row r="24" spans="2:20" ht="46" customHeight="1" x14ac:dyDescent="0.35">
      <c r="B24" s="221">
        <f t="shared" si="9"/>
        <v>12</v>
      </c>
      <c r="D24" s="221" t="s">
        <v>53</v>
      </c>
      <c r="F24" s="222"/>
      <c r="G24" s="222"/>
      <c r="H24" s="353" t="s">
        <v>237</v>
      </c>
      <c r="I24" s="353" t="s">
        <v>74</v>
      </c>
      <c r="J24" s="454">
        <v>53</v>
      </c>
      <c r="K24" s="223">
        <f t="shared" ref="K24:K31" si="10">ROUND(((2210*0.06)/J24), 0)</f>
        <v>3</v>
      </c>
      <c r="L24" s="230">
        <f t="shared" ref="L24:L32" si="11">J24*K24</f>
        <v>159</v>
      </c>
      <c r="M24" s="454">
        <v>0.25</v>
      </c>
      <c r="N24" s="223">
        <f t="shared" ref="N24:N32" si="12">L24*M24</f>
        <v>39.75</v>
      </c>
      <c r="O24" s="455">
        <v>0</v>
      </c>
      <c r="P24" s="455">
        <v>0</v>
      </c>
      <c r="Q24" s="456">
        <v>0</v>
      </c>
      <c r="R24" s="226">
        <v>0</v>
      </c>
      <c r="S24" s="226">
        <f t="shared" ref="S24:S32" si="13">N24-O24</f>
        <v>39.75</v>
      </c>
      <c r="T24" s="228">
        <f t="shared" ref="T24:T32" si="14">N24-O24</f>
        <v>39.75</v>
      </c>
    </row>
    <row r="25" spans="2:20" x14ac:dyDescent="0.35">
      <c r="B25" s="221">
        <f t="shared" ref="B25:B29" si="15">B24+1</f>
        <v>13</v>
      </c>
      <c r="D25" s="221" t="s">
        <v>53</v>
      </c>
      <c r="F25" s="222"/>
      <c r="G25" s="222"/>
      <c r="H25" s="353" t="s">
        <v>238</v>
      </c>
      <c r="I25" s="353" t="s">
        <v>75</v>
      </c>
      <c r="J25" s="454">
        <v>53</v>
      </c>
      <c r="K25" s="223">
        <f t="shared" si="10"/>
        <v>3</v>
      </c>
      <c r="L25" s="230">
        <f t="shared" si="11"/>
        <v>159</v>
      </c>
      <c r="M25" s="454">
        <v>0.25</v>
      </c>
      <c r="N25" s="223">
        <f t="shared" si="12"/>
        <v>39.75</v>
      </c>
      <c r="O25" s="455">
        <v>0</v>
      </c>
      <c r="P25" s="455">
        <v>0</v>
      </c>
      <c r="Q25" s="456">
        <v>0</v>
      </c>
      <c r="R25" s="226">
        <v>0</v>
      </c>
      <c r="S25" s="226">
        <f t="shared" si="13"/>
        <v>39.75</v>
      </c>
      <c r="T25" s="228">
        <f t="shared" si="14"/>
        <v>39.75</v>
      </c>
    </row>
    <row r="26" spans="2:20" ht="97.5" customHeight="1" x14ac:dyDescent="0.35">
      <c r="B26" s="221">
        <f t="shared" si="15"/>
        <v>14</v>
      </c>
      <c r="D26" s="221" t="s">
        <v>53</v>
      </c>
      <c r="F26" s="222"/>
      <c r="G26" s="222"/>
      <c r="H26" s="372" t="s">
        <v>240</v>
      </c>
      <c r="I26" s="353" t="s">
        <v>239</v>
      </c>
      <c r="J26" s="454">
        <v>53</v>
      </c>
      <c r="K26" s="223">
        <f t="shared" si="10"/>
        <v>3</v>
      </c>
      <c r="L26" s="230">
        <f t="shared" si="11"/>
        <v>159</v>
      </c>
      <c r="M26" s="454">
        <v>0.25</v>
      </c>
      <c r="N26" s="223">
        <f t="shared" si="12"/>
        <v>39.75</v>
      </c>
      <c r="O26" s="455">
        <v>0</v>
      </c>
      <c r="P26" s="455">
        <v>0</v>
      </c>
      <c r="Q26" s="456">
        <v>0</v>
      </c>
      <c r="R26" s="226">
        <v>0</v>
      </c>
      <c r="S26" s="226">
        <f t="shared" si="13"/>
        <v>39.75</v>
      </c>
      <c r="T26" s="228">
        <f t="shared" si="14"/>
        <v>39.75</v>
      </c>
    </row>
    <row r="27" spans="2:20" ht="62.5" customHeight="1" x14ac:dyDescent="0.35">
      <c r="B27" s="221">
        <f t="shared" si="15"/>
        <v>15</v>
      </c>
      <c r="D27" s="221" t="s">
        <v>53</v>
      </c>
      <c r="F27" s="222"/>
      <c r="G27" s="222"/>
      <c r="H27" s="353" t="s">
        <v>241</v>
      </c>
      <c r="I27" s="353" t="s">
        <v>76</v>
      </c>
      <c r="J27" s="454">
        <v>53</v>
      </c>
      <c r="K27" s="223">
        <f t="shared" si="10"/>
        <v>3</v>
      </c>
      <c r="L27" s="230">
        <f t="shared" si="11"/>
        <v>159</v>
      </c>
      <c r="M27" s="454">
        <v>0.25</v>
      </c>
      <c r="N27" s="223">
        <f t="shared" si="12"/>
        <v>39.75</v>
      </c>
      <c r="O27" s="455">
        <v>0</v>
      </c>
      <c r="P27" s="455">
        <v>0</v>
      </c>
      <c r="Q27" s="456">
        <v>0</v>
      </c>
      <c r="R27" s="226">
        <v>0</v>
      </c>
      <c r="S27" s="226">
        <f t="shared" si="13"/>
        <v>39.75</v>
      </c>
      <c r="T27" s="228">
        <f t="shared" si="14"/>
        <v>39.75</v>
      </c>
    </row>
    <row r="28" spans="2:20" ht="93" customHeight="1" x14ac:dyDescent="0.35">
      <c r="B28" s="221">
        <f t="shared" si="15"/>
        <v>16</v>
      </c>
      <c r="D28" s="221" t="s">
        <v>53</v>
      </c>
      <c r="F28" s="222"/>
      <c r="G28" s="222"/>
      <c r="H28" s="372" t="s">
        <v>242</v>
      </c>
      <c r="I28" s="353" t="s">
        <v>77</v>
      </c>
      <c r="J28" s="454">
        <v>53</v>
      </c>
      <c r="K28" s="223">
        <f t="shared" si="10"/>
        <v>3</v>
      </c>
      <c r="L28" s="230">
        <f t="shared" si="11"/>
        <v>159</v>
      </c>
      <c r="M28" s="454">
        <v>0.25</v>
      </c>
      <c r="N28" s="223">
        <f t="shared" si="12"/>
        <v>39.75</v>
      </c>
      <c r="O28" s="455">
        <v>0</v>
      </c>
      <c r="P28" s="455">
        <v>0</v>
      </c>
      <c r="Q28" s="456">
        <v>0</v>
      </c>
      <c r="R28" s="226">
        <v>0</v>
      </c>
      <c r="S28" s="226">
        <f t="shared" si="13"/>
        <v>39.75</v>
      </c>
      <c r="T28" s="228">
        <f t="shared" si="14"/>
        <v>39.75</v>
      </c>
    </row>
    <row r="29" spans="2:20" ht="54.5" customHeight="1" x14ac:dyDescent="0.35">
      <c r="B29" s="221">
        <f t="shared" si="15"/>
        <v>17</v>
      </c>
      <c r="D29" s="221" t="s">
        <v>53</v>
      </c>
      <c r="F29" s="222"/>
      <c r="G29" s="222"/>
      <c r="H29" s="353" t="s">
        <v>243</v>
      </c>
      <c r="I29" s="353" t="s">
        <v>78</v>
      </c>
      <c r="J29" s="454">
        <v>53</v>
      </c>
      <c r="K29" s="223">
        <f t="shared" si="10"/>
        <v>3</v>
      </c>
      <c r="L29" s="230">
        <f t="shared" si="11"/>
        <v>159</v>
      </c>
      <c r="M29" s="454">
        <v>0.25</v>
      </c>
      <c r="N29" s="223">
        <f t="shared" si="12"/>
        <v>39.75</v>
      </c>
      <c r="O29" s="455">
        <v>0</v>
      </c>
      <c r="P29" s="455">
        <v>0</v>
      </c>
      <c r="Q29" s="456">
        <v>0</v>
      </c>
      <c r="R29" s="226">
        <v>0</v>
      </c>
      <c r="S29" s="226">
        <f t="shared" si="13"/>
        <v>39.75</v>
      </c>
      <c r="T29" s="228">
        <f t="shared" si="14"/>
        <v>39.75</v>
      </c>
    </row>
    <row r="30" spans="2:20" ht="47" customHeight="1" x14ac:dyDescent="0.35">
      <c r="B30" s="221">
        <f>B29+1</f>
        <v>18</v>
      </c>
      <c r="D30" s="221" t="s">
        <v>53</v>
      </c>
      <c r="F30" s="222"/>
      <c r="G30" s="222"/>
      <c r="H30" s="353" t="s">
        <v>244</v>
      </c>
      <c r="I30" s="353" t="s">
        <v>79</v>
      </c>
      <c r="J30" s="454">
        <v>53</v>
      </c>
      <c r="K30" s="223">
        <f t="shared" si="10"/>
        <v>3</v>
      </c>
      <c r="L30" s="230">
        <f t="shared" si="11"/>
        <v>159</v>
      </c>
      <c r="M30" s="454">
        <v>0.25</v>
      </c>
      <c r="N30" s="223">
        <f t="shared" si="12"/>
        <v>39.75</v>
      </c>
      <c r="O30" s="455">
        <v>0</v>
      </c>
      <c r="P30" s="455">
        <v>0</v>
      </c>
      <c r="Q30" s="456">
        <v>0</v>
      </c>
      <c r="R30" s="226">
        <v>0</v>
      </c>
      <c r="S30" s="226">
        <f t="shared" si="13"/>
        <v>39.75</v>
      </c>
      <c r="T30" s="228">
        <f t="shared" si="14"/>
        <v>39.75</v>
      </c>
    </row>
    <row r="31" spans="2:20" ht="86.5" customHeight="1" x14ac:dyDescent="0.35">
      <c r="B31" s="221">
        <f>B30+1</f>
        <v>19</v>
      </c>
      <c r="D31" s="221" t="s">
        <v>53</v>
      </c>
      <c r="F31" s="222"/>
      <c r="G31" s="222"/>
      <c r="H31" s="372" t="s">
        <v>245</v>
      </c>
      <c r="I31" s="353" t="s">
        <v>246</v>
      </c>
      <c r="J31" s="454">
        <v>53</v>
      </c>
      <c r="K31" s="223">
        <f t="shared" si="10"/>
        <v>3</v>
      </c>
      <c r="L31" s="230">
        <f t="shared" si="11"/>
        <v>159</v>
      </c>
      <c r="M31" s="454">
        <v>20</v>
      </c>
      <c r="N31" s="223">
        <f t="shared" si="12"/>
        <v>3180</v>
      </c>
      <c r="O31" s="455">
        <v>0</v>
      </c>
      <c r="P31" s="455">
        <v>0</v>
      </c>
      <c r="Q31" s="456">
        <v>0</v>
      </c>
      <c r="R31" s="226">
        <v>0</v>
      </c>
      <c r="S31" s="226">
        <f t="shared" si="13"/>
        <v>3180</v>
      </c>
      <c r="T31" s="228">
        <f t="shared" si="14"/>
        <v>3180</v>
      </c>
    </row>
    <row r="32" spans="2:20" ht="45" customHeight="1" x14ac:dyDescent="0.35">
      <c r="B32" s="221">
        <f t="shared" ref="B32:B33" si="16">B31+1</f>
        <v>20</v>
      </c>
      <c r="D32" s="221" t="s">
        <v>53</v>
      </c>
      <c r="F32" s="222"/>
      <c r="G32" s="222"/>
      <c r="H32" s="372" t="s">
        <v>247</v>
      </c>
      <c r="I32" s="353" t="s">
        <v>80</v>
      </c>
      <c r="J32" s="454">
        <v>53</v>
      </c>
      <c r="K32" s="223">
        <f>ROUND(((2210*0.06*0.256)/J32), 0)</f>
        <v>1</v>
      </c>
      <c r="L32" s="230">
        <f t="shared" si="11"/>
        <v>53</v>
      </c>
      <c r="M32" s="454">
        <v>1</v>
      </c>
      <c r="N32" s="223">
        <f t="shared" si="12"/>
        <v>53</v>
      </c>
      <c r="O32" s="455">
        <v>0</v>
      </c>
      <c r="P32" s="455">
        <v>0</v>
      </c>
      <c r="Q32" s="456">
        <v>0</v>
      </c>
      <c r="R32" s="226">
        <v>0</v>
      </c>
      <c r="S32" s="226">
        <f t="shared" si="13"/>
        <v>53</v>
      </c>
      <c r="T32" s="228">
        <f t="shared" si="14"/>
        <v>53</v>
      </c>
    </row>
    <row r="33" spans="2:23" s="250" customFormat="1" ht="97.25" customHeight="1" x14ac:dyDescent="0.35">
      <c r="B33" s="323">
        <f t="shared" si="16"/>
        <v>21</v>
      </c>
      <c r="D33" s="323" t="s">
        <v>31</v>
      </c>
      <c r="F33" s="336" t="s">
        <v>47</v>
      </c>
      <c r="G33" s="336" t="s">
        <v>81</v>
      </c>
      <c r="H33" s="336" t="s">
        <v>47</v>
      </c>
      <c r="I33" s="336" t="s">
        <v>81</v>
      </c>
      <c r="J33" s="337">
        <v>53</v>
      </c>
      <c r="K33" s="363">
        <f>467.24</f>
        <v>467.24</v>
      </c>
      <c r="L33" s="338">
        <f>+J33*K33</f>
        <v>24763.72</v>
      </c>
      <c r="M33" s="339">
        <v>8.3000000000000004E-2</v>
      </c>
      <c r="N33" s="340">
        <f t="shared" si="7"/>
        <v>2055.3887600000003</v>
      </c>
      <c r="O33" s="341">
        <v>2055.3887600000003</v>
      </c>
      <c r="P33" s="341">
        <v>0</v>
      </c>
      <c r="Q33" s="339">
        <v>0</v>
      </c>
      <c r="R33" s="339">
        <v>0</v>
      </c>
      <c r="S33" s="339">
        <f>N33-O33</f>
        <v>0</v>
      </c>
      <c r="T33" s="356">
        <f>+N33-O33</f>
        <v>0</v>
      </c>
      <c r="W33" s="251"/>
    </row>
    <row r="34" spans="2:23" ht="86.15" customHeight="1" x14ac:dyDescent="0.35">
      <c r="B34" s="197">
        <f t="shared" ref="B34:B37" si="17">B33+1</f>
        <v>22</v>
      </c>
      <c r="D34" s="197" t="s">
        <v>31</v>
      </c>
      <c r="F34" s="38" t="s">
        <v>82</v>
      </c>
      <c r="G34" s="38" t="s">
        <v>83</v>
      </c>
      <c r="H34" s="38" t="s">
        <v>82</v>
      </c>
      <c r="I34" s="38" t="s">
        <v>83</v>
      </c>
      <c r="J34" s="256">
        <v>53</v>
      </c>
      <c r="K34" s="360">
        <v>1</v>
      </c>
      <c r="L34" s="295">
        <f t="shared" ref="L34" si="18">+J34*K34</f>
        <v>53</v>
      </c>
      <c r="M34" s="257">
        <v>1</v>
      </c>
      <c r="N34" s="305">
        <f t="shared" ref="N34:N45" si="19">+L34*M34</f>
        <v>53</v>
      </c>
      <c r="O34" s="84">
        <v>53</v>
      </c>
      <c r="P34" s="50">
        <v>0</v>
      </c>
      <c r="Q34" s="257">
        <v>0</v>
      </c>
      <c r="R34" s="257">
        <v>0</v>
      </c>
      <c r="S34" s="309">
        <f t="shared" si="4"/>
        <v>0</v>
      </c>
      <c r="T34" s="264">
        <f>+N34-O34</f>
        <v>0</v>
      </c>
      <c r="W34" s="37"/>
    </row>
    <row r="35" spans="2:23" s="250" customFormat="1" ht="86.5" customHeight="1" x14ac:dyDescent="0.35">
      <c r="B35" s="197">
        <f t="shared" si="17"/>
        <v>23</v>
      </c>
      <c r="D35" s="323" t="s">
        <v>31</v>
      </c>
      <c r="F35" s="336" t="s">
        <v>84</v>
      </c>
      <c r="G35" s="336" t="s">
        <v>85</v>
      </c>
      <c r="H35" s="336" t="s">
        <v>84</v>
      </c>
      <c r="I35" s="336" t="s">
        <v>85</v>
      </c>
      <c r="J35" s="337">
        <v>53</v>
      </c>
      <c r="K35" s="363">
        <v>104</v>
      </c>
      <c r="L35" s="338">
        <f>+J35*K35</f>
        <v>5512</v>
      </c>
      <c r="M35" s="339">
        <v>1</v>
      </c>
      <c r="N35" s="342">
        <f t="shared" si="19"/>
        <v>5512</v>
      </c>
      <c r="O35" s="343">
        <v>5512</v>
      </c>
      <c r="P35" s="344">
        <v>0</v>
      </c>
      <c r="Q35" s="339">
        <v>0</v>
      </c>
      <c r="R35" s="339">
        <v>0</v>
      </c>
      <c r="S35" s="339">
        <v>0</v>
      </c>
      <c r="T35" s="356">
        <f>+N35-O35</f>
        <v>0</v>
      </c>
      <c r="W35" s="345" t="s">
        <v>86</v>
      </c>
    </row>
    <row r="36" spans="2:23" ht="63.75" customHeight="1" x14ac:dyDescent="0.35">
      <c r="B36" s="197">
        <f t="shared" si="17"/>
        <v>24</v>
      </c>
      <c r="D36" s="197" t="s">
        <v>31</v>
      </c>
      <c r="F36" s="51" t="s">
        <v>87</v>
      </c>
      <c r="G36" s="51" t="s">
        <v>88</v>
      </c>
      <c r="H36" s="51" t="s">
        <v>87</v>
      </c>
      <c r="I36" s="51" t="s">
        <v>88</v>
      </c>
      <c r="J36" s="256">
        <v>53</v>
      </c>
      <c r="K36" s="360">
        <v>1</v>
      </c>
      <c r="L36" s="295">
        <f>+J36*K36</f>
        <v>53</v>
      </c>
      <c r="M36" s="257">
        <v>1</v>
      </c>
      <c r="N36" s="305">
        <f t="shared" si="19"/>
        <v>53</v>
      </c>
      <c r="O36" s="84">
        <v>53</v>
      </c>
      <c r="P36" s="50">
        <v>0</v>
      </c>
      <c r="Q36" s="257">
        <v>0</v>
      </c>
      <c r="R36" s="257">
        <v>0</v>
      </c>
      <c r="S36" s="309">
        <f>N36-O36</f>
        <v>0</v>
      </c>
      <c r="T36" s="264">
        <f>+N36-O36</f>
        <v>0</v>
      </c>
      <c r="W36" s="37"/>
    </row>
    <row r="37" spans="2:23" s="39" customFormat="1" x14ac:dyDescent="0.35">
      <c r="B37" s="197">
        <f t="shared" si="17"/>
        <v>25</v>
      </c>
      <c r="D37" s="197" t="s">
        <v>31</v>
      </c>
      <c r="F37" s="38" t="s">
        <v>89</v>
      </c>
      <c r="G37" s="38" t="s">
        <v>90</v>
      </c>
      <c r="H37" s="38" t="s">
        <v>89</v>
      </c>
      <c r="I37" s="38" t="s">
        <v>90</v>
      </c>
      <c r="J37" s="256">
        <v>53</v>
      </c>
      <c r="K37" s="360">
        <v>312</v>
      </c>
      <c r="L37" s="295">
        <f>+J37*K37</f>
        <v>16536</v>
      </c>
      <c r="M37" s="257">
        <v>0.5</v>
      </c>
      <c r="N37" s="305">
        <f t="shared" si="19"/>
        <v>8268</v>
      </c>
      <c r="O37" s="84">
        <v>8268</v>
      </c>
      <c r="P37" s="50">
        <v>0</v>
      </c>
      <c r="Q37" s="257">
        <v>0</v>
      </c>
      <c r="R37" s="309">
        <f>N37-O37</f>
        <v>0</v>
      </c>
      <c r="S37" s="309">
        <v>0</v>
      </c>
      <c r="T37" s="264">
        <f>+N37-O37</f>
        <v>0</v>
      </c>
      <c r="W37" s="40"/>
    </row>
    <row r="38" spans="2:23" s="39" customFormat="1" ht="34" customHeight="1" x14ac:dyDescent="0.35">
      <c r="B38" s="197">
        <f t="shared" si="8"/>
        <v>26</v>
      </c>
      <c r="D38" s="197" t="s">
        <v>31</v>
      </c>
      <c r="F38" s="108"/>
      <c r="G38" s="108"/>
      <c r="H38" s="59">
        <v>225.1</v>
      </c>
      <c r="I38" s="38" t="s">
        <v>91</v>
      </c>
      <c r="J38" s="256">
        <v>0</v>
      </c>
      <c r="K38" s="360">
        <v>0</v>
      </c>
      <c r="L38" s="295">
        <v>0</v>
      </c>
      <c r="M38" s="257">
        <v>0</v>
      </c>
      <c r="N38" s="268">
        <v>0</v>
      </c>
      <c r="O38" s="271">
        <v>0</v>
      </c>
      <c r="P38" s="44"/>
      <c r="Q38" s="257"/>
      <c r="R38" s="309">
        <f t="shared" ref="R38:R39" si="20">N38-O38</f>
        <v>0</v>
      </c>
      <c r="S38" s="309">
        <f>N38-O38</f>
        <v>0</v>
      </c>
      <c r="T38" s="264">
        <v>0</v>
      </c>
      <c r="W38" s="40"/>
    </row>
    <row r="39" spans="2:23" ht="42.5" customHeight="1" x14ac:dyDescent="0.35">
      <c r="B39" s="197">
        <f>B37+1</f>
        <v>26</v>
      </c>
      <c r="D39" s="197" t="s">
        <v>31</v>
      </c>
      <c r="F39" s="38" t="s">
        <v>92</v>
      </c>
      <c r="G39" s="38" t="s">
        <v>93</v>
      </c>
      <c r="H39" s="38" t="s">
        <v>92</v>
      </c>
      <c r="I39" s="38" t="s">
        <v>93</v>
      </c>
      <c r="J39" s="256">
        <v>53</v>
      </c>
      <c r="K39" s="360">
        <v>10</v>
      </c>
      <c r="L39" s="295">
        <f>+J39*K39</f>
        <v>530</v>
      </c>
      <c r="M39" s="257">
        <v>4</v>
      </c>
      <c r="N39" s="305">
        <f t="shared" si="19"/>
        <v>2120</v>
      </c>
      <c r="O39" s="84">
        <v>2120</v>
      </c>
      <c r="P39" s="50">
        <v>0</v>
      </c>
      <c r="Q39" s="257">
        <v>0</v>
      </c>
      <c r="R39" s="309">
        <f t="shared" si="20"/>
        <v>0</v>
      </c>
      <c r="S39" s="309">
        <v>0</v>
      </c>
      <c r="T39" s="264">
        <f>+N39-O39</f>
        <v>0</v>
      </c>
      <c r="W39" s="37"/>
    </row>
    <row r="40" spans="2:23" hidden="1" x14ac:dyDescent="0.35">
      <c r="B40" s="197">
        <f t="shared" ref="B40:B44" si="21">B38+1</f>
        <v>27</v>
      </c>
      <c r="D40" s="197" t="s">
        <v>31</v>
      </c>
      <c r="F40" s="108"/>
      <c r="G40" s="108"/>
      <c r="H40" s="38" t="s">
        <v>94</v>
      </c>
      <c r="I40" s="38" t="s">
        <v>95</v>
      </c>
      <c r="J40" s="256">
        <v>0</v>
      </c>
      <c r="K40" s="360">
        <v>0</v>
      </c>
      <c r="L40" s="295">
        <f t="shared" ref="L40:L45" si="22">+J40*K40</f>
        <v>0</v>
      </c>
      <c r="M40" s="257">
        <v>0</v>
      </c>
      <c r="N40" s="305">
        <f t="shared" si="19"/>
        <v>0</v>
      </c>
      <c r="O40" s="271">
        <v>0</v>
      </c>
      <c r="P40" s="44"/>
      <c r="Q40" s="257"/>
      <c r="R40" s="309"/>
      <c r="S40" s="309">
        <f t="shared" ref="S40:S45" si="23">N40-O40</f>
        <v>0</v>
      </c>
      <c r="T40" s="264">
        <f t="shared" ref="T40:T45" si="24">+N40-O40</f>
        <v>0</v>
      </c>
      <c r="W40" s="37"/>
    </row>
    <row r="41" spans="2:23" ht="41.5" customHeight="1" x14ac:dyDescent="0.35">
      <c r="B41" s="197">
        <f t="shared" si="21"/>
        <v>27</v>
      </c>
      <c r="D41" s="197" t="s">
        <v>31</v>
      </c>
      <c r="F41" s="108"/>
      <c r="G41" s="108"/>
      <c r="H41" s="60">
        <v>225.17</v>
      </c>
      <c r="I41" s="38" t="s">
        <v>96</v>
      </c>
      <c r="J41" s="256">
        <v>0</v>
      </c>
      <c r="K41" s="360">
        <v>0</v>
      </c>
      <c r="L41" s="295">
        <f t="shared" si="22"/>
        <v>0</v>
      </c>
      <c r="M41" s="257">
        <v>0</v>
      </c>
      <c r="N41" s="305">
        <f t="shared" si="19"/>
        <v>0</v>
      </c>
      <c r="O41" s="271">
        <v>0</v>
      </c>
      <c r="P41" s="44"/>
      <c r="Q41" s="257"/>
      <c r="R41" s="309"/>
      <c r="S41" s="309">
        <f t="shared" si="23"/>
        <v>0</v>
      </c>
      <c r="T41" s="264">
        <f t="shared" si="24"/>
        <v>0</v>
      </c>
      <c r="W41" s="37"/>
    </row>
    <row r="42" spans="2:23" ht="30.5" customHeight="1" x14ac:dyDescent="0.35">
      <c r="B42" s="197">
        <f t="shared" si="21"/>
        <v>28</v>
      </c>
      <c r="D42" s="197" t="s">
        <v>31</v>
      </c>
      <c r="F42" s="275"/>
      <c r="G42" s="275"/>
      <c r="H42" s="57" t="s">
        <v>97</v>
      </c>
      <c r="I42" s="36" t="s">
        <v>98</v>
      </c>
      <c r="J42" s="256">
        <v>0</v>
      </c>
      <c r="K42" s="360">
        <v>0</v>
      </c>
      <c r="L42" s="295">
        <f t="shared" si="22"/>
        <v>0</v>
      </c>
      <c r="M42" s="257">
        <v>0</v>
      </c>
      <c r="N42" s="305">
        <f t="shared" si="19"/>
        <v>0</v>
      </c>
      <c r="O42" s="271">
        <v>0</v>
      </c>
      <c r="P42" s="44"/>
      <c r="Q42" s="257"/>
      <c r="R42" s="309"/>
      <c r="S42" s="309">
        <f t="shared" si="23"/>
        <v>0</v>
      </c>
      <c r="T42" s="264">
        <f t="shared" si="24"/>
        <v>0</v>
      </c>
      <c r="W42" s="37"/>
    </row>
    <row r="43" spans="2:23" ht="39.5" customHeight="1" x14ac:dyDescent="0.35">
      <c r="B43" s="197">
        <f t="shared" si="21"/>
        <v>28</v>
      </c>
      <c r="D43" s="197" t="s">
        <v>31</v>
      </c>
      <c r="F43" s="275"/>
      <c r="G43" s="275"/>
      <c r="H43" s="57" t="s">
        <v>99</v>
      </c>
      <c r="I43" s="36" t="s">
        <v>100</v>
      </c>
      <c r="J43" s="256">
        <v>0</v>
      </c>
      <c r="K43" s="360">
        <v>0</v>
      </c>
      <c r="L43" s="295">
        <f t="shared" si="22"/>
        <v>0</v>
      </c>
      <c r="M43" s="257">
        <v>0</v>
      </c>
      <c r="N43" s="305">
        <f t="shared" si="19"/>
        <v>0</v>
      </c>
      <c r="O43" s="271">
        <v>0</v>
      </c>
      <c r="P43" s="44"/>
      <c r="Q43" s="257"/>
      <c r="R43" s="309"/>
      <c r="S43" s="309">
        <f t="shared" si="23"/>
        <v>0</v>
      </c>
      <c r="T43" s="264">
        <f t="shared" si="24"/>
        <v>0</v>
      </c>
      <c r="W43" s="37"/>
    </row>
    <row r="44" spans="2:23" ht="31.5" customHeight="1" x14ac:dyDescent="0.35">
      <c r="B44" s="197">
        <f t="shared" si="21"/>
        <v>29</v>
      </c>
      <c r="D44" s="197" t="s">
        <v>31</v>
      </c>
      <c r="F44" s="275"/>
      <c r="G44" s="275"/>
      <c r="H44" s="36" t="s">
        <v>101</v>
      </c>
      <c r="I44" s="57" t="s">
        <v>102</v>
      </c>
      <c r="J44" s="256">
        <v>0</v>
      </c>
      <c r="K44" s="360">
        <v>0</v>
      </c>
      <c r="L44" s="295">
        <f t="shared" si="22"/>
        <v>0</v>
      </c>
      <c r="M44" s="257">
        <v>0</v>
      </c>
      <c r="N44" s="305">
        <f t="shared" si="19"/>
        <v>0</v>
      </c>
      <c r="O44" s="271">
        <v>0</v>
      </c>
      <c r="P44" s="44"/>
      <c r="Q44" s="257"/>
      <c r="R44" s="309"/>
      <c r="S44" s="309">
        <f t="shared" si="23"/>
        <v>0</v>
      </c>
      <c r="T44" s="264">
        <f t="shared" si="24"/>
        <v>0</v>
      </c>
      <c r="W44" s="37"/>
    </row>
    <row r="45" spans="2:23" ht="29" x14ac:dyDescent="0.35">
      <c r="B45" s="221">
        <f>B39+1</f>
        <v>27</v>
      </c>
      <c r="D45" s="221" t="s">
        <v>53</v>
      </c>
      <c r="F45" s="457"/>
      <c r="G45" s="458"/>
      <c r="H45" s="372" t="s">
        <v>103</v>
      </c>
      <c r="I45" s="459" t="s">
        <v>104</v>
      </c>
      <c r="J45" s="229">
        <v>53</v>
      </c>
      <c r="K45" s="370">
        <v>1</v>
      </c>
      <c r="L45" s="296">
        <f t="shared" si="22"/>
        <v>53</v>
      </c>
      <c r="M45" s="231">
        <v>1</v>
      </c>
      <c r="N45" s="460">
        <f t="shared" si="19"/>
        <v>53</v>
      </c>
      <c r="O45" s="223">
        <v>0</v>
      </c>
      <c r="P45" s="230">
        <v>0</v>
      </c>
      <c r="Q45" s="231">
        <v>0</v>
      </c>
      <c r="R45" s="231">
        <v>0</v>
      </c>
      <c r="S45" s="231">
        <f t="shared" si="23"/>
        <v>53</v>
      </c>
      <c r="T45" s="266">
        <f t="shared" si="24"/>
        <v>53</v>
      </c>
    </row>
    <row r="46" spans="2:23" ht="43.5" x14ac:dyDescent="0.35">
      <c r="B46" s="197">
        <f>B45+1</f>
        <v>28</v>
      </c>
      <c r="D46" s="197" t="s">
        <v>31</v>
      </c>
      <c r="F46" s="38" t="s">
        <v>105</v>
      </c>
      <c r="G46" s="38" t="s">
        <v>106</v>
      </c>
      <c r="H46" s="38" t="s">
        <v>105</v>
      </c>
      <c r="I46" s="38" t="s">
        <v>106</v>
      </c>
      <c r="J46" s="86">
        <v>3314</v>
      </c>
      <c r="K46" s="360">
        <v>9</v>
      </c>
      <c r="L46" s="295">
        <f>J46*K46</f>
        <v>29826</v>
      </c>
      <c r="M46" s="257">
        <v>0.5</v>
      </c>
      <c r="N46" s="283">
        <f>L46*M46</f>
        <v>14913</v>
      </c>
      <c r="O46" s="84">
        <v>14913</v>
      </c>
      <c r="P46" s="50">
        <v>0</v>
      </c>
      <c r="Q46" s="84">
        <v>0</v>
      </c>
      <c r="R46" s="308">
        <v>0</v>
      </c>
      <c r="S46" s="84">
        <v>0</v>
      </c>
      <c r="T46" s="357">
        <f>N46-O46</f>
        <v>0</v>
      </c>
    </row>
    <row r="47" spans="2:23" ht="74.150000000000006" customHeight="1" x14ac:dyDescent="0.35">
      <c r="B47" s="197">
        <f t="shared" ref="B47:B63" si="25">B46+1</f>
        <v>29</v>
      </c>
      <c r="D47" s="197" t="s">
        <v>31</v>
      </c>
      <c r="F47" s="38" t="s">
        <v>107</v>
      </c>
      <c r="G47" s="38" t="s">
        <v>108</v>
      </c>
      <c r="H47" s="38" t="s">
        <v>107</v>
      </c>
      <c r="I47" s="38" t="s">
        <v>108</v>
      </c>
      <c r="J47" s="86">
        <v>3314</v>
      </c>
      <c r="K47" s="360">
        <v>9</v>
      </c>
      <c r="L47" s="295">
        <f>J47*K47</f>
        <v>29826</v>
      </c>
      <c r="M47" s="257">
        <v>2</v>
      </c>
      <c r="N47" s="283">
        <f>L47*M47</f>
        <v>59652</v>
      </c>
      <c r="O47" s="84">
        <v>59652</v>
      </c>
      <c r="P47" s="50">
        <v>0</v>
      </c>
      <c r="Q47" s="84">
        <v>0</v>
      </c>
      <c r="R47" s="101">
        <v>0</v>
      </c>
      <c r="S47" s="84">
        <v>0</v>
      </c>
      <c r="T47" s="357">
        <f>N47-O47</f>
        <v>0</v>
      </c>
    </row>
    <row r="48" spans="2:23" ht="100.4" customHeight="1" x14ac:dyDescent="0.35">
      <c r="B48" s="197">
        <f t="shared" si="25"/>
        <v>30</v>
      </c>
      <c r="D48" s="197" t="s">
        <v>31</v>
      </c>
      <c r="F48" s="38" t="s">
        <v>109</v>
      </c>
      <c r="G48" s="38" t="s">
        <v>110</v>
      </c>
      <c r="H48" s="38" t="s">
        <v>109</v>
      </c>
      <c r="I48" s="38" t="s">
        <v>110</v>
      </c>
      <c r="J48" s="54">
        <v>3314</v>
      </c>
      <c r="K48" s="362">
        <v>1</v>
      </c>
      <c r="L48" s="252">
        <f t="shared" ref="L48:L50" si="26">+J48*K48</f>
        <v>3314</v>
      </c>
      <c r="M48" s="101">
        <v>0.25</v>
      </c>
      <c r="N48" s="101">
        <f t="shared" ref="N48:N50" si="27">+L48*M48</f>
        <v>828.5</v>
      </c>
      <c r="O48" s="101">
        <v>828.5</v>
      </c>
      <c r="P48" s="102">
        <v>0</v>
      </c>
      <c r="Q48" s="101">
        <v>0</v>
      </c>
      <c r="R48" s="101">
        <f t="shared" ref="R48" si="28">N48-O48</f>
        <v>0</v>
      </c>
      <c r="S48" s="101">
        <v>0</v>
      </c>
      <c r="T48" s="265">
        <f t="shared" ref="T48:T50" si="29">N48-O48</f>
        <v>0</v>
      </c>
    </row>
    <row r="49" spans="2:23" ht="100.4" customHeight="1" x14ac:dyDescent="0.35">
      <c r="B49" s="221">
        <f t="shared" si="25"/>
        <v>31</v>
      </c>
      <c r="D49" s="221" t="s">
        <v>53</v>
      </c>
      <c r="F49" s="222"/>
      <c r="G49" s="222"/>
      <c r="H49" s="354" t="s">
        <v>111</v>
      </c>
      <c r="I49" s="353" t="s">
        <v>112</v>
      </c>
      <c r="J49" s="227">
        <v>53</v>
      </c>
      <c r="K49" s="223">
        <v>1</v>
      </c>
      <c r="L49" s="230">
        <f t="shared" si="26"/>
        <v>53</v>
      </c>
      <c r="M49" s="226">
        <v>1</v>
      </c>
      <c r="N49" s="226">
        <f t="shared" si="27"/>
        <v>53</v>
      </c>
      <c r="O49" s="226">
        <v>0</v>
      </c>
      <c r="P49" s="225">
        <v>0</v>
      </c>
      <c r="Q49" s="226">
        <v>0</v>
      </c>
      <c r="R49" s="226">
        <v>0</v>
      </c>
      <c r="S49" s="226">
        <f>N49-O49</f>
        <v>53</v>
      </c>
      <c r="T49" s="228">
        <f t="shared" si="29"/>
        <v>53</v>
      </c>
    </row>
    <row r="50" spans="2:23" ht="106.5" customHeight="1" x14ac:dyDescent="0.35">
      <c r="B50" s="221">
        <f t="shared" si="25"/>
        <v>32</v>
      </c>
      <c r="D50" s="221" t="s">
        <v>53</v>
      </c>
      <c r="F50" s="222"/>
      <c r="G50" s="222"/>
      <c r="H50" s="354" t="s">
        <v>113</v>
      </c>
      <c r="I50" s="353" t="s">
        <v>235</v>
      </c>
      <c r="J50" s="227">
        <v>53</v>
      </c>
      <c r="K50" s="223">
        <v>3</v>
      </c>
      <c r="L50" s="230">
        <f t="shared" si="26"/>
        <v>159</v>
      </c>
      <c r="M50" s="226">
        <v>0.25</v>
      </c>
      <c r="N50" s="226">
        <f t="shared" si="27"/>
        <v>39.75</v>
      </c>
      <c r="O50" s="226">
        <v>0</v>
      </c>
      <c r="P50" s="225">
        <v>0</v>
      </c>
      <c r="Q50" s="226">
        <v>0</v>
      </c>
      <c r="R50" s="226">
        <v>0</v>
      </c>
      <c r="S50" s="226">
        <f>N50-O50</f>
        <v>39.75</v>
      </c>
      <c r="T50" s="228">
        <f t="shared" si="29"/>
        <v>39.75</v>
      </c>
    </row>
    <row r="51" spans="2:23" ht="62.5" customHeight="1" x14ac:dyDescent="0.35">
      <c r="B51" s="221">
        <f t="shared" si="25"/>
        <v>33</v>
      </c>
      <c r="D51" s="221" t="s">
        <v>53</v>
      </c>
      <c r="F51" s="222"/>
      <c r="G51" s="222"/>
      <c r="H51" s="354" t="s">
        <v>114</v>
      </c>
      <c r="I51" s="353" t="s">
        <v>115</v>
      </c>
      <c r="J51" s="369">
        <v>53</v>
      </c>
      <c r="K51" s="369">
        <v>3</v>
      </c>
      <c r="L51" s="296">
        <f t="shared" ref="L51:L61" si="30">+J51*K51</f>
        <v>159</v>
      </c>
      <c r="M51" s="370">
        <v>0.25</v>
      </c>
      <c r="N51" s="371">
        <f t="shared" ref="N51:N60" si="31">+L51*M51</f>
        <v>39.75</v>
      </c>
      <c r="O51" s="226">
        <v>0</v>
      </c>
      <c r="P51" s="227">
        <v>0</v>
      </c>
      <c r="Q51" s="231">
        <v>0</v>
      </c>
      <c r="R51" s="231">
        <v>0</v>
      </c>
      <c r="S51" s="231">
        <f>N51-O51</f>
        <v>39.75</v>
      </c>
      <c r="T51" s="266">
        <f>N51-O51</f>
        <v>39.75</v>
      </c>
    </row>
    <row r="52" spans="2:23" ht="155.5" customHeight="1" x14ac:dyDescent="0.35">
      <c r="B52" s="221">
        <f t="shared" si="25"/>
        <v>34</v>
      </c>
      <c r="D52" s="221" t="s">
        <v>53</v>
      </c>
      <c r="F52" s="222"/>
      <c r="G52" s="222"/>
      <c r="H52" s="354" t="s">
        <v>116</v>
      </c>
      <c r="I52" s="353" t="s">
        <v>117</v>
      </c>
      <c r="J52" s="369">
        <v>53</v>
      </c>
      <c r="K52" s="369">
        <v>3</v>
      </c>
      <c r="L52" s="296">
        <f t="shared" si="30"/>
        <v>159</v>
      </c>
      <c r="M52" s="370">
        <v>0.25</v>
      </c>
      <c r="N52" s="371">
        <f t="shared" si="31"/>
        <v>39.75</v>
      </c>
      <c r="O52" s="226">
        <v>0</v>
      </c>
      <c r="P52" s="227">
        <v>0</v>
      </c>
      <c r="Q52" s="231">
        <v>0</v>
      </c>
      <c r="R52" s="231">
        <v>0</v>
      </c>
      <c r="S52" s="231">
        <f t="shared" ref="S52:S61" si="32">N52-O52</f>
        <v>39.75</v>
      </c>
      <c r="T52" s="266">
        <f t="shared" ref="T52:T61" si="33">N52-O52</f>
        <v>39.75</v>
      </c>
    </row>
    <row r="53" spans="2:23" ht="43.5" x14ac:dyDescent="0.35">
      <c r="B53" s="221">
        <f t="shared" si="25"/>
        <v>35</v>
      </c>
      <c r="D53" s="221" t="s">
        <v>53</v>
      </c>
      <c r="F53" s="222"/>
      <c r="G53" s="222"/>
      <c r="H53" s="354" t="s">
        <v>248</v>
      </c>
      <c r="I53" s="353" t="s">
        <v>118</v>
      </c>
      <c r="J53" s="369">
        <v>53</v>
      </c>
      <c r="K53" s="369">
        <v>3</v>
      </c>
      <c r="L53" s="296">
        <f>+J53*K53</f>
        <v>159</v>
      </c>
      <c r="M53" s="370">
        <v>2</v>
      </c>
      <c r="N53" s="371">
        <f>+L53*M53</f>
        <v>318</v>
      </c>
      <c r="O53" s="226">
        <v>0</v>
      </c>
      <c r="P53" s="227">
        <v>0</v>
      </c>
      <c r="Q53" s="231">
        <v>0</v>
      </c>
      <c r="R53" s="231">
        <v>0</v>
      </c>
      <c r="S53" s="231">
        <f>N53-O53</f>
        <v>318</v>
      </c>
      <c r="T53" s="266">
        <f>N53-O53</f>
        <v>318</v>
      </c>
    </row>
    <row r="54" spans="2:23" ht="110" customHeight="1" x14ac:dyDescent="0.35">
      <c r="B54" s="221">
        <f t="shared" si="25"/>
        <v>36</v>
      </c>
      <c r="D54" s="221" t="s">
        <v>53</v>
      </c>
      <c r="F54" s="222"/>
      <c r="G54" s="222"/>
      <c r="H54" s="354" t="s">
        <v>119</v>
      </c>
      <c r="I54" s="353" t="s">
        <v>236</v>
      </c>
      <c r="J54" s="369">
        <v>53</v>
      </c>
      <c r="K54" s="369">
        <v>3</v>
      </c>
      <c r="L54" s="296">
        <f>+J54*K54</f>
        <v>159</v>
      </c>
      <c r="M54" s="370">
        <v>4</v>
      </c>
      <c r="N54" s="371">
        <f>+L54*M54</f>
        <v>636</v>
      </c>
      <c r="O54" s="226">
        <v>0</v>
      </c>
      <c r="P54" s="227">
        <v>0</v>
      </c>
      <c r="Q54" s="231">
        <v>0</v>
      </c>
      <c r="R54" s="231">
        <v>0</v>
      </c>
      <c r="S54" s="231">
        <f>N54-O54</f>
        <v>636</v>
      </c>
      <c r="T54" s="266">
        <f>N54-O54</f>
        <v>636</v>
      </c>
    </row>
    <row r="55" spans="2:23" ht="124.5" customHeight="1" x14ac:dyDescent="0.35">
      <c r="B55" s="221">
        <f t="shared" si="25"/>
        <v>37</v>
      </c>
      <c r="D55" s="221" t="s">
        <v>53</v>
      </c>
      <c r="F55" s="222"/>
      <c r="G55" s="222"/>
      <c r="H55" s="354" t="s">
        <v>120</v>
      </c>
      <c r="I55" s="353" t="s">
        <v>121</v>
      </c>
      <c r="J55" s="369">
        <v>53</v>
      </c>
      <c r="K55" s="369">
        <v>3</v>
      </c>
      <c r="L55" s="296">
        <f t="shared" si="30"/>
        <v>159</v>
      </c>
      <c r="M55" s="370">
        <v>0.25</v>
      </c>
      <c r="N55" s="371">
        <f t="shared" si="31"/>
        <v>39.75</v>
      </c>
      <c r="O55" s="226">
        <v>0</v>
      </c>
      <c r="P55" s="227">
        <v>0</v>
      </c>
      <c r="Q55" s="231">
        <v>0</v>
      </c>
      <c r="R55" s="231">
        <v>0</v>
      </c>
      <c r="S55" s="231">
        <f t="shared" si="32"/>
        <v>39.75</v>
      </c>
      <c r="T55" s="266">
        <f t="shared" si="33"/>
        <v>39.75</v>
      </c>
    </row>
    <row r="56" spans="2:23" ht="68" customHeight="1" x14ac:dyDescent="0.35">
      <c r="B56" s="221">
        <f t="shared" si="25"/>
        <v>38</v>
      </c>
      <c r="D56" s="221" t="s">
        <v>53</v>
      </c>
      <c r="F56" s="222"/>
      <c r="G56" s="222"/>
      <c r="H56" s="354" t="s">
        <v>122</v>
      </c>
      <c r="I56" s="353" t="s">
        <v>123</v>
      </c>
      <c r="J56" s="369">
        <v>53</v>
      </c>
      <c r="K56" s="369">
        <v>3</v>
      </c>
      <c r="L56" s="296">
        <f>+J56*K56</f>
        <v>159</v>
      </c>
      <c r="M56" s="370">
        <v>20</v>
      </c>
      <c r="N56" s="371">
        <f>+L56*M56</f>
        <v>3180</v>
      </c>
      <c r="O56" s="226">
        <v>0</v>
      </c>
      <c r="P56" s="227">
        <v>0</v>
      </c>
      <c r="Q56" s="231">
        <v>0</v>
      </c>
      <c r="R56" s="231">
        <v>0</v>
      </c>
      <c r="S56" s="231">
        <f>N56-O56</f>
        <v>3180</v>
      </c>
      <c r="T56" s="266">
        <f>N56-O56</f>
        <v>3180</v>
      </c>
    </row>
    <row r="57" spans="2:23" ht="51" customHeight="1" x14ac:dyDescent="0.35">
      <c r="B57" s="221">
        <f t="shared" si="25"/>
        <v>39</v>
      </c>
      <c r="D57" s="221" t="s">
        <v>53</v>
      </c>
      <c r="F57" s="222"/>
      <c r="G57" s="222"/>
      <c r="H57" s="354" t="s">
        <v>124</v>
      </c>
      <c r="I57" s="353" t="s">
        <v>252</v>
      </c>
      <c r="J57" s="369">
        <v>53</v>
      </c>
      <c r="K57" s="369">
        <v>3</v>
      </c>
      <c r="L57" s="296">
        <f>+J57*K57</f>
        <v>159</v>
      </c>
      <c r="M57" s="370">
        <v>2</v>
      </c>
      <c r="N57" s="371">
        <f>+L57*M57</f>
        <v>318</v>
      </c>
      <c r="O57" s="226">
        <v>0</v>
      </c>
      <c r="P57" s="227">
        <v>0</v>
      </c>
      <c r="Q57" s="231">
        <v>0</v>
      </c>
      <c r="R57" s="231">
        <v>0</v>
      </c>
      <c r="S57" s="231">
        <f>N57-O57</f>
        <v>318</v>
      </c>
      <c r="T57" s="266">
        <f>N57-O57</f>
        <v>318</v>
      </c>
    </row>
    <row r="58" spans="2:23" ht="85" customHeight="1" x14ac:dyDescent="0.35">
      <c r="B58" s="221">
        <f t="shared" si="25"/>
        <v>40</v>
      </c>
      <c r="D58" s="221" t="s">
        <v>53</v>
      </c>
      <c r="F58" s="222"/>
      <c r="G58" s="222"/>
      <c r="H58" s="354" t="s">
        <v>125</v>
      </c>
      <c r="I58" s="353" t="s">
        <v>126</v>
      </c>
      <c r="J58" s="369">
        <v>53</v>
      </c>
      <c r="K58" s="369">
        <v>3</v>
      </c>
      <c r="L58" s="296">
        <f>+J58*K58</f>
        <v>159</v>
      </c>
      <c r="M58" s="370">
        <v>0.25</v>
      </c>
      <c r="N58" s="371">
        <f>+L58*M58</f>
        <v>39.75</v>
      </c>
      <c r="O58" s="226">
        <v>0</v>
      </c>
      <c r="P58" s="227">
        <v>0</v>
      </c>
      <c r="Q58" s="231">
        <v>0</v>
      </c>
      <c r="R58" s="231">
        <v>0</v>
      </c>
      <c r="S58" s="231">
        <f>N58-O58</f>
        <v>39.75</v>
      </c>
      <c r="T58" s="266">
        <f>N58-O58</f>
        <v>39.75</v>
      </c>
    </row>
    <row r="59" spans="2:23" ht="74" customHeight="1" x14ac:dyDescent="0.35">
      <c r="B59" s="221">
        <f t="shared" si="25"/>
        <v>41</v>
      </c>
      <c r="D59" s="221" t="s">
        <v>53</v>
      </c>
      <c r="F59" s="222"/>
      <c r="G59" s="222"/>
      <c r="H59" s="354" t="s">
        <v>127</v>
      </c>
      <c r="I59" s="353" t="s">
        <v>128</v>
      </c>
      <c r="J59" s="369">
        <v>53</v>
      </c>
      <c r="K59" s="369">
        <v>1</v>
      </c>
      <c r="L59" s="296">
        <f t="shared" si="30"/>
        <v>53</v>
      </c>
      <c r="M59" s="370">
        <v>1</v>
      </c>
      <c r="N59" s="371">
        <f t="shared" si="31"/>
        <v>53</v>
      </c>
      <c r="O59" s="226">
        <v>0</v>
      </c>
      <c r="P59" s="227">
        <v>0</v>
      </c>
      <c r="Q59" s="231">
        <v>0</v>
      </c>
      <c r="R59" s="231">
        <v>0</v>
      </c>
      <c r="S59" s="231">
        <f t="shared" si="32"/>
        <v>53</v>
      </c>
      <c r="T59" s="266">
        <f t="shared" si="33"/>
        <v>53</v>
      </c>
    </row>
    <row r="60" spans="2:23" ht="57" customHeight="1" x14ac:dyDescent="0.35">
      <c r="B60" s="221">
        <f t="shared" si="25"/>
        <v>42</v>
      </c>
      <c r="D60" s="221" t="s">
        <v>53</v>
      </c>
      <c r="F60" s="222"/>
      <c r="G60" s="222"/>
      <c r="H60" s="354" t="s">
        <v>231</v>
      </c>
      <c r="I60" s="353" t="s">
        <v>232</v>
      </c>
      <c r="J60" s="369">
        <v>53</v>
      </c>
      <c r="K60" s="369">
        <v>1</v>
      </c>
      <c r="L60" s="296">
        <f t="shared" si="30"/>
        <v>53</v>
      </c>
      <c r="M60" s="370">
        <v>1</v>
      </c>
      <c r="N60" s="371">
        <f t="shared" si="31"/>
        <v>53</v>
      </c>
      <c r="O60" s="226">
        <v>0</v>
      </c>
      <c r="P60" s="227">
        <v>0</v>
      </c>
      <c r="Q60" s="231">
        <v>0</v>
      </c>
      <c r="R60" s="231">
        <v>0</v>
      </c>
      <c r="S60" s="231">
        <f t="shared" si="32"/>
        <v>53</v>
      </c>
      <c r="T60" s="266">
        <f t="shared" si="33"/>
        <v>53</v>
      </c>
    </row>
    <row r="61" spans="2:23" ht="184" customHeight="1" x14ac:dyDescent="0.35">
      <c r="B61" s="221">
        <f t="shared" si="25"/>
        <v>43</v>
      </c>
      <c r="D61" s="221" t="s">
        <v>53</v>
      </c>
      <c r="F61" s="222"/>
      <c r="G61" s="222"/>
      <c r="H61" s="372" t="s">
        <v>129</v>
      </c>
      <c r="I61" s="353" t="s">
        <v>130</v>
      </c>
      <c r="J61" s="369">
        <v>53</v>
      </c>
      <c r="K61" s="369">
        <v>3</v>
      </c>
      <c r="L61" s="296">
        <f t="shared" si="30"/>
        <v>159</v>
      </c>
      <c r="M61" s="370">
        <v>0.25</v>
      </c>
      <c r="N61" s="371">
        <v>40</v>
      </c>
      <c r="O61" s="226">
        <v>0</v>
      </c>
      <c r="P61" s="227">
        <v>0</v>
      </c>
      <c r="Q61" s="231">
        <v>0</v>
      </c>
      <c r="R61" s="231">
        <v>0</v>
      </c>
      <c r="S61" s="231">
        <f t="shared" si="32"/>
        <v>40</v>
      </c>
      <c r="T61" s="266">
        <f t="shared" si="33"/>
        <v>40</v>
      </c>
    </row>
    <row r="62" spans="2:23" ht="87" x14ac:dyDescent="0.35">
      <c r="B62" s="221">
        <f t="shared" si="25"/>
        <v>44</v>
      </c>
      <c r="D62" s="221" t="s">
        <v>31</v>
      </c>
      <c r="F62" s="222" t="s">
        <v>131</v>
      </c>
      <c r="G62" s="222" t="s">
        <v>132</v>
      </c>
      <c r="H62" s="354" t="s">
        <v>249</v>
      </c>
      <c r="I62" s="372" t="s">
        <v>253</v>
      </c>
      <c r="J62" s="369">
        <v>53</v>
      </c>
      <c r="K62" s="369">
        <v>5</v>
      </c>
      <c r="L62" s="296">
        <f>+J62*K62</f>
        <v>265</v>
      </c>
      <c r="M62" s="370">
        <v>1</v>
      </c>
      <c r="N62" s="371">
        <f>+L62*M62</f>
        <v>265</v>
      </c>
      <c r="O62" s="226">
        <v>265</v>
      </c>
      <c r="P62" s="227">
        <v>0</v>
      </c>
      <c r="Q62" s="231">
        <v>0</v>
      </c>
      <c r="R62" s="231">
        <v>0</v>
      </c>
      <c r="S62" s="231">
        <f>N62-O62</f>
        <v>0</v>
      </c>
      <c r="T62" s="266">
        <f>N62-O62</f>
        <v>0</v>
      </c>
      <c r="U62" s="58" t="s">
        <v>133</v>
      </c>
    </row>
    <row r="63" spans="2:23" ht="60.5" customHeight="1" x14ac:dyDescent="0.35">
      <c r="B63" s="221">
        <f t="shared" si="25"/>
        <v>45</v>
      </c>
      <c r="D63" s="221" t="s">
        <v>53</v>
      </c>
      <c r="F63" s="222"/>
      <c r="G63" s="222"/>
      <c r="H63" s="354" t="s">
        <v>134</v>
      </c>
      <c r="I63" s="353" t="s">
        <v>135</v>
      </c>
      <c r="J63" s="369">
        <f>(2855+256)*0.3</f>
        <v>933.3</v>
      </c>
      <c r="K63" s="369">
        <v>1</v>
      </c>
      <c r="L63" s="296">
        <f>+J63*K63</f>
        <v>933.3</v>
      </c>
      <c r="M63" s="370">
        <v>0.25</v>
      </c>
      <c r="N63" s="371">
        <f>+L63*M63</f>
        <v>233.32499999999999</v>
      </c>
      <c r="O63" s="226">
        <v>0</v>
      </c>
      <c r="P63" s="227">
        <v>0</v>
      </c>
      <c r="Q63" s="231">
        <v>0</v>
      </c>
      <c r="R63" s="231">
        <v>0</v>
      </c>
      <c r="S63" s="231">
        <f>N63-O63</f>
        <v>233.32499999999999</v>
      </c>
      <c r="T63" s="266">
        <f>N63-O63</f>
        <v>233.32499999999999</v>
      </c>
    </row>
    <row r="64" spans="2:23" ht="15" customHeight="1" x14ac:dyDescent="0.35">
      <c r="B64" s="113"/>
      <c r="D64" s="198"/>
      <c r="F64" s="497" t="s">
        <v>136</v>
      </c>
      <c r="G64" s="497"/>
      <c r="H64" s="497"/>
      <c r="I64" s="498"/>
      <c r="J64" s="284">
        <f>53+3314</f>
        <v>3367</v>
      </c>
      <c r="K64" s="314">
        <f>SUM(L64/J64)</f>
        <v>36.961565191565192</v>
      </c>
      <c r="L64" s="297">
        <f>SUM(L6:L63)</f>
        <v>124449.59000000001</v>
      </c>
      <c r="M64" s="279">
        <f>N64/L64</f>
        <v>2.1084106003081251</v>
      </c>
      <c r="N64" s="279">
        <f>SUM(N6:N63)</f>
        <v>262390.83476000006</v>
      </c>
      <c r="O64" s="279">
        <f t="shared" ref="O64:T64" si="34">SUM(O6:O63)</f>
        <v>253664.00976000002</v>
      </c>
      <c r="P64" s="279">
        <f t="shared" si="34"/>
        <v>0</v>
      </c>
      <c r="Q64" s="279">
        <f t="shared" si="34"/>
        <v>0</v>
      </c>
      <c r="R64" s="279">
        <f t="shared" si="34"/>
        <v>0</v>
      </c>
      <c r="S64" s="279">
        <v>8727</v>
      </c>
      <c r="T64" s="279">
        <v>8727</v>
      </c>
      <c r="W64" s="37"/>
    </row>
    <row r="65" spans="2:23" ht="18.75" customHeight="1" x14ac:dyDescent="0.35">
      <c r="B65" s="114"/>
      <c r="D65" s="199"/>
      <c r="F65" s="495" t="s">
        <v>137</v>
      </c>
      <c r="G65" s="495"/>
      <c r="H65" s="495"/>
      <c r="I65" s="495"/>
      <c r="J65" s="495"/>
      <c r="K65" s="495"/>
      <c r="L65" s="495"/>
      <c r="M65" s="495"/>
      <c r="N65" s="495"/>
      <c r="O65" s="495"/>
      <c r="P65" s="495"/>
      <c r="Q65" s="495"/>
      <c r="R65" s="495"/>
      <c r="S65" s="495"/>
      <c r="T65" s="496"/>
      <c r="U65" s="45"/>
      <c r="V65" s="1"/>
      <c r="W65" s="37"/>
    </row>
    <row r="66" spans="2:23" ht="185" customHeight="1" x14ac:dyDescent="0.35">
      <c r="B66" s="197">
        <f>1</f>
        <v>1</v>
      </c>
      <c r="D66" s="197" t="s">
        <v>31</v>
      </c>
      <c r="F66" s="38" t="s">
        <v>56</v>
      </c>
      <c r="G66" s="38" t="s">
        <v>138</v>
      </c>
      <c r="H66" s="38" t="s">
        <v>56</v>
      </c>
      <c r="I66" s="38" t="s">
        <v>259</v>
      </c>
      <c r="J66" s="86">
        <v>2210</v>
      </c>
      <c r="K66" s="360">
        <v>1</v>
      </c>
      <c r="L66" s="295">
        <f t="shared" ref="L66:L78" si="35">+J66*K66</f>
        <v>2210</v>
      </c>
      <c r="M66" s="257">
        <v>39.5</v>
      </c>
      <c r="N66" s="270">
        <f t="shared" ref="N66" si="36">+L66*M66</f>
        <v>87295</v>
      </c>
      <c r="O66" s="84">
        <v>87295</v>
      </c>
      <c r="P66" s="50">
        <v>0</v>
      </c>
      <c r="Q66" s="257">
        <v>0</v>
      </c>
      <c r="R66" s="257">
        <f>N66-O66</f>
        <v>0</v>
      </c>
      <c r="S66" s="311">
        <v>0</v>
      </c>
      <c r="T66" s="264">
        <f t="shared" ref="T66:T74" si="37">+N66-O66</f>
        <v>0</v>
      </c>
      <c r="W66" s="37"/>
    </row>
    <row r="67" spans="2:23" ht="100.4" customHeight="1" x14ac:dyDescent="0.35">
      <c r="B67" s="197">
        <f t="shared" ref="B67:B78" si="38">B66+1</f>
        <v>2</v>
      </c>
      <c r="D67" s="197" t="s">
        <v>31</v>
      </c>
      <c r="F67" s="276" t="s">
        <v>58</v>
      </c>
      <c r="G67" s="38" t="s">
        <v>59</v>
      </c>
      <c r="H67" s="276" t="s">
        <v>58</v>
      </c>
      <c r="I67" s="38" t="s">
        <v>59</v>
      </c>
      <c r="J67" s="86">
        <v>426</v>
      </c>
      <c r="K67" s="360">
        <v>1</v>
      </c>
      <c r="L67" s="295">
        <f>+J67*K67</f>
        <v>426</v>
      </c>
      <c r="M67" s="257">
        <v>1</v>
      </c>
      <c r="N67" s="283">
        <f>+L67*M67</f>
        <v>426</v>
      </c>
      <c r="O67" s="84">
        <v>426</v>
      </c>
      <c r="P67" s="50">
        <v>0</v>
      </c>
      <c r="Q67" s="257">
        <v>0</v>
      </c>
      <c r="R67" s="257">
        <f t="shared" ref="R67:R74" si="39">N67-O67</f>
        <v>0</v>
      </c>
      <c r="S67" s="311">
        <v>0</v>
      </c>
      <c r="T67" s="264">
        <f t="shared" si="37"/>
        <v>0</v>
      </c>
      <c r="W67" s="37"/>
    </row>
    <row r="68" spans="2:23" s="281" customFormat="1" ht="57.65" customHeight="1" x14ac:dyDescent="0.35">
      <c r="B68" s="197">
        <f t="shared" si="38"/>
        <v>3</v>
      </c>
      <c r="D68" s="197" t="s">
        <v>31</v>
      </c>
      <c r="F68" s="276" t="s">
        <v>60</v>
      </c>
      <c r="G68" s="38" t="s">
        <v>61</v>
      </c>
      <c r="H68" s="276" t="s">
        <v>60</v>
      </c>
      <c r="I68" s="38" t="s">
        <v>61</v>
      </c>
      <c r="J68" s="86">
        <v>1783</v>
      </c>
      <c r="K68" s="360">
        <v>1</v>
      </c>
      <c r="L68" s="295">
        <f>+J68*K68</f>
        <v>1783</v>
      </c>
      <c r="M68" s="257">
        <v>1</v>
      </c>
      <c r="N68" s="283">
        <f>+L68*M68</f>
        <v>1783</v>
      </c>
      <c r="O68" s="84">
        <v>1783</v>
      </c>
      <c r="P68" s="50">
        <v>0</v>
      </c>
      <c r="Q68" s="257">
        <v>0</v>
      </c>
      <c r="R68" s="257">
        <f t="shared" si="39"/>
        <v>0</v>
      </c>
      <c r="S68" s="311">
        <v>0</v>
      </c>
      <c r="T68" s="264">
        <f t="shared" si="37"/>
        <v>0</v>
      </c>
      <c r="W68" s="282"/>
    </row>
    <row r="69" spans="2:23" s="250" customFormat="1" ht="159" customHeight="1" x14ac:dyDescent="0.35">
      <c r="B69" s="221">
        <f t="shared" si="38"/>
        <v>4</v>
      </c>
      <c r="D69" s="221" t="s">
        <v>53</v>
      </c>
      <c r="F69" s="317"/>
      <c r="G69" s="224"/>
      <c r="H69" s="354" t="s">
        <v>54</v>
      </c>
      <c r="I69" s="353" t="s">
        <v>230</v>
      </c>
      <c r="J69" s="262">
        <f>ROUND(((2210*0.06)), 0)</f>
        <v>133</v>
      </c>
      <c r="K69" s="361">
        <v>1</v>
      </c>
      <c r="L69" s="296">
        <f t="shared" ref="L69" si="40">+J69*K69</f>
        <v>133</v>
      </c>
      <c r="M69" s="307">
        <v>1.25</v>
      </c>
      <c r="N69" s="269">
        <f t="shared" ref="N69" si="41">L69*M69</f>
        <v>166.25</v>
      </c>
      <c r="O69" s="318">
        <v>0</v>
      </c>
      <c r="P69" s="319">
        <v>0</v>
      </c>
      <c r="Q69" s="307">
        <v>0</v>
      </c>
      <c r="R69" s="310">
        <v>0</v>
      </c>
      <c r="S69" s="307">
        <f t="shared" ref="S69" si="42">N69-O69</f>
        <v>166.25</v>
      </c>
      <c r="T69" s="266">
        <f t="shared" ref="T69" si="43">+N69-O69</f>
        <v>166.25</v>
      </c>
      <c r="W69" s="462"/>
    </row>
    <row r="70" spans="2:23" ht="69.5" customHeight="1" x14ac:dyDescent="0.35">
      <c r="B70" s="197">
        <f t="shared" si="38"/>
        <v>5</v>
      </c>
      <c r="D70" s="197" t="s">
        <v>31</v>
      </c>
      <c r="F70" s="85" t="s">
        <v>54</v>
      </c>
      <c r="G70" s="85" t="s">
        <v>139</v>
      </c>
      <c r="H70" s="85" t="s">
        <v>54</v>
      </c>
      <c r="I70" s="85" t="s">
        <v>139</v>
      </c>
      <c r="J70" s="86">
        <v>333</v>
      </c>
      <c r="K70" s="364">
        <v>1</v>
      </c>
      <c r="L70" s="295">
        <f t="shared" ref="L70" si="44">+J70*K70</f>
        <v>333</v>
      </c>
      <c r="M70" s="257">
        <v>0.25</v>
      </c>
      <c r="N70" s="283">
        <f t="shared" ref="N70:N78" si="45">+L70*M70</f>
        <v>83.25</v>
      </c>
      <c r="O70" s="101">
        <v>83.25</v>
      </c>
      <c r="P70" s="54">
        <v>0</v>
      </c>
      <c r="Q70" s="257">
        <v>0</v>
      </c>
      <c r="R70" s="257">
        <f>N70-O70</f>
        <v>0</v>
      </c>
      <c r="S70" s="257">
        <v>0</v>
      </c>
      <c r="T70" s="264">
        <f>+N70-O70</f>
        <v>0</v>
      </c>
      <c r="W70" s="37"/>
    </row>
    <row r="71" spans="2:23" ht="66" customHeight="1" x14ac:dyDescent="0.35">
      <c r="B71" s="197">
        <f t="shared" si="38"/>
        <v>6</v>
      </c>
      <c r="D71" s="197" t="s">
        <v>31</v>
      </c>
      <c r="F71" s="277" t="s">
        <v>62</v>
      </c>
      <c r="G71" s="38" t="s">
        <v>63</v>
      </c>
      <c r="H71" s="277" t="s">
        <v>62</v>
      </c>
      <c r="I71" s="38" t="s">
        <v>63</v>
      </c>
      <c r="J71" s="86">
        <v>221</v>
      </c>
      <c r="K71" s="360">
        <v>1</v>
      </c>
      <c r="L71" s="295">
        <f t="shared" si="35"/>
        <v>221</v>
      </c>
      <c r="M71" s="257">
        <v>0.123</v>
      </c>
      <c r="N71" s="478">
        <f t="shared" si="45"/>
        <v>27.183</v>
      </c>
      <c r="O71" s="50">
        <v>27.183</v>
      </c>
      <c r="P71" s="50">
        <v>0</v>
      </c>
      <c r="Q71" s="257">
        <v>0</v>
      </c>
      <c r="R71" s="257">
        <f t="shared" si="39"/>
        <v>0</v>
      </c>
      <c r="S71" s="311">
        <v>0</v>
      </c>
      <c r="T71" s="264">
        <f t="shared" si="37"/>
        <v>0</v>
      </c>
      <c r="U71" s="58"/>
      <c r="W71" s="37"/>
    </row>
    <row r="72" spans="2:23" ht="72" customHeight="1" x14ac:dyDescent="0.35">
      <c r="B72" s="197">
        <f t="shared" si="38"/>
        <v>7</v>
      </c>
      <c r="D72" s="197" t="s">
        <v>31</v>
      </c>
      <c r="F72" s="38" t="s">
        <v>65</v>
      </c>
      <c r="G72" s="278" t="s">
        <v>66</v>
      </c>
      <c r="H72" s="38" t="s">
        <v>65</v>
      </c>
      <c r="I72" s="278" t="s">
        <v>66</v>
      </c>
      <c r="J72" s="86">
        <v>772</v>
      </c>
      <c r="K72" s="360">
        <v>1</v>
      </c>
      <c r="L72" s="295">
        <f t="shared" si="35"/>
        <v>772</v>
      </c>
      <c r="M72" s="257">
        <v>0.5</v>
      </c>
      <c r="N72" s="283">
        <f t="shared" si="45"/>
        <v>386</v>
      </c>
      <c r="O72" s="84">
        <v>386</v>
      </c>
      <c r="P72" s="50">
        <v>0</v>
      </c>
      <c r="Q72" s="257">
        <v>0</v>
      </c>
      <c r="R72" s="257">
        <f t="shared" si="39"/>
        <v>0</v>
      </c>
      <c r="S72" s="311">
        <v>0</v>
      </c>
      <c r="T72" s="264">
        <f t="shared" si="37"/>
        <v>0</v>
      </c>
      <c r="W72" s="37"/>
    </row>
    <row r="73" spans="2:23" ht="50.15" customHeight="1" x14ac:dyDescent="0.35">
      <c r="B73" s="197">
        <f t="shared" si="38"/>
        <v>8</v>
      </c>
      <c r="D73" s="197" t="s">
        <v>31</v>
      </c>
      <c r="F73" s="38" t="s">
        <v>67</v>
      </c>
      <c r="G73" s="38" t="s">
        <v>68</v>
      </c>
      <c r="H73" s="38" t="s">
        <v>67</v>
      </c>
      <c r="I73" s="38" t="s">
        <v>68</v>
      </c>
      <c r="J73" s="335">
        <v>7.72</v>
      </c>
      <c r="K73" s="360">
        <v>1</v>
      </c>
      <c r="L73" s="295">
        <f t="shared" si="35"/>
        <v>7.72</v>
      </c>
      <c r="M73" s="257">
        <v>0.5</v>
      </c>
      <c r="N73" s="283">
        <f t="shared" si="45"/>
        <v>3.86</v>
      </c>
      <c r="O73" s="84">
        <v>3.86</v>
      </c>
      <c r="P73" s="50">
        <v>0</v>
      </c>
      <c r="Q73" s="257">
        <v>0</v>
      </c>
      <c r="R73" s="257">
        <f t="shared" si="39"/>
        <v>0</v>
      </c>
      <c r="S73" s="311">
        <v>0</v>
      </c>
      <c r="T73" s="264">
        <f t="shared" si="37"/>
        <v>0</v>
      </c>
      <c r="W73" s="37"/>
    </row>
    <row r="74" spans="2:23" ht="47.15" customHeight="1" x14ac:dyDescent="0.35">
      <c r="B74" s="197">
        <f t="shared" si="38"/>
        <v>9</v>
      </c>
      <c r="D74" s="197" t="s">
        <v>31</v>
      </c>
      <c r="F74" s="38" t="s">
        <v>69</v>
      </c>
      <c r="G74" s="38" t="s">
        <v>70</v>
      </c>
      <c r="H74" s="38" t="s">
        <v>69</v>
      </c>
      <c r="I74" s="38" t="s">
        <v>70</v>
      </c>
      <c r="J74" s="86">
        <v>772</v>
      </c>
      <c r="K74" s="360">
        <v>1</v>
      </c>
      <c r="L74" s="295">
        <f t="shared" si="35"/>
        <v>772</v>
      </c>
      <c r="M74" s="257">
        <v>20</v>
      </c>
      <c r="N74" s="283">
        <f t="shared" si="45"/>
        <v>15440</v>
      </c>
      <c r="O74" s="84">
        <v>15440</v>
      </c>
      <c r="P74" s="50">
        <v>0</v>
      </c>
      <c r="Q74" s="257">
        <v>0</v>
      </c>
      <c r="R74" s="257">
        <f t="shared" si="39"/>
        <v>0</v>
      </c>
      <c r="S74" s="311">
        <v>0</v>
      </c>
      <c r="T74" s="264">
        <f t="shared" si="37"/>
        <v>0</v>
      </c>
      <c r="W74" s="37"/>
    </row>
    <row r="75" spans="2:23" ht="45.65" customHeight="1" x14ac:dyDescent="0.35">
      <c r="B75" s="197">
        <f t="shared" si="38"/>
        <v>10</v>
      </c>
      <c r="D75" s="197" t="s">
        <v>31</v>
      </c>
      <c r="F75" s="38" t="s">
        <v>105</v>
      </c>
      <c r="G75" s="38" t="s">
        <v>106</v>
      </c>
      <c r="H75" s="38" t="s">
        <v>105</v>
      </c>
      <c r="I75" s="38" t="s">
        <v>106</v>
      </c>
      <c r="J75" s="86">
        <v>2210</v>
      </c>
      <c r="K75" s="360">
        <v>9</v>
      </c>
      <c r="L75" s="295">
        <f>J75*K75</f>
        <v>19890</v>
      </c>
      <c r="M75" s="257">
        <v>0.5</v>
      </c>
      <c r="N75" s="283">
        <f>L75*M75</f>
        <v>9945</v>
      </c>
      <c r="O75" s="84">
        <v>9945</v>
      </c>
      <c r="P75" s="50">
        <v>0</v>
      </c>
      <c r="Q75" s="84">
        <v>0</v>
      </c>
      <c r="R75" s="308">
        <v>0</v>
      </c>
      <c r="S75" s="84">
        <v>0</v>
      </c>
      <c r="T75" s="357">
        <f>N75-O75</f>
        <v>0</v>
      </c>
      <c r="W75" s="37"/>
    </row>
    <row r="76" spans="2:23" ht="74.150000000000006" customHeight="1" x14ac:dyDescent="0.35">
      <c r="B76" s="197">
        <f t="shared" si="38"/>
        <v>11</v>
      </c>
      <c r="D76" s="197" t="s">
        <v>31</v>
      </c>
      <c r="F76" s="38" t="s">
        <v>107</v>
      </c>
      <c r="G76" s="38" t="s">
        <v>108</v>
      </c>
      <c r="H76" s="38" t="s">
        <v>107</v>
      </c>
      <c r="I76" s="38" t="s">
        <v>108</v>
      </c>
      <c r="J76" s="86">
        <v>2210</v>
      </c>
      <c r="K76" s="360">
        <v>9</v>
      </c>
      <c r="L76" s="295">
        <f>J76*K76</f>
        <v>19890</v>
      </c>
      <c r="M76" s="257">
        <v>2</v>
      </c>
      <c r="N76" s="283">
        <f>L76*M76</f>
        <v>39780</v>
      </c>
      <c r="O76" s="84">
        <v>39780</v>
      </c>
      <c r="P76" s="50">
        <v>0</v>
      </c>
      <c r="Q76" s="84">
        <v>0</v>
      </c>
      <c r="R76" s="101">
        <v>0</v>
      </c>
      <c r="S76" s="84">
        <v>0</v>
      </c>
      <c r="T76" s="357">
        <f>N76-O76</f>
        <v>0</v>
      </c>
      <c r="W76" s="37"/>
    </row>
    <row r="77" spans="2:23" ht="83.25" hidden="1" customHeight="1" x14ac:dyDescent="0.35">
      <c r="B77" s="197">
        <f>B76+1</f>
        <v>12</v>
      </c>
      <c r="D77" s="197" t="s">
        <v>31</v>
      </c>
      <c r="F77" s="108"/>
      <c r="G77" s="108"/>
      <c r="H77" s="38" t="s">
        <v>97</v>
      </c>
      <c r="I77" s="38" t="s">
        <v>140</v>
      </c>
      <c r="J77" s="256">
        <v>0</v>
      </c>
      <c r="K77" s="360">
        <v>0</v>
      </c>
      <c r="L77" s="295">
        <f t="shared" si="35"/>
        <v>0</v>
      </c>
      <c r="M77" s="257">
        <v>0</v>
      </c>
      <c r="N77" s="283">
        <f t="shared" si="45"/>
        <v>0</v>
      </c>
      <c r="O77" s="84">
        <v>0</v>
      </c>
      <c r="P77" s="50"/>
      <c r="Q77" s="257"/>
      <c r="R77" s="309"/>
      <c r="S77" s="311">
        <f>N77-O77</f>
        <v>0</v>
      </c>
      <c r="T77" s="264">
        <v>0</v>
      </c>
      <c r="W77" s="37"/>
    </row>
    <row r="78" spans="2:23" ht="102.75" hidden="1" customHeight="1" x14ac:dyDescent="0.35">
      <c r="B78" s="197">
        <f t="shared" si="38"/>
        <v>13</v>
      </c>
      <c r="D78" s="197" t="s">
        <v>31</v>
      </c>
      <c r="F78" s="108"/>
      <c r="G78" s="108"/>
      <c r="H78" s="38" t="s">
        <v>99</v>
      </c>
      <c r="I78" s="38" t="s">
        <v>141</v>
      </c>
      <c r="J78" s="256">
        <v>0</v>
      </c>
      <c r="K78" s="360">
        <v>0</v>
      </c>
      <c r="L78" s="295">
        <f t="shared" si="35"/>
        <v>0</v>
      </c>
      <c r="M78" s="257">
        <v>0</v>
      </c>
      <c r="N78" s="283">
        <f t="shared" si="45"/>
        <v>0</v>
      </c>
      <c r="O78" s="84">
        <v>0</v>
      </c>
      <c r="P78" s="50"/>
      <c r="Q78" s="257"/>
      <c r="R78" s="309"/>
      <c r="S78" s="311">
        <f>N78-O78</f>
        <v>0</v>
      </c>
      <c r="T78" s="264">
        <v>0</v>
      </c>
      <c r="W78" s="37"/>
    </row>
    <row r="79" spans="2:23" ht="102.75" customHeight="1" x14ac:dyDescent="0.35">
      <c r="B79" s="197">
        <f>B76+1</f>
        <v>12</v>
      </c>
      <c r="D79" s="197" t="s">
        <v>31</v>
      </c>
      <c r="F79" s="38" t="s">
        <v>109</v>
      </c>
      <c r="G79" s="38" t="s">
        <v>110</v>
      </c>
      <c r="H79" s="38" t="s">
        <v>109</v>
      </c>
      <c r="I79" s="38" t="s">
        <v>110</v>
      </c>
      <c r="J79" s="256">
        <v>2210</v>
      </c>
      <c r="K79" s="360">
        <v>1</v>
      </c>
      <c r="L79" s="295">
        <f>+J79*K79</f>
        <v>2210</v>
      </c>
      <c r="M79" s="257">
        <v>0.25</v>
      </c>
      <c r="N79" s="283">
        <f>+L79*M79</f>
        <v>552.5</v>
      </c>
      <c r="O79" s="84">
        <v>552.5</v>
      </c>
      <c r="P79" s="50">
        <v>0</v>
      </c>
      <c r="Q79" s="257">
        <v>0</v>
      </c>
      <c r="R79" s="283">
        <f>N79-O79</f>
        <v>0</v>
      </c>
      <c r="S79" s="311">
        <v>0</v>
      </c>
      <c r="T79" s="264">
        <f>+N79-O79</f>
        <v>0</v>
      </c>
      <c r="W79" s="37"/>
    </row>
    <row r="80" spans="2:23" ht="96.75" hidden="1" customHeight="1" x14ac:dyDescent="0.35">
      <c r="B80" s="197">
        <f>B79+1</f>
        <v>13</v>
      </c>
      <c r="D80" s="197"/>
      <c r="F80" s="108"/>
      <c r="G80" s="108"/>
      <c r="H80" s="104">
        <v>225.15</v>
      </c>
      <c r="I80" s="85" t="s">
        <v>142</v>
      </c>
      <c r="J80" s="256">
        <v>0</v>
      </c>
      <c r="K80" s="360">
        <v>0</v>
      </c>
      <c r="L80" s="295">
        <f>+J80*K80</f>
        <v>0</v>
      </c>
      <c r="M80" s="257">
        <v>0</v>
      </c>
      <c r="N80" s="320">
        <f>+L80*M80</f>
        <v>0</v>
      </c>
      <c r="O80" s="271">
        <v>0</v>
      </c>
      <c r="P80" s="44">
        <v>0</v>
      </c>
      <c r="Q80" s="257"/>
      <c r="R80" s="309"/>
      <c r="S80" s="309">
        <v>0</v>
      </c>
      <c r="T80" s="264">
        <v>0</v>
      </c>
      <c r="W80" s="37"/>
    </row>
    <row r="81" spans="2:23" ht="102.75" customHeight="1" x14ac:dyDescent="0.35">
      <c r="B81" s="221">
        <f>B79+1</f>
        <v>13</v>
      </c>
      <c r="D81" s="221" t="s">
        <v>53</v>
      </c>
      <c r="F81" s="373"/>
      <c r="G81" s="373"/>
      <c r="H81" s="354" t="s">
        <v>134</v>
      </c>
      <c r="I81" s="372" t="s">
        <v>143</v>
      </c>
      <c r="J81" s="374">
        <f>1590*0.3</f>
        <v>477</v>
      </c>
      <c r="K81" s="374">
        <v>1</v>
      </c>
      <c r="L81" s="296">
        <f>J81*K81</f>
        <v>477</v>
      </c>
      <c r="M81" s="375">
        <v>0.25</v>
      </c>
      <c r="N81" s="376">
        <f>L81*M81</f>
        <v>119.25</v>
      </c>
      <c r="O81" s="223">
        <v>0</v>
      </c>
      <c r="P81" s="377">
        <v>0</v>
      </c>
      <c r="Q81" s="370">
        <v>0</v>
      </c>
      <c r="R81" s="378">
        <f>Q81</f>
        <v>0</v>
      </c>
      <c r="S81" s="370">
        <f>N81-O81</f>
        <v>119.25</v>
      </c>
      <c r="T81" s="379">
        <f>N81-O81</f>
        <v>119.25</v>
      </c>
      <c r="W81" s="37"/>
    </row>
    <row r="82" spans="2:23" ht="15" customHeight="1" x14ac:dyDescent="0.35">
      <c r="B82" s="115"/>
      <c r="D82" s="200"/>
      <c r="F82" s="497" t="s">
        <v>137</v>
      </c>
      <c r="G82" s="497"/>
      <c r="H82" s="497"/>
      <c r="I82" s="498"/>
      <c r="J82" s="284">
        <f>+MAX(J66:J81)</f>
        <v>2210</v>
      </c>
      <c r="K82" s="314">
        <f>L82/J82</f>
        <v>22.228380090497737</v>
      </c>
      <c r="L82" s="297">
        <f>SUM(L66:L81)</f>
        <v>49124.72</v>
      </c>
      <c r="M82" s="279">
        <f>N82/L82</f>
        <v>3.1757390780039052</v>
      </c>
      <c r="N82" s="279">
        <f t="shared" ref="N82:T82" si="46">SUM(N66:N81)</f>
        <v>156007.29300000001</v>
      </c>
      <c r="O82" s="279">
        <f t="shared" si="46"/>
        <v>155721.79300000001</v>
      </c>
      <c r="P82" s="279">
        <f t="shared" si="46"/>
        <v>0</v>
      </c>
      <c r="Q82" s="285">
        <f t="shared" si="46"/>
        <v>0</v>
      </c>
      <c r="R82" s="285">
        <f t="shared" si="46"/>
        <v>0</v>
      </c>
      <c r="S82" s="285">
        <v>286</v>
      </c>
      <c r="T82" s="280">
        <v>286</v>
      </c>
      <c r="W82" s="37"/>
    </row>
    <row r="83" spans="2:23" x14ac:dyDescent="0.35">
      <c r="B83" s="114"/>
      <c r="D83" s="199"/>
      <c r="F83" s="495" t="s">
        <v>144</v>
      </c>
      <c r="G83" s="495"/>
      <c r="H83" s="495"/>
      <c r="I83" s="495"/>
      <c r="J83" s="495"/>
      <c r="K83" s="495"/>
      <c r="L83" s="495"/>
      <c r="M83" s="495"/>
      <c r="N83" s="495"/>
      <c r="O83" s="495"/>
      <c r="P83" s="495"/>
      <c r="Q83" s="495"/>
      <c r="R83" s="495"/>
      <c r="S83" s="495"/>
      <c r="T83" s="496"/>
      <c r="U83" s="45"/>
      <c r="V83" s="1"/>
      <c r="W83" s="37"/>
    </row>
    <row r="84" spans="2:23" ht="44" customHeight="1" x14ac:dyDescent="0.35">
      <c r="B84" s="197">
        <f>B81+1</f>
        <v>14</v>
      </c>
      <c r="D84" s="197" t="s">
        <v>31</v>
      </c>
      <c r="F84" s="85" t="s">
        <v>145</v>
      </c>
      <c r="G84" s="85" t="s">
        <v>146</v>
      </c>
      <c r="H84" s="85" t="s">
        <v>145</v>
      </c>
      <c r="I84" s="85" t="s">
        <v>262</v>
      </c>
      <c r="J84" s="52">
        <v>58365</v>
      </c>
      <c r="K84" s="364">
        <v>1</v>
      </c>
      <c r="L84" s="295">
        <f t="shared" ref="L84:L85" si="47">+J84*K84</f>
        <v>58365</v>
      </c>
      <c r="M84" s="257">
        <v>0.5</v>
      </c>
      <c r="N84" s="283">
        <f t="shared" ref="N84:N85" si="48">+L84*M84</f>
        <v>29182.5</v>
      </c>
      <c r="O84" s="101">
        <v>29182.5</v>
      </c>
      <c r="P84" s="54">
        <v>0</v>
      </c>
      <c r="Q84" s="257">
        <v>0</v>
      </c>
      <c r="R84" s="257">
        <f>N84-O84</f>
        <v>0</v>
      </c>
      <c r="S84" s="257">
        <v>0</v>
      </c>
      <c r="T84" s="264">
        <f>+N84-O84</f>
        <v>0</v>
      </c>
      <c r="W84" s="37"/>
    </row>
    <row r="85" spans="2:23" ht="29.5" thickBot="1" x14ac:dyDescent="0.4">
      <c r="B85" s="197">
        <f>B84+1</f>
        <v>15</v>
      </c>
      <c r="D85" s="201" t="s">
        <v>31</v>
      </c>
      <c r="F85" s="36" t="s">
        <v>97</v>
      </c>
      <c r="G85" s="85" t="s">
        <v>147</v>
      </c>
      <c r="H85" s="36" t="s">
        <v>97</v>
      </c>
      <c r="I85" s="85" t="s">
        <v>147</v>
      </c>
      <c r="J85" s="52">
        <v>58365</v>
      </c>
      <c r="K85" s="364">
        <v>1</v>
      </c>
      <c r="L85" s="295">
        <f t="shared" si="47"/>
        <v>58365</v>
      </c>
      <c r="M85" s="257">
        <v>0.25</v>
      </c>
      <c r="N85" s="283">
        <f t="shared" si="48"/>
        <v>14591.25</v>
      </c>
      <c r="O85" s="101">
        <v>14591.25</v>
      </c>
      <c r="P85" s="54">
        <v>0</v>
      </c>
      <c r="Q85" s="257">
        <v>0</v>
      </c>
      <c r="R85" s="257">
        <f>N85-O85</f>
        <v>0</v>
      </c>
      <c r="S85" s="257">
        <v>0</v>
      </c>
      <c r="T85" s="264">
        <f>+N85-O85</f>
        <v>0</v>
      </c>
      <c r="W85" s="37"/>
    </row>
    <row r="86" spans="2:23" ht="15.75" customHeight="1" thickBot="1" x14ac:dyDescent="0.4">
      <c r="F86" s="497" t="s">
        <v>144</v>
      </c>
      <c r="G86" s="497"/>
      <c r="H86" s="497"/>
      <c r="I86" s="498"/>
      <c r="J86" s="284">
        <f>+MAX(J84:J85)</f>
        <v>58365</v>
      </c>
      <c r="K86" s="314">
        <f>L86/J86</f>
        <v>2</v>
      </c>
      <c r="L86" s="298">
        <f>SUM(L84:L85)</f>
        <v>116730</v>
      </c>
      <c r="M86" s="286">
        <f>N86/L86</f>
        <v>0.375</v>
      </c>
      <c r="N86" s="286">
        <f>SUM(N84:N85)</f>
        <v>43773.75</v>
      </c>
      <c r="O86" s="286">
        <f>SUM(O84:O85)</f>
        <v>43773.75</v>
      </c>
      <c r="P86" s="286">
        <v>0</v>
      </c>
      <c r="Q86" s="286">
        <f>SUM(Q84:Q85)</f>
        <v>0</v>
      </c>
      <c r="R86" s="286">
        <f>SUM(R84:R85)</f>
        <v>0</v>
      </c>
      <c r="S86" s="286">
        <f>SUM(S84:S85)</f>
        <v>0</v>
      </c>
      <c r="T86" s="287">
        <f>SUM(T84:T85)</f>
        <v>0</v>
      </c>
      <c r="W86" s="27"/>
    </row>
    <row r="87" spans="2:23" ht="25.5" customHeight="1" thickBot="1" x14ac:dyDescent="0.4">
      <c r="F87" s="288"/>
      <c r="G87" s="288"/>
      <c r="H87" s="289"/>
      <c r="I87" s="290" t="s">
        <v>148</v>
      </c>
      <c r="J87" s="294">
        <f>+J64+J82+J86</f>
        <v>63942</v>
      </c>
      <c r="K87" s="313">
        <f>L87/J87</f>
        <v>4.540119326889994</v>
      </c>
      <c r="L87" s="299">
        <f>+L64+L82+L86</f>
        <v>290304.31</v>
      </c>
      <c r="M87" s="293">
        <f>N87/L87</f>
        <v>1.5920255464343607</v>
      </c>
      <c r="N87" s="306">
        <f t="shared" ref="N87:T87" si="49">+N64+N82+N86</f>
        <v>462171.87776000006</v>
      </c>
      <c r="O87" s="306">
        <f t="shared" si="49"/>
        <v>453159.55275999999</v>
      </c>
      <c r="P87" s="414">
        <f t="shared" si="49"/>
        <v>0</v>
      </c>
      <c r="Q87" s="293">
        <f t="shared" si="49"/>
        <v>0</v>
      </c>
      <c r="R87" s="293">
        <f t="shared" si="49"/>
        <v>0</v>
      </c>
      <c r="S87" s="293">
        <f t="shared" si="49"/>
        <v>9013</v>
      </c>
      <c r="T87" s="358">
        <f t="shared" si="49"/>
        <v>9013</v>
      </c>
    </row>
    <row r="88" spans="2:23" ht="15" thickBot="1" x14ac:dyDescent="0.4">
      <c r="F88" s="103"/>
      <c r="G88" s="103"/>
      <c r="H88" s="105"/>
      <c r="I88" s="413"/>
      <c r="J88" s="253"/>
      <c r="K88" s="365"/>
      <c r="L88" s="300"/>
      <c r="M88" s="258"/>
      <c r="N88" s="258"/>
      <c r="O88" s="258"/>
      <c r="P88" s="412"/>
      <c r="Q88" s="258"/>
      <c r="R88" s="258"/>
      <c r="S88" s="258"/>
      <c r="T88" s="258"/>
    </row>
    <row r="89" spans="2:23" ht="50.25" customHeight="1" x14ac:dyDescent="0.35">
      <c r="F89" s="103"/>
      <c r="G89" s="103"/>
      <c r="H89" s="105"/>
      <c r="I89" s="411" t="s">
        <v>149</v>
      </c>
      <c r="J89" s="254" t="str">
        <f>+J4</f>
        <v>Estimated # Respondents</v>
      </c>
      <c r="K89" s="259" t="str">
        <f>+K4</f>
        <v>Responses per Respondents</v>
      </c>
      <c r="L89" s="254" t="s">
        <v>150</v>
      </c>
      <c r="M89" s="259" t="str">
        <f>+M4</f>
        <v>Estimated Avg. # of Hours Per Response</v>
      </c>
      <c r="N89" s="259" t="str">
        <f>+N4</f>
        <v xml:space="preserve">Estimated Total Hours            </v>
      </c>
      <c r="O89" s="259" t="str">
        <f>+O4</f>
        <v>Current OMB Approved Burden Hrs</v>
      </c>
      <c r="P89" s="415" t="s">
        <v>23</v>
      </c>
      <c r="Q89" s="259" t="str">
        <f>+Q4</f>
        <v>Due to Authorizing Statute</v>
      </c>
      <c r="R89" s="259" t="str">
        <f>+R4</f>
        <v>Due to Program Adjustment</v>
      </c>
      <c r="S89" s="259" t="str">
        <f>+S4</f>
        <v>Due to Program Change</v>
      </c>
      <c r="T89" s="267" t="str">
        <f>+T4</f>
        <v>Total Difference</v>
      </c>
    </row>
    <row r="90" spans="2:23" x14ac:dyDescent="0.35">
      <c r="F90" s="103"/>
      <c r="G90" s="103"/>
      <c r="H90" s="105"/>
      <c r="I90" s="409" t="s">
        <v>151</v>
      </c>
      <c r="J90" s="255">
        <f t="shared" ref="J90:T90" si="50">SUM(J64)</f>
        <v>3367</v>
      </c>
      <c r="K90" s="366">
        <f t="shared" si="50"/>
        <v>36.961565191565192</v>
      </c>
      <c r="L90" s="301">
        <f t="shared" si="50"/>
        <v>124449.59000000001</v>
      </c>
      <c r="M90" s="260">
        <f t="shared" si="50"/>
        <v>2.1084106003081251</v>
      </c>
      <c r="N90" s="260">
        <f t="shared" si="50"/>
        <v>262390.83476000006</v>
      </c>
      <c r="O90" s="260">
        <f t="shared" si="50"/>
        <v>253664.00976000002</v>
      </c>
      <c r="P90" s="291">
        <f t="shared" si="50"/>
        <v>0</v>
      </c>
      <c r="Q90" s="260">
        <f t="shared" si="50"/>
        <v>0</v>
      </c>
      <c r="R90" s="260">
        <f t="shared" si="50"/>
        <v>0</v>
      </c>
      <c r="S90" s="260">
        <f t="shared" si="50"/>
        <v>8727</v>
      </c>
      <c r="T90" s="260">
        <f t="shared" si="50"/>
        <v>8727</v>
      </c>
    </row>
    <row r="91" spans="2:23" x14ac:dyDescent="0.35">
      <c r="F91" s="103"/>
      <c r="G91" s="103"/>
      <c r="H91" s="105"/>
      <c r="I91" s="409" t="s">
        <v>152</v>
      </c>
      <c r="J91" s="255">
        <f t="shared" ref="J91:T91" si="51">SUM(J82)</f>
        <v>2210</v>
      </c>
      <c r="K91" s="366">
        <f t="shared" si="51"/>
        <v>22.228380090497737</v>
      </c>
      <c r="L91" s="301">
        <f t="shared" si="51"/>
        <v>49124.72</v>
      </c>
      <c r="M91" s="260">
        <f t="shared" si="51"/>
        <v>3.1757390780039052</v>
      </c>
      <c r="N91" s="260">
        <f t="shared" si="51"/>
        <v>156007.29300000001</v>
      </c>
      <c r="O91" s="260">
        <f t="shared" si="51"/>
        <v>155721.79300000001</v>
      </c>
      <c r="P91" s="291">
        <f t="shared" si="51"/>
        <v>0</v>
      </c>
      <c r="Q91" s="260">
        <f t="shared" si="51"/>
        <v>0</v>
      </c>
      <c r="R91" s="260">
        <f t="shared" si="51"/>
        <v>0</v>
      </c>
      <c r="S91" s="260">
        <f t="shared" si="51"/>
        <v>286</v>
      </c>
      <c r="T91" s="260">
        <f t="shared" si="51"/>
        <v>286</v>
      </c>
    </row>
    <row r="92" spans="2:23" hidden="1" x14ac:dyDescent="0.35">
      <c r="F92" s="103"/>
      <c r="G92" s="103"/>
      <c r="H92" s="105"/>
      <c r="I92" s="409"/>
      <c r="J92" s="255" t="e">
        <f>+SUMIF(#REF!,#REF!,($J$6:$J$86))</f>
        <v>#REF!</v>
      </c>
      <c r="K92" s="366" t="e">
        <f>+SUMIF(#REF!,#REF!,($K$6:$K$86))</f>
        <v>#REF!</v>
      </c>
      <c r="L92" s="301" t="e">
        <f>+SUMIF(#REF!,#REF!,($L$6:$L$86))</f>
        <v>#REF!</v>
      </c>
      <c r="M92" s="260" t="e">
        <f>+SUMIF(#REF!,#REF!,($M$6:$M$86))</f>
        <v>#REF!</v>
      </c>
      <c r="N92" s="260" t="e">
        <f>+SUMIF(#REF!,#REF!,($N$6:$N$86))</f>
        <v>#REF!</v>
      </c>
      <c r="O92" s="260" t="e">
        <f>+SUMIF(#REF!,#REF!,($O$6:$O$86))</f>
        <v>#REF!</v>
      </c>
      <c r="P92" s="292"/>
      <c r="Q92" s="260"/>
      <c r="R92" s="260"/>
      <c r="S92" s="260"/>
      <c r="T92" s="260" t="e">
        <f>+SUMIF(#REF!,#REF!,($T$6:$T$86))</f>
        <v>#REF!</v>
      </c>
    </row>
    <row r="93" spans="2:23" hidden="1" x14ac:dyDescent="0.35">
      <c r="F93" s="103"/>
      <c r="G93" s="103"/>
      <c r="H93" s="105"/>
      <c r="I93" s="409"/>
      <c r="J93" s="255" t="e">
        <f>+SUMIF(#REF!,#REF!,($J$6:$J$86))</f>
        <v>#REF!</v>
      </c>
      <c r="K93" s="366" t="e">
        <f>+SUMIF(#REF!,#REF!,($K$6:$K$86))</f>
        <v>#REF!</v>
      </c>
      <c r="L93" s="301" t="e">
        <f>+SUMIF(#REF!,#REF!,($L$6:$L$86))</f>
        <v>#REF!</v>
      </c>
      <c r="M93" s="260" t="e">
        <f>+SUMIF(#REF!,#REF!,($M$6:$M$86))</f>
        <v>#REF!</v>
      </c>
      <c r="N93" s="260" t="e">
        <f>+SUMIF(#REF!,#REF!,($N$6:$N$86))</f>
        <v>#REF!</v>
      </c>
      <c r="O93" s="260" t="e">
        <f>+SUMIF(#REF!,#REF!,($O$6:$O$86))</f>
        <v>#REF!</v>
      </c>
      <c r="P93" s="292"/>
      <c r="Q93" s="260"/>
      <c r="R93" s="260"/>
      <c r="S93" s="260"/>
      <c r="T93" s="260" t="e">
        <f>+SUMIF(#REF!,#REF!,($T$6:$T$86))</f>
        <v>#REF!</v>
      </c>
    </row>
    <row r="94" spans="2:23" hidden="1" x14ac:dyDescent="0.35">
      <c r="F94" s="103"/>
      <c r="G94" s="103"/>
      <c r="H94" s="105"/>
      <c r="I94" s="409"/>
      <c r="J94" s="255" t="e">
        <f>+SUMIF(#REF!,#REF!,($J$6:$J$86))</f>
        <v>#REF!</v>
      </c>
      <c r="K94" s="366" t="e">
        <f>+SUMIF(#REF!,#REF!,($K$6:$K$86))</f>
        <v>#REF!</v>
      </c>
      <c r="L94" s="301" t="e">
        <f>+SUMIF(#REF!,#REF!,($L$6:$L$86))</f>
        <v>#REF!</v>
      </c>
      <c r="M94" s="260" t="e">
        <f>+SUMIF(#REF!,#REF!,($M$6:$M$86))</f>
        <v>#REF!</v>
      </c>
      <c r="N94" s="260" t="e">
        <f>+SUMIF(#REF!,#REF!,($N$6:$N$86))</f>
        <v>#REF!</v>
      </c>
      <c r="O94" s="260" t="e">
        <f>+SUMIF(#REF!,#REF!,($O$6:$O$86))</f>
        <v>#REF!</v>
      </c>
      <c r="P94" s="292"/>
      <c r="Q94" s="260"/>
      <c r="R94" s="260"/>
      <c r="S94" s="260"/>
      <c r="T94" s="260" t="e">
        <f>+SUMIF(#REF!,#REF!,($T$6:$T$86))</f>
        <v>#REF!</v>
      </c>
    </row>
    <row r="95" spans="2:23" hidden="1" x14ac:dyDescent="0.35">
      <c r="F95" s="103"/>
      <c r="G95" s="103"/>
      <c r="H95" s="105"/>
      <c r="I95" s="409"/>
      <c r="J95" s="255" t="e">
        <f>+SUMIF(#REF!,#REF!,($J$6:$J$86))</f>
        <v>#REF!</v>
      </c>
      <c r="K95" s="366" t="e">
        <f>+SUMIF(#REF!,#REF!,($K$6:$K$86))</f>
        <v>#REF!</v>
      </c>
      <c r="L95" s="301" t="e">
        <f>+SUMIF(#REF!,#REF!,($L$6:$L$86))</f>
        <v>#REF!</v>
      </c>
      <c r="M95" s="260" t="e">
        <f>+SUMIF(#REF!,#REF!,($M$6:$M$86))</f>
        <v>#REF!</v>
      </c>
      <c r="N95" s="260" t="e">
        <f>+SUMIF(#REF!,#REF!,($N$6:$N$86))</f>
        <v>#REF!</v>
      </c>
      <c r="O95" s="260" t="e">
        <f>+SUMIF(#REF!,#REF!,($O$6:$O$86))</f>
        <v>#REF!</v>
      </c>
      <c r="P95" s="292"/>
      <c r="Q95" s="260"/>
      <c r="R95" s="260"/>
      <c r="S95" s="260"/>
      <c r="T95" s="260" t="e">
        <f>+SUMIF(#REF!,#REF!,($T$6:$T$86))</f>
        <v>#REF!</v>
      </c>
    </row>
    <row r="96" spans="2:23" hidden="1" x14ac:dyDescent="0.35">
      <c r="F96" s="103"/>
      <c r="G96" s="103"/>
      <c r="H96" s="105"/>
      <c r="I96" s="409"/>
      <c r="J96" s="255" t="e">
        <f>+SUMIF(#REF!,#REF!,($J$6:$J$86))</f>
        <v>#REF!</v>
      </c>
      <c r="K96" s="366" t="e">
        <f>+SUMIF(#REF!,#REF!,($K$6:$K$86))</f>
        <v>#REF!</v>
      </c>
      <c r="L96" s="301" t="e">
        <f>+SUMIF(#REF!,#REF!,($L$6:$L$86))</f>
        <v>#REF!</v>
      </c>
      <c r="M96" s="260" t="e">
        <f>+SUMIF(#REF!,#REF!,($M$6:$M$86))</f>
        <v>#REF!</v>
      </c>
      <c r="N96" s="260" t="e">
        <f>+SUMIF(#REF!,#REF!,($N$6:$N$86))</f>
        <v>#REF!</v>
      </c>
      <c r="O96" s="260" t="e">
        <f>+SUMIF(#REF!,#REF!,($O$6:$O$86))</f>
        <v>#REF!</v>
      </c>
      <c r="P96" s="292"/>
      <c r="Q96" s="260"/>
      <c r="R96" s="260"/>
      <c r="S96" s="260"/>
      <c r="T96" s="260" t="e">
        <f>+SUMIF(#REF!,#REF!,($T$6:$T$86))</f>
        <v>#REF!</v>
      </c>
    </row>
    <row r="97" spans="6:24" hidden="1" x14ac:dyDescent="0.35">
      <c r="F97" s="103"/>
      <c r="G97" s="103"/>
      <c r="H97" s="105"/>
      <c r="I97" s="409"/>
      <c r="J97" s="255" t="e">
        <f>+SUMIF(#REF!,#REF!,($J$6:$J$86))</f>
        <v>#REF!</v>
      </c>
      <c r="K97" s="366" t="e">
        <f>+SUMIF(#REF!,#REF!,($K$6:$K$86))</f>
        <v>#REF!</v>
      </c>
      <c r="L97" s="301" t="e">
        <f>+SUMIF(#REF!,#REF!,($L$6:$L$86))</f>
        <v>#REF!</v>
      </c>
      <c r="M97" s="260" t="e">
        <f>+SUMIF(#REF!,#REF!,($M$6:$M$86))</f>
        <v>#REF!</v>
      </c>
      <c r="N97" s="260" t="e">
        <f>+SUMIF(#REF!,#REF!,($N$6:$N$86))</f>
        <v>#REF!</v>
      </c>
      <c r="O97" s="260" t="e">
        <f>+SUMIF(#REF!,#REF!,($O$6:$O$86))</f>
        <v>#REF!</v>
      </c>
      <c r="P97" s="292"/>
      <c r="Q97" s="260"/>
      <c r="R97" s="260"/>
      <c r="S97" s="260"/>
      <c r="T97" s="260" t="e">
        <f>+SUMIF(#REF!,#REF!,($T$6:$T$86))</f>
        <v>#REF!</v>
      </c>
    </row>
    <row r="98" spans="6:24" hidden="1" x14ac:dyDescent="0.35">
      <c r="F98" s="103"/>
      <c r="G98" s="103"/>
      <c r="H98" s="105"/>
      <c r="I98" s="409"/>
      <c r="J98" s="255" t="e">
        <f>+SUMIF(#REF!,#REF!,($J$6:$J$86))</f>
        <v>#REF!</v>
      </c>
      <c r="K98" s="366" t="e">
        <f>+SUMIF(#REF!,#REF!,($K$6:$K$86))</f>
        <v>#REF!</v>
      </c>
      <c r="L98" s="301" t="e">
        <f>+SUMIF(#REF!,#REF!,($L$6:$L$86))</f>
        <v>#REF!</v>
      </c>
      <c r="M98" s="260" t="e">
        <f>+SUMIF(#REF!,#REF!,($M$6:$M$86))</f>
        <v>#REF!</v>
      </c>
      <c r="N98" s="260" t="e">
        <f>+SUMIF(#REF!,#REF!,($N$6:$N$86))</f>
        <v>#REF!</v>
      </c>
      <c r="O98" s="260" t="e">
        <f>+SUMIF(#REF!,#REF!,($O$6:$O$86))</f>
        <v>#REF!</v>
      </c>
      <c r="P98" s="292"/>
      <c r="Q98" s="260"/>
      <c r="R98" s="260"/>
      <c r="S98" s="260"/>
      <c r="T98" s="260" t="e">
        <f>+SUMIF(#REF!,#REF!,($T$6:$T$86))</f>
        <v>#REF!</v>
      </c>
    </row>
    <row r="99" spans="6:24" x14ac:dyDescent="0.35">
      <c r="F99" s="103"/>
      <c r="G99" s="103"/>
      <c r="H99" s="105"/>
      <c r="I99" s="409" t="s">
        <v>153</v>
      </c>
      <c r="J99" s="255">
        <f t="shared" ref="J99:T99" si="52">SUM(J86)</f>
        <v>58365</v>
      </c>
      <c r="K99" s="366">
        <f t="shared" si="52"/>
        <v>2</v>
      </c>
      <c r="L99" s="301">
        <f t="shared" si="52"/>
        <v>116730</v>
      </c>
      <c r="M99" s="260">
        <f t="shared" si="52"/>
        <v>0.375</v>
      </c>
      <c r="N99" s="260">
        <f t="shared" si="52"/>
        <v>43773.75</v>
      </c>
      <c r="O99" s="260">
        <f t="shared" si="52"/>
        <v>43773.75</v>
      </c>
      <c r="P99" s="292">
        <f t="shared" si="52"/>
        <v>0</v>
      </c>
      <c r="Q99" s="260">
        <f t="shared" si="52"/>
        <v>0</v>
      </c>
      <c r="R99" s="260">
        <f t="shared" si="52"/>
        <v>0</v>
      </c>
      <c r="S99" s="260">
        <f t="shared" si="52"/>
        <v>0</v>
      </c>
      <c r="T99" s="260">
        <f t="shared" si="52"/>
        <v>0</v>
      </c>
    </row>
    <row r="100" spans="6:24" x14ac:dyDescent="0.35">
      <c r="F100" s="103"/>
      <c r="G100" s="103"/>
      <c r="H100" s="105"/>
      <c r="I100" s="410" t="s">
        <v>154</v>
      </c>
      <c r="J100" s="106">
        <f>SUM(J90,J91,J99)</f>
        <v>63942</v>
      </c>
      <c r="K100" s="367">
        <f>L100/J100</f>
        <v>4.540119326889994</v>
      </c>
      <c r="L100" s="302">
        <f>SUM(L90,L91,L99)</f>
        <v>290304.31</v>
      </c>
      <c r="M100" s="107">
        <f>N100/L100</f>
        <v>1.5920255464343607</v>
      </c>
      <c r="N100" s="107">
        <f>SUM(N90,N91,N99)</f>
        <v>462171.87776000006</v>
      </c>
      <c r="O100" s="107">
        <f>SUM(O90,O91,O99)</f>
        <v>453159.55275999999</v>
      </c>
      <c r="P100" s="107">
        <f t="shared" ref="P100:S100" si="53">SUM(P90:P99)</f>
        <v>0</v>
      </c>
      <c r="Q100" s="107">
        <f t="shared" si="53"/>
        <v>0</v>
      </c>
      <c r="R100" s="107">
        <f t="shared" si="53"/>
        <v>0</v>
      </c>
      <c r="S100" s="107">
        <f t="shared" si="53"/>
        <v>9013</v>
      </c>
      <c r="T100" s="107">
        <f>SUM(T90,T91,T99)</f>
        <v>9013</v>
      </c>
    </row>
    <row r="104" spans="6:24" x14ac:dyDescent="0.35">
      <c r="L104" s="303"/>
    </row>
    <row r="107" spans="6:24" x14ac:dyDescent="0.35">
      <c r="I107" s="55"/>
    </row>
    <row r="109" spans="6:24" ht="48.75" customHeight="1" x14ac:dyDescent="0.35">
      <c r="I109" s="499"/>
      <c r="J109" s="499"/>
      <c r="K109" s="499"/>
      <c r="L109" s="499"/>
      <c r="M109" s="499"/>
      <c r="N109" s="499"/>
      <c r="O109" s="499"/>
      <c r="P109" s="499"/>
      <c r="Q109" s="499"/>
      <c r="R109" s="499"/>
      <c r="S109" s="499"/>
      <c r="T109" s="499"/>
      <c r="U109" s="499"/>
      <c r="V109" s="499"/>
      <c r="W109" s="499"/>
      <c r="X109" s="499"/>
    </row>
    <row r="111" spans="6:24" ht="60.75" customHeight="1" x14ac:dyDescent="0.35">
      <c r="H111" s="499"/>
      <c r="I111" s="499"/>
      <c r="J111" s="499"/>
      <c r="K111" s="499"/>
      <c r="L111" s="499"/>
      <c r="M111" s="499"/>
      <c r="N111" s="499"/>
      <c r="O111" s="499"/>
      <c r="P111" s="499"/>
      <c r="Q111" s="499"/>
      <c r="R111" s="499"/>
      <c r="S111" s="499"/>
      <c r="T111" s="499"/>
      <c r="U111" s="499"/>
      <c r="V111" s="499"/>
      <c r="W111" s="499"/>
      <c r="X111" s="499"/>
    </row>
    <row r="113" spans="9:24" ht="25.5" customHeight="1" x14ac:dyDescent="0.35">
      <c r="I113" s="494"/>
      <c r="J113" s="494"/>
      <c r="K113" s="494"/>
      <c r="L113" s="494"/>
      <c r="M113" s="494"/>
      <c r="N113" s="494"/>
      <c r="O113" s="494"/>
      <c r="P113" s="494"/>
      <c r="Q113" s="494"/>
      <c r="R113" s="494"/>
      <c r="S113" s="494"/>
      <c r="T113" s="494"/>
      <c r="U113" s="494"/>
      <c r="V113" s="494"/>
      <c r="W113" s="494"/>
      <c r="X113" s="494"/>
    </row>
  </sheetData>
  <mergeCells count="13">
    <mergeCell ref="F64:I64"/>
    <mergeCell ref="F1:T1"/>
    <mergeCell ref="F2:T2"/>
    <mergeCell ref="F3:G3"/>
    <mergeCell ref="H3:I3"/>
    <mergeCell ref="F5:T5"/>
    <mergeCell ref="I113:X113"/>
    <mergeCell ref="F65:T65"/>
    <mergeCell ref="F82:I82"/>
    <mergeCell ref="F83:T83"/>
    <mergeCell ref="F86:I86"/>
    <mergeCell ref="I109:X109"/>
    <mergeCell ref="H111:X111"/>
  </mergeCells>
  <dataValidations disablePrompts="1" count="2">
    <dataValidation type="list" allowBlank="1" showInputMessage="1" showErrorMessage="1" sqref="F80:G81 F77:G78 F40:G41 F38:G38 F8:G14" xr:uid="{A72EF2AA-309E-4684-88EC-AF9B4F4A94CA}">
      <formula1>$W$7:$W$82</formula1>
    </dataValidation>
    <dataValidation type="list" allowBlank="1" showInputMessage="1" showErrorMessage="1" sqref="F42:G45" xr:uid="{C2F678B6-6EA5-4A42-B38E-A6DB8359CC37}">
      <formula1>$W$7:$W$67</formula1>
    </dataValidation>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X44"/>
  <sheetViews>
    <sheetView showGridLines="0" topLeftCell="J8" zoomScale="80" zoomScaleNormal="80" zoomScalePageLayoutView="90" workbookViewId="0">
      <selection activeCell="U13" sqref="U13"/>
    </sheetView>
  </sheetViews>
  <sheetFormatPr defaultRowHeight="14.5" outlineLevelCol="1" x14ac:dyDescent="0.35"/>
  <cols>
    <col min="2" max="2" width="10" customWidth="1"/>
    <col min="4" max="4" width="40.1796875" bestFit="1" customWidth="1"/>
    <col min="6" max="6" width="15.81640625" customWidth="1"/>
    <col min="7" max="7" width="42.1796875" customWidth="1"/>
    <col min="8" max="8" width="15.1796875" bestFit="1" customWidth="1"/>
    <col min="9" max="9" width="42.1796875" customWidth="1"/>
    <col min="10" max="10" width="15.81640625" bestFit="1" customWidth="1"/>
    <col min="11" max="11" width="17" bestFit="1" customWidth="1"/>
    <col min="12" max="12" width="13" bestFit="1" customWidth="1"/>
    <col min="13" max="13" width="14.54296875" bestFit="1" customWidth="1"/>
    <col min="14" max="14" width="13.1796875" customWidth="1"/>
    <col min="15" max="16" width="16.54296875" customWidth="1"/>
    <col min="17" max="17" width="12.81640625" customWidth="1" outlineLevel="1"/>
    <col min="18" max="18" width="17.1796875" customWidth="1" outlineLevel="1"/>
    <col min="19" max="19" width="14.453125" style="261" customWidth="1" outlineLevel="1"/>
    <col min="20" max="20" width="13" style="261" customWidth="1"/>
    <col min="21" max="21" width="16.453125" customWidth="1" outlineLevel="1"/>
    <col min="23" max="23" width="20.453125" hidden="1" customWidth="1" outlineLevel="1"/>
    <col min="24" max="24" width="8.81640625" collapsed="1"/>
    <col min="70" max="70" width="8.81640625" customWidth="1"/>
  </cols>
  <sheetData>
    <row r="1" spans="2:23" ht="30.75" customHeight="1" x14ac:dyDescent="0.6">
      <c r="B1" s="55"/>
      <c r="C1" s="110" t="s">
        <v>0</v>
      </c>
      <c r="D1" s="179" t="s">
        <v>1</v>
      </c>
      <c r="F1" s="506" t="s">
        <v>155</v>
      </c>
      <c r="G1" s="506"/>
      <c r="H1" s="506"/>
      <c r="I1" s="506"/>
      <c r="J1" s="506"/>
      <c r="K1" s="506"/>
      <c r="L1" s="506"/>
      <c r="M1" s="506"/>
      <c r="N1" s="506"/>
      <c r="O1" s="506"/>
      <c r="P1" s="506"/>
      <c r="Q1" s="506"/>
      <c r="R1" s="506"/>
      <c r="S1" s="506"/>
      <c r="T1" s="506"/>
    </row>
    <row r="2" spans="2:23" ht="24" customHeight="1" thickBot="1" x14ac:dyDescent="0.4">
      <c r="B2" s="55"/>
      <c r="C2" s="55"/>
      <c r="D2" s="406"/>
      <c r="F2" s="512" t="s">
        <v>3</v>
      </c>
      <c r="G2" s="512"/>
      <c r="H2" s="511" t="s">
        <v>4</v>
      </c>
      <c r="I2" s="511"/>
      <c r="J2" s="170" t="s">
        <v>5</v>
      </c>
      <c r="K2" s="170" t="s">
        <v>6</v>
      </c>
      <c r="L2" s="170" t="s">
        <v>7</v>
      </c>
      <c r="M2" s="170" t="s">
        <v>8</v>
      </c>
      <c r="N2" s="170" t="s">
        <v>9</v>
      </c>
      <c r="O2" s="170" t="s">
        <v>10</v>
      </c>
      <c r="P2" s="170"/>
      <c r="Q2" s="170"/>
      <c r="R2" s="170"/>
      <c r="S2" s="380"/>
      <c r="T2" s="390" t="s">
        <v>11</v>
      </c>
      <c r="U2" s="3"/>
      <c r="V2" s="2"/>
    </row>
    <row r="3" spans="2:23" ht="53.5" customHeight="1" thickBot="1" x14ac:dyDescent="0.4">
      <c r="B3" s="467" t="s">
        <v>12</v>
      </c>
      <c r="C3" s="55"/>
      <c r="D3" s="316" t="s">
        <v>13</v>
      </c>
      <c r="F3" s="120" t="s">
        <v>156</v>
      </c>
      <c r="G3" s="166" t="s">
        <v>15</v>
      </c>
      <c r="H3" s="120" t="s">
        <v>156</v>
      </c>
      <c r="I3" s="120" t="s">
        <v>15</v>
      </c>
      <c r="J3" s="120" t="s">
        <v>157</v>
      </c>
      <c r="K3" s="120" t="s">
        <v>158</v>
      </c>
      <c r="L3" s="120" t="s">
        <v>19</v>
      </c>
      <c r="M3" s="120" t="s">
        <v>159</v>
      </c>
      <c r="N3" s="120" t="s">
        <v>21</v>
      </c>
      <c r="O3" s="120" t="s">
        <v>22</v>
      </c>
      <c r="P3" s="120" t="s">
        <v>23</v>
      </c>
      <c r="Q3" s="120" t="s">
        <v>24</v>
      </c>
      <c r="R3" s="120" t="s">
        <v>160</v>
      </c>
      <c r="S3" s="381" t="s">
        <v>161</v>
      </c>
      <c r="T3" s="391" t="s">
        <v>27</v>
      </c>
      <c r="U3" s="5" t="s">
        <v>28</v>
      </c>
      <c r="V3" s="1"/>
      <c r="W3" s="16" t="s">
        <v>29</v>
      </c>
    </row>
    <row r="4" spans="2:23" x14ac:dyDescent="0.35">
      <c r="B4" s="111"/>
      <c r="D4" s="111"/>
      <c r="F4" s="507" t="s">
        <v>136</v>
      </c>
      <c r="G4" s="507"/>
      <c r="H4" s="507"/>
      <c r="I4" s="507"/>
      <c r="J4" s="507"/>
      <c r="K4" s="507"/>
      <c r="L4" s="507"/>
      <c r="M4" s="507"/>
      <c r="N4" s="507"/>
      <c r="O4" s="507"/>
      <c r="P4" s="507"/>
      <c r="Q4" s="507"/>
      <c r="R4" s="507"/>
      <c r="S4" s="507"/>
      <c r="T4" s="507"/>
      <c r="U4" s="21"/>
      <c r="V4" s="1"/>
      <c r="W4" s="16"/>
    </row>
    <row r="5" spans="2:23" ht="45" customHeight="1" x14ac:dyDescent="0.35">
      <c r="B5" s="203"/>
      <c r="D5" s="203"/>
      <c r="F5" s="187" t="s">
        <v>162</v>
      </c>
      <c r="G5" s="122" t="s">
        <v>163</v>
      </c>
      <c r="H5" s="187" t="s">
        <v>162</v>
      </c>
      <c r="I5" s="122" t="s">
        <v>163</v>
      </c>
      <c r="J5" s="315"/>
      <c r="K5" s="315"/>
      <c r="L5" s="315"/>
      <c r="M5" s="315"/>
      <c r="N5" s="315"/>
      <c r="O5" s="315"/>
      <c r="P5" s="315"/>
      <c r="Q5" s="315"/>
      <c r="R5" s="315"/>
      <c r="S5" s="382"/>
      <c r="T5" s="392"/>
      <c r="U5" s="45"/>
      <c r="V5" s="1"/>
      <c r="W5" s="47"/>
    </row>
    <row r="6" spans="2:23" x14ac:dyDescent="0.35">
      <c r="B6" s="203">
        <f>1</f>
        <v>1</v>
      </c>
      <c r="D6" s="203" t="s">
        <v>31</v>
      </c>
      <c r="F6" s="508"/>
      <c r="G6" s="123" t="s">
        <v>164</v>
      </c>
      <c r="H6" s="508"/>
      <c r="I6" s="123" t="s">
        <v>164</v>
      </c>
      <c r="J6" s="124">
        <v>53</v>
      </c>
      <c r="K6" s="124">
        <v>39</v>
      </c>
      <c r="L6" s="124">
        <f>J6*K6</f>
        <v>2067</v>
      </c>
      <c r="M6" s="125">
        <v>0.08</v>
      </c>
      <c r="N6" s="126">
        <f>L6*M6</f>
        <v>165.36</v>
      </c>
      <c r="O6" s="124">
        <v>165.36</v>
      </c>
      <c r="P6" s="124">
        <v>0</v>
      </c>
      <c r="Q6" s="124">
        <v>0</v>
      </c>
      <c r="R6" s="127">
        <v>0</v>
      </c>
      <c r="S6" s="383">
        <v>0</v>
      </c>
      <c r="T6" s="393">
        <f>N6-O6</f>
        <v>0</v>
      </c>
      <c r="U6" s="45"/>
      <c r="V6" s="1"/>
      <c r="W6" s="47"/>
    </row>
    <row r="7" spans="2:23" x14ac:dyDescent="0.35">
      <c r="B7" s="203">
        <f>B6+1</f>
        <v>2</v>
      </c>
      <c r="D7" s="203" t="s">
        <v>31</v>
      </c>
      <c r="F7" s="508"/>
      <c r="G7" s="123" t="s">
        <v>165</v>
      </c>
      <c r="H7" s="508"/>
      <c r="I7" s="123" t="s">
        <v>165</v>
      </c>
      <c r="J7" s="124">
        <v>53</v>
      </c>
      <c r="K7" s="124">
        <v>2</v>
      </c>
      <c r="L7" s="124">
        <f>J7*K7</f>
        <v>106</v>
      </c>
      <c r="M7" s="125">
        <v>0.08</v>
      </c>
      <c r="N7" s="126">
        <f>L7*M7</f>
        <v>8.48</v>
      </c>
      <c r="O7" s="124">
        <v>8.48</v>
      </c>
      <c r="P7" s="124">
        <v>0</v>
      </c>
      <c r="Q7" s="124">
        <v>0</v>
      </c>
      <c r="R7" s="127">
        <v>0</v>
      </c>
      <c r="S7" s="383">
        <v>0</v>
      </c>
      <c r="T7" s="393">
        <f t="shared" ref="T7:T13" si="0">N7-O7</f>
        <v>0</v>
      </c>
      <c r="U7" s="45"/>
      <c r="V7" s="1"/>
      <c r="W7" s="47"/>
    </row>
    <row r="8" spans="2:23" x14ac:dyDescent="0.35">
      <c r="B8" s="203">
        <f>B7+1</f>
        <v>3</v>
      </c>
      <c r="D8" s="203" t="s">
        <v>31</v>
      </c>
      <c r="F8" s="508"/>
      <c r="G8" s="123" t="s">
        <v>166</v>
      </c>
      <c r="H8" s="508"/>
      <c r="I8" s="123" t="s">
        <v>166</v>
      </c>
      <c r="J8" s="124">
        <v>53</v>
      </c>
      <c r="K8" s="127">
        <v>104</v>
      </c>
      <c r="L8" s="124">
        <f>J8*K8</f>
        <v>5512</v>
      </c>
      <c r="M8" s="125">
        <v>0.08</v>
      </c>
      <c r="N8" s="126">
        <f>L8*M8</f>
        <v>440.96000000000004</v>
      </c>
      <c r="O8" s="124">
        <v>440.96000000000004</v>
      </c>
      <c r="P8" s="124">
        <v>0</v>
      </c>
      <c r="Q8" s="124">
        <v>0</v>
      </c>
      <c r="R8" s="127">
        <f>+N8-O8</f>
        <v>0</v>
      </c>
      <c r="S8" s="383">
        <v>0</v>
      </c>
      <c r="T8" s="393">
        <f t="shared" si="0"/>
        <v>0</v>
      </c>
      <c r="U8" s="45"/>
      <c r="V8" s="1"/>
      <c r="W8" s="47"/>
    </row>
    <row r="9" spans="2:23" ht="43.5" hidden="1" x14ac:dyDescent="0.35">
      <c r="B9" s="203">
        <f>B8+1</f>
        <v>4</v>
      </c>
      <c r="D9" s="203"/>
      <c r="F9" s="167"/>
      <c r="G9" s="167"/>
      <c r="H9" s="128" t="s">
        <v>97</v>
      </c>
      <c r="I9" s="129" t="s">
        <v>167</v>
      </c>
      <c r="J9" s="130">
        <v>0</v>
      </c>
      <c r="K9" s="130">
        <v>0</v>
      </c>
      <c r="L9" s="131">
        <v>0</v>
      </c>
      <c r="M9" s="132">
        <v>0</v>
      </c>
      <c r="N9" s="131">
        <f>+L9*M9</f>
        <v>0</v>
      </c>
      <c r="O9" s="133">
        <v>0</v>
      </c>
      <c r="P9" s="133"/>
      <c r="Q9" s="134"/>
      <c r="R9" s="127">
        <f t="shared" ref="R9:R12" si="1">+N9-O9</f>
        <v>0</v>
      </c>
      <c r="S9" s="384"/>
      <c r="T9" s="393">
        <f t="shared" si="0"/>
        <v>0</v>
      </c>
      <c r="W9" s="46"/>
    </row>
    <row r="10" spans="2:23" ht="29" hidden="1" x14ac:dyDescent="0.35">
      <c r="B10" s="203">
        <f>B9+1</f>
        <v>5</v>
      </c>
      <c r="D10" s="203"/>
      <c r="F10" s="168"/>
      <c r="G10" s="168"/>
      <c r="H10" s="135" t="s">
        <v>99</v>
      </c>
      <c r="I10" s="135" t="s">
        <v>168</v>
      </c>
      <c r="J10" s="136">
        <v>0</v>
      </c>
      <c r="K10" s="136">
        <v>0</v>
      </c>
      <c r="L10" s="53">
        <f t="shared" ref="L10" si="2">+J10*K10</f>
        <v>0</v>
      </c>
      <c r="M10" s="137">
        <v>0</v>
      </c>
      <c r="N10" s="53">
        <v>0</v>
      </c>
      <c r="O10" s="138">
        <v>0</v>
      </c>
      <c r="P10" s="138"/>
      <c r="Q10" s="139"/>
      <c r="R10" s="127">
        <f t="shared" si="1"/>
        <v>0</v>
      </c>
      <c r="S10" s="385"/>
      <c r="T10" s="393">
        <f t="shared" si="0"/>
        <v>0</v>
      </c>
      <c r="W10" s="18" t="s">
        <v>36</v>
      </c>
    </row>
    <row r="11" spans="2:23" ht="43.5" hidden="1" customHeight="1" x14ac:dyDescent="0.35">
      <c r="B11" s="203">
        <f>B10+1</f>
        <v>6</v>
      </c>
      <c r="D11" s="203"/>
      <c r="F11" s="168"/>
      <c r="G11" s="168"/>
      <c r="H11" s="140" t="s">
        <v>169</v>
      </c>
      <c r="I11" s="116" t="s">
        <v>170</v>
      </c>
      <c r="J11" s="141">
        <v>0</v>
      </c>
      <c r="K11" s="141">
        <v>0</v>
      </c>
      <c r="L11" s="53">
        <f t="shared" ref="L11" si="3">+J11*K11</f>
        <v>0</v>
      </c>
      <c r="M11" s="142">
        <v>0</v>
      </c>
      <c r="N11" s="53">
        <v>0</v>
      </c>
      <c r="O11" s="138">
        <v>0</v>
      </c>
      <c r="P11" s="138"/>
      <c r="Q11" s="143"/>
      <c r="R11" s="127">
        <f t="shared" si="1"/>
        <v>0</v>
      </c>
      <c r="S11" s="385"/>
      <c r="T11" s="393">
        <f t="shared" si="0"/>
        <v>0</v>
      </c>
      <c r="W11" s="17"/>
    </row>
    <row r="12" spans="2:23" ht="43.5" x14ac:dyDescent="0.35">
      <c r="B12" s="203">
        <f>B8+1</f>
        <v>4</v>
      </c>
      <c r="D12" s="203" t="s">
        <v>31</v>
      </c>
      <c r="F12" s="116" t="s">
        <v>171</v>
      </c>
      <c r="G12" s="117" t="s">
        <v>172</v>
      </c>
      <c r="H12" s="116" t="s">
        <v>171</v>
      </c>
      <c r="I12" s="117" t="s">
        <v>172</v>
      </c>
      <c r="J12" s="141">
        <v>3314</v>
      </c>
      <c r="K12" s="141">
        <v>1</v>
      </c>
      <c r="L12" s="53">
        <f>+J12*K12</f>
        <v>3314</v>
      </c>
      <c r="M12" s="142">
        <v>0.08</v>
      </c>
      <c r="N12" s="144">
        <f>L12*M12</f>
        <v>265.12</v>
      </c>
      <c r="O12" s="145">
        <v>265.12</v>
      </c>
      <c r="P12" s="138">
        <v>0</v>
      </c>
      <c r="Q12" s="143">
        <v>0</v>
      </c>
      <c r="R12" s="127">
        <f t="shared" si="1"/>
        <v>0</v>
      </c>
      <c r="S12" s="385">
        <v>0</v>
      </c>
      <c r="T12" s="393">
        <f t="shared" si="0"/>
        <v>0</v>
      </c>
      <c r="W12" s="17"/>
    </row>
    <row r="13" spans="2:23" ht="159.5" x14ac:dyDescent="0.35">
      <c r="B13" s="401">
        <f>B9+1</f>
        <v>5</v>
      </c>
      <c r="D13" s="401" t="s">
        <v>53</v>
      </c>
      <c r="F13" s="423"/>
      <c r="G13" s="373"/>
      <c r="H13" s="222" t="s">
        <v>234</v>
      </c>
      <c r="I13" s="402" t="s">
        <v>233</v>
      </c>
      <c r="J13" s="229">
        <v>53</v>
      </c>
      <c r="K13" s="229">
        <v>145</v>
      </c>
      <c r="L13" s="403">
        <f>+J13*K13</f>
        <v>7685</v>
      </c>
      <c r="M13" s="231">
        <v>8.3500000000000005E-2</v>
      </c>
      <c r="N13" s="371">
        <f>L13*M13</f>
        <v>641.69749999999999</v>
      </c>
      <c r="O13" s="227">
        <v>0</v>
      </c>
      <c r="P13" s="227">
        <v>0</v>
      </c>
      <c r="Q13" s="374">
        <v>0</v>
      </c>
      <c r="R13" s="404">
        <v>0</v>
      </c>
      <c r="S13" s="370">
        <v>642</v>
      </c>
      <c r="T13" s="405">
        <v>642</v>
      </c>
      <c r="W13" s="17"/>
    </row>
    <row r="14" spans="2:23" ht="15" customHeight="1" x14ac:dyDescent="0.35">
      <c r="B14" s="212"/>
      <c r="D14" s="212"/>
      <c r="F14" s="509" t="s">
        <v>136</v>
      </c>
      <c r="G14" s="509"/>
      <c r="H14" s="509"/>
      <c r="I14" s="509"/>
      <c r="J14" s="146">
        <f>3314+53</f>
        <v>3367</v>
      </c>
      <c r="K14" s="148">
        <f>L14/J14</f>
        <v>5.5491535491535489</v>
      </c>
      <c r="L14" s="147">
        <f>SUM(L6:L13)</f>
        <v>18684</v>
      </c>
      <c r="M14" s="148">
        <f>N14/L14</f>
        <v>8.1439600727895523E-2</v>
      </c>
      <c r="N14" s="147">
        <f t="shared" ref="N14:T14" si="4">SUM(N6:N13)</f>
        <v>1521.6175000000001</v>
      </c>
      <c r="O14" s="148">
        <f t="shared" si="4"/>
        <v>879.92000000000007</v>
      </c>
      <c r="P14" s="148">
        <f t="shared" si="4"/>
        <v>0</v>
      </c>
      <c r="Q14" s="148">
        <f t="shared" si="4"/>
        <v>0</v>
      </c>
      <c r="R14" s="148">
        <f t="shared" si="4"/>
        <v>0</v>
      </c>
      <c r="S14" s="148">
        <f t="shared" si="4"/>
        <v>642</v>
      </c>
      <c r="T14" s="148">
        <f t="shared" si="4"/>
        <v>642</v>
      </c>
      <c r="W14" s="17"/>
    </row>
    <row r="15" spans="2:23" ht="18.75" customHeight="1" x14ac:dyDescent="0.35">
      <c r="B15" s="213"/>
      <c r="D15" s="213"/>
      <c r="F15" s="507" t="s">
        <v>137</v>
      </c>
      <c r="G15" s="507"/>
      <c r="H15" s="507"/>
      <c r="I15" s="507"/>
      <c r="J15" s="507"/>
      <c r="K15" s="507"/>
      <c r="L15" s="507"/>
      <c r="M15" s="507"/>
      <c r="N15" s="507"/>
      <c r="O15" s="507"/>
      <c r="P15" s="507"/>
      <c r="Q15" s="507"/>
      <c r="R15" s="507"/>
      <c r="S15" s="507"/>
      <c r="T15" s="507"/>
      <c r="U15" s="21"/>
      <c r="V15" s="1"/>
      <c r="W15" s="17"/>
    </row>
    <row r="16" spans="2:23" ht="29" x14ac:dyDescent="0.35">
      <c r="B16" s="203">
        <v>1</v>
      </c>
      <c r="D16" s="203" t="s">
        <v>31</v>
      </c>
      <c r="F16" s="156" t="s">
        <v>173</v>
      </c>
      <c r="G16" s="156" t="s">
        <v>174</v>
      </c>
      <c r="H16" s="156" t="s">
        <v>173</v>
      </c>
      <c r="I16" s="156" t="s">
        <v>174</v>
      </c>
      <c r="J16" s="157">
        <v>333</v>
      </c>
      <c r="K16" s="155">
        <v>1</v>
      </c>
      <c r="L16" s="158">
        <f>+J16*K16</f>
        <v>333</v>
      </c>
      <c r="M16" s="159">
        <v>0.3</v>
      </c>
      <c r="N16" s="159">
        <f>+L16*M16</f>
        <v>99.899999999999991</v>
      </c>
      <c r="O16" s="160">
        <v>99.899999999999991</v>
      </c>
      <c r="P16" s="155">
        <v>0</v>
      </c>
      <c r="Q16" s="155"/>
      <c r="R16" s="127">
        <f>N16-O16</f>
        <v>0</v>
      </c>
      <c r="S16" s="385"/>
      <c r="T16" s="394">
        <f>N16-O16</f>
        <v>0</v>
      </c>
      <c r="W16" s="37"/>
    </row>
    <row r="17" spans="2:23" ht="43.5" x14ac:dyDescent="0.35">
      <c r="B17" s="203">
        <f>B16+1</f>
        <v>2</v>
      </c>
      <c r="D17" s="203" t="s">
        <v>31</v>
      </c>
      <c r="F17" s="116" t="s">
        <v>171</v>
      </c>
      <c r="G17" s="116" t="s">
        <v>172</v>
      </c>
      <c r="H17" s="116" t="s">
        <v>171</v>
      </c>
      <c r="I17" s="117" t="s">
        <v>172</v>
      </c>
      <c r="J17" s="118">
        <v>2210</v>
      </c>
      <c r="K17" s="149">
        <v>1</v>
      </c>
      <c r="L17" s="150">
        <f t="shared" ref="L17" si="5">+J17*K17</f>
        <v>2210</v>
      </c>
      <c r="M17" s="151">
        <v>0.08</v>
      </c>
      <c r="N17" s="152">
        <f t="shared" ref="N17:N19" si="6">L17*M17</f>
        <v>176.8</v>
      </c>
      <c r="O17" s="153">
        <v>176.8</v>
      </c>
      <c r="P17" s="154">
        <v>0</v>
      </c>
      <c r="Q17" s="155">
        <v>0</v>
      </c>
      <c r="R17" s="126">
        <f>N17-O17</f>
        <v>0</v>
      </c>
      <c r="S17" s="385">
        <v>0</v>
      </c>
      <c r="T17" s="394">
        <f>N17-O17</f>
        <v>0</v>
      </c>
      <c r="W17" s="37"/>
    </row>
    <row r="18" spans="2:23" ht="43.5" hidden="1" x14ac:dyDescent="0.35">
      <c r="B18" s="203"/>
      <c r="D18" s="203"/>
      <c r="F18" s="424"/>
      <c r="G18" s="424"/>
      <c r="H18" s="116" t="s">
        <v>97</v>
      </c>
      <c r="I18" s="116" t="s">
        <v>140</v>
      </c>
      <c r="J18" s="118">
        <v>0</v>
      </c>
      <c r="K18" s="149">
        <v>0</v>
      </c>
      <c r="L18" s="150">
        <v>0</v>
      </c>
      <c r="M18" s="151">
        <v>0</v>
      </c>
      <c r="N18" s="150">
        <f t="shared" si="6"/>
        <v>0</v>
      </c>
      <c r="O18" s="154">
        <v>0</v>
      </c>
      <c r="P18" s="154"/>
      <c r="Q18" s="155"/>
      <c r="R18" s="126">
        <f t="shared" ref="R18:R20" si="7">N18-O18</f>
        <v>0</v>
      </c>
      <c r="S18" s="385"/>
      <c r="T18" s="394">
        <f t="shared" ref="T18:T20" si="8">N18-O18</f>
        <v>0</v>
      </c>
      <c r="W18" s="37"/>
    </row>
    <row r="19" spans="2:23" ht="29" hidden="1" x14ac:dyDescent="0.35">
      <c r="B19" s="203"/>
      <c r="D19" s="203"/>
      <c r="F19" s="424"/>
      <c r="G19" s="424"/>
      <c r="H19" s="116" t="s">
        <v>99</v>
      </c>
      <c r="I19" s="119" t="s">
        <v>175</v>
      </c>
      <c r="J19" s="118">
        <v>0</v>
      </c>
      <c r="K19" s="149">
        <v>0</v>
      </c>
      <c r="L19" s="150">
        <v>0</v>
      </c>
      <c r="M19" s="151">
        <v>0</v>
      </c>
      <c r="N19" s="150">
        <f t="shared" si="6"/>
        <v>0</v>
      </c>
      <c r="O19" s="154">
        <v>0</v>
      </c>
      <c r="P19" s="154"/>
      <c r="Q19" s="155">
        <v>0</v>
      </c>
      <c r="R19" s="126">
        <f t="shared" si="7"/>
        <v>0</v>
      </c>
      <c r="S19" s="385"/>
      <c r="T19" s="394">
        <f t="shared" si="8"/>
        <v>0</v>
      </c>
      <c r="W19" s="37"/>
    </row>
    <row r="20" spans="2:23" ht="80.5" customHeight="1" x14ac:dyDescent="0.35">
      <c r="B20" s="203">
        <f>B17+1</f>
        <v>3</v>
      </c>
      <c r="D20" s="203" t="s">
        <v>31</v>
      </c>
      <c r="F20" s="116" t="s">
        <v>176</v>
      </c>
      <c r="G20" s="116" t="s">
        <v>177</v>
      </c>
      <c r="H20" s="116" t="s">
        <v>176</v>
      </c>
      <c r="I20" s="116" t="s">
        <v>254</v>
      </c>
      <c r="J20" s="118">
        <v>840</v>
      </c>
      <c r="K20" s="149">
        <v>104</v>
      </c>
      <c r="L20" s="150">
        <f>J20*K20</f>
        <v>87360</v>
      </c>
      <c r="M20" s="151">
        <v>0.08</v>
      </c>
      <c r="N20" s="152">
        <f>L20*M20</f>
        <v>6988.8</v>
      </c>
      <c r="O20" s="153">
        <v>6988.8</v>
      </c>
      <c r="P20" s="154">
        <v>0</v>
      </c>
      <c r="Q20" s="155">
        <v>0</v>
      </c>
      <c r="R20" s="126">
        <f t="shared" si="7"/>
        <v>0</v>
      </c>
      <c r="S20" s="385">
        <v>0</v>
      </c>
      <c r="T20" s="394">
        <f t="shared" si="8"/>
        <v>0</v>
      </c>
      <c r="U20" s="58"/>
      <c r="W20" s="37"/>
    </row>
    <row r="21" spans="2:23" ht="80.5" customHeight="1" x14ac:dyDescent="0.35">
      <c r="B21" s="203"/>
      <c r="D21" s="203"/>
      <c r="F21" s="485" t="s">
        <v>260</v>
      </c>
      <c r="G21" s="485" t="s">
        <v>261</v>
      </c>
      <c r="H21" s="485" t="s">
        <v>260</v>
      </c>
      <c r="I21" s="485" t="s">
        <v>261</v>
      </c>
      <c r="J21" s="491">
        <v>20</v>
      </c>
      <c r="K21" s="486">
        <v>1</v>
      </c>
      <c r="L21" s="487">
        <f>J21*K21</f>
        <v>20</v>
      </c>
      <c r="M21" s="488">
        <v>1.25</v>
      </c>
      <c r="N21" s="488">
        <f>L21*M21</f>
        <v>25</v>
      </c>
      <c r="O21" s="489">
        <v>25</v>
      </c>
      <c r="P21" s="490">
        <v>0</v>
      </c>
      <c r="Q21" s="155"/>
      <c r="R21" s="126">
        <v>0</v>
      </c>
      <c r="S21" s="385">
        <v>0</v>
      </c>
      <c r="T21" s="394">
        <v>0</v>
      </c>
      <c r="U21" s="58"/>
      <c r="W21" s="37"/>
    </row>
    <row r="22" spans="2:23" ht="15" customHeight="1" x14ac:dyDescent="0.35">
      <c r="B22" s="212"/>
      <c r="D22" s="212"/>
      <c r="F22" s="510" t="s">
        <v>137</v>
      </c>
      <c r="G22" s="510"/>
      <c r="H22" s="510"/>
      <c r="I22" s="510"/>
      <c r="J22" s="147">
        <f>+MAX(J16:J21)</f>
        <v>2210</v>
      </c>
      <c r="K22" s="148">
        <f>L22/J22</f>
        <v>40.689140271493216</v>
      </c>
      <c r="L22" s="147">
        <f>SUM(L16:L21)</f>
        <v>89923</v>
      </c>
      <c r="M22" s="148">
        <f>N22/L22</f>
        <v>8.1080479966193303E-2</v>
      </c>
      <c r="N22" s="148">
        <v>7291</v>
      </c>
      <c r="O22" s="148">
        <f>SUM(O16:O21)</f>
        <v>7290.5</v>
      </c>
      <c r="P22" s="147">
        <f>SUM(P17:P20)</f>
        <v>0</v>
      </c>
      <c r="Q22" s="147">
        <f>SUM(Q17:Q20)</f>
        <v>0</v>
      </c>
      <c r="R22" s="147">
        <f>SUM(R16:R20)</f>
        <v>0</v>
      </c>
      <c r="S22" s="148">
        <f>SUM(S17:S20)</f>
        <v>0</v>
      </c>
      <c r="T22" s="395">
        <f>SUM(T16:T20)</f>
        <v>0</v>
      </c>
      <c r="W22" s="17"/>
    </row>
    <row r="23" spans="2:23" ht="25.5" customHeight="1" thickBot="1" x14ac:dyDescent="0.4">
      <c r="B23" s="213"/>
      <c r="D23" s="213"/>
      <c r="F23" s="425"/>
      <c r="G23" s="169"/>
      <c r="H23" s="161"/>
      <c r="I23" s="162" t="s">
        <v>178</v>
      </c>
      <c r="J23" s="163">
        <f>+J14+J22</f>
        <v>5577</v>
      </c>
      <c r="K23" s="164">
        <f>L23/J23</f>
        <v>19.474090012551549</v>
      </c>
      <c r="L23" s="163">
        <f>+L14+L22</f>
        <v>108607</v>
      </c>
      <c r="M23" s="164">
        <f>+N23/L23</f>
        <v>8.1142260627768012E-2</v>
      </c>
      <c r="N23" s="164">
        <f t="shared" ref="N23:T23" si="9">+N14+N22</f>
        <v>8812.6175000000003</v>
      </c>
      <c r="O23" s="164">
        <f t="shared" si="9"/>
        <v>8170.42</v>
      </c>
      <c r="P23" s="163">
        <f t="shared" si="9"/>
        <v>0</v>
      </c>
      <c r="Q23" s="163">
        <f t="shared" si="9"/>
        <v>0</v>
      </c>
      <c r="R23" s="163">
        <f t="shared" si="9"/>
        <v>0</v>
      </c>
      <c r="S23" s="386">
        <f t="shared" si="9"/>
        <v>642</v>
      </c>
      <c r="T23" s="396">
        <f t="shared" si="9"/>
        <v>642</v>
      </c>
    </row>
    <row r="24" spans="2:23" ht="15" thickBot="1" x14ac:dyDescent="0.4">
      <c r="I24" s="420"/>
    </row>
    <row r="25" spans="2:23" ht="50.25" customHeight="1" x14ac:dyDescent="0.35">
      <c r="I25" s="422" t="s">
        <v>149</v>
      </c>
      <c r="J25" s="416" t="str">
        <f t="shared" ref="J25:O25" si="10">+J3</f>
        <v>Estimated # Recordkeepers</v>
      </c>
      <c r="K25" s="165" t="str">
        <f t="shared" si="10"/>
        <v>Records Per Recordkeeper</v>
      </c>
      <c r="L25" s="165" t="str">
        <f t="shared" si="10"/>
        <v>Total Annual Records</v>
      </c>
      <c r="M25" s="165" t="str">
        <f t="shared" si="10"/>
        <v>Estimated Avg. # of Hours Per Record</v>
      </c>
      <c r="N25" s="165" t="str">
        <f t="shared" si="10"/>
        <v xml:space="preserve">Estimated Total Hours            </v>
      </c>
      <c r="O25" s="165" t="str">
        <f t="shared" si="10"/>
        <v>Current OMB Approved Burden Hrs</v>
      </c>
      <c r="P25" s="178" t="s">
        <v>23</v>
      </c>
      <c r="Q25" s="165" t="str">
        <f>+Q3</f>
        <v>Due to Authorizing Statute</v>
      </c>
      <c r="R25" s="165" t="str">
        <f>+R3</f>
        <v>Due to an adjustment</v>
      </c>
      <c r="S25" s="387" t="str">
        <f>+S3</f>
        <v>Due to program change</v>
      </c>
      <c r="T25" s="397" t="str">
        <f>+T3</f>
        <v>Total Difference</v>
      </c>
    </row>
    <row r="26" spans="2:23" x14ac:dyDescent="0.35">
      <c r="I26" s="272" t="s">
        <v>151</v>
      </c>
      <c r="J26" s="417">
        <f>SUM(J14)</f>
        <v>3367</v>
      </c>
      <c r="K26" s="74">
        <f>+L26/J26</f>
        <v>5.5491535491535489</v>
      </c>
      <c r="L26" s="75">
        <f>(L14)</f>
        <v>18684</v>
      </c>
      <c r="M26" s="74">
        <f>N26/L26</f>
        <v>8.1439600727895523E-2</v>
      </c>
      <c r="N26" s="74">
        <f>SUM(N14)</f>
        <v>1521.6175000000001</v>
      </c>
      <c r="O26" s="74">
        <f>(O14)</f>
        <v>879.92000000000007</v>
      </c>
      <c r="P26" s="75">
        <f>(P14)</f>
        <v>0</v>
      </c>
      <c r="Q26" s="75">
        <f>Q14</f>
        <v>0</v>
      </c>
      <c r="R26" s="74">
        <f>+R14</f>
        <v>0</v>
      </c>
      <c r="S26" s="388">
        <f>S14</f>
        <v>642</v>
      </c>
      <c r="T26" s="398">
        <f>+T14</f>
        <v>642</v>
      </c>
    </row>
    <row r="27" spans="2:23" x14ac:dyDescent="0.35">
      <c r="I27" s="272" t="s">
        <v>152</v>
      </c>
      <c r="J27" s="418">
        <f>SUM(J22)</f>
        <v>2210</v>
      </c>
      <c r="K27" s="78">
        <f>L27/J27</f>
        <v>40.689140271493216</v>
      </c>
      <c r="L27" s="76">
        <f>(L22)</f>
        <v>89923</v>
      </c>
      <c r="M27" s="78">
        <f>N27/L27</f>
        <v>8.1080479966193303E-2</v>
      </c>
      <c r="N27" s="78">
        <f>SUM(N22)</f>
        <v>7291</v>
      </c>
      <c r="O27" s="78">
        <f>(O22)</f>
        <v>7290.5</v>
      </c>
      <c r="P27" s="76">
        <f>(P22)</f>
        <v>0</v>
      </c>
      <c r="Q27" s="73">
        <f>Q22</f>
        <v>0</v>
      </c>
      <c r="R27" s="73">
        <f>+R22</f>
        <v>0</v>
      </c>
      <c r="S27" s="388">
        <f>S22</f>
        <v>0</v>
      </c>
      <c r="T27" s="398">
        <f>+T22</f>
        <v>0</v>
      </c>
    </row>
    <row r="28" spans="2:23" hidden="1" x14ac:dyDescent="0.35">
      <c r="I28" s="272"/>
      <c r="J28" s="172" t="e">
        <f>+SUMIF(#REF!,#REF!,($J$9:$J$22))</f>
        <v>#REF!</v>
      </c>
      <c r="K28" s="172" t="e">
        <f>+SUMIF(#REF!,#REF!,($K$9:$K$22))</f>
        <v>#REF!</v>
      </c>
      <c r="L28" s="172" t="e">
        <f>+SUMIF(#REF!,#REF!,($L$9:$L$22))</f>
        <v>#REF!</v>
      </c>
      <c r="M28" s="172" t="e">
        <f>+SUMIF(#REF!,#REF!,($M$9:$M$22))</f>
        <v>#REF!</v>
      </c>
      <c r="N28" s="172" t="e">
        <f>+SUMIF(#REF!,#REF!,($N$9:$N$22))</f>
        <v>#REF!</v>
      </c>
      <c r="O28" s="172" t="e">
        <f>+SUMIF(#REF!,#REF!,($O$9:$O$22))</f>
        <v>#REF!</v>
      </c>
      <c r="P28" s="172"/>
      <c r="Q28" s="172"/>
      <c r="R28" s="172"/>
      <c r="S28" s="389"/>
      <c r="T28" s="399" t="e">
        <f>+SUMIF(#REF!,#REF!,($T$9:$T$22))</f>
        <v>#REF!</v>
      </c>
    </row>
    <row r="29" spans="2:23" hidden="1" x14ac:dyDescent="0.35">
      <c r="I29" s="272"/>
      <c r="J29" s="172" t="e">
        <f>+SUMIF(#REF!,#REF!,($J$9:$J$22))</f>
        <v>#REF!</v>
      </c>
      <c r="K29" s="172" t="e">
        <f>+SUMIF(#REF!,#REF!,($K$9:$K$22))</f>
        <v>#REF!</v>
      </c>
      <c r="L29" s="172" t="e">
        <f>+SUMIF(#REF!,#REF!,($L$9:$L$22))</f>
        <v>#REF!</v>
      </c>
      <c r="M29" s="172" t="e">
        <f>+SUMIF(#REF!,#REF!,($M$9:$M$22))</f>
        <v>#REF!</v>
      </c>
      <c r="N29" s="172" t="e">
        <f>+SUMIF(#REF!,#REF!,($N$9:$N$22))</f>
        <v>#REF!</v>
      </c>
      <c r="O29" s="172" t="e">
        <f>+SUMIF(#REF!,#REF!,($O$9:$O$22))</f>
        <v>#REF!</v>
      </c>
      <c r="P29" s="172"/>
      <c r="Q29" s="172"/>
      <c r="R29" s="172"/>
      <c r="S29" s="389"/>
      <c r="T29" s="399" t="e">
        <f>+SUMIF(#REF!,#REF!,($T$9:$T$22))</f>
        <v>#REF!</v>
      </c>
    </row>
    <row r="30" spans="2:23" hidden="1" x14ac:dyDescent="0.35">
      <c r="I30" s="272"/>
      <c r="J30" s="172" t="e">
        <f>+SUMIF(#REF!,#REF!,($J$9:$J$22))</f>
        <v>#REF!</v>
      </c>
      <c r="K30" s="172" t="e">
        <f>+SUMIF(#REF!,#REF!,($K$9:$K$22))</f>
        <v>#REF!</v>
      </c>
      <c r="L30" s="172" t="e">
        <f>+SUMIF(#REF!,#REF!,($L$9:$L$22))</f>
        <v>#REF!</v>
      </c>
      <c r="M30" s="172" t="e">
        <f>+SUMIF(#REF!,#REF!,($M$9:$M$22))</f>
        <v>#REF!</v>
      </c>
      <c r="N30" s="172" t="e">
        <f>+SUMIF(#REF!,#REF!,($N$9:$N$22))</f>
        <v>#REF!</v>
      </c>
      <c r="O30" s="172" t="e">
        <f>+SUMIF(#REF!,#REF!,($O$9:$O$22))</f>
        <v>#REF!</v>
      </c>
      <c r="P30" s="172"/>
      <c r="Q30" s="172"/>
      <c r="R30" s="172"/>
      <c r="S30" s="389"/>
      <c r="T30" s="399" t="e">
        <f>+SUMIF(#REF!,#REF!,($T$9:$T$22))</f>
        <v>#REF!</v>
      </c>
    </row>
    <row r="31" spans="2:23" hidden="1" x14ac:dyDescent="0.35">
      <c r="I31" s="272"/>
      <c r="J31" s="172" t="e">
        <f>+SUMIF(#REF!,#REF!,($J$9:$J$22))</f>
        <v>#REF!</v>
      </c>
      <c r="K31" s="172" t="e">
        <f>+SUMIF(#REF!,#REF!,($K$9:$K$22))</f>
        <v>#REF!</v>
      </c>
      <c r="L31" s="172" t="e">
        <f>+SUMIF(#REF!,#REF!,($L$9:$L$22))</f>
        <v>#REF!</v>
      </c>
      <c r="M31" s="172" t="e">
        <f>+SUMIF(#REF!,#REF!,($M$9:$M$22))</f>
        <v>#REF!</v>
      </c>
      <c r="N31" s="172" t="e">
        <f>+SUMIF(#REF!,#REF!,($N$9:$N$22))</f>
        <v>#REF!</v>
      </c>
      <c r="O31" s="172" t="e">
        <f>+SUMIF(#REF!,#REF!,($O$9:$O$22))</f>
        <v>#REF!</v>
      </c>
      <c r="P31" s="172"/>
      <c r="Q31" s="172"/>
      <c r="R31" s="172"/>
      <c r="S31" s="389"/>
      <c r="T31" s="399" t="e">
        <f>+SUMIF(#REF!,#REF!,($T$9:$T$22))</f>
        <v>#REF!</v>
      </c>
    </row>
    <row r="32" spans="2:23" hidden="1" x14ac:dyDescent="0.35">
      <c r="I32" s="272"/>
      <c r="J32" s="172" t="e">
        <f>+SUMIF(#REF!,#REF!,($J$9:$J$22))</f>
        <v>#REF!</v>
      </c>
      <c r="K32" s="172" t="e">
        <f>+SUMIF(#REF!,#REF!,($K$9:$K$22))</f>
        <v>#REF!</v>
      </c>
      <c r="L32" s="172" t="e">
        <f>+SUMIF(#REF!,#REF!,($L$9:$L$22))</f>
        <v>#REF!</v>
      </c>
      <c r="M32" s="172" t="e">
        <f>+SUMIF(#REF!,#REF!,($M$9:$M$22))</f>
        <v>#REF!</v>
      </c>
      <c r="N32" s="172" t="e">
        <f>+SUMIF(#REF!,#REF!,($N$9:$N$22))</f>
        <v>#REF!</v>
      </c>
      <c r="O32" s="172" t="e">
        <f>+SUMIF(#REF!,#REF!,($O$9:$O$22))</f>
        <v>#REF!</v>
      </c>
      <c r="P32" s="172"/>
      <c r="Q32" s="172"/>
      <c r="R32" s="172"/>
      <c r="S32" s="389"/>
      <c r="T32" s="399" t="e">
        <f>+SUMIF(#REF!,#REF!,($T$9:$T$22))</f>
        <v>#REF!</v>
      </c>
    </row>
    <row r="33" spans="9:20" hidden="1" x14ac:dyDescent="0.35">
      <c r="I33" s="272"/>
      <c r="J33" s="172" t="e">
        <f>+SUMIF(#REF!,#REF!,($J$9:$J$22))</f>
        <v>#REF!</v>
      </c>
      <c r="K33" s="172" t="e">
        <f>+SUMIF(#REF!,#REF!,($K$9:$K$22))</f>
        <v>#REF!</v>
      </c>
      <c r="L33" s="172" t="e">
        <f>+SUMIF(#REF!,#REF!,($L$9:$L$22))</f>
        <v>#REF!</v>
      </c>
      <c r="M33" s="172" t="e">
        <f>+SUMIF(#REF!,#REF!,($M$9:$M$22))</f>
        <v>#REF!</v>
      </c>
      <c r="N33" s="172" t="e">
        <f>+SUMIF(#REF!,#REF!,($N$9:$N$22))</f>
        <v>#REF!</v>
      </c>
      <c r="O33" s="172" t="e">
        <f>+SUMIF(#REF!,#REF!,($O$9:$O$22))</f>
        <v>#REF!</v>
      </c>
      <c r="P33" s="172"/>
      <c r="Q33" s="172"/>
      <c r="R33" s="172"/>
      <c r="S33" s="389"/>
      <c r="T33" s="399" t="e">
        <f>+SUMIF(#REF!,#REF!,($T$9:$T$22))</f>
        <v>#REF!</v>
      </c>
    </row>
    <row r="34" spans="9:20" hidden="1" x14ac:dyDescent="0.35">
      <c r="I34" s="272"/>
      <c r="J34" s="172" t="e">
        <f>+SUMIF(#REF!,#REF!,($J$9:$J$22))</f>
        <v>#REF!</v>
      </c>
      <c r="K34" s="172" t="e">
        <f>+SUMIF(#REF!,#REF!,($K$9:$K$22))</f>
        <v>#REF!</v>
      </c>
      <c r="L34" s="172" t="e">
        <f>+SUMIF(#REF!,#REF!,($L$9:$L$22))</f>
        <v>#REF!</v>
      </c>
      <c r="M34" s="172" t="e">
        <f>+SUMIF(#REF!,#REF!,($M$9:$M$22))</f>
        <v>#REF!</v>
      </c>
      <c r="N34" s="172" t="e">
        <f>+SUMIF(#REF!,#REF!,($N$9:$N$22))</f>
        <v>#REF!</v>
      </c>
      <c r="O34" s="172" t="e">
        <f>+SUMIF(#REF!,#REF!,($O$9:$O$22))</f>
        <v>#REF!</v>
      </c>
      <c r="P34" s="172"/>
      <c r="Q34" s="172"/>
      <c r="R34" s="172"/>
      <c r="S34" s="389"/>
      <c r="T34" s="399" t="e">
        <f>+SUMIF(#REF!,#REF!,($T$9:$T$22))</f>
        <v>#REF!</v>
      </c>
    </row>
    <row r="35" spans="9:20" ht="15" thickBot="1" x14ac:dyDescent="0.4">
      <c r="I35" s="421" t="s">
        <v>154</v>
      </c>
      <c r="J35" s="419">
        <f>SUM(J26:J27)</f>
        <v>5577</v>
      </c>
      <c r="K35" s="174">
        <f>L35/J35</f>
        <v>19.474090012551549</v>
      </c>
      <c r="L35" s="175">
        <f>SUM(L26:L27)</f>
        <v>108607</v>
      </c>
      <c r="M35" s="174">
        <f>N35/L35</f>
        <v>8.1142260627768012E-2</v>
      </c>
      <c r="N35" s="176">
        <f>SUM(N26:N27)</f>
        <v>8812.6175000000003</v>
      </c>
      <c r="O35" s="176">
        <f>SUM(O26:O27)</f>
        <v>8170.42</v>
      </c>
      <c r="P35" s="175">
        <f>SUM(P26:P34)</f>
        <v>0</v>
      </c>
      <c r="Q35" s="175">
        <f t="shared" ref="Q35:S35" si="11">SUM(Q26:Q34)</f>
        <v>0</v>
      </c>
      <c r="R35" s="176">
        <f>SUM(R26:R34)</f>
        <v>0</v>
      </c>
      <c r="S35" s="176">
        <f t="shared" si="11"/>
        <v>642</v>
      </c>
      <c r="T35" s="400">
        <f>SUM(T26:T27)</f>
        <v>642</v>
      </c>
    </row>
    <row r="42" spans="9:20" x14ac:dyDescent="0.35">
      <c r="I42" s="55"/>
    </row>
    <row r="44" spans="9:20" ht="34.5" customHeight="1" x14ac:dyDescent="0.35">
      <c r="I44" s="499"/>
      <c r="J44" s="499"/>
      <c r="K44" s="499"/>
      <c r="L44" s="499"/>
      <c r="M44" s="499"/>
      <c r="N44" s="499"/>
      <c r="O44" s="499"/>
      <c r="P44" s="499"/>
      <c r="Q44" s="499"/>
      <c r="R44" s="499"/>
      <c r="S44" s="499"/>
      <c r="T44" s="499"/>
    </row>
  </sheetData>
  <sheetProtection selectLockedCells="1"/>
  <autoFilter ref="F3:T23" xr:uid="{00000000-0009-0000-0000-000001000000}"/>
  <dataConsolidate/>
  <mergeCells count="10">
    <mergeCell ref="I44:T44"/>
    <mergeCell ref="F1:T1"/>
    <mergeCell ref="F4:T4"/>
    <mergeCell ref="F15:T15"/>
    <mergeCell ref="H6:H8"/>
    <mergeCell ref="F14:I14"/>
    <mergeCell ref="F22:I22"/>
    <mergeCell ref="H2:I2"/>
    <mergeCell ref="F2:G2"/>
    <mergeCell ref="F6:F8"/>
  </mergeCells>
  <dataValidations count="1">
    <dataValidation type="list" allowBlank="1" showInputMessage="1" showErrorMessage="1" sqref="F18:G19 F9:G11 F13:G13" xr:uid="{00000000-0002-0000-0100-000000000000}">
      <formula1>$W$10:$W$22</formula1>
    </dataValidation>
  </dataValidations>
  <printOptions horizontalCentered="1"/>
  <pageMargins left="0.7" right="0.7" top="0.75" bottom="0.75" header="0.3" footer="0.3"/>
  <pageSetup paperSize="5" scale="64" fitToHeight="0" orientation="landscape" r:id="rId1"/>
  <headerFooter>
    <oddHeader>&amp;CAttachment A - Burden Chart for OMB Control #0584-0280 
&amp;"-,Bold"&amp;12 7 CFR Part 225 - Summer Food Service Program (SFSP)</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22"/>
  <sheetViews>
    <sheetView showGridLines="0" topLeftCell="K1" zoomScale="90" zoomScaleNormal="90" zoomScalePageLayoutView="90" workbookViewId="0">
      <selection activeCell="V5" sqref="V5"/>
    </sheetView>
  </sheetViews>
  <sheetFormatPr defaultRowHeight="14.5" x14ac:dyDescent="0.35"/>
  <cols>
    <col min="2" max="2" width="10.1796875" customWidth="1"/>
    <col min="4" max="4" width="40.1796875" bestFit="1" customWidth="1"/>
    <col min="7" max="7" width="13.81640625" customWidth="1"/>
    <col min="8" max="8" width="42.1796875" customWidth="1"/>
    <col min="9" max="9" width="13.453125" customWidth="1"/>
    <col min="10" max="10" width="42.1796875" customWidth="1"/>
    <col min="11" max="11" width="13.1796875" customWidth="1"/>
    <col min="12" max="12" width="12.81640625" customWidth="1"/>
    <col min="13" max="13" width="10.54296875" customWidth="1"/>
    <col min="14" max="14" width="13.54296875" customWidth="1"/>
    <col min="15" max="15" width="14.1796875" customWidth="1"/>
    <col min="16" max="17" width="17.453125" customWidth="1"/>
    <col min="18" max="18" width="13.1796875" customWidth="1"/>
    <col min="19" max="19" width="16" customWidth="1"/>
    <col min="20" max="20" width="12.54296875" customWidth="1"/>
    <col min="21" max="21" width="21.81640625" customWidth="1"/>
  </cols>
  <sheetData>
    <row r="1" spans="1:21" ht="26" x14ac:dyDescent="0.6">
      <c r="B1" s="190"/>
      <c r="C1" s="196" t="s">
        <v>0</v>
      </c>
      <c r="D1" s="407" t="s">
        <v>1</v>
      </c>
      <c r="G1" s="506" t="s">
        <v>179</v>
      </c>
      <c r="H1" s="506"/>
      <c r="I1" s="506"/>
      <c r="J1" s="506"/>
      <c r="K1" s="506"/>
      <c r="L1" s="506"/>
      <c r="M1" s="506"/>
      <c r="N1" s="506"/>
      <c r="O1" s="506"/>
      <c r="P1" s="506"/>
      <c r="Q1" s="506"/>
      <c r="R1" s="506"/>
      <c r="S1" s="506"/>
      <c r="T1" s="506"/>
      <c r="U1" s="506"/>
    </row>
    <row r="2" spans="1:21" ht="21" customHeight="1" x14ac:dyDescent="0.35">
      <c r="A2" s="189"/>
      <c r="B2" s="190"/>
      <c r="C2" s="190"/>
      <c r="D2" s="334"/>
      <c r="G2" s="512" t="s">
        <v>3</v>
      </c>
      <c r="H2" s="512"/>
      <c r="I2" s="511" t="s">
        <v>4</v>
      </c>
      <c r="J2" s="511"/>
      <c r="K2" s="170" t="s">
        <v>5</v>
      </c>
      <c r="L2" s="170" t="s">
        <v>6</v>
      </c>
      <c r="M2" s="170" t="s">
        <v>7</v>
      </c>
      <c r="N2" s="170" t="s">
        <v>8</v>
      </c>
      <c r="O2" s="170" t="s">
        <v>9</v>
      </c>
      <c r="P2" s="170" t="s">
        <v>10</v>
      </c>
      <c r="Q2" s="170"/>
      <c r="R2" s="170"/>
      <c r="S2" s="170"/>
      <c r="T2" s="170"/>
      <c r="U2" s="171" t="s">
        <v>11</v>
      </c>
    </row>
    <row r="3" spans="1:21" ht="60" customHeight="1" x14ac:dyDescent="0.35">
      <c r="B3" s="191" t="s">
        <v>12</v>
      </c>
      <c r="C3" s="190"/>
      <c r="D3" s="195" t="s">
        <v>13</v>
      </c>
      <c r="G3" s="166" t="s">
        <v>156</v>
      </c>
      <c r="H3" s="166" t="s">
        <v>15</v>
      </c>
      <c r="I3" s="120" t="s">
        <v>156</v>
      </c>
      <c r="J3" s="120" t="s">
        <v>15</v>
      </c>
      <c r="K3" s="120" t="s">
        <v>17</v>
      </c>
      <c r="L3" s="120" t="s">
        <v>180</v>
      </c>
      <c r="M3" s="120" t="s">
        <v>181</v>
      </c>
      <c r="N3" s="120" t="s">
        <v>182</v>
      </c>
      <c r="O3" s="120" t="s">
        <v>21</v>
      </c>
      <c r="P3" s="120" t="s">
        <v>22</v>
      </c>
      <c r="Q3" s="120" t="s">
        <v>23</v>
      </c>
      <c r="R3" s="120" t="s">
        <v>24</v>
      </c>
      <c r="S3" s="120" t="s">
        <v>160</v>
      </c>
      <c r="T3" s="120" t="s">
        <v>183</v>
      </c>
      <c r="U3" s="121" t="s">
        <v>27</v>
      </c>
    </row>
    <row r="4" spans="1:21" x14ac:dyDescent="0.35">
      <c r="B4" s="192"/>
      <c r="D4" s="111"/>
      <c r="G4" s="515" t="s">
        <v>136</v>
      </c>
      <c r="H4" s="515"/>
      <c r="I4" s="515"/>
      <c r="J4" s="515"/>
      <c r="K4" s="515"/>
      <c r="L4" s="515"/>
      <c r="M4" s="515"/>
      <c r="N4" s="515"/>
      <c r="O4" s="515"/>
      <c r="P4" s="515"/>
      <c r="Q4" s="515"/>
      <c r="R4" s="515"/>
      <c r="S4" s="515"/>
      <c r="T4" s="515"/>
      <c r="U4" s="516"/>
    </row>
    <row r="5" spans="1:21" ht="113" customHeight="1" x14ac:dyDescent="0.35">
      <c r="B5" s="401">
        <f>1</f>
        <v>1</v>
      </c>
      <c r="D5" s="401" t="s">
        <v>53</v>
      </c>
      <c r="G5" s="222"/>
      <c r="H5" s="222"/>
      <c r="I5" s="222" t="s">
        <v>245</v>
      </c>
      <c r="J5" s="222" t="s">
        <v>250</v>
      </c>
      <c r="K5" s="464">
        <v>53</v>
      </c>
      <c r="L5" s="464">
        <f>ROUND(((2210*0.06)/K5), 0)</f>
        <v>3</v>
      </c>
      <c r="M5" s="465">
        <f>K5*L5</f>
        <v>159</v>
      </c>
      <c r="N5" s="466">
        <v>0.25</v>
      </c>
      <c r="O5" s="371">
        <f>M5*N5</f>
        <v>39.75</v>
      </c>
      <c r="P5" s="226">
        <v>0</v>
      </c>
      <c r="Q5" s="227">
        <v>0</v>
      </c>
      <c r="R5" s="226">
        <v>0</v>
      </c>
      <c r="S5" s="226">
        <v>0</v>
      </c>
      <c r="T5" s="226">
        <f>O5</f>
        <v>39.75</v>
      </c>
      <c r="U5" s="228">
        <v>39.75</v>
      </c>
    </row>
    <row r="6" spans="1:21" ht="58.4" customHeight="1" x14ac:dyDescent="0.35">
      <c r="B6" s="463">
        <f>B5+1</f>
        <v>2</v>
      </c>
      <c r="D6" s="203" t="s">
        <v>31</v>
      </c>
      <c r="G6" s="180" t="s">
        <v>184</v>
      </c>
      <c r="H6" s="180" t="s">
        <v>185</v>
      </c>
      <c r="I6" s="180" t="s">
        <v>184</v>
      </c>
      <c r="J6" s="180" t="s">
        <v>185</v>
      </c>
      <c r="K6" s="41">
        <v>53</v>
      </c>
      <c r="L6" s="41">
        <v>1</v>
      </c>
      <c r="M6" s="181">
        <f>K6*L6</f>
        <v>53</v>
      </c>
      <c r="N6" s="42">
        <v>0.25</v>
      </c>
      <c r="O6" s="472">
        <f>M6*N6</f>
        <v>13.25</v>
      </c>
      <c r="P6" s="183">
        <v>13.25</v>
      </c>
      <c r="Q6" s="183">
        <v>0</v>
      </c>
      <c r="R6" s="182">
        <v>0</v>
      </c>
      <c r="S6" s="182">
        <f>O6-P6</f>
        <v>0</v>
      </c>
      <c r="T6" s="183">
        <v>0</v>
      </c>
      <c r="U6" s="210">
        <f>O6-P6</f>
        <v>0</v>
      </c>
    </row>
    <row r="7" spans="1:21" ht="90.65" customHeight="1" x14ac:dyDescent="0.35">
      <c r="B7" s="463">
        <f>B6+1</f>
        <v>3</v>
      </c>
      <c r="D7" s="203" t="s">
        <v>31</v>
      </c>
      <c r="G7" s="180" t="s">
        <v>184</v>
      </c>
      <c r="H7" s="180" t="s">
        <v>186</v>
      </c>
      <c r="I7" s="180" t="s">
        <v>184</v>
      </c>
      <c r="J7" s="180" t="s">
        <v>186</v>
      </c>
      <c r="K7" s="41">
        <v>3314</v>
      </c>
      <c r="L7" s="41">
        <v>1</v>
      </c>
      <c r="M7" s="181">
        <f>K7*L7</f>
        <v>3314</v>
      </c>
      <c r="N7" s="42">
        <v>0.25</v>
      </c>
      <c r="O7" s="87">
        <v>828</v>
      </c>
      <c r="P7" s="182">
        <v>828</v>
      </c>
      <c r="Q7" s="183">
        <v>0</v>
      </c>
      <c r="R7" s="182">
        <v>0</v>
      </c>
      <c r="S7" s="182">
        <f>O7-P7</f>
        <v>0</v>
      </c>
      <c r="T7" s="183">
        <v>0</v>
      </c>
      <c r="U7" s="210">
        <f>O7-P7</f>
        <v>0</v>
      </c>
    </row>
    <row r="8" spans="1:21" ht="15.5" x14ac:dyDescent="0.35">
      <c r="B8" s="215"/>
      <c r="D8" s="204"/>
      <c r="G8" s="513" t="s">
        <v>136</v>
      </c>
      <c r="H8" s="513"/>
      <c r="I8" s="513"/>
      <c r="J8" s="514"/>
      <c r="K8" s="35">
        <f>3314+53</f>
        <v>3367</v>
      </c>
      <c r="L8" s="35">
        <f>M8/K8</f>
        <v>1.0472230472230473</v>
      </c>
      <c r="M8" s="35">
        <f>SUM(M5:M7)</f>
        <v>3526</v>
      </c>
      <c r="N8" s="62">
        <f>O8/M8</f>
        <v>0.24985819625638117</v>
      </c>
      <c r="O8" s="97">
        <f>SUM(O5:O7)</f>
        <v>881</v>
      </c>
      <c r="P8" s="97">
        <f t="shared" ref="P8:U8" si="0">SUM(P5:P7)</f>
        <v>841.25</v>
      </c>
      <c r="Q8" s="97">
        <f t="shared" si="0"/>
        <v>0</v>
      </c>
      <c r="R8" s="97">
        <f t="shared" si="0"/>
        <v>0</v>
      </c>
      <c r="S8" s="97">
        <f t="shared" si="0"/>
        <v>0</v>
      </c>
      <c r="T8" s="97">
        <f t="shared" si="0"/>
        <v>39.75</v>
      </c>
      <c r="U8" s="97">
        <f t="shared" si="0"/>
        <v>39.75</v>
      </c>
    </row>
    <row r="9" spans="1:21" x14ac:dyDescent="0.35">
      <c r="B9" s="216"/>
      <c r="D9" s="213"/>
      <c r="G9" s="515" t="s">
        <v>187</v>
      </c>
      <c r="H9" s="515"/>
      <c r="I9" s="515"/>
      <c r="J9" s="515"/>
      <c r="K9" s="515"/>
      <c r="L9" s="515"/>
      <c r="M9" s="515"/>
      <c r="N9" s="515"/>
      <c r="O9" s="515"/>
      <c r="P9" s="515"/>
      <c r="Q9" s="515"/>
      <c r="R9" s="515"/>
      <c r="S9" s="515"/>
      <c r="T9" s="515"/>
      <c r="U9" s="516"/>
    </row>
    <row r="10" spans="1:21" ht="87.65" customHeight="1" x14ac:dyDescent="0.35">
      <c r="B10" s="214">
        <f>B7+1</f>
        <v>4</v>
      </c>
      <c r="D10" s="203" t="s">
        <v>31</v>
      </c>
      <c r="G10" s="180" t="s">
        <v>184</v>
      </c>
      <c r="H10" s="180" t="s">
        <v>186</v>
      </c>
      <c r="I10" s="180" t="s">
        <v>184</v>
      </c>
      <c r="J10" s="180" t="s">
        <v>186</v>
      </c>
      <c r="K10" s="94">
        <v>2210</v>
      </c>
      <c r="L10" s="94">
        <v>1</v>
      </c>
      <c r="M10" s="184">
        <f>K10*L10</f>
        <v>2210</v>
      </c>
      <c r="N10" s="95">
        <v>0.25</v>
      </c>
      <c r="O10" s="475">
        <f>M10*N10</f>
        <v>552.5</v>
      </c>
      <c r="P10" s="185">
        <v>552.5</v>
      </c>
      <c r="Q10" s="185">
        <v>0</v>
      </c>
      <c r="R10" s="186">
        <v>0</v>
      </c>
      <c r="S10" s="88">
        <f>O10-P10</f>
        <v>0</v>
      </c>
      <c r="T10" s="61">
        <v>0</v>
      </c>
      <c r="U10" s="211">
        <f>O10-P10</f>
        <v>0</v>
      </c>
    </row>
    <row r="11" spans="1:21" ht="15.65" customHeight="1" x14ac:dyDescent="0.35">
      <c r="B11" s="215"/>
      <c r="D11" s="204"/>
      <c r="G11" s="513" t="s">
        <v>187</v>
      </c>
      <c r="H11" s="513"/>
      <c r="I11" s="513"/>
      <c r="J11" s="514"/>
      <c r="K11" s="90">
        <f>+MAX(K10)</f>
        <v>2210</v>
      </c>
      <c r="L11" s="90">
        <f>M11/K11</f>
        <v>1</v>
      </c>
      <c r="M11" s="90">
        <f>SUM(M10:M10)</f>
        <v>2210</v>
      </c>
      <c r="N11" s="91">
        <f>O11/M11</f>
        <v>0.25</v>
      </c>
      <c r="O11" s="476">
        <f>SUM(O10:O10)</f>
        <v>552.5</v>
      </c>
      <c r="P11" s="90">
        <f>SUM(P10:P10)</f>
        <v>552.5</v>
      </c>
      <c r="Q11" s="90">
        <v>0</v>
      </c>
      <c r="R11" s="92">
        <f>SUM(R10)</f>
        <v>0</v>
      </c>
      <c r="S11" s="92">
        <f>SUM(S10)</f>
        <v>0</v>
      </c>
      <c r="T11" s="92">
        <f>SUM(T10)</f>
        <v>0</v>
      </c>
      <c r="U11" s="93">
        <f>SUM(U10:U10)</f>
        <v>0</v>
      </c>
    </row>
    <row r="12" spans="1:21" ht="16" thickBot="1" x14ac:dyDescent="0.4">
      <c r="B12" s="216"/>
      <c r="D12" s="111"/>
      <c r="G12" s="188"/>
      <c r="H12" s="188"/>
      <c r="I12" s="22"/>
      <c r="J12" s="23" t="s">
        <v>188</v>
      </c>
      <c r="K12" s="34">
        <f>+K11+K8</f>
        <v>5577</v>
      </c>
      <c r="L12" s="63">
        <f>M12/K12</f>
        <v>1.0285099515868747</v>
      </c>
      <c r="M12" s="34">
        <f>+M11+M8</f>
        <v>5736</v>
      </c>
      <c r="N12" s="33">
        <f>O12/M12</f>
        <v>0.24991283124128313</v>
      </c>
      <c r="O12" s="96">
        <f t="shared" ref="O12:U12" si="1">+O11+O8</f>
        <v>1433.5</v>
      </c>
      <c r="P12" s="479">
        <f t="shared" si="1"/>
        <v>1393.75</v>
      </c>
      <c r="Q12" s="34">
        <f t="shared" si="1"/>
        <v>0</v>
      </c>
      <c r="R12" s="33">
        <f t="shared" si="1"/>
        <v>0</v>
      </c>
      <c r="S12" s="34">
        <f t="shared" si="1"/>
        <v>0</v>
      </c>
      <c r="T12" s="33">
        <f>+T11+T8</f>
        <v>39.75</v>
      </c>
      <c r="U12" s="312">
        <f t="shared" si="1"/>
        <v>39.75</v>
      </c>
    </row>
    <row r="13" spans="1:21" ht="15" thickBot="1" x14ac:dyDescent="0.4">
      <c r="J13" s="420"/>
    </row>
    <row r="14" spans="1:21" ht="62" x14ac:dyDescent="0.35">
      <c r="J14" s="422" t="s">
        <v>149</v>
      </c>
      <c r="K14" s="24" t="str">
        <f t="shared" ref="K14:P14" si="2">+K3</f>
        <v>Estimated # Respondents</v>
      </c>
      <c r="L14" s="24" t="str">
        <f t="shared" si="2"/>
        <v>Disclosures Per Respondent</v>
      </c>
      <c r="M14" s="24" t="str">
        <f t="shared" si="2"/>
        <v>Total Annual Disclosures</v>
      </c>
      <c r="N14" s="24" t="str">
        <f t="shared" si="2"/>
        <v>Estimated Avg. # of Hours Per Disclosure</v>
      </c>
      <c r="O14" s="24" t="str">
        <f t="shared" si="2"/>
        <v xml:space="preserve">Estimated Total Hours            </v>
      </c>
      <c r="P14" s="81" t="str">
        <f t="shared" si="2"/>
        <v>Current OMB Approved Burden Hrs</v>
      </c>
      <c r="Q14" s="194" t="s">
        <v>23</v>
      </c>
      <c r="R14" s="82" t="str">
        <f>+R3</f>
        <v>Due to Authorizing Statute</v>
      </c>
      <c r="S14" s="24" t="str">
        <f>+S3</f>
        <v>Due to an adjustment</v>
      </c>
      <c r="T14" s="24" t="str">
        <f>+T3</f>
        <v>Due to a program change</v>
      </c>
      <c r="U14" s="25" t="str">
        <f>+U3</f>
        <v>Total Difference</v>
      </c>
    </row>
    <row r="15" spans="1:21" ht="15.5" x14ac:dyDescent="0.35">
      <c r="J15" s="272" t="s">
        <v>189</v>
      </c>
      <c r="K15" s="76">
        <f>SUM(K8)</f>
        <v>3367</v>
      </c>
      <c r="L15" s="76">
        <f>M15/K15</f>
        <v>1.0472230472230473</v>
      </c>
      <c r="M15" s="76">
        <f>SUM(M8)</f>
        <v>3526</v>
      </c>
      <c r="N15" s="74">
        <f>O15/M15</f>
        <v>0.24985819625638117</v>
      </c>
      <c r="O15" s="74">
        <f>(O8)</f>
        <v>881</v>
      </c>
      <c r="P15" s="89">
        <f>P8</f>
        <v>841.25</v>
      </c>
      <c r="Q15" s="83">
        <f>Q8</f>
        <v>0</v>
      </c>
      <c r="R15" s="77">
        <v>0</v>
      </c>
      <c r="S15" s="83">
        <f>S8</f>
        <v>0</v>
      </c>
      <c r="T15" s="79">
        <f>T8</f>
        <v>39.75</v>
      </c>
      <c r="U15" s="193">
        <f>O15-P15</f>
        <v>39.75</v>
      </c>
    </row>
    <row r="16" spans="1:21" x14ac:dyDescent="0.35">
      <c r="J16" s="272" t="s">
        <v>152</v>
      </c>
      <c r="K16" s="76">
        <f>SUM(K11)</f>
        <v>2210</v>
      </c>
      <c r="L16" s="76">
        <f>M16/K16</f>
        <v>1</v>
      </c>
      <c r="M16" s="76">
        <f>SUM(M11)</f>
        <v>2210</v>
      </c>
      <c r="N16" s="74">
        <f>O16/M16</f>
        <v>0.25</v>
      </c>
      <c r="O16" s="75">
        <f>SUM(O11)</f>
        <v>552.5</v>
      </c>
      <c r="P16" s="477">
        <f>P10</f>
        <v>552.5</v>
      </c>
      <c r="Q16" s="76">
        <f>Q11</f>
        <v>0</v>
      </c>
      <c r="R16" s="76">
        <f t="shared" ref="R16:S16" si="3">R10</f>
        <v>0</v>
      </c>
      <c r="S16" s="76">
        <f t="shared" si="3"/>
        <v>0</v>
      </c>
      <c r="T16" s="76">
        <v>0</v>
      </c>
      <c r="U16" s="193">
        <f>O16-P16</f>
        <v>0</v>
      </c>
    </row>
    <row r="17" spans="10:21" ht="15" thickBot="1" x14ac:dyDescent="0.4">
      <c r="J17" s="421" t="s">
        <v>154</v>
      </c>
      <c r="K17" s="173">
        <f>SUM(K15:K16)</f>
        <v>5577</v>
      </c>
      <c r="L17" s="174">
        <f>M17/K17</f>
        <v>1.0285099515868747</v>
      </c>
      <c r="M17" s="175">
        <f>SUM(M15:M16)</f>
        <v>5736</v>
      </c>
      <c r="N17" s="174">
        <f>O17/M17</f>
        <v>0.24991283124128313</v>
      </c>
      <c r="O17" s="176">
        <f>SUM(O15:O16)</f>
        <v>1433.5</v>
      </c>
      <c r="P17" s="176">
        <f>SUM(P15:P16)</f>
        <v>1393.75</v>
      </c>
      <c r="Q17" s="175">
        <f>SUM(Q15:Q16)</f>
        <v>0</v>
      </c>
      <c r="R17" s="175">
        <f t="shared" ref="R17" si="4">SUM(R16:R16)</f>
        <v>0</v>
      </c>
      <c r="S17" s="175">
        <f>SUM(S15:S16)</f>
        <v>0</v>
      </c>
      <c r="T17" s="175">
        <f>SUM(T15:T16)</f>
        <v>39.75</v>
      </c>
      <c r="U17" s="177">
        <f>SUM(U15:U16)</f>
        <v>39.75</v>
      </c>
    </row>
    <row r="22" spans="10:21" x14ac:dyDescent="0.35">
      <c r="N22" s="64"/>
    </row>
  </sheetData>
  <mergeCells count="7">
    <mergeCell ref="G11:J11"/>
    <mergeCell ref="G1:U1"/>
    <mergeCell ref="G4:U4"/>
    <mergeCell ref="G8:J8"/>
    <mergeCell ref="G9:U9"/>
    <mergeCell ref="I2:J2"/>
    <mergeCell ref="G2:H2"/>
  </mergeCells>
  <pageMargins left="0.7" right="0.7" top="0.75" bottom="0.75" header="0.3" footer="0.3"/>
  <pageSetup paperSize="5" scale="73" fitToHeight="0" orientation="landscape" r:id="rId1"/>
  <headerFooter>
    <oddHeader>&amp;C&amp;"-,Bold"Attachment A - Burden Chart for OMB Control #0584-0280
7 CFR Part 225 - Summer Food Service Program (SFSP)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O32"/>
  <sheetViews>
    <sheetView showGridLines="0" zoomScale="90" zoomScaleNormal="90" workbookViewId="0">
      <selection activeCell="I17" sqref="I17"/>
    </sheetView>
  </sheetViews>
  <sheetFormatPr defaultRowHeight="14.5" x14ac:dyDescent="0.35"/>
  <cols>
    <col min="1" max="1" width="29.81640625" customWidth="1"/>
    <col min="2" max="2" width="12.1796875" style="261" bestFit="1" customWidth="1"/>
    <col min="3" max="3" width="13.81640625" style="261" bestFit="1" customWidth="1"/>
    <col min="4" max="4" width="18.81640625" style="261" bestFit="1" customWidth="1"/>
    <col min="5" max="5" width="18.54296875" style="261" bestFit="1" customWidth="1"/>
    <col min="6" max="6" width="15" bestFit="1" customWidth="1"/>
    <col min="7" max="7" width="13.1796875" style="261" bestFit="1" customWidth="1"/>
    <col min="8" max="9" width="16.453125" style="261" bestFit="1" customWidth="1"/>
    <col min="10" max="10" width="13.1796875" style="261" bestFit="1" customWidth="1"/>
    <col min="12" max="12" width="13" customWidth="1"/>
    <col min="13" max="13" width="17.1796875" customWidth="1"/>
    <col min="14" max="14" width="10.1796875" bestFit="1" customWidth="1"/>
    <col min="15" max="15" width="11.54296875" bestFit="1" customWidth="1"/>
  </cols>
  <sheetData>
    <row r="1" spans="1:13" ht="15" customHeight="1" x14ac:dyDescent="0.35">
      <c r="A1" s="517" t="s">
        <v>190</v>
      </c>
      <c r="B1" s="518"/>
      <c r="C1" s="518"/>
      <c r="D1" s="518"/>
      <c r="E1" s="518"/>
      <c r="F1" s="518"/>
      <c r="G1" s="518"/>
      <c r="H1" s="518"/>
      <c r="I1" s="518"/>
      <c r="J1" s="518"/>
    </row>
    <row r="2" spans="1:13" ht="13.5" customHeight="1" x14ac:dyDescent="0.35">
      <c r="A2" s="517"/>
      <c r="B2" s="518"/>
      <c r="C2" s="518"/>
      <c r="D2" s="518"/>
      <c r="E2" s="518"/>
      <c r="F2" s="518"/>
      <c r="G2" s="518"/>
      <c r="H2" s="518"/>
      <c r="I2" s="518"/>
      <c r="J2" s="518"/>
    </row>
    <row r="3" spans="1:13" ht="48" customHeight="1" x14ac:dyDescent="0.35">
      <c r="A3" s="13" t="s">
        <v>191</v>
      </c>
      <c r="B3" s="440" t="s">
        <v>17</v>
      </c>
      <c r="C3" s="440" t="s">
        <v>192</v>
      </c>
      <c r="D3" s="440" t="s">
        <v>193</v>
      </c>
      <c r="E3" s="440" t="s">
        <v>20</v>
      </c>
      <c r="F3" s="13" t="s">
        <v>194</v>
      </c>
      <c r="G3" s="434" t="s">
        <v>195</v>
      </c>
      <c r="H3" s="434" t="s">
        <v>196</v>
      </c>
      <c r="I3" s="434" t="s">
        <v>197</v>
      </c>
      <c r="J3" s="434" t="s">
        <v>198</v>
      </c>
    </row>
    <row r="4" spans="1:13" ht="15" x14ac:dyDescent="0.35">
      <c r="A4" s="12" t="s">
        <v>199</v>
      </c>
      <c r="B4" s="441"/>
      <c r="C4" s="441"/>
      <c r="D4" s="441"/>
      <c r="E4" s="441"/>
      <c r="F4" s="11"/>
      <c r="G4" s="435"/>
      <c r="H4" s="435"/>
      <c r="I4" s="435"/>
      <c r="J4" s="435"/>
    </row>
    <row r="5" spans="1:13" ht="15.75" customHeight="1" x14ac:dyDescent="0.35">
      <c r="A5" s="6" t="s">
        <v>200</v>
      </c>
      <c r="B5" s="442">
        <f>+Recordkeeping!J14</f>
        <v>3367</v>
      </c>
      <c r="C5" s="443">
        <f>+Recordkeeping!K14</f>
        <v>5.5491535491535489</v>
      </c>
      <c r="D5" s="442">
        <f>+Recordkeeping!L14</f>
        <v>18684</v>
      </c>
      <c r="E5" s="442">
        <f>+Recordkeeping!M14</f>
        <v>8.1439600727895523E-2</v>
      </c>
      <c r="F5" s="7">
        <f>+Recordkeeping!N14</f>
        <v>1521.6175000000001</v>
      </c>
      <c r="G5" s="64">
        <f>Recordkeeping!O14</f>
        <v>879.92000000000007</v>
      </c>
      <c r="H5" s="261">
        <f>Recordkeeping!R14</f>
        <v>0</v>
      </c>
      <c r="I5" s="261">
        <f>Recordkeeping!S14</f>
        <v>642</v>
      </c>
      <c r="J5" s="261">
        <f>Recordkeeping!T14</f>
        <v>642</v>
      </c>
    </row>
    <row r="6" spans="1:13" ht="19.5" customHeight="1" x14ac:dyDescent="0.35">
      <c r="A6" s="9" t="s">
        <v>201</v>
      </c>
      <c r="B6" s="443">
        <f>+Recordkeeping!J22</f>
        <v>2210</v>
      </c>
      <c r="C6" s="453">
        <f>+Recordkeeping!K22</f>
        <v>40.689140271493216</v>
      </c>
      <c r="D6" s="442">
        <f>+Recordkeeping!L22</f>
        <v>89923</v>
      </c>
      <c r="E6" s="442">
        <f>+Recordkeeping!M22</f>
        <v>8.1080479966193303E-2</v>
      </c>
      <c r="F6" s="7">
        <f>+Recordkeeping!N22</f>
        <v>7291</v>
      </c>
      <c r="G6" s="64">
        <f>Recordkeeping!O22</f>
        <v>7290.5</v>
      </c>
      <c r="H6" s="261">
        <f>Recordkeeping!R22</f>
        <v>0</v>
      </c>
      <c r="I6" s="261">
        <f>Recordkeeping!S22</f>
        <v>0</v>
      </c>
      <c r="J6" s="261">
        <f>Recordkeeping!T22</f>
        <v>0</v>
      </c>
    </row>
    <row r="7" spans="1:13" ht="19.5" customHeight="1" x14ac:dyDescent="0.35">
      <c r="A7" s="69" t="s">
        <v>202</v>
      </c>
      <c r="B7" s="443">
        <f>SUBTOTAL(109,B5:B6)</f>
        <v>5577</v>
      </c>
      <c r="C7" s="443">
        <f>SUM(D7/B7)</f>
        <v>19.474090012551549</v>
      </c>
      <c r="D7" s="443">
        <f>SUBTOTAL(109,D5:D6)</f>
        <v>108607</v>
      </c>
      <c r="E7" s="443">
        <f>SUM(F7/D7)</f>
        <v>8.1142260627768012E-2</v>
      </c>
      <c r="F7" s="56">
        <f>SUBTOTAL(109,F5:F6)</f>
        <v>8812.6175000000003</v>
      </c>
      <c r="G7" s="261">
        <f>SUM(G5,G6)</f>
        <v>8170.42</v>
      </c>
      <c r="H7" s="261">
        <f t="shared" ref="H7:J7" si="0">SUM(H5,H6)</f>
        <v>0</v>
      </c>
      <c r="I7" s="261">
        <f t="shared" si="0"/>
        <v>642</v>
      </c>
      <c r="J7" s="261">
        <f t="shared" si="0"/>
        <v>642</v>
      </c>
    </row>
    <row r="8" spans="1:13" ht="19.5" customHeight="1" x14ac:dyDescent="0.35">
      <c r="A8" s="15" t="s">
        <v>203</v>
      </c>
      <c r="B8" s="444"/>
      <c r="C8" s="444"/>
      <c r="D8" s="444"/>
      <c r="E8" s="444"/>
      <c r="F8" s="14"/>
      <c r="G8" s="432"/>
      <c r="H8" s="432"/>
      <c r="I8" s="432"/>
      <c r="J8" s="432"/>
    </row>
    <row r="9" spans="1:13" x14ac:dyDescent="0.35">
      <c r="A9" s="6" t="s">
        <v>200</v>
      </c>
      <c r="B9" s="451">
        <f>Reporting!J64</f>
        <v>3367</v>
      </c>
      <c r="C9" s="451">
        <f>Reporting!K64</f>
        <v>36.961565191565192</v>
      </c>
      <c r="D9" s="451">
        <f>Reporting!L64</f>
        <v>124449.59000000001</v>
      </c>
      <c r="E9" s="445">
        <f>Reporting!M64</f>
        <v>2.1084106003081251</v>
      </c>
      <c r="F9" s="493">
        <f>Reporting!N64</f>
        <v>262390.83476000006</v>
      </c>
      <c r="G9" s="436">
        <f>Reporting!O64</f>
        <v>253664.00976000002</v>
      </c>
      <c r="H9" s="436">
        <f>Reporting!R64</f>
        <v>0</v>
      </c>
      <c r="I9" s="436">
        <f>Reporting!S64</f>
        <v>8727</v>
      </c>
      <c r="J9" s="436">
        <f>Reporting!T64</f>
        <v>8727</v>
      </c>
    </row>
    <row r="10" spans="1:13" ht="19.5" customHeight="1" x14ac:dyDescent="0.35">
      <c r="A10" s="9" t="s">
        <v>201</v>
      </c>
      <c r="B10" s="446">
        <f>Reporting!J82</f>
        <v>2210</v>
      </c>
      <c r="C10" s="446">
        <f>Reporting!K82</f>
        <v>22.228380090497737</v>
      </c>
      <c r="D10" s="446">
        <v>49125</v>
      </c>
      <c r="E10" s="446">
        <f>Reporting!M82</f>
        <v>3.1757390780039052</v>
      </c>
      <c r="F10" s="98">
        <f>Reporting!N82</f>
        <v>156007.29300000001</v>
      </c>
      <c r="G10" s="430">
        <f>Reporting!O82</f>
        <v>155721.79300000001</v>
      </c>
      <c r="H10" s="430">
        <f>Reporting!R82</f>
        <v>0</v>
      </c>
      <c r="I10" s="430">
        <f>Reporting!S82</f>
        <v>286</v>
      </c>
      <c r="J10" s="430">
        <f>Reporting!T82</f>
        <v>286</v>
      </c>
    </row>
    <row r="11" spans="1:13" ht="19.5" customHeight="1" x14ac:dyDescent="0.35">
      <c r="A11" s="19" t="s">
        <v>144</v>
      </c>
      <c r="B11" s="447">
        <f>Reporting!J86</f>
        <v>58365</v>
      </c>
      <c r="C11" s="447">
        <f>Reporting!K86</f>
        <v>2</v>
      </c>
      <c r="D11" s="447">
        <f>Reporting!L86</f>
        <v>116730</v>
      </c>
      <c r="E11" s="447">
        <f>Reporting!M86</f>
        <v>0.375</v>
      </c>
      <c r="F11" s="20">
        <f>Reporting!N86</f>
        <v>43773.75</v>
      </c>
      <c r="G11" s="431">
        <f>Reporting!O86</f>
        <v>43773.75</v>
      </c>
      <c r="H11" s="431">
        <f>Reporting!Q86</f>
        <v>0</v>
      </c>
      <c r="I11" s="431">
        <f>Reporting!S86</f>
        <v>0</v>
      </c>
      <c r="J11" s="431">
        <f>Reporting!T86</f>
        <v>0</v>
      </c>
    </row>
    <row r="12" spans="1:13" ht="15.75" customHeight="1" x14ac:dyDescent="0.35">
      <c r="A12" s="69" t="s">
        <v>204</v>
      </c>
      <c r="B12" s="443">
        <f>SUBTOTAL(109,B8:B11)</f>
        <v>63942</v>
      </c>
      <c r="C12" s="443">
        <f>SUM(D12/B12)</f>
        <v>4.5401237058584343</v>
      </c>
      <c r="D12" s="443">
        <f>SUBTOTAL(109,D8:D11)</f>
        <v>290304.59000000003</v>
      </c>
      <c r="E12" s="443">
        <f>SUM(F12/D12)</f>
        <v>1.5920240109190145</v>
      </c>
      <c r="F12" s="100">
        <f>SUBTOTAL(109,F8:F11)</f>
        <v>462171.87776000006</v>
      </c>
      <c r="G12" s="261">
        <f>SUM(G9:G11)</f>
        <v>453159.55275999999</v>
      </c>
      <c r="H12" s="261">
        <f t="shared" ref="H12:J12" si="1">SUM(H9:H11)</f>
        <v>0</v>
      </c>
      <c r="I12" s="261">
        <f t="shared" si="1"/>
        <v>9013</v>
      </c>
      <c r="J12" s="261">
        <f t="shared" si="1"/>
        <v>9013</v>
      </c>
    </row>
    <row r="13" spans="1:13" ht="19.5" customHeight="1" x14ac:dyDescent="0.35">
      <c r="A13" s="15" t="s">
        <v>179</v>
      </c>
      <c r="B13" s="444"/>
      <c r="C13" s="444"/>
      <c r="D13" s="444"/>
      <c r="E13" s="444"/>
      <c r="F13" s="14"/>
      <c r="G13" s="432"/>
      <c r="H13" s="432"/>
      <c r="I13" s="432"/>
      <c r="J13" s="432"/>
      <c r="L13" s="64"/>
      <c r="M13" s="64"/>
    </row>
    <row r="14" spans="1:13" ht="17.25" customHeight="1" x14ac:dyDescent="0.35">
      <c r="A14" s="6" t="s">
        <v>200</v>
      </c>
      <c r="B14" s="452">
        <v>3367</v>
      </c>
      <c r="C14" s="448">
        <v>1</v>
      </c>
      <c r="D14" s="452">
        <v>3526</v>
      </c>
      <c r="E14" s="448">
        <v>0.25</v>
      </c>
      <c r="F14" s="99">
        <f>'Public Disclosure'!O15</f>
        <v>881</v>
      </c>
      <c r="G14" s="473">
        <v>841</v>
      </c>
      <c r="H14" s="437">
        <f>'Public Disclosure'!S8</f>
        <v>0</v>
      </c>
      <c r="I14" s="430">
        <f>'Public Disclosure'!T8</f>
        <v>39.75</v>
      </c>
      <c r="J14" s="430">
        <f>'Public Disclosure'!U8</f>
        <v>39.75</v>
      </c>
      <c r="L14" s="65"/>
      <c r="M14" s="65"/>
    </row>
    <row r="15" spans="1:13" ht="17.25" customHeight="1" x14ac:dyDescent="0.35">
      <c r="A15" s="9" t="s">
        <v>201</v>
      </c>
      <c r="B15" s="446">
        <v>2210</v>
      </c>
      <c r="C15" s="446">
        <v>1</v>
      </c>
      <c r="D15" s="446">
        <v>2210</v>
      </c>
      <c r="E15" s="446">
        <v>0.25</v>
      </c>
      <c r="F15" s="492">
        <v>553</v>
      </c>
      <c r="G15" s="474">
        <v>553</v>
      </c>
      <c r="H15" s="430">
        <f>'Public Disclosure'!S11</f>
        <v>0</v>
      </c>
      <c r="I15" s="430"/>
      <c r="J15" s="430"/>
      <c r="L15" s="48"/>
      <c r="M15" s="48"/>
    </row>
    <row r="16" spans="1:13" ht="17.25" customHeight="1" x14ac:dyDescent="0.35">
      <c r="A16" s="69" t="s">
        <v>205</v>
      </c>
      <c r="B16" s="443">
        <f>SUBTOTAL(109,B13:B15)</f>
        <v>5577</v>
      </c>
      <c r="C16" s="443">
        <f>SUM(D16/B16)</f>
        <v>1.0285099515868747</v>
      </c>
      <c r="D16" s="443">
        <f>SUBTOTAL(109,D13:D15)</f>
        <v>5736</v>
      </c>
      <c r="E16" s="443">
        <f>SUM(F16/D16)</f>
        <v>0.25</v>
      </c>
      <c r="F16" s="100">
        <f>SUM(F14:F15)</f>
        <v>1434</v>
      </c>
      <c r="G16" s="64">
        <v>1394</v>
      </c>
      <c r="H16" s="261">
        <f t="shared" ref="H16:J16" si="2">SUM(H14,H15)</f>
        <v>0</v>
      </c>
      <c r="I16" s="261">
        <f t="shared" si="2"/>
        <v>39.75</v>
      </c>
      <c r="J16" s="261">
        <f t="shared" si="2"/>
        <v>39.75</v>
      </c>
      <c r="L16" s="48"/>
      <c r="M16" s="48"/>
    </row>
    <row r="17" spans="1:15" ht="17.25" customHeight="1" x14ac:dyDescent="0.35">
      <c r="A17" s="10" t="s">
        <v>206</v>
      </c>
      <c r="B17" s="449">
        <f>B12</f>
        <v>63942</v>
      </c>
      <c r="C17" s="449">
        <f>SUM(D17/B17)</f>
        <v>6.3283536642582341</v>
      </c>
      <c r="D17" s="449">
        <f>+D7+D12+D16</f>
        <v>404647.59</v>
      </c>
      <c r="E17" s="449">
        <f>SUM(F17/D17)</f>
        <v>1.1674813020880712</v>
      </c>
      <c r="F17" s="80">
        <f>+F7+F12+F16</f>
        <v>472418.49526000005</v>
      </c>
      <c r="G17" s="433">
        <f>SUM(G7,G12,G16)</f>
        <v>462723.97275999998</v>
      </c>
      <c r="H17" s="433">
        <f t="shared" ref="H17:J17" si="3">SUM(H7,H12,H16)</f>
        <v>0</v>
      </c>
      <c r="I17" s="433">
        <f t="shared" si="3"/>
        <v>9694.75</v>
      </c>
      <c r="J17" s="433">
        <f t="shared" si="3"/>
        <v>9694.75</v>
      </c>
    </row>
    <row r="18" spans="1:15" ht="17.25" customHeight="1" x14ac:dyDescent="0.35">
      <c r="F18" s="48"/>
    </row>
    <row r="19" spans="1:15" x14ac:dyDescent="0.35">
      <c r="A19" s="4"/>
      <c r="B19" s="450"/>
      <c r="C19" s="450"/>
      <c r="D19" s="450"/>
      <c r="E19" s="450"/>
      <c r="F19" s="26"/>
    </row>
    <row r="24" spans="1:15" x14ac:dyDescent="0.35">
      <c r="J24" s="438"/>
      <c r="K24" s="68"/>
      <c r="L24" s="66"/>
      <c r="M24" s="68"/>
      <c r="N24" s="67"/>
      <c r="O24" s="72"/>
    </row>
    <row r="25" spans="1:15" x14ac:dyDescent="0.35">
      <c r="H25" s="438"/>
      <c r="I25" s="439"/>
      <c r="J25" s="438"/>
      <c r="K25" s="8"/>
      <c r="L25" s="217"/>
      <c r="M25" s="8"/>
      <c r="N25" s="218"/>
      <c r="O25" s="219"/>
    </row>
    <row r="26" spans="1:15" x14ac:dyDescent="0.35">
      <c r="K26" s="48"/>
      <c r="L26" s="48"/>
      <c r="M26" s="48"/>
      <c r="N26" s="48"/>
      <c r="O26" s="48"/>
    </row>
    <row r="30" spans="1:15" x14ac:dyDescent="0.35">
      <c r="J30" s="438"/>
      <c r="K30" s="68"/>
      <c r="L30" s="70"/>
      <c r="M30" s="68"/>
      <c r="N30" s="71"/>
      <c r="O30" s="72"/>
    </row>
    <row r="31" spans="1:15" x14ac:dyDescent="0.35">
      <c r="M31" s="64"/>
      <c r="O31" s="65"/>
    </row>
    <row r="32" spans="1:15" x14ac:dyDescent="0.35">
      <c r="K32" s="48"/>
      <c r="L32" s="48"/>
      <c r="M32" s="48"/>
      <c r="N32" s="48"/>
      <c r="O32" s="48"/>
    </row>
  </sheetData>
  <mergeCells count="1">
    <mergeCell ref="A1:J2"/>
  </mergeCells>
  <printOptions horizontalCentered="1"/>
  <pageMargins left="0.7" right="0.7" top="0.75" bottom="0.75" header="0.3" footer="0.3"/>
  <pageSetup scale="83" orientation="portrait" r:id="rId1"/>
  <headerFooter>
    <oddHeader>&amp;CAttachment A - Burden Chart for OMB Control # 0584-0280 7 CFR Part 225 Summer Food Service Program</oddHead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2E5D9-859D-4EBC-82B1-981266DB635A}">
  <dimension ref="B6:I18"/>
  <sheetViews>
    <sheetView showGridLines="0" workbookViewId="0">
      <selection activeCell="I23" sqref="I23"/>
    </sheetView>
  </sheetViews>
  <sheetFormatPr defaultRowHeight="14.5" x14ac:dyDescent="0.35"/>
  <cols>
    <col min="2" max="2" width="37.1796875" bestFit="1" customWidth="1"/>
    <col min="3" max="3" width="6.453125" customWidth="1"/>
    <col min="4" max="4" width="13.54296875" customWidth="1"/>
    <col min="5" max="5" width="7.453125" customWidth="1"/>
    <col min="6" max="6" width="2" bestFit="1" customWidth="1"/>
    <col min="7" max="7" width="8.54296875"/>
    <col min="8" max="8" width="2.453125" bestFit="1" customWidth="1"/>
    <col min="9" max="9" width="17.453125" customWidth="1"/>
  </cols>
  <sheetData>
    <row r="6" spans="2:9" ht="15.5" x14ac:dyDescent="0.35">
      <c r="B6" s="232" t="s">
        <v>207</v>
      </c>
      <c r="C6" s="109"/>
      <c r="D6" s="233"/>
      <c r="E6" s="202"/>
      <c r="F6" s="202"/>
      <c r="G6" s="234"/>
      <c r="H6" s="202"/>
      <c r="I6" s="235"/>
    </row>
    <row r="7" spans="2:9" x14ac:dyDescent="0.35">
      <c r="B7" s="236" t="s">
        <v>208</v>
      </c>
      <c r="C7" s="237" t="s">
        <v>209</v>
      </c>
      <c r="D7" s="238">
        <f>'Burden Summary'!F5+'Burden Summary'!F9+'Burden Summary'!F14</f>
        <v>264793.45226000005</v>
      </c>
      <c r="E7" s="189" t="s">
        <v>210</v>
      </c>
      <c r="F7" s="189" t="s">
        <v>211</v>
      </c>
      <c r="G7" s="239">
        <f>'Labor Rates'!D5</f>
        <v>50.16</v>
      </c>
      <c r="H7" s="240" t="s">
        <v>209</v>
      </c>
      <c r="I7" s="241">
        <f>D7*G7</f>
        <v>13282039.565361602</v>
      </c>
    </row>
    <row r="8" spans="2:9" x14ac:dyDescent="0.35">
      <c r="B8" s="242" t="s">
        <v>212</v>
      </c>
      <c r="C8" s="237" t="s">
        <v>209</v>
      </c>
      <c r="D8" s="238">
        <f>SUM(D7)</f>
        <v>264793.45226000005</v>
      </c>
      <c r="E8" s="189" t="s">
        <v>210</v>
      </c>
      <c r="F8" s="189"/>
      <c r="G8" s="239"/>
      <c r="H8" s="189"/>
      <c r="I8" s="241">
        <f>SUM(I7:I7)</f>
        <v>13282039.565361602</v>
      </c>
    </row>
    <row r="9" spans="2:9" ht="15.5" x14ac:dyDescent="0.35">
      <c r="B9" s="232" t="s">
        <v>213</v>
      </c>
      <c r="C9" s="243"/>
      <c r="D9" s="233"/>
      <c r="E9" s="202"/>
      <c r="F9" s="202"/>
      <c r="G9" s="234"/>
      <c r="H9" s="202"/>
      <c r="I9" s="235"/>
    </row>
    <row r="10" spans="2:9" x14ac:dyDescent="0.35">
      <c r="B10" s="236" t="s">
        <v>214</v>
      </c>
      <c r="C10" s="237" t="s">
        <v>209</v>
      </c>
      <c r="D10" s="238">
        <f>'Burden Summary'!F6+'Burden Summary'!F10+'Burden Summary'!F15</f>
        <v>163851.29300000001</v>
      </c>
      <c r="E10" s="189" t="s">
        <v>210</v>
      </c>
      <c r="F10" s="189" t="s">
        <v>211</v>
      </c>
      <c r="G10" s="239">
        <f>'Labor Rates'!D6</f>
        <v>15.42</v>
      </c>
      <c r="H10" s="240" t="s">
        <v>209</v>
      </c>
      <c r="I10" s="241">
        <f>D10*G10</f>
        <v>2526586.9380600001</v>
      </c>
    </row>
    <row r="11" spans="2:9" x14ac:dyDescent="0.35">
      <c r="B11" s="242" t="s">
        <v>212</v>
      </c>
      <c r="C11" s="237" t="s">
        <v>209</v>
      </c>
      <c r="D11" s="238">
        <f>SUM(D10)</f>
        <v>163851.29300000001</v>
      </c>
      <c r="E11" s="189" t="s">
        <v>210</v>
      </c>
      <c r="F11" s="189"/>
      <c r="G11" s="239"/>
      <c r="H11" s="189"/>
      <c r="I11" s="241">
        <f>SUM(I10:I10)</f>
        <v>2526586.9380600001</v>
      </c>
    </row>
    <row r="12" spans="2:9" ht="15.5" x14ac:dyDescent="0.35">
      <c r="B12" s="232" t="s">
        <v>215</v>
      </c>
      <c r="C12" s="243"/>
      <c r="D12" s="233"/>
      <c r="E12" s="202"/>
      <c r="F12" s="202"/>
      <c r="G12" s="234"/>
      <c r="H12" s="202"/>
      <c r="I12" s="241"/>
    </row>
    <row r="13" spans="2:9" x14ac:dyDescent="0.35">
      <c r="B13" s="236" t="s">
        <v>144</v>
      </c>
      <c r="C13" s="237" t="s">
        <v>209</v>
      </c>
      <c r="D13" s="238">
        <f>'Burden Summary'!F11</f>
        <v>43773.75</v>
      </c>
      <c r="E13" s="189" t="s">
        <v>210</v>
      </c>
      <c r="F13" s="189" t="s">
        <v>211</v>
      </c>
      <c r="G13" s="239">
        <f>'Labor Rates'!D7</f>
        <v>7.25</v>
      </c>
      <c r="H13" s="240" t="s">
        <v>209</v>
      </c>
      <c r="I13" s="241">
        <f>D13*G13</f>
        <v>317359.6875</v>
      </c>
    </row>
    <row r="14" spans="2:9" x14ac:dyDescent="0.35">
      <c r="B14" s="242" t="s">
        <v>212</v>
      </c>
      <c r="C14" s="237" t="s">
        <v>209</v>
      </c>
      <c r="D14" s="238">
        <f>SUM(D13)</f>
        <v>43773.75</v>
      </c>
      <c r="E14" s="189" t="s">
        <v>210</v>
      </c>
      <c r="F14" s="189"/>
      <c r="G14" s="239"/>
      <c r="H14" s="189"/>
      <c r="I14" s="241">
        <f>I13</f>
        <v>317359.6875</v>
      </c>
    </row>
    <row r="15" spans="2:9" x14ac:dyDescent="0.35">
      <c r="B15" s="209"/>
      <c r="C15" s="244"/>
      <c r="D15" s="238"/>
      <c r="E15" s="189"/>
      <c r="F15" s="189"/>
      <c r="G15" s="239"/>
      <c r="H15" s="189"/>
      <c r="I15" s="241"/>
    </row>
    <row r="16" spans="2:9" x14ac:dyDescent="0.35">
      <c r="B16" s="47" t="s">
        <v>216</v>
      </c>
      <c r="C16" s="245" t="s">
        <v>209</v>
      </c>
      <c r="D16" s="246"/>
      <c r="E16" s="55"/>
      <c r="F16" s="47"/>
      <c r="G16" s="247"/>
      <c r="H16" s="47"/>
      <c r="I16" s="248">
        <f>SUM(I8,I11,I14)</f>
        <v>16125986.190921603</v>
      </c>
    </row>
    <row r="17" spans="2:9" x14ac:dyDescent="0.35">
      <c r="B17" s="47" t="s">
        <v>217</v>
      </c>
      <c r="C17" s="245" t="s">
        <v>209</v>
      </c>
      <c r="D17" s="246"/>
      <c r="E17" s="47"/>
      <c r="F17" s="47"/>
      <c r="G17" s="247"/>
      <c r="H17" s="47"/>
      <c r="I17" s="248">
        <f>I16*0.33</f>
        <v>5321575.4430041295</v>
      </c>
    </row>
    <row r="18" spans="2:9" x14ac:dyDescent="0.35">
      <c r="B18" s="47" t="s">
        <v>218</v>
      </c>
      <c r="C18" s="245" t="s">
        <v>209</v>
      </c>
      <c r="D18" s="246">
        <f>D8+D11+D14</f>
        <v>472418.49526000005</v>
      </c>
      <c r="E18" s="47" t="s">
        <v>210</v>
      </c>
      <c r="F18" s="47"/>
      <c r="G18" s="247"/>
      <c r="H18" s="47"/>
      <c r="I18" s="248">
        <f>I16+I17</f>
        <v>21447561.633925732</v>
      </c>
    </row>
  </sheetData>
  <conditionalFormatting sqref="F7 H7">
    <cfRule type="dataBar" priority="6">
      <dataBar>
        <cfvo type="min"/>
        <cfvo type="max"/>
        <color rgb="FF638EC6"/>
      </dataBar>
      <extLst>
        <ext xmlns:x14="http://schemas.microsoft.com/office/spreadsheetml/2009/9/main" uri="{B025F937-C7B1-47D3-B67F-A62EFF666E3E}">
          <x14:id>{53A381C0-BA47-4453-B9D4-8D7A94DCE2B1}</x14:id>
        </ext>
      </extLst>
    </cfRule>
  </conditionalFormatting>
  <conditionalFormatting sqref="F10">
    <cfRule type="dataBar" priority="7">
      <dataBar>
        <cfvo type="min"/>
        <cfvo type="max"/>
        <color rgb="FF638EC6"/>
      </dataBar>
      <extLst>
        <ext xmlns:x14="http://schemas.microsoft.com/office/spreadsheetml/2009/9/main" uri="{B025F937-C7B1-47D3-B67F-A62EFF666E3E}">
          <x14:id>{98A9DE31-E8E6-4C1F-90FB-9DDCEF71A1DD}</x14:id>
        </ext>
      </extLst>
    </cfRule>
  </conditionalFormatting>
  <conditionalFormatting sqref="F13">
    <cfRule type="dataBar" priority="3">
      <dataBar>
        <cfvo type="min"/>
        <cfvo type="max"/>
        <color rgb="FF638EC6"/>
      </dataBar>
      <extLst>
        <ext xmlns:x14="http://schemas.microsoft.com/office/spreadsheetml/2009/9/main" uri="{B025F937-C7B1-47D3-B67F-A62EFF666E3E}">
          <x14:id>{2528C156-C866-480C-8C16-5A4303BF4B27}</x14:id>
        </ext>
      </extLst>
    </cfRule>
  </conditionalFormatting>
  <conditionalFormatting sqref="H10">
    <cfRule type="dataBar" priority="8">
      <dataBar>
        <cfvo type="min"/>
        <cfvo type="max"/>
        <color rgb="FF638EC6"/>
      </dataBar>
      <extLst>
        <ext xmlns:x14="http://schemas.microsoft.com/office/spreadsheetml/2009/9/main" uri="{B025F937-C7B1-47D3-B67F-A62EFF666E3E}">
          <x14:id>{23CFD95D-5B2D-45D8-A069-3556C714263B}</x14:id>
        </ext>
      </extLst>
    </cfRule>
  </conditionalFormatting>
  <conditionalFormatting sqref="H13">
    <cfRule type="dataBar" priority="1">
      <dataBar>
        <cfvo type="min"/>
        <cfvo type="max"/>
        <color rgb="FF638EC6"/>
      </dataBar>
      <extLst>
        <ext xmlns:x14="http://schemas.microsoft.com/office/spreadsheetml/2009/9/main" uri="{B025F937-C7B1-47D3-B67F-A62EFF666E3E}">
          <x14:id>{D9B158AB-E445-46FA-86A5-C2E33C45C8E3}</x14:id>
        </ext>
      </extLs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53A381C0-BA47-4453-B9D4-8D7A94DCE2B1}">
            <x14:dataBar minLength="0" maxLength="100" gradient="0">
              <x14:cfvo type="autoMin"/>
              <x14:cfvo type="autoMax"/>
              <x14:negativeFillColor rgb="FFFF0000"/>
              <x14:axisColor rgb="FF000000"/>
            </x14:dataBar>
          </x14:cfRule>
          <xm:sqref>F7 H7</xm:sqref>
        </x14:conditionalFormatting>
        <x14:conditionalFormatting xmlns:xm="http://schemas.microsoft.com/office/excel/2006/main">
          <x14:cfRule type="dataBar" id="{98A9DE31-E8E6-4C1F-90FB-9DDCEF71A1DD}">
            <x14:dataBar minLength="0" maxLength="100" gradient="0">
              <x14:cfvo type="autoMin"/>
              <x14:cfvo type="autoMax"/>
              <x14:negativeFillColor rgb="FFFF0000"/>
              <x14:axisColor rgb="FF000000"/>
            </x14:dataBar>
          </x14:cfRule>
          <xm:sqref>F10</xm:sqref>
        </x14:conditionalFormatting>
        <x14:conditionalFormatting xmlns:xm="http://schemas.microsoft.com/office/excel/2006/main">
          <x14:cfRule type="dataBar" id="{2528C156-C866-480C-8C16-5A4303BF4B27}">
            <x14:dataBar minLength="0" maxLength="100" gradient="0">
              <x14:cfvo type="autoMin"/>
              <x14:cfvo type="autoMax"/>
              <x14:negativeFillColor rgb="FFFF0000"/>
              <x14:axisColor rgb="FF000000"/>
            </x14:dataBar>
          </x14:cfRule>
          <xm:sqref>F13</xm:sqref>
        </x14:conditionalFormatting>
        <x14:conditionalFormatting xmlns:xm="http://schemas.microsoft.com/office/excel/2006/main">
          <x14:cfRule type="dataBar" id="{23CFD95D-5B2D-45D8-A069-3556C714263B}">
            <x14:dataBar minLength="0" maxLength="100" gradient="0">
              <x14:cfvo type="autoMin"/>
              <x14:cfvo type="autoMax"/>
              <x14:negativeFillColor rgb="FFFF0000"/>
              <x14:axisColor rgb="FF000000"/>
            </x14:dataBar>
          </x14:cfRule>
          <xm:sqref>H10</xm:sqref>
        </x14:conditionalFormatting>
        <x14:conditionalFormatting xmlns:xm="http://schemas.microsoft.com/office/excel/2006/main">
          <x14:cfRule type="dataBar" id="{D9B158AB-E445-46FA-86A5-C2E33C45C8E3}">
            <x14:dataBar minLength="0" maxLength="100" gradient="0">
              <x14:cfvo type="autoMin"/>
              <x14:cfvo type="autoMax"/>
              <x14:negativeFillColor rgb="FFFF0000"/>
              <x14:axisColor rgb="FF000000"/>
            </x14:dataBar>
          </x14:cfRule>
          <xm:sqref>H13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5830F-7914-49E1-85D5-0F862D83EF80}">
  <dimension ref="B6:I20"/>
  <sheetViews>
    <sheetView showGridLines="0" workbookViewId="0"/>
  </sheetViews>
  <sheetFormatPr defaultRowHeight="14.5" x14ac:dyDescent="0.35"/>
  <cols>
    <col min="2" max="2" width="37.1796875" bestFit="1" customWidth="1"/>
    <col min="3" max="3" width="6.453125" customWidth="1"/>
    <col min="4" max="4" width="13.54296875" customWidth="1"/>
    <col min="5" max="5" width="7.453125" customWidth="1"/>
    <col min="6" max="6" width="2" bestFit="1" customWidth="1"/>
    <col min="8" max="8" width="2.453125" bestFit="1" customWidth="1"/>
    <col min="9" max="9" width="17.453125" customWidth="1"/>
  </cols>
  <sheetData>
    <row r="6" spans="2:9" ht="15.5" x14ac:dyDescent="0.35">
      <c r="B6" s="232" t="s">
        <v>207</v>
      </c>
      <c r="C6" s="109"/>
      <c r="D6" s="233"/>
      <c r="E6" s="202"/>
      <c r="F6" s="202"/>
      <c r="G6" s="234"/>
      <c r="H6" s="202"/>
      <c r="I6" s="235"/>
    </row>
    <row r="7" spans="2:9" x14ac:dyDescent="0.35">
      <c r="B7" s="236" t="s">
        <v>208</v>
      </c>
      <c r="C7" s="237" t="s">
        <v>209</v>
      </c>
      <c r="D7" s="238">
        <f>Reporting!T64+Recordkeeping!T14+'Public Disclosure'!U8</f>
        <v>9408.75</v>
      </c>
      <c r="E7" s="189" t="s">
        <v>210</v>
      </c>
      <c r="F7" s="189" t="s">
        <v>211</v>
      </c>
      <c r="G7" s="239">
        <f>'Labor Rates'!D5</f>
        <v>50.16</v>
      </c>
      <c r="H7" s="240" t="s">
        <v>209</v>
      </c>
      <c r="I7" s="241">
        <f>D7*G7</f>
        <v>471942.89999999997</v>
      </c>
    </row>
    <row r="8" spans="2:9" x14ac:dyDescent="0.35">
      <c r="B8" s="242" t="s">
        <v>212</v>
      </c>
      <c r="C8" s="237" t="s">
        <v>209</v>
      </c>
      <c r="D8" s="238">
        <f>SUM(D7)</f>
        <v>9408.75</v>
      </c>
      <c r="E8" s="189" t="s">
        <v>210</v>
      </c>
      <c r="F8" s="189"/>
      <c r="G8" s="239"/>
      <c r="H8" s="189"/>
      <c r="I8" s="241">
        <f>SUM(I7:I7)</f>
        <v>471942.89999999997</v>
      </c>
    </row>
    <row r="9" spans="2:9" ht="15.5" x14ac:dyDescent="0.35">
      <c r="B9" s="232" t="s">
        <v>213</v>
      </c>
      <c r="C9" s="243"/>
      <c r="D9" s="233"/>
      <c r="E9" s="202"/>
      <c r="F9" s="202"/>
      <c r="G9" s="234"/>
      <c r="H9" s="202"/>
      <c r="I9" s="235"/>
    </row>
    <row r="10" spans="2:9" x14ac:dyDescent="0.35">
      <c r="B10" s="236" t="s">
        <v>214</v>
      </c>
      <c r="C10" s="237" t="s">
        <v>209</v>
      </c>
      <c r="D10" s="238">
        <f>Reporting!T82+Recordkeeping!T22+'Public Disclosure'!U11</f>
        <v>286</v>
      </c>
      <c r="E10" s="189" t="s">
        <v>210</v>
      </c>
      <c r="F10" s="189" t="s">
        <v>211</v>
      </c>
      <c r="G10" s="239">
        <f>'Labor Rates'!D6</f>
        <v>15.42</v>
      </c>
      <c r="H10" s="240" t="s">
        <v>209</v>
      </c>
      <c r="I10" s="241">
        <f>D10*G10</f>
        <v>4410.12</v>
      </c>
    </row>
    <row r="11" spans="2:9" x14ac:dyDescent="0.35">
      <c r="B11" s="242" t="s">
        <v>212</v>
      </c>
      <c r="C11" s="237" t="s">
        <v>209</v>
      </c>
      <c r="D11" s="238">
        <f>SUM(D10)</f>
        <v>286</v>
      </c>
      <c r="E11" s="189" t="s">
        <v>210</v>
      </c>
      <c r="F11" s="189"/>
      <c r="G11" s="239"/>
      <c r="H11" s="189"/>
      <c r="I11" s="241">
        <f>SUM(I10:I10)</f>
        <v>4410.12</v>
      </c>
    </row>
    <row r="12" spans="2:9" ht="15.5" x14ac:dyDescent="0.35">
      <c r="B12" s="232" t="s">
        <v>215</v>
      </c>
      <c r="C12" s="243"/>
      <c r="D12" s="233"/>
      <c r="E12" s="202"/>
      <c r="F12" s="202"/>
      <c r="G12" s="234"/>
      <c r="H12" s="202"/>
      <c r="I12" s="241"/>
    </row>
    <row r="13" spans="2:9" x14ac:dyDescent="0.35">
      <c r="B13" s="236" t="s">
        <v>144</v>
      </c>
      <c r="C13" s="237" t="s">
        <v>209</v>
      </c>
      <c r="D13" s="238">
        <f>Reporting!T86</f>
        <v>0</v>
      </c>
      <c r="E13" s="189" t="s">
        <v>210</v>
      </c>
      <c r="F13" s="189" t="s">
        <v>211</v>
      </c>
      <c r="G13" s="239">
        <f>'Labor Rates'!D7</f>
        <v>7.25</v>
      </c>
      <c r="H13" s="240" t="s">
        <v>209</v>
      </c>
      <c r="I13" s="241">
        <f>D13*G13</f>
        <v>0</v>
      </c>
    </row>
    <row r="14" spans="2:9" x14ac:dyDescent="0.35">
      <c r="B14" s="242" t="s">
        <v>212</v>
      </c>
      <c r="C14" s="237" t="s">
        <v>209</v>
      </c>
      <c r="D14" s="238">
        <f>SUM(D13)</f>
        <v>0</v>
      </c>
      <c r="E14" s="189" t="s">
        <v>210</v>
      </c>
      <c r="F14" s="189"/>
      <c r="G14" s="239"/>
      <c r="H14" s="189"/>
      <c r="I14" s="241">
        <f>I13</f>
        <v>0</v>
      </c>
    </row>
    <row r="15" spans="2:9" x14ac:dyDescent="0.35">
      <c r="B15" s="209"/>
      <c r="C15" s="244"/>
      <c r="D15" s="238"/>
      <c r="E15" s="189"/>
      <c r="F15" s="189"/>
      <c r="G15" s="239"/>
      <c r="H15" s="189"/>
      <c r="I15" s="241"/>
    </row>
    <row r="16" spans="2:9" x14ac:dyDescent="0.35">
      <c r="B16" s="47" t="s">
        <v>216</v>
      </c>
      <c r="C16" s="245" t="s">
        <v>209</v>
      </c>
      <c r="D16" s="246"/>
      <c r="E16" s="47" t="s">
        <v>210</v>
      </c>
      <c r="F16" s="47"/>
      <c r="G16" s="247"/>
      <c r="H16" s="47"/>
      <c r="I16" s="248">
        <f>SUM(I8,I11,I14)</f>
        <v>476353.01999999996</v>
      </c>
    </row>
    <row r="17" spans="2:9" x14ac:dyDescent="0.35">
      <c r="B17" s="47" t="s">
        <v>217</v>
      </c>
      <c r="C17" s="245" t="s">
        <v>209</v>
      </c>
      <c r="D17" s="246"/>
      <c r="E17" s="47" t="s">
        <v>210</v>
      </c>
      <c r="F17" s="47"/>
      <c r="G17" s="247"/>
      <c r="H17" s="47"/>
      <c r="I17" s="248">
        <f>I16*0.33</f>
        <v>157196.49659999998</v>
      </c>
    </row>
    <row r="18" spans="2:9" x14ac:dyDescent="0.35">
      <c r="B18" s="47" t="s">
        <v>257</v>
      </c>
      <c r="C18" s="245" t="s">
        <v>209</v>
      </c>
      <c r="D18" s="484">
        <f>D8+D11+D14</f>
        <v>9694.75</v>
      </c>
      <c r="E18" s="47" t="s">
        <v>210</v>
      </c>
      <c r="F18" s="47"/>
      <c r="G18" s="247"/>
      <c r="H18" s="47"/>
      <c r="I18" s="248">
        <f>I16+I17</f>
        <v>633549.51659999997</v>
      </c>
    </row>
    <row r="19" spans="2:9" ht="29" x14ac:dyDescent="0.35">
      <c r="B19" s="481" t="s">
        <v>258</v>
      </c>
      <c r="C19" s="480" t="s">
        <v>209</v>
      </c>
      <c r="D19" s="482">
        <v>462698.97275999998</v>
      </c>
      <c r="E19" s="47" t="s">
        <v>210</v>
      </c>
      <c r="I19" s="483">
        <v>18387852</v>
      </c>
    </row>
    <row r="20" spans="2:9" x14ac:dyDescent="0.35">
      <c r="B20" s="47" t="s">
        <v>218</v>
      </c>
      <c r="C20" s="480" t="s">
        <v>209</v>
      </c>
      <c r="D20" s="482">
        <f>SUM(D18:D19)</f>
        <v>472393.72275999998</v>
      </c>
      <c r="E20" s="47" t="s">
        <v>210</v>
      </c>
      <c r="I20" s="483">
        <f>SUM(I18:I19)</f>
        <v>19021401.516600002</v>
      </c>
    </row>
  </sheetData>
  <conditionalFormatting sqref="F7 H7">
    <cfRule type="dataBar" priority="3">
      <dataBar>
        <cfvo type="min"/>
        <cfvo type="max"/>
        <color rgb="FF638EC6"/>
      </dataBar>
      <extLst>
        <ext xmlns:x14="http://schemas.microsoft.com/office/spreadsheetml/2009/9/main" uri="{B025F937-C7B1-47D3-B67F-A62EFF666E3E}">
          <x14:id>{AA9AB571-4F49-4A53-A70E-97578D5B49C1}</x14:id>
        </ext>
      </extLst>
    </cfRule>
  </conditionalFormatting>
  <conditionalFormatting sqref="F10">
    <cfRule type="dataBar" priority="4">
      <dataBar>
        <cfvo type="min"/>
        <cfvo type="max"/>
        <color rgb="FF638EC6"/>
      </dataBar>
      <extLst>
        <ext xmlns:x14="http://schemas.microsoft.com/office/spreadsheetml/2009/9/main" uri="{B025F937-C7B1-47D3-B67F-A62EFF666E3E}">
          <x14:id>{B0D634EE-16B9-4C49-AB23-53647CD4CB01}</x14:id>
        </ext>
      </extLst>
    </cfRule>
  </conditionalFormatting>
  <conditionalFormatting sqref="F13">
    <cfRule type="dataBar" priority="2">
      <dataBar>
        <cfvo type="min"/>
        <cfvo type="max"/>
        <color rgb="FF638EC6"/>
      </dataBar>
      <extLst>
        <ext xmlns:x14="http://schemas.microsoft.com/office/spreadsheetml/2009/9/main" uri="{B025F937-C7B1-47D3-B67F-A62EFF666E3E}">
          <x14:id>{6A8C7E87-49FD-4951-99AC-368F07857F61}</x14:id>
        </ext>
      </extLst>
    </cfRule>
  </conditionalFormatting>
  <conditionalFormatting sqref="H10">
    <cfRule type="dataBar" priority="5">
      <dataBar>
        <cfvo type="min"/>
        <cfvo type="max"/>
        <color rgb="FF638EC6"/>
      </dataBar>
      <extLst>
        <ext xmlns:x14="http://schemas.microsoft.com/office/spreadsheetml/2009/9/main" uri="{B025F937-C7B1-47D3-B67F-A62EFF666E3E}">
          <x14:id>{4EFA9B9C-F57F-4565-87EF-DE5F938BA4D0}</x14:id>
        </ext>
      </extLst>
    </cfRule>
  </conditionalFormatting>
  <conditionalFormatting sqref="H13">
    <cfRule type="dataBar" priority="1">
      <dataBar>
        <cfvo type="min"/>
        <cfvo type="max"/>
        <color rgb="FF638EC6"/>
      </dataBar>
      <extLst>
        <ext xmlns:x14="http://schemas.microsoft.com/office/spreadsheetml/2009/9/main" uri="{B025F937-C7B1-47D3-B67F-A62EFF666E3E}">
          <x14:id>{3A4294F7-DF43-4E57-BCA8-D9124BFA8402}</x14:id>
        </ext>
      </extLs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AA9AB571-4F49-4A53-A70E-97578D5B49C1}">
            <x14:dataBar minLength="0" maxLength="100" gradient="0">
              <x14:cfvo type="autoMin"/>
              <x14:cfvo type="autoMax"/>
              <x14:negativeFillColor rgb="FFFF0000"/>
              <x14:axisColor rgb="FF000000"/>
            </x14:dataBar>
          </x14:cfRule>
          <xm:sqref>F7 H7</xm:sqref>
        </x14:conditionalFormatting>
        <x14:conditionalFormatting xmlns:xm="http://schemas.microsoft.com/office/excel/2006/main">
          <x14:cfRule type="dataBar" id="{B0D634EE-16B9-4C49-AB23-53647CD4CB01}">
            <x14:dataBar minLength="0" maxLength="100" gradient="0">
              <x14:cfvo type="autoMin"/>
              <x14:cfvo type="autoMax"/>
              <x14:negativeFillColor rgb="FFFF0000"/>
              <x14:axisColor rgb="FF000000"/>
            </x14:dataBar>
          </x14:cfRule>
          <xm:sqref>F10</xm:sqref>
        </x14:conditionalFormatting>
        <x14:conditionalFormatting xmlns:xm="http://schemas.microsoft.com/office/excel/2006/main">
          <x14:cfRule type="dataBar" id="{6A8C7E87-49FD-4951-99AC-368F07857F61}">
            <x14:dataBar minLength="0" maxLength="100" gradient="0">
              <x14:cfvo type="autoMin"/>
              <x14:cfvo type="autoMax"/>
              <x14:negativeFillColor rgb="FFFF0000"/>
              <x14:axisColor rgb="FF000000"/>
            </x14:dataBar>
          </x14:cfRule>
          <xm:sqref>F13</xm:sqref>
        </x14:conditionalFormatting>
        <x14:conditionalFormatting xmlns:xm="http://schemas.microsoft.com/office/excel/2006/main">
          <x14:cfRule type="dataBar" id="{4EFA9B9C-F57F-4565-87EF-DE5F938BA4D0}">
            <x14:dataBar minLength="0" maxLength="100" gradient="0">
              <x14:cfvo type="autoMin"/>
              <x14:cfvo type="autoMax"/>
              <x14:negativeFillColor rgb="FFFF0000"/>
              <x14:axisColor rgb="FF000000"/>
            </x14:dataBar>
          </x14:cfRule>
          <xm:sqref>H10</xm:sqref>
        </x14:conditionalFormatting>
        <x14:conditionalFormatting xmlns:xm="http://schemas.microsoft.com/office/excel/2006/main">
          <x14:cfRule type="dataBar" id="{3A4294F7-DF43-4E57-BCA8-D9124BFA8402}">
            <x14:dataBar minLength="0" maxLength="100" gradient="0">
              <x14:cfvo type="autoMin"/>
              <x14:cfvo type="autoMax"/>
              <x14:negativeFillColor rgb="FFFF0000"/>
              <x14:axisColor rgb="FF000000"/>
            </x14:dataBar>
          </x14:cfRule>
          <xm:sqref>H13</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647D8-5DCC-4128-A201-FC7D0E044946}">
  <dimension ref="B1:E11"/>
  <sheetViews>
    <sheetView showGridLines="0" workbookViewId="0">
      <selection activeCell="E6" sqref="E6"/>
    </sheetView>
  </sheetViews>
  <sheetFormatPr defaultRowHeight="14.5" x14ac:dyDescent="0.35"/>
  <cols>
    <col min="2" max="2" width="18.453125" bestFit="1" customWidth="1"/>
    <col min="3" max="3" width="16.453125" customWidth="1"/>
    <col min="4" max="4" width="13.453125" customWidth="1"/>
    <col min="5" max="5" width="67.453125" customWidth="1"/>
  </cols>
  <sheetData>
    <row r="1" spans="2:5" ht="15" thickBot="1" x14ac:dyDescent="0.4"/>
    <row r="2" spans="2:5" x14ac:dyDescent="0.35">
      <c r="B2" s="519" t="s">
        <v>219</v>
      </c>
      <c r="C2" s="520"/>
      <c r="D2" s="521"/>
      <c r="E2" s="522"/>
    </row>
    <row r="3" spans="2:5" x14ac:dyDescent="0.35">
      <c r="B3" s="523" t="s">
        <v>220</v>
      </c>
      <c r="C3" s="524" t="s">
        <v>221</v>
      </c>
      <c r="D3" s="525" t="s">
        <v>222</v>
      </c>
      <c r="E3" s="526"/>
    </row>
    <row r="4" spans="2:5" ht="43.5" x14ac:dyDescent="0.35">
      <c r="B4" s="523"/>
      <c r="C4" s="524"/>
      <c r="D4" s="467" t="s">
        <v>223</v>
      </c>
      <c r="E4" s="205" t="s">
        <v>224</v>
      </c>
    </row>
    <row r="5" spans="2:5" ht="87" x14ac:dyDescent="0.35">
      <c r="B5" s="249" t="s">
        <v>208</v>
      </c>
      <c r="C5" s="206" t="s">
        <v>225</v>
      </c>
      <c r="D5" s="426">
        <v>50.16</v>
      </c>
      <c r="E5" s="427" t="s">
        <v>255</v>
      </c>
    </row>
    <row r="6" spans="2:5" ht="72.5" x14ac:dyDescent="0.35">
      <c r="B6" s="249" t="s">
        <v>214</v>
      </c>
      <c r="C6" s="206" t="s">
        <v>225</v>
      </c>
      <c r="D6" s="426">
        <v>15.42</v>
      </c>
      <c r="E6" s="427" t="s">
        <v>256</v>
      </c>
    </row>
    <row r="7" spans="2:5" ht="29.5" thickBot="1" x14ac:dyDescent="0.4">
      <c r="B7" s="207" t="s">
        <v>144</v>
      </c>
      <c r="C7" s="208" t="s">
        <v>225</v>
      </c>
      <c r="D7" s="428">
        <v>7.25</v>
      </c>
      <c r="E7" s="429" t="s">
        <v>226</v>
      </c>
    </row>
    <row r="10" spans="2:5" x14ac:dyDescent="0.35">
      <c r="E10" s="220"/>
    </row>
    <row r="11" spans="2:5" x14ac:dyDescent="0.35">
      <c r="E11" s="220"/>
    </row>
  </sheetData>
  <mergeCells count="4">
    <mergeCell ref="B2:E2"/>
    <mergeCell ref="B3:B4"/>
    <mergeCell ref="C3:C4"/>
    <mergeCell ref="D3:E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68"/>
  <sheetViews>
    <sheetView showGridLines="0" zoomScaleNormal="100" workbookViewId="0">
      <selection activeCell="C77" sqref="C77"/>
    </sheetView>
  </sheetViews>
  <sheetFormatPr defaultRowHeight="14.5" x14ac:dyDescent="0.35"/>
  <cols>
    <col min="1" max="1" width="10.1796875" bestFit="1" customWidth="1"/>
    <col min="2" max="2" width="18.1796875" customWidth="1"/>
    <col min="3" max="3" width="112.81640625" customWidth="1"/>
  </cols>
  <sheetData>
    <row r="1" spans="1:3" s="30" customFormat="1" x14ac:dyDescent="0.35">
      <c r="A1" s="28" t="s">
        <v>227</v>
      </c>
      <c r="B1" s="29" t="s">
        <v>228</v>
      </c>
      <c r="C1" s="29" t="s">
        <v>229</v>
      </c>
    </row>
    <row r="2" spans="1:3" x14ac:dyDescent="0.35">
      <c r="A2" s="31"/>
      <c r="B2" s="37"/>
      <c r="C2" s="37"/>
    </row>
    <row r="3" spans="1:3" x14ac:dyDescent="0.35">
      <c r="A3" s="31"/>
      <c r="B3" s="37"/>
      <c r="C3" s="37"/>
    </row>
    <row r="4" spans="1:3" x14ac:dyDescent="0.35">
      <c r="A4" s="31"/>
      <c r="B4" s="37"/>
      <c r="C4" s="37"/>
    </row>
    <row r="5" spans="1:3" x14ac:dyDescent="0.35">
      <c r="A5" s="31"/>
      <c r="B5" s="37"/>
      <c r="C5" s="37"/>
    </row>
    <row r="6" spans="1:3" x14ac:dyDescent="0.35">
      <c r="A6" s="31"/>
      <c r="B6" s="37"/>
      <c r="C6" s="37"/>
    </row>
    <row r="7" spans="1:3" x14ac:dyDescent="0.35">
      <c r="A7" s="31"/>
      <c r="B7" s="37"/>
      <c r="C7" s="37"/>
    </row>
    <row r="8" spans="1:3" x14ac:dyDescent="0.35">
      <c r="A8" s="31"/>
      <c r="B8" s="37"/>
      <c r="C8" s="37"/>
    </row>
    <row r="9" spans="1:3" x14ac:dyDescent="0.35">
      <c r="A9" s="31"/>
      <c r="B9" s="37"/>
      <c r="C9" s="37"/>
    </row>
    <row r="10" spans="1:3" x14ac:dyDescent="0.35">
      <c r="A10" s="31"/>
      <c r="B10" s="37"/>
      <c r="C10" s="37"/>
    </row>
    <row r="11" spans="1:3" x14ac:dyDescent="0.35">
      <c r="A11" s="31"/>
      <c r="B11" s="37"/>
      <c r="C11" s="37"/>
    </row>
    <row r="12" spans="1:3" x14ac:dyDescent="0.35">
      <c r="A12" s="31"/>
      <c r="B12" s="37"/>
      <c r="C12" s="37"/>
    </row>
    <row r="13" spans="1:3" x14ac:dyDescent="0.35">
      <c r="A13" s="31"/>
      <c r="B13" s="37"/>
      <c r="C13" s="37"/>
    </row>
    <row r="14" spans="1:3" x14ac:dyDescent="0.35">
      <c r="A14" s="31"/>
      <c r="B14" s="37"/>
      <c r="C14" s="37"/>
    </row>
    <row r="15" spans="1:3" x14ac:dyDescent="0.35">
      <c r="A15" s="31"/>
      <c r="B15" s="37"/>
      <c r="C15" s="37"/>
    </row>
    <row r="16" spans="1:3" x14ac:dyDescent="0.35">
      <c r="A16" s="31"/>
      <c r="B16" s="37"/>
      <c r="C16" s="37"/>
    </row>
    <row r="17" spans="1:3" x14ac:dyDescent="0.35">
      <c r="A17" s="31"/>
      <c r="B17" s="37"/>
      <c r="C17" s="37"/>
    </row>
    <row r="18" spans="1:3" x14ac:dyDescent="0.35">
      <c r="A18" s="31"/>
      <c r="B18" s="37"/>
      <c r="C18" s="37"/>
    </row>
    <row r="19" spans="1:3" x14ac:dyDescent="0.35">
      <c r="A19" s="31"/>
      <c r="B19" s="37"/>
      <c r="C19" s="37"/>
    </row>
    <row r="20" spans="1:3" x14ac:dyDescent="0.35">
      <c r="A20" s="31"/>
      <c r="B20" s="37"/>
      <c r="C20" s="37"/>
    </row>
    <row r="21" spans="1:3" x14ac:dyDescent="0.35">
      <c r="A21" s="31"/>
      <c r="B21" s="37"/>
      <c r="C21" s="37"/>
    </row>
    <row r="22" spans="1:3" x14ac:dyDescent="0.35">
      <c r="A22" s="31"/>
      <c r="B22" s="37"/>
      <c r="C22" s="37"/>
    </row>
    <row r="23" spans="1:3" x14ac:dyDescent="0.35">
      <c r="A23" s="31"/>
      <c r="B23" s="37"/>
      <c r="C23" s="37"/>
    </row>
    <row r="24" spans="1:3" x14ac:dyDescent="0.35">
      <c r="A24" s="31"/>
      <c r="B24" s="37"/>
      <c r="C24" s="37"/>
    </row>
    <row r="25" spans="1:3" x14ac:dyDescent="0.35">
      <c r="A25" s="31"/>
      <c r="B25" s="37"/>
      <c r="C25" s="37"/>
    </row>
    <row r="26" spans="1:3" x14ac:dyDescent="0.35">
      <c r="A26" s="31"/>
      <c r="B26" s="37"/>
      <c r="C26" s="37"/>
    </row>
    <row r="27" spans="1:3" x14ac:dyDescent="0.35">
      <c r="A27" s="31"/>
      <c r="B27" s="37"/>
      <c r="C27" s="37"/>
    </row>
    <row r="28" spans="1:3" x14ac:dyDescent="0.35">
      <c r="A28" s="31"/>
      <c r="B28" s="37"/>
      <c r="C28" s="37"/>
    </row>
    <row r="29" spans="1:3" x14ac:dyDescent="0.35">
      <c r="A29" s="31"/>
      <c r="B29" s="37"/>
      <c r="C29" s="37"/>
    </row>
    <row r="30" spans="1:3" x14ac:dyDescent="0.35">
      <c r="A30" s="31"/>
      <c r="B30" s="37"/>
      <c r="C30" s="37"/>
    </row>
    <row r="31" spans="1:3" x14ac:dyDescent="0.35">
      <c r="A31" s="31"/>
      <c r="B31" s="37"/>
      <c r="C31" s="37"/>
    </row>
    <row r="32" spans="1:3" x14ac:dyDescent="0.35">
      <c r="A32" s="31"/>
      <c r="B32" s="37"/>
      <c r="C32" s="37"/>
    </row>
    <row r="33" spans="1:3" x14ac:dyDescent="0.35">
      <c r="A33" s="31"/>
      <c r="B33" s="37"/>
      <c r="C33" s="37"/>
    </row>
    <row r="34" spans="1:3" x14ac:dyDescent="0.35">
      <c r="A34" s="31"/>
      <c r="B34" s="37"/>
      <c r="C34" s="37"/>
    </row>
    <row r="35" spans="1:3" x14ac:dyDescent="0.35">
      <c r="A35" s="31"/>
      <c r="B35" s="37"/>
      <c r="C35" s="37"/>
    </row>
    <row r="36" spans="1:3" x14ac:dyDescent="0.35">
      <c r="A36" s="31"/>
      <c r="B36" s="37"/>
      <c r="C36" s="37"/>
    </row>
    <row r="37" spans="1:3" x14ac:dyDescent="0.35">
      <c r="A37" s="31"/>
      <c r="B37" s="37"/>
      <c r="C37" s="37"/>
    </row>
    <row r="38" spans="1:3" x14ac:dyDescent="0.35">
      <c r="A38" s="31"/>
      <c r="B38" s="37"/>
      <c r="C38" s="37"/>
    </row>
    <row r="39" spans="1:3" x14ac:dyDescent="0.35">
      <c r="A39" s="31"/>
      <c r="B39" s="37"/>
      <c r="C39" s="37"/>
    </row>
    <row r="40" spans="1:3" x14ac:dyDescent="0.35">
      <c r="A40" s="31"/>
      <c r="B40" s="37"/>
      <c r="C40" s="37"/>
    </row>
    <row r="41" spans="1:3" x14ac:dyDescent="0.35">
      <c r="A41" s="31"/>
      <c r="B41" s="37"/>
      <c r="C41" s="37"/>
    </row>
    <row r="42" spans="1:3" x14ac:dyDescent="0.35">
      <c r="A42" s="31"/>
      <c r="B42" s="37"/>
      <c r="C42" s="37"/>
    </row>
    <row r="43" spans="1:3" x14ac:dyDescent="0.35">
      <c r="A43" s="31"/>
      <c r="B43" s="37"/>
      <c r="C43" s="37"/>
    </row>
    <row r="44" spans="1:3" x14ac:dyDescent="0.35">
      <c r="A44" s="31"/>
      <c r="B44" s="37"/>
      <c r="C44" s="37"/>
    </row>
    <row r="45" spans="1:3" x14ac:dyDescent="0.35">
      <c r="A45" s="31"/>
      <c r="B45" s="37"/>
      <c r="C45" s="37"/>
    </row>
    <row r="46" spans="1:3" x14ac:dyDescent="0.35">
      <c r="A46" s="31"/>
      <c r="B46" s="37"/>
      <c r="C46" s="37"/>
    </row>
    <row r="47" spans="1:3" x14ac:dyDescent="0.35">
      <c r="A47" s="31"/>
      <c r="B47" s="37"/>
      <c r="C47" s="37"/>
    </row>
    <row r="48" spans="1:3" x14ac:dyDescent="0.35">
      <c r="A48" s="31"/>
      <c r="B48" s="37"/>
      <c r="C48" s="37"/>
    </row>
    <row r="49" spans="1:3" x14ac:dyDescent="0.35">
      <c r="A49" s="31"/>
      <c r="B49" s="37"/>
      <c r="C49" s="37"/>
    </row>
    <row r="50" spans="1:3" x14ac:dyDescent="0.35">
      <c r="A50" s="31"/>
      <c r="B50" s="37"/>
      <c r="C50" s="37"/>
    </row>
    <row r="51" spans="1:3" x14ac:dyDescent="0.35">
      <c r="A51" s="31"/>
      <c r="B51" s="37"/>
      <c r="C51" s="37"/>
    </row>
    <row r="52" spans="1:3" x14ac:dyDescent="0.35">
      <c r="A52" s="31"/>
      <c r="B52" s="37"/>
      <c r="C52" s="37"/>
    </row>
    <row r="53" spans="1:3" x14ac:dyDescent="0.35">
      <c r="A53" s="31"/>
      <c r="B53" s="37"/>
      <c r="C53" s="37"/>
    </row>
    <row r="54" spans="1:3" x14ac:dyDescent="0.35">
      <c r="A54" s="31"/>
      <c r="B54" s="37"/>
      <c r="C54" s="37"/>
    </row>
    <row r="55" spans="1:3" x14ac:dyDescent="0.35">
      <c r="A55" s="31"/>
      <c r="B55" s="37"/>
      <c r="C55" s="37"/>
    </row>
    <row r="56" spans="1:3" x14ac:dyDescent="0.35">
      <c r="A56" s="31"/>
      <c r="B56" s="37"/>
      <c r="C56" s="37"/>
    </row>
    <row r="57" spans="1:3" x14ac:dyDescent="0.35">
      <c r="A57" s="31"/>
      <c r="B57" s="37"/>
      <c r="C57" s="37"/>
    </row>
    <row r="58" spans="1:3" x14ac:dyDescent="0.35">
      <c r="A58" s="31"/>
      <c r="B58" s="37"/>
      <c r="C58" s="37"/>
    </row>
    <row r="59" spans="1:3" x14ac:dyDescent="0.35">
      <c r="A59" s="31"/>
      <c r="B59" s="37"/>
      <c r="C59" s="37"/>
    </row>
    <row r="60" spans="1:3" x14ac:dyDescent="0.35">
      <c r="A60" s="31"/>
      <c r="B60" s="37"/>
      <c r="C60" s="37"/>
    </row>
    <row r="61" spans="1:3" x14ac:dyDescent="0.35">
      <c r="A61" s="31"/>
      <c r="B61" s="37"/>
      <c r="C61" s="37"/>
    </row>
    <row r="62" spans="1:3" x14ac:dyDescent="0.35">
      <c r="A62" s="31"/>
      <c r="B62" s="37"/>
      <c r="C62" s="37"/>
    </row>
    <row r="63" spans="1:3" x14ac:dyDescent="0.35">
      <c r="A63" s="31"/>
      <c r="B63" s="37"/>
      <c r="C63" s="37"/>
    </row>
    <row r="64" spans="1:3" x14ac:dyDescent="0.35">
      <c r="A64" s="31"/>
      <c r="B64" s="37"/>
      <c r="C64" s="37"/>
    </row>
    <row r="65" spans="1:3" x14ac:dyDescent="0.35">
      <c r="A65" s="31"/>
      <c r="B65" s="37"/>
      <c r="C65" s="37"/>
    </row>
    <row r="66" spans="1:3" x14ac:dyDescent="0.35">
      <c r="A66" s="31"/>
      <c r="B66" s="37"/>
      <c r="C66" s="37"/>
    </row>
    <row r="67" spans="1:3" x14ac:dyDescent="0.35">
      <c r="A67" s="31"/>
      <c r="B67" s="37"/>
      <c r="C67" s="37"/>
    </row>
    <row r="68" spans="1:3" ht="15" thickBot="1" x14ac:dyDescent="0.4">
      <c r="A68" s="32"/>
      <c r="B68" s="27"/>
      <c r="C68" s="27"/>
    </row>
  </sheetData>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4.5" x14ac:dyDescent="0.3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90132a1-b740-41e9-a9d3-aef04dc8f2ab">
      <Terms xmlns="http://schemas.microsoft.com/office/infopath/2007/PartnerControls"/>
    </lcf76f155ced4ddcb4097134ff3c332f>
    <TaxCatchAll xmlns="73fb875a-8af9-4255-b008-0995492d31cd" xsi:nil="true"/>
    <SharedWithUsers xmlns="1fa27c74-dbb6-4e30-b933-9d82255035f8">
      <UserInfo>
        <DisplayName>Sandhu, Navneet - FNS</DisplayName>
        <AccountId>19</AccountId>
        <AccountType/>
      </UserInfo>
      <UserInfo>
        <DisplayName>Farmer, Andrea - FNS</DisplayName>
        <AccountId>27</AccountId>
        <AccountType/>
      </UserInfo>
      <UserInfo>
        <DisplayName>Fox, Ethan - FNS</DisplayName>
        <AccountId>67</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D63D8A803B97C449C3F4A0A11149BF6" ma:contentTypeVersion="12" ma:contentTypeDescription="Create a new document." ma:contentTypeScope="" ma:versionID="34a93b8d08d3cf2f3b36ffe5f3cce400">
  <xsd:schema xmlns:xsd="http://www.w3.org/2001/XMLSchema" xmlns:xs="http://www.w3.org/2001/XMLSchema" xmlns:p="http://schemas.microsoft.com/office/2006/metadata/properties" xmlns:ns2="190132a1-b740-41e9-a9d3-aef04dc8f2ab" xmlns:ns3="1fa27c74-dbb6-4e30-b933-9d82255035f8" xmlns:ns4="73fb875a-8af9-4255-b008-0995492d31cd" targetNamespace="http://schemas.microsoft.com/office/2006/metadata/properties" ma:root="true" ma:fieldsID="f8829a2b9a1b145c44a60c81f462162d" ns2:_="" ns3:_="" ns4:_="">
    <xsd:import namespace="190132a1-b740-41e9-a9d3-aef04dc8f2ab"/>
    <xsd:import namespace="1fa27c74-dbb6-4e30-b933-9d82255035f8"/>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lcf76f155ced4ddcb4097134ff3c332f" minOccurs="0"/>
                <xsd:element ref="ns4:TaxCatchAll"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0132a1-b740-41e9-a9d3-aef04dc8f2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a27c74-dbb6-4e30-b933-9d82255035f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5587fc19-7d4f-4113-b6f5-28a50fdb693f}" ma:internalName="TaxCatchAll" ma:showField="CatchAllData" ma:web="1fa27c74-dbb6-4e30-b933-9d82255035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7547F0-4617-4B4C-9670-8A29DAB259E7}">
  <ds:schemaRefs>
    <ds:schemaRef ds:uri="http://schemas.microsoft.com/office/2006/metadata/properties"/>
    <ds:schemaRef ds:uri="http://schemas.microsoft.com/office/infopath/2007/PartnerControls"/>
    <ds:schemaRef ds:uri="190132a1-b740-41e9-a9d3-aef04dc8f2ab"/>
    <ds:schemaRef ds:uri="73fb875a-8af9-4255-b008-0995492d31cd"/>
    <ds:schemaRef ds:uri="1fa27c74-dbb6-4e30-b933-9d82255035f8"/>
  </ds:schemaRefs>
</ds:datastoreItem>
</file>

<file path=customXml/itemProps2.xml><?xml version="1.0" encoding="utf-8"?>
<ds:datastoreItem xmlns:ds="http://schemas.openxmlformats.org/officeDocument/2006/customXml" ds:itemID="{419D5F14-DB95-4720-A175-1B07518CE4C1}">
  <ds:schemaRefs>
    <ds:schemaRef ds:uri="http://schemas.microsoft.com/sharepoint/v3/contenttype/forms"/>
  </ds:schemaRefs>
</ds:datastoreItem>
</file>

<file path=customXml/itemProps3.xml><?xml version="1.0" encoding="utf-8"?>
<ds:datastoreItem xmlns:ds="http://schemas.openxmlformats.org/officeDocument/2006/customXml" ds:itemID="{526CEA26-7953-4807-B0E0-74CE7A4532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0132a1-b740-41e9-a9d3-aef04dc8f2ab"/>
    <ds:schemaRef ds:uri="1fa27c74-dbb6-4e30-b933-9d82255035f8"/>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Reporting</vt:lpstr>
      <vt:lpstr>Recordkeeping</vt:lpstr>
      <vt:lpstr>Public Disclosure</vt:lpstr>
      <vt:lpstr>Burden Summary</vt:lpstr>
      <vt:lpstr>Respondent Costs</vt:lpstr>
      <vt:lpstr>Proposed Rule Respondent Costs</vt:lpstr>
      <vt:lpstr>Labor Rates</vt:lpstr>
      <vt:lpstr>Notes</vt:lpstr>
      <vt:lpstr>'Burden Summary'!Print_Area</vt:lpstr>
      <vt:lpstr>Recordkeeping!Print_Area</vt:lpstr>
    </vt:vector>
  </TitlesOfParts>
  <Manager/>
  <Company>USDA/FNS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mmalhotra</dc:creator>
  <cp:keywords/>
  <dc:description/>
  <cp:lastModifiedBy>Sandberg, Christina - FNS</cp:lastModifiedBy>
  <cp:revision/>
  <dcterms:created xsi:type="dcterms:W3CDTF">2011-04-25T16:43:00Z</dcterms:created>
  <dcterms:modified xsi:type="dcterms:W3CDTF">2024-12-13T22:33:57Z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01f1c89f902f41a08e3bc485a49ec5ed</vt:lpwstr>
  </property>
  <property fmtid="{D5CDD505-2E9C-101B-9397-08002B2CF9AE}" pid="3" name="ContentTypeId">
    <vt:lpwstr>0x010100DD63D8A803B97C449C3F4A0A11149BF6</vt:lpwstr>
  </property>
  <property fmtid="{D5CDD505-2E9C-101B-9397-08002B2CF9AE}" pid="4" name="MediaServiceImageTags">
    <vt:lpwstr/>
  </property>
</Properties>
</file>