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ttps://usepa.sharepoint.com/sites/LegacyFleetIncentivesAssessmentCenterLFIAC/Shared Documents/General/ICR/TCD Grants ICR/TCD Grants ICR Revision_November 2024/Second FRN Docs/Materials for Pre-Signature Review/Appendices A-Y/"/>
    </mc:Choice>
  </mc:AlternateContent>
  <xr:revisionPtr revIDLastSave="9103" documentId="13_ncr:1_{B03133E7-AD0E-44C5-A53A-31E3A2DFA561}" xr6:coauthVersionLast="47" xr6:coauthVersionMax="47" xr10:uidLastSave="{30D51E9E-F657-45D6-9A72-49697071215C}"/>
  <workbookProtection lockStructure="1"/>
  <bookViews>
    <workbookView xWindow="-38520" yWindow="-1935" windowWidth="38640" windowHeight="21120" tabRatio="876" activeTab="1" xr2:uid="{52DE7213-AB2C-49E5-8681-7894F72775BA}"/>
  </bookViews>
  <sheets>
    <sheet name="Table of Contents" sheetId="29" r:id="rId1"/>
    <sheet name="Total and Summary" sheetId="33" r:id="rId2"/>
    <sheet name="Reporting Burden by Program" sheetId="30" r:id="rId3"/>
    <sheet name="Wages" sheetId="1" r:id="rId4"/>
    <sheet name="Respondents" sheetId="15" r:id="rId5"/>
    <sheet name="Grant Cycle Raw Data" sheetId="18" r:id="rId6"/>
    <sheet name="Respondent Burden and Costs" sheetId="34" r:id="rId7"/>
    <sheet name=" EPA burden" sheetId="8" r:id="rId8"/>
    <sheet name="Reporting Burden by Instrument" sheetId="23" r:id="rId9"/>
    <sheet name="Appendix Table_IU" sheetId="35" state="hidden" r:id="rId10"/>
    <sheet name="DERA Template Testing 2024" sheetId="27" state="hidden" r:id="rId11"/>
    <sheet name="CPP Template Testing 2024" sheetId="24" state="hidden" r:id="rId12"/>
    <sheet name="CHDV Template Testing 2024" sheetId="28" state="hidden" r:id="rId13"/>
    <sheet name="CSB Template Testing 2024" sheetId="26" state="hidden" r:id="rId14"/>
    <sheet name="Other Instrument Tester Data_24" sheetId="25" state="hidden" r:id="rId15"/>
    <sheet name="Sources" sheetId="12" r:id="rId16"/>
  </sheets>
  <definedNames>
    <definedName name="_xlnm._FilterDatabase" localSheetId="8" hidden="1">'Reporting Burden by Instrument'!$B$2:$AE$20</definedName>
    <definedName name="_xlnm._FilterDatabase" localSheetId="6" hidden="1">'Total and Summary'!#REF!</definedName>
    <definedName name="cler_private">Wages!$E$36</definedName>
    <definedName name="cler_state_local">Wages!$E$29</definedName>
    <definedName name="man_private">Wages!$E$34</definedName>
    <definedName name="man_state_local">Wages!$E$27</definedName>
    <definedName name="_xlnm.Print_Area" localSheetId="7">' EPA burden'!$B$2:$Q$12</definedName>
    <definedName name="_xlnm.Print_Area" localSheetId="8">'Reporting Burden by Instrument'!#REF!</definedName>
    <definedName name="_xlnm.Print_Area" localSheetId="3">Wages!$B$22:$F$39</definedName>
    <definedName name="task1_local">#REF!</definedName>
    <definedName name="task1_local_hours">#REF!</definedName>
    <definedName name="task1_private">#REF!</definedName>
    <definedName name="task1_private_hours">#REF!</definedName>
    <definedName name="task1_state" localSheetId="8">'Reporting Burden by Instrument'!#REF!</definedName>
    <definedName name="task1_state">#REF!</definedName>
    <definedName name="task1_state_hours" localSheetId="8">'Reporting Burden by Instrument'!#REF!</definedName>
    <definedName name="task1_state_hours">#REF!</definedName>
    <definedName name="task2_local">#REF!</definedName>
    <definedName name="task2_local_hours">#REF!</definedName>
    <definedName name="task2_private">#REF!</definedName>
    <definedName name="task2_private_hours">#REF!</definedName>
    <definedName name="task2_state" localSheetId="8">'Reporting Burden by Instrument'!#REF!</definedName>
    <definedName name="task2_state">#REF!</definedName>
    <definedName name="task2_state_hours" localSheetId="8">'Reporting Burden by Instrument'!#REF!</definedName>
    <definedName name="task2_state_hours">#REF!</definedName>
    <definedName name="tech_private">Wages!$E$35</definedName>
    <definedName name="tech_state_local">Wages!$E$28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35" l="1"/>
  <c r="J5" i="35"/>
  <c r="C24" i="23"/>
  <c r="C25" i="23"/>
  <c r="C26" i="23"/>
  <c r="C23" i="23"/>
  <c r="C10" i="23"/>
  <c r="C11" i="23"/>
  <c r="C12" i="23"/>
  <c r="C13" i="23"/>
  <c r="C14" i="23"/>
  <c r="C15" i="23"/>
  <c r="C16" i="23"/>
  <c r="C17" i="23"/>
  <c r="C18" i="23"/>
  <c r="C19" i="23"/>
  <c r="C20" i="23"/>
  <c r="C5" i="23"/>
  <c r="C6" i="23"/>
  <c r="C7" i="23"/>
  <c r="C4" i="23"/>
  <c r="C3" i="23"/>
  <c r="B32" i="33"/>
  <c r="E6" i="30"/>
  <c r="F6" i="30"/>
  <c r="E5" i="30"/>
  <c r="E4" i="30"/>
  <c r="E3" i="30"/>
  <c r="F3" i="30"/>
  <c r="L48" i="30"/>
  <c r="M48" i="30"/>
  <c r="V15" i="23"/>
  <c r="W15" i="23"/>
  <c r="X15" i="23"/>
  <c r="Y23" i="23"/>
  <c r="Z23" i="23"/>
  <c r="AA23" i="23"/>
  <c r="AB23" i="23"/>
  <c r="AC23" i="23"/>
  <c r="AD23" i="23"/>
  <c r="T23" i="23" s="1"/>
  <c r="AE23" i="23"/>
  <c r="Y24" i="23"/>
  <c r="Z24" i="23"/>
  <c r="AA24" i="23"/>
  <c r="AB24" i="23"/>
  <c r="AC24" i="23"/>
  <c r="AD24" i="23"/>
  <c r="T24" i="23" s="1"/>
  <c r="AE24" i="23"/>
  <c r="Y25" i="23"/>
  <c r="Z25" i="23"/>
  <c r="AA25" i="23"/>
  <c r="AB25" i="23"/>
  <c r="AC25" i="23"/>
  <c r="AD25" i="23"/>
  <c r="T25" i="23" s="1"/>
  <c r="AE25" i="23"/>
  <c r="Y26" i="23"/>
  <c r="Z26" i="23"/>
  <c r="AA26" i="23"/>
  <c r="AB26" i="23"/>
  <c r="AC26" i="23"/>
  <c r="AD26" i="23"/>
  <c r="T26" i="23" s="1"/>
  <c r="AE26" i="23"/>
  <c r="U3" i="23"/>
  <c r="U4" i="23"/>
  <c r="U5" i="23"/>
  <c r="U13" i="23"/>
  <c r="U18" i="23"/>
  <c r="V18" i="23"/>
  <c r="V3" i="23"/>
  <c r="W3" i="23"/>
  <c r="X3" i="23"/>
  <c r="O23" i="23"/>
  <c r="O24" i="23"/>
  <c r="O25" i="23"/>
  <c r="J4" i="23"/>
  <c r="J7" i="23"/>
  <c r="J15" i="23"/>
  <c r="J16" i="23"/>
  <c r="J22" i="23"/>
  <c r="J23" i="23"/>
  <c r="J24" i="23"/>
  <c r="J25" i="23"/>
  <c r="H26" i="23"/>
  <c r="H25" i="23"/>
  <c r="H24" i="23"/>
  <c r="H23" i="23"/>
  <c r="Q23" i="23"/>
  <c r="Q24" i="23"/>
  <c r="Q25" i="23"/>
  <c r="P14" i="23"/>
  <c r="B7" i="30"/>
  <c r="B6" i="30"/>
  <c r="B5" i="30"/>
  <c r="B4" i="30"/>
  <c r="B3" i="30"/>
  <c r="D168" i="34"/>
  <c r="D199" i="34" s="1"/>
  <c r="E168" i="34"/>
  <c r="E182" i="34" s="1"/>
  <c r="D169" i="34"/>
  <c r="D183" i="34" s="1"/>
  <c r="E169" i="34"/>
  <c r="E183" i="34" s="1"/>
  <c r="D170" i="34"/>
  <c r="D184" i="34" s="1"/>
  <c r="E170" i="34"/>
  <c r="E201" i="34" s="1"/>
  <c r="D171" i="34"/>
  <c r="D185" i="34" s="1"/>
  <c r="E171" i="34"/>
  <c r="E202" i="34" s="1"/>
  <c r="D172" i="34"/>
  <c r="D186" i="34" s="1"/>
  <c r="E172" i="34"/>
  <c r="E203" i="34" s="1"/>
  <c r="D173" i="34"/>
  <c r="D187" i="34" s="1"/>
  <c r="E173" i="34"/>
  <c r="E187" i="34" s="1"/>
  <c r="D174" i="34"/>
  <c r="D188" i="34" s="1"/>
  <c r="E167" i="34"/>
  <c r="E181" i="34" s="1"/>
  <c r="B135" i="34"/>
  <c r="B156" i="34" s="1"/>
  <c r="C135" i="34"/>
  <c r="C144" i="34" s="1"/>
  <c r="D135" i="34"/>
  <c r="D156" i="34" s="1"/>
  <c r="E135" i="34"/>
  <c r="E156" i="34" s="1"/>
  <c r="B136" i="34"/>
  <c r="B145" i="34" s="1"/>
  <c r="C136" i="34"/>
  <c r="C145" i="34" s="1"/>
  <c r="D136" i="34"/>
  <c r="D157" i="34" s="1"/>
  <c r="E136" i="34"/>
  <c r="E157" i="34" s="1"/>
  <c r="C134" i="34"/>
  <c r="C155" i="34" s="1"/>
  <c r="D134" i="34"/>
  <c r="D143" i="34" s="1"/>
  <c r="E134" i="34"/>
  <c r="E143" i="34" s="1"/>
  <c r="B134" i="34"/>
  <c r="B143" i="34" s="1"/>
  <c r="E92" i="34"/>
  <c r="E104" i="34" s="1"/>
  <c r="E93" i="34"/>
  <c r="E120" i="34" s="1"/>
  <c r="E94" i="34"/>
  <c r="E121" i="34" s="1"/>
  <c r="E95" i="34"/>
  <c r="E122" i="34" s="1"/>
  <c r="E96" i="34"/>
  <c r="E123" i="34" s="1"/>
  <c r="E50" i="34"/>
  <c r="E77" i="34" s="1"/>
  <c r="E51" i="34"/>
  <c r="E78" i="34" s="1"/>
  <c r="E52" i="34"/>
  <c r="E79" i="34" s="1"/>
  <c r="E53" i="34"/>
  <c r="E80" i="34" s="1"/>
  <c r="E54" i="34"/>
  <c r="E81" i="34" s="1"/>
  <c r="E6" i="34"/>
  <c r="E19" i="34" s="1"/>
  <c r="E7" i="34"/>
  <c r="E20" i="34" s="1"/>
  <c r="E8" i="34"/>
  <c r="E21" i="34" s="1"/>
  <c r="E9" i="34"/>
  <c r="E22" i="34" s="1"/>
  <c r="E10" i="34"/>
  <c r="E23" i="34" s="1"/>
  <c r="E5" i="34"/>
  <c r="E18" i="34" s="1"/>
  <c r="J171" i="34"/>
  <c r="J202" i="34" s="1"/>
  <c r="K171" i="34"/>
  <c r="K202" i="34" s="1"/>
  <c r="L171" i="34"/>
  <c r="L202" i="34" s="1"/>
  <c r="M171" i="34"/>
  <c r="M185" i="34" s="1"/>
  <c r="J172" i="34"/>
  <c r="J203" i="34" s="1"/>
  <c r="J173" i="34"/>
  <c r="J204" i="34" s="1"/>
  <c r="K173" i="34"/>
  <c r="K204" i="34" s="1"/>
  <c r="L173" i="34"/>
  <c r="L187" i="34" s="1"/>
  <c r="M173" i="34"/>
  <c r="M187" i="34" s="1"/>
  <c r="J174" i="34"/>
  <c r="J205" i="34" s="1"/>
  <c r="L174" i="34"/>
  <c r="L205" i="34" s="1"/>
  <c r="M174" i="34"/>
  <c r="M205" i="34" s="1"/>
  <c r="N174" i="34"/>
  <c r="N205" i="34" s="1"/>
  <c r="B168" i="34"/>
  <c r="B182" i="34" s="1"/>
  <c r="C168" i="34"/>
  <c r="C182" i="34" s="1"/>
  <c r="B169" i="34"/>
  <c r="B200" i="34" s="1"/>
  <c r="C169" i="34"/>
  <c r="C200" i="34" s="1"/>
  <c r="B170" i="34"/>
  <c r="B184" i="34" s="1"/>
  <c r="C170" i="34"/>
  <c r="C184" i="34" s="1"/>
  <c r="B171" i="34"/>
  <c r="B202" i="34" s="1"/>
  <c r="C171" i="34"/>
  <c r="C202" i="34" s="1"/>
  <c r="B172" i="34"/>
  <c r="B203" i="34" s="1"/>
  <c r="C172" i="34"/>
  <c r="C186" i="34" s="1"/>
  <c r="B173" i="34"/>
  <c r="B187" i="34" s="1"/>
  <c r="C173" i="34"/>
  <c r="C187" i="34" s="1"/>
  <c r="B174" i="34"/>
  <c r="B188" i="34" s="1"/>
  <c r="C174" i="34"/>
  <c r="C205" i="34" s="1"/>
  <c r="C167" i="34"/>
  <c r="C198" i="34" s="1"/>
  <c r="D167" i="34"/>
  <c r="D198" i="34" s="1"/>
  <c r="B167" i="34"/>
  <c r="B181" i="34" s="1"/>
  <c r="J149" i="34"/>
  <c r="J97" i="34"/>
  <c r="J109" i="34" s="1"/>
  <c r="L97" i="34"/>
  <c r="L109" i="34" s="1"/>
  <c r="M97" i="34"/>
  <c r="M109" i="34" s="1"/>
  <c r="B93" i="34"/>
  <c r="B105" i="34" s="1"/>
  <c r="C93" i="34"/>
  <c r="C120" i="34" s="1"/>
  <c r="D93" i="34"/>
  <c r="D120" i="34" s="1"/>
  <c r="B94" i="34"/>
  <c r="B121" i="34" s="1"/>
  <c r="C94" i="34"/>
  <c r="C106" i="34" s="1"/>
  <c r="D94" i="34"/>
  <c r="D106" i="34" s="1"/>
  <c r="B95" i="34"/>
  <c r="B122" i="34" s="1"/>
  <c r="C95" i="34"/>
  <c r="C122" i="34" s="1"/>
  <c r="D95" i="34"/>
  <c r="D107" i="34" s="1"/>
  <c r="B96" i="34"/>
  <c r="B108" i="34" s="1"/>
  <c r="C96" i="34"/>
  <c r="C108" i="34" s="1"/>
  <c r="D96" i="34"/>
  <c r="D108" i="34" s="1"/>
  <c r="B97" i="34"/>
  <c r="B109" i="34" s="1"/>
  <c r="C97" i="34"/>
  <c r="C109" i="34" s="1"/>
  <c r="D97" i="34"/>
  <c r="D109" i="34" s="1"/>
  <c r="C92" i="34"/>
  <c r="C104" i="34" s="1"/>
  <c r="D92" i="34"/>
  <c r="D104" i="34" s="1"/>
  <c r="B92" i="34"/>
  <c r="B104" i="34" s="1"/>
  <c r="B51" i="34"/>
  <c r="B63" i="34" s="1"/>
  <c r="C51" i="34"/>
  <c r="C63" i="34" s="1"/>
  <c r="D51" i="34"/>
  <c r="D63" i="34" s="1"/>
  <c r="L51" i="34"/>
  <c r="L63" i="34" s="1"/>
  <c r="M51" i="34"/>
  <c r="M63" i="34" s="1"/>
  <c r="B52" i="34"/>
  <c r="B64" i="34" s="1"/>
  <c r="C52" i="34"/>
  <c r="C64" i="34" s="1"/>
  <c r="D52" i="34"/>
  <c r="D64" i="34" s="1"/>
  <c r="J52" i="34"/>
  <c r="J64" i="34" s="1"/>
  <c r="K52" i="34"/>
  <c r="L52" i="34"/>
  <c r="L79" i="34" s="1"/>
  <c r="M52" i="34"/>
  <c r="B53" i="34"/>
  <c r="B65" i="34" s="1"/>
  <c r="C53" i="34"/>
  <c r="C65" i="34" s="1"/>
  <c r="D53" i="34"/>
  <c r="D65" i="34" s="1"/>
  <c r="L53" i="34"/>
  <c r="L65" i="34" s="1"/>
  <c r="M53" i="34"/>
  <c r="M80" i="34" s="1"/>
  <c r="B54" i="34"/>
  <c r="B81" i="34" s="1"/>
  <c r="C54" i="34"/>
  <c r="C66" i="34" s="1"/>
  <c r="D54" i="34"/>
  <c r="D66" i="34" s="1"/>
  <c r="J54" i="34"/>
  <c r="J81" i="34" s="1"/>
  <c r="K54" i="34"/>
  <c r="L54" i="34"/>
  <c r="L81" i="34" s="1"/>
  <c r="B55" i="34"/>
  <c r="B67" i="34" s="1"/>
  <c r="C55" i="34"/>
  <c r="C67" i="34" s="1"/>
  <c r="D55" i="34"/>
  <c r="D67" i="34" s="1"/>
  <c r="J55" i="34"/>
  <c r="J67" i="34" s="1"/>
  <c r="L55" i="34"/>
  <c r="L82" i="34" s="1"/>
  <c r="M55" i="34"/>
  <c r="M82" i="34" s="1"/>
  <c r="K50" i="34"/>
  <c r="L50" i="34"/>
  <c r="L77" i="34" s="1"/>
  <c r="M50" i="34"/>
  <c r="M62" i="34" s="1"/>
  <c r="C50" i="34"/>
  <c r="C62" i="34" s="1"/>
  <c r="D50" i="34"/>
  <c r="D62" i="34" s="1"/>
  <c r="B50" i="34"/>
  <c r="B62" i="34" s="1"/>
  <c r="K28" i="34"/>
  <c r="J28" i="34"/>
  <c r="J10" i="34"/>
  <c r="J23" i="34" s="1"/>
  <c r="K10" i="34"/>
  <c r="L10" i="34"/>
  <c r="L39" i="34" s="1"/>
  <c r="M10" i="34"/>
  <c r="M23" i="34" s="1"/>
  <c r="J11" i="34"/>
  <c r="J40" i="34" s="1"/>
  <c r="L11" i="34"/>
  <c r="L24" i="34" s="1"/>
  <c r="M11" i="34"/>
  <c r="M24" i="34" s="1"/>
  <c r="N11" i="34"/>
  <c r="N24" i="34" s="1"/>
  <c r="C6" i="34"/>
  <c r="C19" i="34" s="1"/>
  <c r="D6" i="34"/>
  <c r="D19" i="34" s="1"/>
  <c r="C7" i="34"/>
  <c r="C20" i="34" s="1"/>
  <c r="D7" i="34"/>
  <c r="D20" i="34" s="1"/>
  <c r="C8" i="34"/>
  <c r="C21" i="34" s="1"/>
  <c r="D8" i="34"/>
  <c r="D21" i="34" s="1"/>
  <c r="C9" i="34"/>
  <c r="C22" i="34" s="1"/>
  <c r="D9" i="34"/>
  <c r="D38" i="34" s="1"/>
  <c r="C10" i="34"/>
  <c r="C23" i="34" s="1"/>
  <c r="D10" i="34"/>
  <c r="D39" i="34" s="1"/>
  <c r="C11" i="34"/>
  <c r="C24" i="34" s="1"/>
  <c r="D11" i="34"/>
  <c r="D24" i="34" s="1"/>
  <c r="D5" i="34"/>
  <c r="D18" i="34" s="1"/>
  <c r="C5" i="34"/>
  <c r="C18" i="34" s="1"/>
  <c r="B6" i="34"/>
  <c r="B19" i="34" s="1"/>
  <c r="B7" i="34"/>
  <c r="B20" i="34" s="1"/>
  <c r="B8" i="34"/>
  <c r="B21" i="34" s="1"/>
  <c r="B9" i="34"/>
  <c r="B22" i="34" s="1"/>
  <c r="B10" i="34"/>
  <c r="B23" i="34" s="1"/>
  <c r="B11" i="34"/>
  <c r="B24" i="34" s="1"/>
  <c r="B5" i="34"/>
  <c r="B18" i="34" s="1"/>
  <c r="L21" i="30"/>
  <c r="M21" i="30"/>
  <c r="L31" i="30"/>
  <c r="L41" i="30"/>
  <c r="E40" i="30"/>
  <c r="F97" i="34" s="1"/>
  <c r="F109" i="34" s="1"/>
  <c r="F40" i="30"/>
  <c r="G97" i="34" s="1"/>
  <c r="G109" i="34" s="1"/>
  <c r="E20" i="30"/>
  <c r="F20" i="30"/>
  <c r="G11" i="34" s="1"/>
  <c r="G24" i="34" s="1"/>
  <c r="D59" i="30"/>
  <c r="E174" i="34" s="1"/>
  <c r="E205" i="34" s="1"/>
  <c r="D40" i="30"/>
  <c r="E97" i="34" s="1"/>
  <c r="E124" i="34" s="1"/>
  <c r="D30" i="30"/>
  <c r="E55" i="34" s="1"/>
  <c r="E82" i="34" s="1"/>
  <c r="D20" i="30"/>
  <c r="E11" i="34" s="1"/>
  <c r="E24" i="34" s="1"/>
  <c r="E59" i="30"/>
  <c r="F174" i="34" s="1"/>
  <c r="F205" i="34" s="1"/>
  <c r="F59" i="30"/>
  <c r="G174" i="34" s="1"/>
  <c r="G205" i="34" s="1"/>
  <c r="E56" i="30"/>
  <c r="F171" i="34" s="1"/>
  <c r="F202" i="34" s="1"/>
  <c r="F56" i="30"/>
  <c r="G171" i="34" s="1"/>
  <c r="G202" i="34" s="1"/>
  <c r="E30" i="30"/>
  <c r="F55" i="34" s="1"/>
  <c r="F67" i="34" s="1"/>
  <c r="F30" i="30"/>
  <c r="G55" i="34" s="1"/>
  <c r="G67" i="34" s="1"/>
  <c r="Q22" i="23"/>
  <c r="K5" i="35" s="1"/>
  <c r="O22" i="23"/>
  <c r="X22" i="23" s="1"/>
  <c r="Q26" i="23"/>
  <c r="O26" i="23"/>
  <c r="Y22" i="23"/>
  <c r="Z22" i="23"/>
  <c r="AA22" i="23"/>
  <c r="AB22" i="23"/>
  <c r="AC22" i="23"/>
  <c r="AD22" i="23"/>
  <c r="T22" i="23" s="1"/>
  <c r="AE22" i="23"/>
  <c r="G21" i="27"/>
  <c r="H21" i="27"/>
  <c r="I21" i="27"/>
  <c r="J21" i="27"/>
  <c r="J20" i="27"/>
  <c r="I20" i="27"/>
  <c r="H20" i="27"/>
  <c r="G20" i="27"/>
  <c r="G30" i="24"/>
  <c r="H30" i="24"/>
  <c r="I30" i="24"/>
  <c r="J30" i="24"/>
  <c r="G31" i="24"/>
  <c r="H31" i="24"/>
  <c r="I31" i="24"/>
  <c r="J31" i="24"/>
  <c r="G32" i="24"/>
  <c r="H32" i="24"/>
  <c r="I32" i="24"/>
  <c r="J32" i="24"/>
  <c r="G33" i="24"/>
  <c r="H33" i="24"/>
  <c r="I33" i="24"/>
  <c r="J33" i="24"/>
  <c r="G34" i="24"/>
  <c r="H34" i="24"/>
  <c r="I34" i="24"/>
  <c r="J34" i="24"/>
  <c r="G35" i="24"/>
  <c r="H35" i="24"/>
  <c r="I35" i="24"/>
  <c r="J35" i="24"/>
  <c r="G36" i="24"/>
  <c r="H36" i="24"/>
  <c r="I36" i="24"/>
  <c r="J36" i="24"/>
  <c r="J29" i="24"/>
  <c r="I29" i="24"/>
  <c r="H29" i="24"/>
  <c r="G29" i="24"/>
  <c r="G21" i="28"/>
  <c r="H21" i="28"/>
  <c r="I21" i="28"/>
  <c r="I20" i="28"/>
  <c r="H20" i="28"/>
  <c r="G21" i="26"/>
  <c r="H21" i="26"/>
  <c r="I21" i="26"/>
  <c r="G20" i="28"/>
  <c r="I20" i="26"/>
  <c r="H20" i="26"/>
  <c r="G20" i="26"/>
  <c r="J19" i="35"/>
  <c r="J20" i="35"/>
  <c r="J12" i="35"/>
  <c r="J11" i="35"/>
  <c r="J9" i="35"/>
  <c r="J10" i="35"/>
  <c r="J13" i="35"/>
  <c r="J14" i="35"/>
  <c r="J15" i="35"/>
  <c r="J22" i="35"/>
  <c r="J16" i="35"/>
  <c r="J17" i="35"/>
  <c r="J18" i="35"/>
  <c r="J6" i="35"/>
  <c r="J7" i="35"/>
  <c r="J3" i="35"/>
  <c r="J4" i="35"/>
  <c r="J21" i="35"/>
  <c r="N209" i="34"/>
  <c r="N192" i="34"/>
  <c r="M192" i="34"/>
  <c r="M209" i="34"/>
  <c r="L209" i="34"/>
  <c r="K209" i="34"/>
  <c r="J209" i="34"/>
  <c r="M161" i="34"/>
  <c r="L161" i="34"/>
  <c r="K161" i="34"/>
  <c r="J161" i="34"/>
  <c r="M128" i="34"/>
  <c r="L128" i="34"/>
  <c r="K128" i="34"/>
  <c r="J128" i="34"/>
  <c r="M86" i="34"/>
  <c r="L86" i="34"/>
  <c r="K86" i="34"/>
  <c r="J86" i="34"/>
  <c r="N44" i="34"/>
  <c r="M44" i="34"/>
  <c r="L44" i="34"/>
  <c r="K44" i="34"/>
  <c r="J44" i="34"/>
  <c r="J168" i="34"/>
  <c r="J182" i="34" s="1"/>
  <c r="L168" i="34"/>
  <c r="L182" i="34" s="1"/>
  <c r="M168" i="34"/>
  <c r="M182" i="34" s="1"/>
  <c r="N168" i="34"/>
  <c r="N199" i="34" s="1"/>
  <c r="L169" i="34"/>
  <c r="L183" i="34" s="1"/>
  <c r="M169" i="34"/>
  <c r="M183" i="34" s="1"/>
  <c r="N169" i="34"/>
  <c r="N183" i="34" s="1"/>
  <c r="J170" i="34"/>
  <c r="J184" i="34" s="1"/>
  <c r="L170" i="34"/>
  <c r="L184" i="34" s="1"/>
  <c r="M170" i="34"/>
  <c r="M184" i="34" s="1"/>
  <c r="N170" i="34"/>
  <c r="N184" i="34" s="1"/>
  <c r="K167" i="34"/>
  <c r="K181" i="34" s="1"/>
  <c r="L167" i="34"/>
  <c r="L181" i="34" s="1"/>
  <c r="M167" i="34"/>
  <c r="M181" i="34" s="1"/>
  <c r="N167" i="34"/>
  <c r="N181" i="34" s="1"/>
  <c r="J135" i="34"/>
  <c r="K135" i="34"/>
  <c r="K144" i="34" s="1"/>
  <c r="L135" i="34"/>
  <c r="L144" i="34" s="1"/>
  <c r="M135" i="34"/>
  <c r="M144" i="34" s="1"/>
  <c r="J136" i="34"/>
  <c r="J145" i="34" s="1"/>
  <c r="L136" i="34"/>
  <c r="L157" i="34" s="1"/>
  <c r="M136" i="34"/>
  <c r="K134" i="34"/>
  <c r="L134" i="34"/>
  <c r="L143" i="34" s="1"/>
  <c r="M134" i="34"/>
  <c r="M155" i="34" s="1"/>
  <c r="L93" i="34"/>
  <c r="L120" i="34" s="1"/>
  <c r="M93" i="34"/>
  <c r="J94" i="34"/>
  <c r="J121" i="34" s="1"/>
  <c r="K94" i="34"/>
  <c r="K106" i="34" s="1"/>
  <c r="L94" i="34"/>
  <c r="L106" i="34" s="1"/>
  <c r="M94" i="34"/>
  <c r="M106" i="34" s="1"/>
  <c r="L95" i="34"/>
  <c r="M95" i="34"/>
  <c r="M122" i="34" s="1"/>
  <c r="J96" i="34"/>
  <c r="L96" i="34"/>
  <c r="L123" i="34" s="1"/>
  <c r="K92" i="34"/>
  <c r="K119" i="34" s="1"/>
  <c r="L92" i="34"/>
  <c r="L104" i="34" s="1"/>
  <c r="M92" i="34"/>
  <c r="M119" i="34" s="1"/>
  <c r="L6" i="34"/>
  <c r="L19" i="34" s="1"/>
  <c r="M6" i="34"/>
  <c r="M35" i="34" s="1"/>
  <c r="N6" i="34"/>
  <c r="N19" i="34" s="1"/>
  <c r="J7" i="34"/>
  <c r="J20" i="34" s="1"/>
  <c r="L7" i="34"/>
  <c r="L20" i="34" s="1"/>
  <c r="M7" i="34"/>
  <c r="M20" i="34" s="1"/>
  <c r="N7" i="34"/>
  <c r="N20" i="34" s="1"/>
  <c r="J8" i="34"/>
  <c r="J21" i="34" s="1"/>
  <c r="L8" i="34"/>
  <c r="L37" i="34" s="1"/>
  <c r="M8" i="34"/>
  <c r="M21" i="34" s="1"/>
  <c r="N8" i="34"/>
  <c r="N37" i="34" s="1"/>
  <c r="L9" i="34"/>
  <c r="L22" i="34" s="1"/>
  <c r="M9" i="34"/>
  <c r="M22" i="34" s="1"/>
  <c r="N9" i="34"/>
  <c r="N22" i="34" s="1"/>
  <c r="K5" i="34"/>
  <c r="K18" i="34" s="1"/>
  <c r="L5" i="34"/>
  <c r="L18" i="34" s="1"/>
  <c r="M5" i="34"/>
  <c r="M18" i="34" s="1"/>
  <c r="N5" i="34"/>
  <c r="N18" i="34" s="1"/>
  <c r="O20" i="23"/>
  <c r="G47" i="30" s="1"/>
  <c r="H47" i="30" s="1"/>
  <c r="O6" i="23"/>
  <c r="G36" i="30" s="1"/>
  <c r="H93" i="34" s="1"/>
  <c r="H105" i="34" s="1"/>
  <c r="N19" i="23"/>
  <c r="F55" i="30" s="1"/>
  <c r="G170" i="34" s="1"/>
  <c r="G201" i="34" s="1"/>
  <c r="M19" i="23"/>
  <c r="E55" i="30" s="1"/>
  <c r="F170" i="34" s="1"/>
  <c r="F184" i="34" s="1"/>
  <c r="D38" i="24"/>
  <c r="E38" i="24"/>
  <c r="F38" i="30"/>
  <c r="G95" i="34" s="1"/>
  <c r="G107" i="34" s="1"/>
  <c r="D115" i="18"/>
  <c r="I8" i="8"/>
  <c r="I9" i="8"/>
  <c r="O21" i="23"/>
  <c r="O17" i="23"/>
  <c r="G28" i="30" s="1"/>
  <c r="H28" i="30" s="1"/>
  <c r="O12" i="23"/>
  <c r="G16" i="30" s="1"/>
  <c r="H16" i="30" s="1"/>
  <c r="O11" i="23"/>
  <c r="R11" i="23" s="1"/>
  <c r="O10" i="23"/>
  <c r="G26" i="30" s="1"/>
  <c r="H26" i="30" s="1"/>
  <c r="O9" i="23"/>
  <c r="G38" i="30" s="1"/>
  <c r="H95" i="34" s="1"/>
  <c r="H107" i="34" s="1"/>
  <c r="O8" i="23"/>
  <c r="R8" i="23" s="1"/>
  <c r="J3" i="25"/>
  <c r="J4" i="25"/>
  <c r="J5" i="25"/>
  <c r="J6" i="25"/>
  <c r="J7" i="25"/>
  <c r="J8" i="25"/>
  <c r="J9" i="25"/>
  <c r="J10" i="25"/>
  <c r="K3" i="25"/>
  <c r="K4" i="25"/>
  <c r="K5" i="25"/>
  <c r="K6" i="25"/>
  <c r="K7" i="25"/>
  <c r="K8" i="25"/>
  <c r="K9" i="25"/>
  <c r="K10" i="25"/>
  <c r="K2" i="25"/>
  <c r="J2" i="25"/>
  <c r="E53" i="30"/>
  <c r="F168" i="34" s="1"/>
  <c r="F182" i="34" s="1"/>
  <c r="F53" i="30"/>
  <c r="G168" i="34" s="1"/>
  <c r="G182" i="34" s="1"/>
  <c r="E54" i="30"/>
  <c r="F54" i="30"/>
  <c r="G169" i="34" s="1"/>
  <c r="G200" i="34" s="1"/>
  <c r="E57" i="30"/>
  <c r="F172" i="34" s="1"/>
  <c r="F186" i="34" s="1"/>
  <c r="F57" i="30"/>
  <c r="G172" i="34" s="1"/>
  <c r="G186" i="34" s="1"/>
  <c r="E58" i="30"/>
  <c r="F173" i="34" s="1"/>
  <c r="F204" i="34" s="1"/>
  <c r="F58" i="30"/>
  <c r="G173" i="34" s="1"/>
  <c r="G204" i="34" s="1"/>
  <c r="E47" i="30"/>
  <c r="F136" i="34" s="1"/>
  <c r="F145" i="34" s="1"/>
  <c r="F47" i="30"/>
  <c r="G136" i="34" s="1"/>
  <c r="G157" i="34" s="1"/>
  <c r="E36" i="30"/>
  <c r="F93" i="34" s="1"/>
  <c r="F105" i="34" s="1"/>
  <c r="F36" i="30"/>
  <c r="G93" i="34" s="1"/>
  <c r="G105" i="34" s="1"/>
  <c r="E38" i="30"/>
  <c r="F95" i="34" s="1"/>
  <c r="F107" i="34" s="1"/>
  <c r="E39" i="30"/>
  <c r="F96" i="34" s="1"/>
  <c r="F108" i="34" s="1"/>
  <c r="F39" i="30"/>
  <c r="G96" i="34" s="1"/>
  <c r="G108" i="34" s="1"/>
  <c r="F26" i="30"/>
  <c r="G51" i="34" s="1"/>
  <c r="F28" i="30"/>
  <c r="G53" i="34" s="1"/>
  <c r="F29" i="30"/>
  <c r="G54" i="34" s="1"/>
  <c r="E29" i="30"/>
  <c r="F54" i="34" s="1"/>
  <c r="E28" i="30"/>
  <c r="F53" i="34" s="1"/>
  <c r="E26" i="30"/>
  <c r="F51" i="34" s="1"/>
  <c r="F15" i="30"/>
  <c r="G6" i="34" s="1"/>
  <c r="F16" i="30"/>
  <c r="G7" i="34" s="1"/>
  <c r="F18" i="30"/>
  <c r="G9" i="34" s="1"/>
  <c r="F19" i="30"/>
  <c r="G10" i="34" s="1"/>
  <c r="E15" i="30"/>
  <c r="F6" i="34" s="1"/>
  <c r="E16" i="30"/>
  <c r="F7" i="34" s="1"/>
  <c r="E18" i="30"/>
  <c r="F9" i="34" s="1"/>
  <c r="E19" i="30"/>
  <c r="F10" i="34" s="1"/>
  <c r="L192" i="34"/>
  <c r="K192" i="34"/>
  <c r="J192" i="34"/>
  <c r="M149" i="34"/>
  <c r="L149" i="34"/>
  <c r="K149" i="34"/>
  <c r="M113" i="34"/>
  <c r="L113" i="34"/>
  <c r="K113" i="34"/>
  <c r="J113" i="34"/>
  <c r="M71" i="34"/>
  <c r="L71" i="34"/>
  <c r="K71" i="34"/>
  <c r="J71" i="34"/>
  <c r="N28" i="34"/>
  <c r="M28" i="34"/>
  <c r="L28" i="34"/>
  <c r="C17" i="33"/>
  <c r="D17" i="33"/>
  <c r="E17" i="33"/>
  <c r="F17" i="33"/>
  <c r="B17" i="33"/>
  <c r="H71" i="18"/>
  <c r="H70" i="18"/>
  <c r="H69" i="18"/>
  <c r="H68" i="18"/>
  <c r="H67" i="18"/>
  <c r="H57" i="18"/>
  <c r="E85" i="18" s="1"/>
  <c r="H56" i="18"/>
  <c r="E84" i="18" s="1"/>
  <c r="E83" i="18" s="1"/>
  <c r="H55" i="18"/>
  <c r="H54" i="18"/>
  <c r="E82" i="18" s="1"/>
  <c r="H53" i="18"/>
  <c r="E81" i="18" s="1"/>
  <c r="H43" i="18"/>
  <c r="D85" i="18" s="1"/>
  <c r="H42" i="18"/>
  <c r="D84" i="18" s="1"/>
  <c r="D83" i="18" s="1"/>
  <c r="H41" i="18"/>
  <c r="H40" i="18"/>
  <c r="D82" i="18" s="1"/>
  <c r="H28" i="18"/>
  <c r="C85" i="18" s="1"/>
  <c r="H27" i="18"/>
  <c r="C84" i="18" s="1"/>
  <c r="H26" i="18"/>
  <c r="H25" i="18"/>
  <c r="C82" i="18" s="1"/>
  <c r="H12" i="18"/>
  <c r="G72" i="18"/>
  <c r="F72" i="18"/>
  <c r="E72" i="18"/>
  <c r="D72" i="18"/>
  <c r="G58" i="18"/>
  <c r="F58" i="18"/>
  <c r="E58" i="18"/>
  <c r="D58" i="18"/>
  <c r="G44" i="18"/>
  <c r="F44" i="18"/>
  <c r="E44" i="18"/>
  <c r="D44" i="18"/>
  <c r="G29" i="18"/>
  <c r="F29" i="18"/>
  <c r="E29" i="18"/>
  <c r="D29" i="18"/>
  <c r="AA3" i="23"/>
  <c r="E14" i="15"/>
  <c r="D14" i="15"/>
  <c r="C14" i="15"/>
  <c r="F13" i="15"/>
  <c r="E9" i="8" s="1"/>
  <c r="F12" i="15"/>
  <c r="E8" i="8" s="1"/>
  <c r="F10" i="15"/>
  <c r="E7" i="8" s="1"/>
  <c r="I7" i="8" s="1"/>
  <c r="F11" i="15"/>
  <c r="F9" i="15"/>
  <c r="F7" i="15"/>
  <c r="F8" i="15"/>
  <c r="F6" i="15"/>
  <c r="E6" i="8" s="1"/>
  <c r="F5" i="15"/>
  <c r="E5" i="8" s="1"/>
  <c r="E10" i="8" s="1"/>
  <c r="Q21" i="23"/>
  <c r="K4" i="35" s="1"/>
  <c r="Q20" i="23"/>
  <c r="K3" i="35" s="1"/>
  <c r="AB21" i="23"/>
  <c r="AD21" i="23"/>
  <c r="T21" i="23" s="1"/>
  <c r="AE21" i="23"/>
  <c r="AC21" i="23"/>
  <c r="Y21" i="23"/>
  <c r="Z21" i="23"/>
  <c r="AA21" i="23"/>
  <c r="E18" i="27"/>
  <c r="D18" i="27"/>
  <c r="H18" i="27" s="1"/>
  <c r="F18" i="27"/>
  <c r="Q6" i="23"/>
  <c r="K12" i="35" s="1"/>
  <c r="Q8" i="23"/>
  <c r="K9" i="35" s="1"/>
  <c r="Q9" i="23"/>
  <c r="K10" i="35" s="1"/>
  <c r="Q10" i="23"/>
  <c r="K13" i="35" s="1"/>
  <c r="Q11" i="23"/>
  <c r="K14" i="35" s="1"/>
  <c r="Q12" i="23"/>
  <c r="K15" i="35" s="1"/>
  <c r="Q17" i="23"/>
  <c r="K18" i="35" s="1"/>
  <c r="O16" i="23"/>
  <c r="G27" i="30" s="1"/>
  <c r="H52" i="34" s="1"/>
  <c r="N16" i="23"/>
  <c r="F27" i="30" s="1"/>
  <c r="G52" i="34" s="1"/>
  <c r="M16" i="23"/>
  <c r="E27" i="30" s="1"/>
  <c r="F52" i="34" s="1"/>
  <c r="O4" i="23"/>
  <c r="G25" i="30" s="1"/>
  <c r="H25" i="30" s="1"/>
  <c r="N4" i="23"/>
  <c r="F25" i="30" s="1"/>
  <c r="G50" i="34" s="1"/>
  <c r="M4" i="23"/>
  <c r="E25" i="30" s="1"/>
  <c r="F50" i="34" s="1"/>
  <c r="O7" i="23"/>
  <c r="P7" i="23" s="1"/>
  <c r="N7" i="23"/>
  <c r="F37" i="30" s="1"/>
  <c r="G94" i="34" s="1"/>
  <c r="G106" i="34" s="1"/>
  <c r="M7" i="23"/>
  <c r="E37" i="30" s="1"/>
  <c r="F94" i="34" s="1"/>
  <c r="F106" i="34" s="1"/>
  <c r="O13" i="23"/>
  <c r="P13" i="23" s="1"/>
  <c r="N13" i="23"/>
  <c r="F35" i="30" s="1"/>
  <c r="G92" i="34" s="1"/>
  <c r="G104" i="34" s="1"/>
  <c r="M13" i="23"/>
  <c r="E35" i="30" s="1"/>
  <c r="F92" i="34" s="1"/>
  <c r="M18" i="23"/>
  <c r="N5" i="23"/>
  <c r="F14" i="30" s="1"/>
  <c r="G5" i="34" s="1"/>
  <c r="I14" i="26"/>
  <c r="H14" i="26"/>
  <c r="G14" i="26"/>
  <c r="E14" i="26"/>
  <c r="D14" i="26"/>
  <c r="F34" i="24"/>
  <c r="K34" i="24" s="1"/>
  <c r="K30" i="24"/>
  <c r="F31" i="24"/>
  <c r="K31" i="24" s="1"/>
  <c r="K29" i="24"/>
  <c r="J21" i="24"/>
  <c r="H21" i="24"/>
  <c r="I21" i="24"/>
  <c r="G21" i="24"/>
  <c r="K21" i="24" s="1"/>
  <c r="J18" i="27"/>
  <c r="H50" i="24"/>
  <c r="H58" i="24" s="1"/>
  <c r="G50" i="24"/>
  <c r="I14" i="28"/>
  <c r="I23" i="28" s="1"/>
  <c r="H14" i="28"/>
  <c r="G14" i="28"/>
  <c r="F14" i="28"/>
  <c r="E14" i="28"/>
  <c r="E23" i="28" s="1"/>
  <c r="D14" i="28"/>
  <c r="E50" i="24"/>
  <c r="D50" i="24"/>
  <c r="D21" i="24"/>
  <c r="N3" i="23"/>
  <c r="M3" i="23"/>
  <c r="E52" i="30" s="1"/>
  <c r="F167" i="34" s="1"/>
  <c r="O3" i="23"/>
  <c r="P3" i="23" s="1"/>
  <c r="D15" i="28"/>
  <c r="I22" i="28"/>
  <c r="J22" i="28" s="1"/>
  <c r="F22" i="28"/>
  <c r="J21" i="28"/>
  <c r="F21" i="28"/>
  <c r="J20" i="28"/>
  <c r="F20" i="28"/>
  <c r="G19" i="28"/>
  <c r="J19" i="28" s="1"/>
  <c r="F19" i="28"/>
  <c r="F18" i="28"/>
  <c r="I18" i="28" s="1"/>
  <c r="J18" i="28" s="1"/>
  <c r="F17" i="28"/>
  <c r="H17" i="28" s="1"/>
  <c r="J17" i="28" s="1"/>
  <c r="G16" i="28"/>
  <c r="J16" i="28" s="1"/>
  <c r="F16" i="28"/>
  <c r="G15" i="28"/>
  <c r="J15" i="28" s="1"/>
  <c r="G13" i="28"/>
  <c r="J13" i="28" s="1"/>
  <c r="F13" i="28"/>
  <c r="D12" i="28"/>
  <c r="G12" i="28" s="1"/>
  <c r="I7" i="28"/>
  <c r="H7" i="28"/>
  <c r="E7" i="28"/>
  <c r="G6" i="28"/>
  <c r="J6" i="28" s="1"/>
  <c r="F6" i="28"/>
  <c r="G5" i="28"/>
  <c r="J5" i="28" s="1"/>
  <c r="F5" i="28"/>
  <c r="D4" i="28"/>
  <c r="D7" i="28" s="1"/>
  <c r="F7" i="28" s="1"/>
  <c r="G5" i="24"/>
  <c r="K5" i="24" s="1"/>
  <c r="G6" i="24"/>
  <c r="K6" i="24" s="1"/>
  <c r="G7" i="24"/>
  <c r="K7" i="24" s="1"/>
  <c r="G8" i="24"/>
  <c r="K8" i="24" s="1"/>
  <c r="G9" i="24"/>
  <c r="K9" i="24" s="1"/>
  <c r="F6" i="24"/>
  <c r="F7" i="24"/>
  <c r="F8" i="24"/>
  <c r="F9" i="24"/>
  <c r="F5" i="24"/>
  <c r="E10" i="24"/>
  <c r="D4" i="24"/>
  <c r="D10" i="24" s="1"/>
  <c r="D21" i="27"/>
  <c r="E21" i="27"/>
  <c r="E23" i="27" s="1"/>
  <c r="N15" i="23" s="1"/>
  <c r="F17" i="30" s="1"/>
  <c r="G8" i="34" s="1"/>
  <c r="E20" i="27"/>
  <c r="D20" i="27"/>
  <c r="J7" i="27"/>
  <c r="G13" i="27"/>
  <c r="G19" i="27"/>
  <c r="K19" i="27" s="1"/>
  <c r="K20" i="27"/>
  <c r="K22" i="27"/>
  <c r="F19" i="27"/>
  <c r="I7" i="27"/>
  <c r="H7" i="27"/>
  <c r="E7" i="27"/>
  <c r="G6" i="27"/>
  <c r="K6" i="27" s="1"/>
  <c r="F6" i="27"/>
  <c r="G5" i="27"/>
  <c r="K5" i="27" s="1"/>
  <c r="F5" i="27"/>
  <c r="D4" i="27"/>
  <c r="D7" i="27" s="1"/>
  <c r="M5" i="23" s="1"/>
  <c r="E14" i="30" s="1"/>
  <c r="F5" i="34" s="1"/>
  <c r="F26" i="24"/>
  <c r="K26" i="24"/>
  <c r="F27" i="24"/>
  <c r="G27" i="24"/>
  <c r="K27" i="24" s="1"/>
  <c r="D28" i="24"/>
  <c r="F28" i="24" s="1"/>
  <c r="G28" i="24"/>
  <c r="K28" i="24" s="1"/>
  <c r="F29" i="24"/>
  <c r="F30" i="24"/>
  <c r="F32" i="24"/>
  <c r="K32" i="24" s="1"/>
  <c r="F33" i="24"/>
  <c r="K33" i="24" s="1"/>
  <c r="F35" i="24"/>
  <c r="K35" i="24" s="1"/>
  <c r="F36" i="24"/>
  <c r="K36" i="24" s="1"/>
  <c r="F37" i="24"/>
  <c r="K37" i="24"/>
  <c r="D14" i="24"/>
  <c r="F14" i="24" s="1"/>
  <c r="D15" i="24"/>
  <c r="E44" i="24" s="1"/>
  <c r="F44" i="24" s="1"/>
  <c r="G44" i="24" s="1"/>
  <c r="J44" i="24" s="1"/>
  <c r="D16" i="24"/>
  <c r="F16" i="24" s="1"/>
  <c r="F22" i="27"/>
  <c r="F20" i="27"/>
  <c r="F15" i="27"/>
  <c r="I15" i="27" s="1"/>
  <c r="K15" i="27" s="1"/>
  <c r="D12" i="27"/>
  <c r="D23" i="27" s="1"/>
  <c r="G11" i="27"/>
  <c r="K11" i="27" s="1"/>
  <c r="D23" i="26"/>
  <c r="I18" i="26"/>
  <c r="H17" i="26"/>
  <c r="I22" i="26"/>
  <c r="K22" i="26" s="1"/>
  <c r="G12" i="26"/>
  <c r="K12" i="26" s="1"/>
  <c r="E23" i="26"/>
  <c r="G4" i="26"/>
  <c r="K4" i="26" s="1"/>
  <c r="G5" i="26"/>
  <c r="K5" i="26" s="1"/>
  <c r="G6" i="26"/>
  <c r="K6" i="26" s="1"/>
  <c r="H7" i="26"/>
  <c r="I7" i="26"/>
  <c r="F22" i="26"/>
  <c r="K21" i="26"/>
  <c r="F21" i="26"/>
  <c r="K20" i="26"/>
  <c r="F20" i="26"/>
  <c r="G19" i="26"/>
  <c r="F19" i="26"/>
  <c r="K18" i="26"/>
  <c r="K17" i="26"/>
  <c r="G16" i="26"/>
  <c r="K16" i="26" s="1"/>
  <c r="F16" i="26"/>
  <c r="D15" i="26"/>
  <c r="G15" i="26" s="1"/>
  <c r="K15" i="26" s="1"/>
  <c r="F14" i="26"/>
  <c r="F13" i="26"/>
  <c r="F12" i="26"/>
  <c r="D12" i="26"/>
  <c r="E7" i="26"/>
  <c r="F6" i="26"/>
  <c r="F5" i="26"/>
  <c r="D4" i="26"/>
  <c r="F4" i="26" s="1"/>
  <c r="F56" i="24"/>
  <c r="G56" i="24" s="1"/>
  <c r="J56" i="24" s="1"/>
  <c r="E57" i="24"/>
  <c r="F57" i="24" s="1"/>
  <c r="I57" i="24" s="1"/>
  <c r="J57" i="24" s="1"/>
  <c r="E55" i="24"/>
  <c r="F55" i="24" s="1"/>
  <c r="G55" i="24" s="1"/>
  <c r="J55" i="24" s="1"/>
  <c r="E53" i="24"/>
  <c r="F53" i="24" s="1"/>
  <c r="E54" i="24"/>
  <c r="I54" i="24" s="1"/>
  <c r="J54" i="24" s="1"/>
  <c r="E52" i="24"/>
  <c r="G52" i="24" s="1"/>
  <c r="J52" i="24" s="1"/>
  <c r="G18" i="24"/>
  <c r="G23" i="24"/>
  <c r="K23" i="24" s="1"/>
  <c r="F18" i="24"/>
  <c r="F23" i="24"/>
  <c r="F24" i="24"/>
  <c r="F25" i="24"/>
  <c r="E47" i="24"/>
  <c r="F47" i="24" s="1"/>
  <c r="G47" i="24" s="1"/>
  <c r="J47" i="24" s="1"/>
  <c r="D22" i="24"/>
  <c r="G22" i="24" s="1"/>
  <c r="D20" i="24"/>
  <c r="G20" i="24" s="1"/>
  <c r="D19" i="24"/>
  <c r="E48" i="24" s="1"/>
  <c r="F48" i="24" s="1"/>
  <c r="G48" i="24" s="1"/>
  <c r="J48" i="24" s="1"/>
  <c r="D17" i="24"/>
  <c r="E46" i="24" s="1"/>
  <c r="F46" i="24" s="1"/>
  <c r="G46" i="24" s="1"/>
  <c r="J46" i="24" s="1"/>
  <c r="D58" i="24"/>
  <c r="L19" i="1"/>
  <c r="L18" i="1"/>
  <c r="AE4" i="23"/>
  <c r="AE5" i="23"/>
  <c r="AE6" i="23"/>
  <c r="AE7" i="23"/>
  <c r="AE8" i="23"/>
  <c r="AE9" i="23"/>
  <c r="AE10" i="23"/>
  <c r="AE11" i="23"/>
  <c r="AE12" i="23"/>
  <c r="AE13" i="23"/>
  <c r="AE14" i="23"/>
  <c r="AE15" i="23"/>
  <c r="AE16" i="23"/>
  <c r="AE17" i="23"/>
  <c r="AE18" i="23"/>
  <c r="AE19" i="23"/>
  <c r="AE20" i="23"/>
  <c r="AE3" i="23"/>
  <c r="AD4" i="23"/>
  <c r="AD5" i="23"/>
  <c r="AD6" i="23"/>
  <c r="AD7" i="23"/>
  <c r="T7" i="23" s="1"/>
  <c r="AD8" i="23"/>
  <c r="T8" i="23" s="1"/>
  <c r="AD9" i="23"/>
  <c r="T9" i="23" s="1"/>
  <c r="AD10" i="23"/>
  <c r="AD11" i="23"/>
  <c r="T11" i="23" s="1"/>
  <c r="AD12" i="23"/>
  <c r="T12" i="23" s="1"/>
  <c r="AD13" i="23"/>
  <c r="AD14" i="23"/>
  <c r="T14" i="23" s="1"/>
  <c r="AD15" i="23"/>
  <c r="T15" i="23" s="1"/>
  <c r="AD16" i="23"/>
  <c r="T16" i="23" s="1"/>
  <c r="AD17" i="23"/>
  <c r="AD18" i="23"/>
  <c r="T18" i="23" s="1"/>
  <c r="AD19" i="23"/>
  <c r="T19" i="23" s="1"/>
  <c r="AD20" i="23"/>
  <c r="T20" i="23" s="1"/>
  <c r="AD3" i="23"/>
  <c r="AB4" i="23"/>
  <c r="AC4" i="23"/>
  <c r="Y4" i="23"/>
  <c r="Z4" i="23"/>
  <c r="AA4" i="23"/>
  <c r="AB5" i="23"/>
  <c r="AC5" i="23"/>
  <c r="Y5" i="23"/>
  <c r="Z5" i="23"/>
  <c r="AA5" i="23"/>
  <c r="AB6" i="23"/>
  <c r="AC6" i="23"/>
  <c r="Y6" i="23"/>
  <c r="Z6" i="23"/>
  <c r="AA6" i="23"/>
  <c r="AB7" i="23"/>
  <c r="AC7" i="23"/>
  <c r="Y7" i="23"/>
  <c r="Z7" i="23"/>
  <c r="AA7" i="23"/>
  <c r="AB8" i="23"/>
  <c r="AC8" i="23"/>
  <c r="Y8" i="23"/>
  <c r="Z8" i="23"/>
  <c r="AA8" i="23"/>
  <c r="AB9" i="23"/>
  <c r="AC9" i="23"/>
  <c r="Y9" i="23"/>
  <c r="Z9" i="23"/>
  <c r="AA9" i="23"/>
  <c r="AB10" i="23"/>
  <c r="AC10" i="23"/>
  <c r="Y10" i="23"/>
  <c r="Z10" i="23"/>
  <c r="AA10" i="23"/>
  <c r="AB11" i="23"/>
  <c r="AC11" i="23"/>
  <c r="Y11" i="23"/>
  <c r="Z11" i="23"/>
  <c r="AA11" i="23"/>
  <c r="AB12" i="23"/>
  <c r="AC12" i="23"/>
  <c r="Y12" i="23"/>
  <c r="Z12" i="23"/>
  <c r="AA12" i="23"/>
  <c r="AB13" i="23"/>
  <c r="AC13" i="23"/>
  <c r="Y13" i="23"/>
  <c r="Z13" i="23"/>
  <c r="AA13" i="23"/>
  <c r="AB14" i="23"/>
  <c r="AC14" i="23"/>
  <c r="Y14" i="23"/>
  <c r="Z14" i="23"/>
  <c r="AA14" i="23"/>
  <c r="AB15" i="23"/>
  <c r="AC15" i="23"/>
  <c r="Y15" i="23"/>
  <c r="Z15" i="23"/>
  <c r="AA15" i="23"/>
  <c r="AB16" i="23"/>
  <c r="AC16" i="23"/>
  <c r="Y16" i="23"/>
  <c r="Z16" i="23"/>
  <c r="AA16" i="23"/>
  <c r="AB17" i="23"/>
  <c r="AC17" i="23"/>
  <c r="Y17" i="23"/>
  <c r="Z17" i="23"/>
  <c r="AA17" i="23"/>
  <c r="AB18" i="23"/>
  <c r="AC18" i="23"/>
  <c r="Y18" i="23"/>
  <c r="Z18" i="23"/>
  <c r="AA18" i="23"/>
  <c r="AB19" i="23"/>
  <c r="AC19" i="23"/>
  <c r="Y19" i="23"/>
  <c r="Z19" i="23"/>
  <c r="AA19" i="23"/>
  <c r="AB20" i="23"/>
  <c r="AC20" i="23"/>
  <c r="Y20" i="23"/>
  <c r="Z20" i="23"/>
  <c r="AA20" i="23"/>
  <c r="AC3" i="23"/>
  <c r="Y3" i="23"/>
  <c r="Z3" i="23"/>
  <c r="AB3" i="23"/>
  <c r="K24" i="24"/>
  <c r="K25" i="24"/>
  <c r="D13" i="1"/>
  <c r="D12" i="1"/>
  <c r="D11" i="1"/>
  <c r="H6" i="1"/>
  <c r="G6" i="1"/>
  <c r="D8" i="1"/>
  <c r="D7" i="1"/>
  <c r="D6" i="1"/>
  <c r="P5" i="1"/>
  <c r="O5" i="1"/>
  <c r="M5" i="1"/>
  <c r="R25" i="23" l="1"/>
  <c r="R24" i="23"/>
  <c r="T13" i="23"/>
  <c r="T3" i="23"/>
  <c r="G59" i="30"/>
  <c r="H174" i="34" s="1"/>
  <c r="H188" i="34" s="1"/>
  <c r="P23" i="23"/>
  <c r="U23" i="23" s="1"/>
  <c r="U12" i="23"/>
  <c r="R23" i="23"/>
  <c r="P24" i="23"/>
  <c r="U24" i="23" s="1"/>
  <c r="P25" i="23"/>
  <c r="U25" i="23" s="1"/>
  <c r="P22" i="23"/>
  <c r="P12" i="23"/>
  <c r="P10" i="23"/>
  <c r="P6" i="23"/>
  <c r="G20" i="30"/>
  <c r="K20" i="30" s="1"/>
  <c r="K11" i="34" s="1"/>
  <c r="K24" i="34" s="1"/>
  <c r="P21" i="23"/>
  <c r="P20" i="23"/>
  <c r="U20" i="23" s="1"/>
  <c r="P4" i="23"/>
  <c r="T4" i="23" s="1"/>
  <c r="P17" i="23"/>
  <c r="P16" i="23"/>
  <c r="P11" i="23"/>
  <c r="P9" i="23"/>
  <c r="P8" i="23"/>
  <c r="U8" i="23" s="1"/>
  <c r="P26" i="23"/>
  <c r="U26" i="23" s="1"/>
  <c r="H38" i="30"/>
  <c r="G30" i="30"/>
  <c r="H30" i="30" s="1"/>
  <c r="G29" i="30"/>
  <c r="H29" i="30" s="1"/>
  <c r="H36" i="30"/>
  <c r="G40" i="30"/>
  <c r="G56" i="30"/>
  <c r="H171" i="34" s="1"/>
  <c r="H202" i="34" s="1"/>
  <c r="H27" i="30"/>
  <c r="I20" i="30"/>
  <c r="I11" i="34" s="1"/>
  <c r="F11" i="34"/>
  <c r="F40" i="34" s="1"/>
  <c r="I30" i="30"/>
  <c r="I55" i="34" s="1"/>
  <c r="L147" i="34"/>
  <c r="K138" i="34"/>
  <c r="M139" i="34"/>
  <c r="L139" i="34"/>
  <c r="I100" i="34"/>
  <c r="I98" i="34"/>
  <c r="L138" i="34"/>
  <c r="I58" i="34"/>
  <c r="L100" i="34"/>
  <c r="L112" i="34" s="1"/>
  <c r="I99" i="34"/>
  <c r="M138" i="34"/>
  <c r="L58" i="34"/>
  <c r="M99" i="34"/>
  <c r="L99" i="34"/>
  <c r="L98" i="34"/>
  <c r="E185" i="34"/>
  <c r="B144" i="34"/>
  <c r="C157" i="34"/>
  <c r="B157" i="34"/>
  <c r="I57" i="34"/>
  <c r="E145" i="34"/>
  <c r="D144" i="34"/>
  <c r="C156" i="34"/>
  <c r="M57" i="34"/>
  <c r="L57" i="34"/>
  <c r="D145" i="34"/>
  <c r="E67" i="34"/>
  <c r="E66" i="34"/>
  <c r="E188" i="34"/>
  <c r="E186" i="34"/>
  <c r="E184" i="34"/>
  <c r="D182" i="34"/>
  <c r="C143" i="34"/>
  <c r="E198" i="34"/>
  <c r="D203" i="34"/>
  <c r="E119" i="34"/>
  <c r="D201" i="34"/>
  <c r="E65" i="34"/>
  <c r="E109" i="34"/>
  <c r="E144" i="34"/>
  <c r="D205" i="34"/>
  <c r="E64" i="34"/>
  <c r="E108" i="34"/>
  <c r="E204" i="34"/>
  <c r="E63" i="34"/>
  <c r="E107" i="34"/>
  <c r="D204" i="34"/>
  <c r="E34" i="34"/>
  <c r="E62" i="34"/>
  <c r="E106" i="34"/>
  <c r="E40" i="34"/>
  <c r="E105" i="34"/>
  <c r="B155" i="34"/>
  <c r="E155" i="34"/>
  <c r="D155" i="34"/>
  <c r="D202" i="34"/>
  <c r="E200" i="34"/>
  <c r="D200" i="34"/>
  <c r="E199" i="34"/>
  <c r="N188" i="34"/>
  <c r="E37" i="34"/>
  <c r="M14" i="34"/>
  <c r="L14" i="34"/>
  <c r="E39" i="34"/>
  <c r="E38" i="34"/>
  <c r="E36" i="34"/>
  <c r="E35" i="34"/>
  <c r="J187" i="34"/>
  <c r="M199" i="34"/>
  <c r="D22" i="34"/>
  <c r="M188" i="34"/>
  <c r="G185" i="34"/>
  <c r="B201" i="34"/>
  <c r="D23" i="34"/>
  <c r="M204" i="34"/>
  <c r="C185" i="34"/>
  <c r="D181" i="34"/>
  <c r="I204" i="34"/>
  <c r="K187" i="34"/>
  <c r="I182" i="34"/>
  <c r="I186" i="34"/>
  <c r="G184" i="34"/>
  <c r="I184" i="34" s="1"/>
  <c r="I202" i="34"/>
  <c r="B199" i="34"/>
  <c r="C204" i="34"/>
  <c r="B186" i="34"/>
  <c r="B185" i="34"/>
  <c r="G187" i="34"/>
  <c r="C199" i="34"/>
  <c r="B183" i="34"/>
  <c r="J186" i="34"/>
  <c r="L185" i="34"/>
  <c r="K185" i="34"/>
  <c r="J185" i="34"/>
  <c r="N13" i="34"/>
  <c r="M13" i="34"/>
  <c r="C183" i="34"/>
  <c r="N201" i="34"/>
  <c r="F185" i="34"/>
  <c r="M201" i="34"/>
  <c r="L13" i="34"/>
  <c r="I205" i="34"/>
  <c r="L201" i="34"/>
  <c r="L199" i="34"/>
  <c r="L204" i="34"/>
  <c r="C203" i="34"/>
  <c r="J201" i="34"/>
  <c r="J199" i="34"/>
  <c r="C181" i="34"/>
  <c r="F187" i="34"/>
  <c r="G183" i="34"/>
  <c r="G203" i="34"/>
  <c r="F203" i="34"/>
  <c r="C188" i="34"/>
  <c r="N182" i="34"/>
  <c r="B198" i="34"/>
  <c r="F201" i="34"/>
  <c r="I201" i="34" s="1"/>
  <c r="G199" i="34"/>
  <c r="L188" i="34"/>
  <c r="B205" i="34"/>
  <c r="C201" i="34"/>
  <c r="M202" i="34"/>
  <c r="N200" i="34"/>
  <c r="F199" i="34"/>
  <c r="B204" i="34"/>
  <c r="M200" i="34"/>
  <c r="J188" i="34"/>
  <c r="L200" i="34"/>
  <c r="G188" i="34"/>
  <c r="F188" i="34"/>
  <c r="I108" i="34"/>
  <c r="I105" i="34"/>
  <c r="C107" i="34"/>
  <c r="D123" i="34"/>
  <c r="B123" i="34"/>
  <c r="M124" i="34"/>
  <c r="I106" i="34"/>
  <c r="C119" i="34"/>
  <c r="D124" i="34"/>
  <c r="B124" i="34"/>
  <c r="C123" i="34"/>
  <c r="D122" i="34"/>
  <c r="G124" i="34"/>
  <c r="F124" i="34"/>
  <c r="L124" i="34"/>
  <c r="L67" i="34"/>
  <c r="B107" i="34"/>
  <c r="C81" i="34"/>
  <c r="B106" i="34"/>
  <c r="C124" i="34"/>
  <c r="D105" i="34"/>
  <c r="C105" i="34"/>
  <c r="J124" i="34"/>
  <c r="D121" i="34"/>
  <c r="C121" i="34"/>
  <c r="I109" i="34"/>
  <c r="C38" i="34"/>
  <c r="B119" i="34"/>
  <c r="D119" i="34"/>
  <c r="B120" i="34"/>
  <c r="I107" i="34"/>
  <c r="C77" i="34"/>
  <c r="J82" i="34"/>
  <c r="B66" i="34"/>
  <c r="M67" i="34"/>
  <c r="D79" i="34"/>
  <c r="B82" i="34"/>
  <c r="C79" i="34"/>
  <c r="D78" i="34"/>
  <c r="B77" i="34"/>
  <c r="D77" i="34"/>
  <c r="B40" i="34"/>
  <c r="C37" i="34"/>
  <c r="B80" i="34"/>
  <c r="B79" i="34"/>
  <c r="G82" i="34"/>
  <c r="I67" i="34"/>
  <c r="B78" i="34"/>
  <c r="F82" i="34"/>
  <c r="D82" i="34"/>
  <c r="C82" i="34"/>
  <c r="D81" i="34"/>
  <c r="D80" i="34"/>
  <c r="C80" i="34"/>
  <c r="C78" i="34"/>
  <c r="I56" i="34"/>
  <c r="C34" i="34"/>
  <c r="B38" i="34"/>
  <c r="D37" i="34"/>
  <c r="L40" i="34"/>
  <c r="K77" i="34"/>
  <c r="D36" i="34"/>
  <c r="D35" i="34"/>
  <c r="G40" i="34"/>
  <c r="J24" i="34"/>
  <c r="B39" i="34"/>
  <c r="L56" i="34"/>
  <c r="F77" i="34"/>
  <c r="B37" i="34"/>
  <c r="B34" i="34"/>
  <c r="C36" i="34"/>
  <c r="D34" i="34"/>
  <c r="B36" i="34"/>
  <c r="D40" i="34"/>
  <c r="C35" i="34"/>
  <c r="C40" i="34"/>
  <c r="B35" i="34"/>
  <c r="C39" i="34"/>
  <c r="N40" i="34"/>
  <c r="M40" i="34"/>
  <c r="M12" i="34"/>
  <c r="L12" i="34"/>
  <c r="F34" i="34"/>
  <c r="I56" i="30"/>
  <c r="I171" i="34" s="1"/>
  <c r="I40" i="30"/>
  <c r="I97" i="34" s="1"/>
  <c r="I59" i="30"/>
  <c r="I174" i="34" s="1"/>
  <c r="M79" i="34"/>
  <c r="M64" i="34"/>
  <c r="J108" i="34"/>
  <c r="J123" i="34"/>
  <c r="L107" i="34"/>
  <c r="L122" i="34"/>
  <c r="M105" i="34"/>
  <c r="M120" i="34"/>
  <c r="K155" i="34"/>
  <c r="K143" i="34"/>
  <c r="M157" i="34"/>
  <c r="M145" i="34"/>
  <c r="J156" i="34"/>
  <c r="J144" i="34"/>
  <c r="R26" i="23"/>
  <c r="R22" i="23"/>
  <c r="E46" i="30"/>
  <c r="F135" i="34" s="1"/>
  <c r="F144" i="34" s="1"/>
  <c r="J28" i="30"/>
  <c r="F80" i="34"/>
  <c r="F120" i="34"/>
  <c r="J36" i="30"/>
  <c r="J93" i="34" s="1"/>
  <c r="J120" i="34" s="1"/>
  <c r="J54" i="30"/>
  <c r="J169" i="34" s="1"/>
  <c r="F169" i="34"/>
  <c r="K16" i="30"/>
  <c r="K7" i="34" s="1"/>
  <c r="K36" i="34" s="1"/>
  <c r="H7" i="34"/>
  <c r="H36" i="34" s="1"/>
  <c r="K47" i="30"/>
  <c r="K48" i="30" s="1"/>
  <c r="H136" i="34"/>
  <c r="H157" i="34" s="1"/>
  <c r="J157" i="34"/>
  <c r="K104" i="34"/>
  <c r="M143" i="34"/>
  <c r="M107" i="34"/>
  <c r="L145" i="34"/>
  <c r="M104" i="34"/>
  <c r="N198" i="34"/>
  <c r="J106" i="34"/>
  <c r="L105" i="34"/>
  <c r="M121" i="34"/>
  <c r="M156" i="34"/>
  <c r="M159" i="34" s="1"/>
  <c r="L108" i="34"/>
  <c r="L121" i="34"/>
  <c r="L156" i="34"/>
  <c r="K121" i="34"/>
  <c r="K156" i="34"/>
  <c r="L119" i="34"/>
  <c r="M198" i="34"/>
  <c r="L198" i="34"/>
  <c r="L155" i="34"/>
  <c r="K198" i="34"/>
  <c r="L80" i="34"/>
  <c r="L21" i="34"/>
  <c r="L26" i="34" s="1"/>
  <c r="M19" i="34"/>
  <c r="M26" i="34" s="1"/>
  <c r="J39" i="34"/>
  <c r="L38" i="34"/>
  <c r="M36" i="34"/>
  <c r="L35" i="34"/>
  <c r="L64" i="34"/>
  <c r="F64" i="34"/>
  <c r="L23" i="34"/>
  <c r="N21" i="34"/>
  <c r="N26" i="34" s="1"/>
  <c r="K79" i="34"/>
  <c r="N35" i="34"/>
  <c r="M78" i="34"/>
  <c r="N34" i="34"/>
  <c r="K34" i="34"/>
  <c r="L66" i="34"/>
  <c r="M38" i="34"/>
  <c r="F38" i="34"/>
  <c r="K64" i="34"/>
  <c r="M37" i="34"/>
  <c r="M77" i="34"/>
  <c r="N36" i="34"/>
  <c r="L62" i="34"/>
  <c r="M34" i="34"/>
  <c r="K62" i="34"/>
  <c r="J79" i="34"/>
  <c r="L34" i="34"/>
  <c r="J37" i="34"/>
  <c r="L78" i="34"/>
  <c r="M39" i="34"/>
  <c r="L36" i="34"/>
  <c r="J66" i="34"/>
  <c r="M65" i="34"/>
  <c r="G39" i="34"/>
  <c r="J36" i="34"/>
  <c r="N38" i="34"/>
  <c r="M137" i="34"/>
  <c r="L137" i="34"/>
  <c r="F122" i="34"/>
  <c r="F66" i="34"/>
  <c r="G122" i="34"/>
  <c r="G65" i="34"/>
  <c r="F35" i="34"/>
  <c r="G35" i="34"/>
  <c r="J38" i="30"/>
  <c r="J95" i="34" s="1"/>
  <c r="J26" i="30"/>
  <c r="J51" i="34" s="1"/>
  <c r="J15" i="30"/>
  <c r="J6" i="34" s="1"/>
  <c r="J18" i="30"/>
  <c r="J9" i="34" s="1"/>
  <c r="G145" i="34"/>
  <c r="I145" i="34" s="1"/>
  <c r="R10" i="23"/>
  <c r="E45" i="30"/>
  <c r="F45" i="30"/>
  <c r="G134" i="34" s="1"/>
  <c r="G155" i="34" s="1"/>
  <c r="F52" i="30"/>
  <c r="I60" i="30" s="1"/>
  <c r="R9" i="23"/>
  <c r="R6" i="23"/>
  <c r="R12" i="23"/>
  <c r="G39" i="30"/>
  <c r="H39" i="30" s="1"/>
  <c r="G19" i="30"/>
  <c r="H19" i="30" s="1"/>
  <c r="R20" i="23"/>
  <c r="G58" i="30"/>
  <c r="H58" i="30" s="1"/>
  <c r="G57" i="30"/>
  <c r="F157" i="34"/>
  <c r="I157" i="34" s="1"/>
  <c r="R17" i="23"/>
  <c r="G18" i="30"/>
  <c r="G15" i="30"/>
  <c r="G52" i="30"/>
  <c r="H52" i="30" s="1"/>
  <c r="G45" i="30"/>
  <c r="H45" i="30" s="1"/>
  <c r="R3" i="23"/>
  <c r="G35" i="30"/>
  <c r="R13" i="23"/>
  <c r="G37" i="30"/>
  <c r="R7" i="23"/>
  <c r="H79" i="34"/>
  <c r="R16" i="23"/>
  <c r="R4" i="23"/>
  <c r="G53" i="30"/>
  <c r="H53" i="30" s="1"/>
  <c r="G54" i="30"/>
  <c r="H54" i="30" s="1"/>
  <c r="R21" i="23"/>
  <c r="I58" i="24"/>
  <c r="C83" i="18"/>
  <c r="J8" i="8"/>
  <c r="G7" i="8"/>
  <c r="G8" i="8"/>
  <c r="H8" i="8" s="1"/>
  <c r="G9" i="8"/>
  <c r="H9" i="8" s="1"/>
  <c r="I55" i="30"/>
  <c r="I170" i="34" s="1"/>
  <c r="K36" i="30"/>
  <c r="I53" i="30"/>
  <c r="I168" i="34" s="1"/>
  <c r="I37" i="30"/>
  <c r="I94" i="34" s="1"/>
  <c r="I47" i="30"/>
  <c r="I136" i="34" s="1"/>
  <c r="I18" i="30"/>
  <c r="I9" i="34" s="1"/>
  <c r="I25" i="30"/>
  <c r="I50" i="34" s="1"/>
  <c r="F36" i="34"/>
  <c r="F20" i="34"/>
  <c r="I14" i="30"/>
  <c r="I5" i="34" s="1"/>
  <c r="I39" i="30"/>
  <c r="I96" i="34" s="1"/>
  <c r="I29" i="30"/>
  <c r="I54" i="34" s="1"/>
  <c r="I16" i="30"/>
  <c r="I7" i="34" s="1"/>
  <c r="I28" i="30"/>
  <c r="I53" i="34" s="1"/>
  <c r="I58" i="30"/>
  <c r="I173" i="34" s="1"/>
  <c r="F19" i="34"/>
  <c r="F123" i="34"/>
  <c r="F81" i="34"/>
  <c r="F62" i="34"/>
  <c r="F119" i="34"/>
  <c r="F39" i="34"/>
  <c r="F22" i="34"/>
  <c r="F121" i="34"/>
  <c r="F79" i="34"/>
  <c r="F78" i="34"/>
  <c r="F63" i="34"/>
  <c r="G23" i="34"/>
  <c r="H122" i="34"/>
  <c r="G19" i="34"/>
  <c r="G78" i="34"/>
  <c r="G63" i="34"/>
  <c r="G37" i="34"/>
  <c r="G79" i="34"/>
  <c r="H120" i="34"/>
  <c r="G120" i="34"/>
  <c r="I41" i="30"/>
  <c r="G119" i="34"/>
  <c r="K38" i="30"/>
  <c r="K95" i="34" s="1"/>
  <c r="G62" i="34"/>
  <c r="I36" i="30"/>
  <c r="I93" i="34" s="1"/>
  <c r="I57" i="30"/>
  <c r="I172" i="34" s="1"/>
  <c r="G38" i="34"/>
  <c r="G80" i="34"/>
  <c r="I54" i="30"/>
  <c r="I169" i="34" s="1"/>
  <c r="F104" i="34"/>
  <c r="I110" i="34" s="1"/>
  <c r="G64" i="34"/>
  <c r="F23" i="34"/>
  <c r="F18" i="34"/>
  <c r="I38" i="30"/>
  <c r="I95" i="34" s="1"/>
  <c r="I35" i="30"/>
  <c r="I92" i="34" s="1"/>
  <c r="I26" i="30"/>
  <c r="I51" i="34" s="1"/>
  <c r="I27" i="30"/>
  <c r="I52" i="34" s="1"/>
  <c r="I31" i="30"/>
  <c r="I19" i="30"/>
  <c r="I10" i="34" s="1"/>
  <c r="I15" i="30"/>
  <c r="I6" i="34" s="1"/>
  <c r="D10" i="18"/>
  <c r="F20" i="15"/>
  <c r="F21" i="15"/>
  <c r="E35" i="15" s="1"/>
  <c r="F14" i="15"/>
  <c r="F19" i="15"/>
  <c r="F22" i="15"/>
  <c r="D6" i="8" s="1"/>
  <c r="G6" i="8" s="1"/>
  <c r="G18" i="27"/>
  <c r="M15" i="23"/>
  <c r="F23" i="27"/>
  <c r="O15" i="23" s="1"/>
  <c r="P15" i="23" s="1"/>
  <c r="I18" i="27"/>
  <c r="K21" i="27"/>
  <c r="Q3" i="23"/>
  <c r="K21" i="35" s="1"/>
  <c r="Q7" i="23"/>
  <c r="K11" i="35" s="1"/>
  <c r="Q19" i="23"/>
  <c r="K7" i="35" s="1"/>
  <c r="Q5" i="23"/>
  <c r="K20" i="35" s="1"/>
  <c r="Q4" i="23"/>
  <c r="K19" i="35" s="1"/>
  <c r="Q16" i="23"/>
  <c r="K17" i="35" s="1"/>
  <c r="Q13" i="23"/>
  <c r="K22" i="35" s="1"/>
  <c r="O19" i="23"/>
  <c r="P19" i="23" s="1"/>
  <c r="G38" i="24"/>
  <c r="D23" i="28"/>
  <c r="F23" i="28" s="1"/>
  <c r="H23" i="28"/>
  <c r="J14" i="28"/>
  <c r="G23" i="28"/>
  <c r="J12" i="28"/>
  <c r="F15" i="28"/>
  <c r="F4" i="28"/>
  <c r="G4" i="28"/>
  <c r="F12" i="28"/>
  <c r="F10" i="24"/>
  <c r="F4" i="24"/>
  <c r="G4" i="24"/>
  <c r="G10" i="24" s="1"/>
  <c r="K10" i="24" s="1"/>
  <c r="F21" i="27"/>
  <c r="F7" i="27"/>
  <c r="O5" i="23" s="1"/>
  <c r="P5" i="23" s="1"/>
  <c r="T5" i="23" s="1"/>
  <c r="G12" i="27"/>
  <c r="K12" i="27" s="1"/>
  <c r="F4" i="27"/>
  <c r="G4" i="27"/>
  <c r="F17" i="27"/>
  <c r="K17" i="27" s="1"/>
  <c r="F16" i="27"/>
  <c r="J16" i="27" s="1"/>
  <c r="F12" i="27"/>
  <c r="F14" i="27"/>
  <c r="H14" i="27" s="1"/>
  <c r="K14" i="27" s="1"/>
  <c r="F50" i="24"/>
  <c r="I50" i="24" s="1"/>
  <c r="H53" i="24"/>
  <c r="J53" i="24" s="1"/>
  <c r="F15" i="24"/>
  <c r="F54" i="24"/>
  <c r="E43" i="24"/>
  <c r="F43" i="24" s="1"/>
  <c r="G43" i="24" s="1"/>
  <c r="J43" i="24" s="1"/>
  <c r="F52" i="24"/>
  <c r="G16" i="24"/>
  <c r="K16" i="24" s="1"/>
  <c r="G15" i="24"/>
  <c r="K15" i="24" s="1"/>
  <c r="G14" i="24"/>
  <c r="K14" i="24" s="1"/>
  <c r="E51" i="24"/>
  <c r="E45" i="24"/>
  <c r="F45" i="24" s="1"/>
  <c r="G45" i="24" s="1"/>
  <c r="J45" i="24" s="1"/>
  <c r="F13" i="27"/>
  <c r="K13" i="27"/>
  <c r="F11" i="27"/>
  <c r="F23" i="26"/>
  <c r="F17" i="26"/>
  <c r="D7" i="26"/>
  <c r="F7" i="26" s="1"/>
  <c r="F18" i="26"/>
  <c r="G7" i="26"/>
  <c r="K7" i="26" s="1"/>
  <c r="G13" i="26"/>
  <c r="F15" i="26"/>
  <c r="H23" i="26"/>
  <c r="G19" i="24"/>
  <c r="K19" i="24" s="1"/>
  <c r="G17" i="24"/>
  <c r="K17" i="24" s="1"/>
  <c r="K22" i="24"/>
  <c r="F17" i="24"/>
  <c r="E49" i="24"/>
  <c r="F49" i="24" s="1"/>
  <c r="G49" i="24" s="1"/>
  <c r="J49" i="24" s="1"/>
  <c r="F22" i="24"/>
  <c r="F21" i="24"/>
  <c r="F38" i="24" s="1"/>
  <c r="F20" i="24"/>
  <c r="F19" i="24"/>
  <c r="K20" i="24"/>
  <c r="K18" i="24"/>
  <c r="U17" i="23" l="1"/>
  <c r="X21" i="23"/>
  <c r="W21" i="23"/>
  <c r="V21" i="23"/>
  <c r="U21" i="23"/>
  <c r="H59" i="30"/>
  <c r="K59" i="30"/>
  <c r="K174" i="34" s="1"/>
  <c r="K188" i="34" s="1"/>
  <c r="U11" i="23"/>
  <c r="U10" i="23"/>
  <c r="U6" i="23"/>
  <c r="K40" i="34"/>
  <c r="H11" i="34"/>
  <c r="H40" i="34" s="1"/>
  <c r="H20" i="30"/>
  <c r="H172" i="34"/>
  <c r="H186" i="34" s="1"/>
  <c r="H57" i="30"/>
  <c r="H94" i="34"/>
  <c r="H106" i="34" s="1"/>
  <c r="H37" i="30"/>
  <c r="I40" i="34"/>
  <c r="N56" i="30"/>
  <c r="N171" i="34" s="1"/>
  <c r="H56" i="30"/>
  <c r="K40" i="30"/>
  <c r="K97" i="34" s="1"/>
  <c r="H40" i="30"/>
  <c r="H92" i="34"/>
  <c r="H104" i="34" s="1"/>
  <c r="H35" i="30"/>
  <c r="G14" i="30"/>
  <c r="H14" i="30" s="1"/>
  <c r="H31" i="30"/>
  <c r="H97" i="34"/>
  <c r="H109" i="34" s="1"/>
  <c r="H205" i="34"/>
  <c r="H185" i="34"/>
  <c r="F24" i="34"/>
  <c r="I24" i="34" s="1"/>
  <c r="H9" i="34"/>
  <c r="H38" i="34" s="1"/>
  <c r="H18" i="30"/>
  <c r="H6" i="34"/>
  <c r="H35" i="34" s="1"/>
  <c r="H15" i="30"/>
  <c r="K136" i="34"/>
  <c r="K139" i="34" s="1"/>
  <c r="M39" i="30"/>
  <c r="M41" i="30" s="1"/>
  <c r="H96" i="34"/>
  <c r="H108" i="34" s="1"/>
  <c r="N58" i="30"/>
  <c r="N173" i="34" s="1"/>
  <c r="H173" i="34"/>
  <c r="J53" i="34"/>
  <c r="J65" i="34" s="1"/>
  <c r="K159" i="34"/>
  <c r="L160" i="34"/>
  <c r="L162" i="34" s="1"/>
  <c r="L148" i="34"/>
  <c r="L150" i="34" s="1"/>
  <c r="M160" i="34"/>
  <c r="M162" i="34" s="1"/>
  <c r="M148" i="34"/>
  <c r="M150" i="34" s="1"/>
  <c r="L159" i="34"/>
  <c r="L111" i="34"/>
  <c r="L110" i="34"/>
  <c r="L146" i="34"/>
  <c r="M146" i="34"/>
  <c r="M147" i="34"/>
  <c r="K147" i="34"/>
  <c r="M126" i="34"/>
  <c r="M111" i="34"/>
  <c r="L84" i="34"/>
  <c r="L69" i="34"/>
  <c r="L126" i="34"/>
  <c r="I104" i="34"/>
  <c r="I111" i="34"/>
  <c r="M84" i="34"/>
  <c r="M69" i="34"/>
  <c r="L70" i="34"/>
  <c r="L72" i="34" s="1"/>
  <c r="L85" i="34"/>
  <c r="L87" i="34" s="1"/>
  <c r="L114" i="34"/>
  <c r="L127" i="34"/>
  <c r="L129" i="34" s="1"/>
  <c r="I203" i="34"/>
  <c r="N42" i="34"/>
  <c r="L42" i="34"/>
  <c r="L27" i="34"/>
  <c r="L29" i="34" s="1"/>
  <c r="L43" i="34"/>
  <c r="L45" i="34" s="1"/>
  <c r="M27" i="34"/>
  <c r="M29" i="34" s="1"/>
  <c r="M43" i="34"/>
  <c r="M45" i="34" s="1"/>
  <c r="M42" i="34"/>
  <c r="I188" i="34"/>
  <c r="I185" i="34"/>
  <c r="I199" i="34"/>
  <c r="I187" i="34"/>
  <c r="F200" i="34"/>
  <c r="I200" i="34" s="1"/>
  <c r="F183" i="34"/>
  <c r="I183" i="34" s="1"/>
  <c r="J200" i="34"/>
  <c r="J183" i="34"/>
  <c r="I124" i="34"/>
  <c r="L83" i="34"/>
  <c r="L125" i="34"/>
  <c r="L25" i="34"/>
  <c r="I82" i="34"/>
  <c r="L68" i="34"/>
  <c r="M25" i="34"/>
  <c r="F65" i="34"/>
  <c r="I65" i="34" s="1"/>
  <c r="F134" i="34"/>
  <c r="K93" i="34"/>
  <c r="H10" i="34"/>
  <c r="H39" i="34" s="1"/>
  <c r="N19" i="30"/>
  <c r="G143" i="34"/>
  <c r="I64" i="34"/>
  <c r="F156" i="34"/>
  <c r="J105" i="34"/>
  <c r="K20" i="34"/>
  <c r="M158" i="34"/>
  <c r="I39" i="34"/>
  <c r="K122" i="34"/>
  <c r="K107" i="34"/>
  <c r="K54" i="30"/>
  <c r="K169" i="34" s="1"/>
  <c r="H169" i="34"/>
  <c r="K53" i="30"/>
  <c r="H168" i="34"/>
  <c r="J35" i="30"/>
  <c r="J41" i="30" s="1"/>
  <c r="J45" i="30"/>
  <c r="J48" i="30" s="1"/>
  <c r="H134" i="34"/>
  <c r="J52" i="30"/>
  <c r="J60" i="30" s="1"/>
  <c r="H167" i="34"/>
  <c r="L57" i="30"/>
  <c r="K96" i="34"/>
  <c r="G167" i="34"/>
  <c r="J38" i="34"/>
  <c r="J22" i="34"/>
  <c r="J19" i="34"/>
  <c r="J35" i="34"/>
  <c r="J78" i="34"/>
  <c r="J63" i="34"/>
  <c r="J107" i="34"/>
  <c r="J122" i="34"/>
  <c r="L158" i="34"/>
  <c r="I38" i="34"/>
  <c r="L41" i="34"/>
  <c r="M41" i="34"/>
  <c r="I122" i="34"/>
  <c r="I80" i="34"/>
  <c r="K18" i="30"/>
  <c r="K9" i="34" s="1"/>
  <c r="I52" i="30"/>
  <c r="I167" i="34" s="1"/>
  <c r="I45" i="30"/>
  <c r="I134" i="34" s="1"/>
  <c r="F198" i="34"/>
  <c r="F181" i="34"/>
  <c r="Q15" i="23"/>
  <c r="K16" i="35" s="1"/>
  <c r="E17" i="30"/>
  <c r="H145" i="34"/>
  <c r="N57" i="30"/>
  <c r="K57" i="30"/>
  <c r="K172" i="34" s="1"/>
  <c r="M57" i="30"/>
  <c r="K15" i="30"/>
  <c r="R5" i="23"/>
  <c r="G55" i="30"/>
  <c r="H55" i="30" s="1"/>
  <c r="R19" i="23"/>
  <c r="H64" i="34"/>
  <c r="I78" i="34"/>
  <c r="G121" i="34"/>
  <c r="I121" i="34" s="1"/>
  <c r="G34" i="34"/>
  <c r="I34" i="34" s="1"/>
  <c r="I19" i="34"/>
  <c r="G18" i="34"/>
  <c r="I18" i="34" s="1"/>
  <c r="I62" i="34"/>
  <c r="G20" i="34"/>
  <c r="I20" i="34" s="1"/>
  <c r="I23" i="34"/>
  <c r="I79" i="34"/>
  <c r="I63" i="34"/>
  <c r="G36" i="34"/>
  <c r="I120" i="34"/>
  <c r="G21" i="34"/>
  <c r="I119" i="34"/>
  <c r="R15" i="23"/>
  <c r="G17" i="30"/>
  <c r="H17" i="30" s="1"/>
  <c r="G22" i="34"/>
  <c r="G66" i="34"/>
  <c r="I66" i="34" s="1"/>
  <c r="G81" i="34"/>
  <c r="I81" i="34" s="1"/>
  <c r="G123" i="34"/>
  <c r="I123" i="34" s="1"/>
  <c r="H20" i="34"/>
  <c r="G77" i="34"/>
  <c r="I84" i="34" s="1"/>
  <c r="C10" i="18"/>
  <c r="H10" i="18" s="1"/>
  <c r="C39" i="18"/>
  <c r="C24" i="18"/>
  <c r="D33" i="15"/>
  <c r="C64" i="18" a="1"/>
  <c r="C50" i="18" a="1"/>
  <c r="C36" i="18" a="1"/>
  <c r="C21" i="18" a="1"/>
  <c r="C7" i="18" a="1"/>
  <c r="C33" i="15"/>
  <c r="E33" i="15"/>
  <c r="C34" i="15"/>
  <c r="E34" i="15"/>
  <c r="C36" i="15"/>
  <c r="E36" i="15"/>
  <c r="D34" i="15"/>
  <c r="C35" i="15"/>
  <c r="D36" i="15"/>
  <c r="D35" i="15"/>
  <c r="F23" i="15"/>
  <c r="C11" i="18" s="1"/>
  <c r="H11" i="18" s="1"/>
  <c r="G82" i="18" s="1"/>
  <c r="F82" i="18" s="1"/>
  <c r="B6" i="33" s="1"/>
  <c r="B27" i="33" s="1"/>
  <c r="F18" i="15"/>
  <c r="D5" i="8" s="1"/>
  <c r="I23" i="26"/>
  <c r="J23" i="28"/>
  <c r="J4" i="28"/>
  <c r="G7" i="28"/>
  <c r="J7" i="28" s="1"/>
  <c r="K4" i="24"/>
  <c r="I23" i="27"/>
  <c r="J23" i="27"/>
  <c r="K16" i="27"/>
  <c r="K4" i="27"/>
  <c r="G7" i="27"/>
  <c r="K7" i="27" s="1"/>
  <c r="J50" i="24"/>
  <c r="F51" i="24"/>
  <c r="F58" i="24" s="1"/>
  <c r="O18" i="23" s="1"/>
  <c r="P18" i="23" s="1"/>
  <c r="G51" i="24"/>
  <c r="E58" i="24"/>
  <c r="N18" i="23" s="1"/>
  <c r="G23" i="27"/>
  <c r="H23" i="27"/>
  <c r="K13" i="26"/>
  <c r="G23" i="26"/>
  <c r="I38" i="24"/>
  <c r="K160" i="34" l="1"/>
  <c r="K162" i="34" s="1"/>
  <c r="D6" i="30"/>
  <c r="K205" i="34"/>
  <c r="H24" i="34"/>
  <c r="H121" i="34"/>
  <c r="H60" i="30"/>
  <c r="H41" i="30"/>
  <c r="H111" i="34"/>
  <c r="H5" i="34"/>
  <c r="H110" i="34"/>
  <c r="H203" i="34"/>
  <c r="K41" i="30"/>
  <c r="G41" i="30" s="1"/>
  <c r="K109" i="34"/>
  <c r="K124" i="34"/>
  <c r="N202" i="34"/>
  <c r="N185" i="34"/>
  <c r="H124" i="34"/>
  <c r="H99" i="34"/>
  <c r="H100" i="34"/>
  <c r="H112" i="34" s="1"/>
  <c r="H21" i="30"/>
  <c r="M96" i="34"/>
  <c r="M100" i="34" s="1"/>
  <c r="F5" i="30" s="1"/>
  <c r="N60" i="30"/>
  <c r="N172" i="34"/>
  <c r="N21" i="30"/>
  <c r="N10" i="34"/>
  <c r="J80" i="34"/>
  <c r="K137" i="34"/>
  <c r="K186" i="34"/>
  <c r="K203" i="34"/>
  <c r="F8" i="34"/>
  <c r="I12" i="34" s="1"/>
  <c r="H187" i="34"/>
  <c r="H204" i="34"/>
  <c r="K148" i="34"/>
  <c r="K150" i="34" s="1"/>
  <c r="N204" i="34"/>
  <c r="N187" i="34"/>
  <c r="L60" i="30"/>
  <c r="L172" i="34"/>
  <c r="M60" i="30"/>
  <c r="M172" i="34"/>
  <c r="K100" i="34"/>
  <c r="I175" i="34"/>
  <c r="I176" i="34"/>
  <c r="I177" i="34"/>
  <c r="F143" i="34"/>
  <c r="I143" i="34" s="1"/>
  <c r="H143" i="34"/>
  <c r="I69" i="34"/>
  <c r="I126" i="34"/>
  <c r="K105" i="34"/>
  <c r="K98" i="34"/>
  <c r="K99" i="34"/>
  <c r="H182" i="34"/>
  <c r="H199" i="34"/>
  <c r="H200" i="34"/>
  <c r="H183" i="34"/>
  <c r="K200" i="34"/>
  <c r="K183" i="34"/>
  <c r="H181" i="34"/>
  <c r="F155" i="34"/>
  <c r="I125" i="34"/>
  <c r="I83" i="34"/>
  <c r="I68" i="34"/>
  <c r="H23" i="34"/>
  <c r="K120" i="34"/>
  <c r="K126" i="34" s="1"/>
  <c r="K168" i="34"/>
  <c r="K6" i="34"/>
  <c r="H198" i="34"/>
  <c r="H155" i="34"/>
  <c r="K17" i="30"/>
  <c r="K21" i="30" s="1"/>
  <c r="H8" i="34"/>
  <c r="H37" i="34" s="1"/>
  <c r="K55" i="30"/>
  <c r="K170" i="34" s="1"/>
  <c r="H170" i="34"/>
  <c r="H176" i="34" s="1"/>
  <c r="K39" i="34"/>
  <c r="K23" i="34"/>
  <c r="K22" i="34"/>
  <c r="K38" i="34"/>
  <c r="K157" i="34"/>
  <c r="K158" i="34" s="1"/>
  <c r="K145" i="34"/>
  <c r="G198" i="34"/>
  <c r="I198" i="34" s="1"/>
  <c r="G181" i="34"/>
  <c r="I181" i="34" s="1"/>
  <c r="K123" i="34"/>
  <c r="K108" i="34"/>
  <c r="J167" i="34"/>
  <c r="J134" i="34"/>
  <c r="J139" i="34" s="1"/>
  <c r="C6" i="30" s="1"/>
  <c r="J92" i="34"/>
  <c r="J98" i="34" s="1"/>
  <c r="G5" i="8"/>
  <c r="D10" i="8"/>
  <c r="H19" i="34"/>
  <c r="H98" i="34"/>
  <c r="H123" i="34"/>
  <c r="I21" i="30"/>
  <c r="I17" i="30"/>
  <c r="I8" i="34" s="1"/>
  <c r="H119" i="34"/>
  <c r="H22" i="34"/>
  <c r="J14" i="30"/>
  <c r="J21" i="30" s="1"/>
  <c r="F46" i="30"/>
  <c r="Q18" i="23"/>
  <c r="K6" i="35" s="1"/>
  <c r="R18" i="23"/>
  <c r="G46" i="30"/>
  <c r="H39" i="18"/>
  <c r="D81" i="18" s="1"/>
  <c r="H24" i="18"/>
  <c r="C81" i="18" s="1"/>
  <c r="I36" i="34"/>
  <c r="I22" i="34"/>
  <c r="I77" i="34"/>
  <c r="E37" i="15"/>
  <c r="C32" i="15"/>
  <c r="F33" i="15"/>
  <c r="D32" i="15"/>
  <c r="F35" i="15"/>
  <c r="C7" i="18"/>
  <c r="H8" i="18"/>
  <c r="H9" i="18"/>
  <c r="C21" i="18"/>
  <c r="H23" i="18"/>
  <c r="C80" i="18" s="1"/>
  <c r="H22" i="18"/>
  <c r="C79" i="18" s="1"/>
  <c r="C36" i="18"/>
  <c r="H38" i="18"/>
  <c r="D80" i="18" s="1"/>
  <c r="H37" i="18"/>
  <c r="D79" i="18" s="1"/>
  <c r="C50" i="18"/>
  <c r="H52" i="18"/>
  <c r="E80" i="18" s="1"/>
  <c r="H51" i="18"/>
  <c r="E79" i="18" s="1"/>
  <c r="C64" i="18"/>
  <c r="H66" i="18"/>
  <c r="H65" i="18"/>
  <c r="E32" i="15"/>
  <c r="D37" i="15"/>
  <c r="C37" i="15"/>
  <c r="F36" i="15"/>
  <c r="F34" i="15"/>
  <c r="K23" i="27"/>
  <c r="K14" i="26"/>
  <c r="K18" i="27"/>
  <c r="J51" i="24"/>
  <c r="G58" i="24"/>
  <c r="K19" i="26"/>
  <c r="K23" i="26"/>
  <c r="H38" i="24"/>
  <c r="J38" i="24"/>
  <c r="K112" i="34" l="1"/>
  <c r="K114" i="34" s="1"/>
  <c r="D5" i="30"/>
  <c r="I5" i="30" s="1"/>
  <c r="K8" i="34"/>
  <c r="K37" i="34" s="1"/>
  <c r="U15" i="23"/>
  <c r="H126" i="34"/>
  <c r="H127" i="34"/>
  <c r="G48" i="30"/>
  <c r="H46" i="30"/>
  <c r="H48" i="30" s="1"/>
  <c r="M108" i="34"/>
  <c r="M110" i="34" s="1"/>
  <c r="M123" i="34"/>
  <c r="M125" i="34" s="1"/>
  <c r="M98" i="34"/>
  <c r="L186" i="34"/>
  <c r="L177" i="34"/>
  <c r="E7" i="30" s="1"/>
  <c r="L175" i="34"/>
  <c r="L176" i="34"/>
  <c r="L203" i="34"/>
  <c r="I14" i="34"/>
  <c r="I13" i="34"/>
  <c r="N14" i="34"/>
  <c r="G3" i="30" s="1"/>
  <c r="N12" i="34"/>
  <c r="M203" i="34"/>
  <c r="M186" i="34"/>
  <c r="M177" i="34"/>
  <c r="F7" i="30" s="1"/>
  <c r="M175" i="34"/>
  <c r="M176" i="34"/>
  <c r="N203" i="34"/>
  <c r="N177" i="34"/>
  <c r="G7" i="30" s="1"/>
  <c r="N186" i="34"/>
  <c r="N175" i="34"/>
  <c r="N176" i="34"/>
  <c r="I207" i="34"/>
  <c r="I190" i="34"/>
  <c r="J160" i="34"/>
  <c r="J162" i="34" s="1"/>
  <c r="M163" i="34" s="1"/>
  <c r="J148" i="34"/>
  <c r="J150" i="34" s="1"/>
  <c r="J175" i="34"/>
  <c r="J176" i="34"/>
  <c r="J177" i="34"/>
  <c r="C7" i="30" s="1"/>
  <c r="H177" i="34"/>
  <c r="I155" i="34"/>
  <c r="K177" i="34"/>
  <c r="D7" i="30" s="1"/>
  <c r="K176" i="34"/>
  <c r="K111" i="34"/>
  <c r="K110" i="34"/>
  <c r="J137" i="34"/>
  <c r="J138" i="34"/>
  <c r="H14" i="34"/>
  <c r="K146" i="34"/>
  <c r="J99" i="34"/>
  <c r="J100" i="34"/>
  <c r="K127" i="34"/>
  <c r="K129" i="34" s="1"/>
  <c r="M112" i="34"/>
  <c r="M114" i="34" s="1"/>
  <c r="M127" i="34"/>
  <c r="M129" i="34" s="1"/>
  <c r="H125" i="34"/>
  <c r="G21" i="30"/>
  <c r="I189" i="34"/>
  <c r="K19" i="34"/>
  <c r="H13" i="34"/>
  <c r="K184" i="34"/>
  <c r="K201" i="34"/>
  <c r="H175" i="34"/>
  <c r="H184" i="34"/>
  <c r="H190" i="34" s="1"/>
  <c r="H201" i="34"/>
  <c r="H206" i="34" s="1"/>
  <c r="K182" i="34"/>
  <c r="K199" i="34"/>
  <c r="I206" i="34"/>
  <c r="K175" i="34"/>
  <c r="K125" i="34"/>
  <c r="K35" i="34"/>
  <c r="K60" i="30"/>
  <c r="G60" i="30" s="1"/>
  <c r="G135" i="34"/>
  <c r="I48" i="30"/>
  <c r="N23" i="34"/>
  <c r="N39" i="34"/>
  <c r="N41" i="34" s="1"/>
  <c r="H135" i="34"/>
  <c r="H139" i="34" s="1"/>
  <c r="J5" i="34"/>
  <c r="J104" i="34"/>
  <c r="J119" i="34"/>
  <c r="J143" i="34"/>
  <c r="J147" i="34" s="1"/>
  <c r="J155" i="34"/>
  <c r="J181" i="34"/>
  <c r="J190" i="34" s="1"/>
  <c r="J198" i="34"/>
  <c r="J207" i="34" s="1"/>
  <c r="I5" i="8"/>
  <c r="J5" i="8" s="1"/>
  <c r="G10" i="8"/>
  <c r="H5" i="8"/>
  <c r="F21" i="34"/>
  <c r="F37" i="34"/>
  <c r="H34" i="34"/>
  <c r="H42" i="34" s="1"/>
  <c r="H18" i="34"/>
  <c r="K38" i="24"/>
  <c r="J58" i="24"/>
  <c r="I46" i="30"/>
  <c r="I135" i="34" s="1"/>
  <c r="G81" i="18"/>
  <c r="F81" i="18" s="1"/>
  <c r="H21" i="34"/>
  <c r="I35" i="34"/>
  <c r="G79" i="18"/>
  <c r="F79" i="18" s="1"/>
  <c r="G80" i="18"/>
  <c r="F80" i="18" s="1"/>
  <c r="C72" i="18"/>
  <c r="H72" i="18" s="1"/>
  <c r="H64" i="18"/>
  <c r="H7" i="18"/>
  <c r="C58" i="18"/>
  <c r="H58" i="18" s="1"/>
  <c r="H50" i="18"/>
  <c r="E78" i="18" s="1"/>
  <c r="F37" i="15"/>
  <c r="C29" i="18"/>
  <c r="H29" i="18" s="1"/>
  <c r="H21" i="18"/>
  <c r="C78" i="18" s="1"/>
  <c r="C44" i="18"/>
  <c r="H44" i="18" s="1"/>
  <c r="H36" i="18"/>
  <c r="F32" i="15"/>
  <c r="I7" i="30" l="1"/>
  <c r="K14" i="34"/>
  <c r="D3" i="30" s="1"/>
  <c r="I3" i="30" s="1"/>
  <c r="J112" i="34"/>
  <c r="J114" i="34" s="1"/>
  <c r="M115" i="34" s="1"/>
  <c r="C5" i="30"/>
  <c r="K12" i="34"/>
  <c r="K13" i="34"/>
  <c r="K21" i="34"/>
  <c r="K26" i="34" s="1"/>
  <c r="N206" i="34"/>
  <c r="N207" i="34"/>
  <c r="M208" i="34"/>
  <c r="M210" i="34" s="1"/>
  <c r="M191" i="34"/>
  <c r="M193" i="34" s="1"/>
  <c r="M190" i="34"/>
  <c r="M189" i="34"/>
  <c r="M206" i="34"/>
  <c r="M207" i="34"/>
  <c r="N27" i="34"/>
  <c r="N29" i="34" s="1"/>
  <c r="N43" i="34"/>
  <c r="N45" i="34" s="1"/>
  <c r="L206" i="34"/>
  <c r="L207" i="34"/>
  <c r="N189" i="34"/>
  <c r="N190" i="34"/>
  <c r="L208" i="34"/>
  <c r="L210" i="34" s="1"/>
  <c r="L191" i="34"/>
  <c r="L193" i="34" s="1"/>
  <c r="N191" i="34"/>
  <c r="N193" i="34" s="1"/>
  <c r="N208" i="34"/>
  <c r="N210" i="34" s="1"/>
  <c r="L190" i="34"/>
  <c r="L189" i="34"/>
  <c r="K190" i="34"/>
  <c r="K191" i="34"/>
  <c r="K193" i="34" s="1"/>
  <c r="K208" i="34"/>
  <c r="K210" i="34" s="1"/>
  <c r="H208" i="34"/>
  <c r="H191" i="34"/>
  <c r="J191" i="34"/>
  <c r="J193" i="34" s="1"/>
  <c r="J208" i="34"/>
  <c r="J210" i="34" s="1"/>
  <c r="K206" i="34"/>
  <c r="K207" i="34"/>
  <c r="J158" i="34"/>
  <c r="J159" i="34"/>
  <c r="H207" i="34"/>
  <c r="H160" i="34"/>
  <c r="H148" i="34"/>
  <c r="H189" i="34"/>
  <c r="J111" i="34"/>
  <c r="J110" i="34"/>
  <c r="H138" i="34"/>
  <c r="G144" i="34"/>
  <c r="I147" i="34" s="1"/>
  <c r="I138" i="34"/>
  <c r="I139" i="34"/>
  <c r="J146" i="34"/>
  <c r="M151" i="34" s="1"/>
  <c r="J14" i="34"/>
  <c r="J12" i="34"/>
  <c r="J127" i="34"/>
  <c r="J129" i="34" s="1"/>
  <c r="M130" i="34" s="1"/>
  <c r="J125" i="34"/>
  <c r="J126" i="34"/>
  <c r="K189" i="34"/>
  <c r="K41" i="34"/>
  <c r="K42" i="34"/>
  <c r="H26" i="34"/>
  <c r="I37" i="34"/>
  <c r="I42" i="34"/>
  <c r="H27" i="34"/>
  <c r="H43" i="34"/>
  <c r="I25" i="34"/>
  <c r="I26" i="34"/>
  <c r="J13" i="34"/>
  <c r="J189" i="34"/>
  <c r="J206" i="34"/>
  <c r="G156" i="34"/>
  <c r="N25" i="34"/>
  <c r="I137" i="34"/>
  <c r="J34" i="34"/>
  <c r="J18" i="34"/>
  <c r="H156" i="34"/>
  <c r="H144" i="34"/>
  <c r="H137" i="34"/>
  <c r="I21" i="34"/>
  <c r="I41" i="34"/>
  <c r="H6" i="30"/>
  <c r="D97" i="18"/>
  <c r="C97" i="18"/>
  <c r="I6" i="30"/>
  <c r="E97" i="18"/>
  <c r="B5" i="33"/>
  <c r="B26" i="33" s="1"/>
  <c r="E86" i="18"/>
  <c r="E77" i="18"/>
  <c r="C77" i="18"/>
  <c r="C86" i="18"/>
  <c r="D78" i="18"/>
  <c r="G13" i="1"/>
  <c r="H13" i="1" s="1"/>
  <c r="K43" i="34" l="1"/>
  <c r="K45" i="34" s="1"/>
  <c r="K27" i="34"/>
  <c r="K29" i="34" s="1"/>
  <c r="J43" i="34"/>
  <c r="J45" i="34" s="1"/>
  <c r="C3" i="30"/>
  <c r="D95" i="18"/>
  <c r="D108" i="18" s="1"/>
  <c r="E95" i="18"/>
  <c r="E108" i="18" s="1"/>
  <c r="H5" i="30"/>
  <c r="C95" i="18"/>
  <c r="K25" i="34"/>
  <c r="H12" i="34"/>
  <c r="N211" i="34"/>
  <c r="H158" i="34"/>
  <c r="H159" i="34"/>
  <c r="I156" i="34"/>
  <c r="I159" i="34"/>
  <c r="I146" i="34"/>
  <c r="I144" i="34"/>
  <c r="J27" i="34"/>
  <c r="J29" i="34" s="1"/>
  <c r="H147" i="34"/>
  <c r="H146" i="34"/>
  <c r="J26" i="34"/>
  <c r="J25" i="34"/>
  <c r="J41" i="34"/>
  <c r="H41" i="34" s="1"/>
  <c r="J42" i="34"/>
  <c r="N194" i="34"/>
  <c r="I158" i="34"/>
  <c r="E98" i="18"/>
  <c r="E96" i="18" s="1"/>
  <c r="D98" i="18"/>
  <c r="C98" i="18"/>
  <c r="C96" i="18" s="1"/>
  <c r="H7" i="30"/>
  <c r="D86" i="18"/>
  <c r="D77" i="18"/>
  <c r="G78" i="18"/>
  <c r="F78" i="18" s="1"/>
  <c r="G77" i="18"/>
  <c r="I6" i="8"/>
  <c r="I10" i="8" s="1"/>
  <c r="N30" i="34" l="1"/>
  <c r="N46" i="34"/>
  <c r="C108" i="18"/>
  <c r="G108" i="18" s="1"/>
  <c r="G95" i="18"/>
  <c r="C92" i="18"/>
  <c r="H3" i="30"/>
  <c r="C93" i="18"/>
  <c r="C91" i="18"/>
  <c r="D96" i="18"/>
  <c r="H25" i="34"/>
  <c r="B4" i="33"/>
  <c r="B25" i="33" s="1"/>
  <c r="F77" i="18"/>
  <c r="H6" i="8"/>
  <c r="D91" i="18" l="1"/>
  <c r="C90" i="18"/>
  <c r="C104" i="18"/>
  <c r="C106" i="18"/>
  <c r="D93" i="18"/>
  <c r="D92" i="18"/>
  <c r="E92" i="18" s="1"/>
  <c r="G92" i="18" s="1"/>
  <c r="C105" i="18"/>
  <c r="F121" i="18"/>
  <c r="F6" i="33"/>
  <c r="F27" i="33" s="1"/>
  <c r="F108" i="18"/>
  <c r="F95" i="18"/>
  <c r="E6" i="33"/>
  <c r="E27" i="33" s="1"/>
  <c r="E121" i="18"/>
  <c r="D106" i="18" l="1"/>
  <c r="E106" i="18" s="1"/>
  <c r="G106" i="18" s="1"/>
  <c r="D6" i="33"/>
  <c r="D27" i="33" s="1"/>
  <c r="D121" i="18"/>
  <c r="D105" i="18"/>
  <c r="E105" i="18" s="1"/>
  <c r="D104" i="18"/>
  <c r="C103" i="18"/>
  <c r="C6" i="33"/>
  <c r="C27" i="33" s="1"/>
  <c r="C121" i="18"/>
  <c r="F92" i="18"/>
  <c r="C118" i="18" s="1"/>
  <c r="E118" i="18"/>
  <c r="E93" i="18"/>
  <c r="G93" i="18" s="1"/>
  <c r="E91" i="18"/>
  <c r="D90" i="18"/>
  <c r="D15" i="18"/>
  <c r="E15" i="18"/>
  <c r="F15" i="18"/>
  <c r="G15" i="18"/>
  <c r="G105" i="18" l="1"/>
  <c r="F105" i="18" s="1"/>
  <c r="D118" i="18" s="1"/>
  <c r="F93" i="18"/>
  <c r="C119" i="18" s="1"/>
  <c r="E119" i="18"/>
  <c r="E104" i="18"/>
  <c r="D103" i="18"/>
  <c r="F106" i="18"/>
  <c r="D119" i="18" s="1"/>
  <c r="F119" i="18"/>
  <c r="G91" i="18"/>
  <c r="E90" i="18"/>
  <c r="F118" i="18" l="1"/>
  <c r="E117" i="18"/>
  <c r="E4" i="33"/>
  <c r="E25" i="33" s="1"/>
  <c r="F91" i="18"/>
  <c r="G104" i="18"/>
  <c r="E103" i="18"/>
  <c r="G90" i="18"/>
  <c r="E116" i="18" s="1"/>
  <c r="C117" i="18" l="1"/>
  <c r="C4" i="33"/>
  <c r="C25" i="33" s="1"/>
  <c r="F90" i="18"/>
  <c r="C116" i="18" s="1"/>
  <c r="F117" i="18"/>
  <c r="G103" i="18"/>
  <c r="F116" i="18" s="1"/>
  <c r="F4" i="33"/>
  <c r="F25" i="33" s="1"/>
  <c r="F104" i="18"/>
  <c r="D117" i="18" l="1"/>
  <c r="D4" i="33"/>
  <c r="D25" i="33" s="1"/>
  <c r="F103" i="18"/>
  <c r="D116" i="18" s="1"/>
  <c r="H7" i="8"/>
  <c r="H10" i="8" s="1"/>
  <c r="R5" i="1" l="1"/>
  <c r="S5" i="1" s="1"/>
  <c r="J6" i="8" l="1"/>
  <c r="J9" i="8"/>
  <c r="J7" i="8"/>
  <c r="G11" i="1"/>
  <c r="H11" i="1" s="1"/>
  <c r="G12" i="1"/>
  <c r="H12" i="1" s="1"/>
  <c r="G7" i="1"/>
  <c r="H7" i="1" s="1"/>
  <c r="G8" i="1"/>
  <c r="H8" i="1" s="1"/>
  <c r="J10" i="8" l="1"/>
  <c r="C27" i="15" l="1"/>
  <c r="F25" i="15" l="1"/>
  <c r="D39" i="15" l="1"/>
  <c r="C39" i="15"/>
  <c r="E39" i="15"/>
  <c r="D110" i="18" l="1"/>
  <c r="E110" i="18"/>
  <c r="F39" i="15"/>
  <c r="E27" i="15" l="1"/>
  <c r="F26" i="15" l="1"/>
  <c r="C13" i="18" s="1" a="1"/>
  <c r="G98" i="18" l="1"/>
  <c r="E124" i="18" s="1"/>
  <c r="C13" i="18"/>
  <c r="H14" i="18"/>
  <c r="G85" i="18" s="1"/>
  <c r="F85" i="18" s="1"/>
  <c r="B9" i="33" s="1"/>
  <c r="B30" i="33" s="1"/>
  <c r="D27" i="15"/>
  <c r="C40" i="15"/>
  <c r="E40" i="15"/>
  <c r="D40" i="15"/>
  <c r="F24" i="15"/>
  <c r="E111" i="18" l="1"/>
  <c r="D111" i="18"/>
  <c r="C111" i="18"/>
  <c r="C110" i="18"/>
  <c r="G97" i="18"/>
  <c r="E123" i="18" s="1"/>
  <c r="E9" i="33"/>
  <c r="E30" i="33" s="1"/>
  <c r="F98" i="18"/>
  <c r="F40" i="15"/>
  <c r="H13" i="18"/>
  <c r="C15" i="18"/>
  <c r="H15" i="18" s="1"/>
  <c r="F27" i="15"/>
  <c r="C38" i="15"/>
  <c r="E38" i="15"/>
  <c r="D38" i="15"/>
  <c r="C9" i="33" l="1"/>
  <c r="C30" i="33" s="1"/>
  <c r="C124" i="18"/>
  <c r="D109" i="18"/>
  <c r="G96" i="18"/>
  <c r="E122" i="18" s="1"/>
  <c r="C109" i="18"/>
  <c r="E109" i="18"/>
  <c r="G111" i="18"/>
  <c r="G84" i="18"/>
  <c r="G110" i="18"/>
  <c r="F123" i="18" s="1"/>
  <c r="E8" i="33"/>
  <c r="F97" i="18"/>
  <c r="C123" i="18" s="1"/>
  <c r="F38" i="15"/>
  <c r="F9" i="33" l="1"/>
  <c r="F30" i="33" s="1"/>
  <c r="F124" i="18"/>
  <c r="G83" i="18"/>
  <c r="G86" i="18"/>
  <c r="C8" i="33"/>
  <c r="C7" i="33" s="1"/>
  <c r="F96" i="18"/>
  <c r="C122" i="18" s="1"/>
  <c r="G109" i="18"/>
  <c r="F122" i="18" s="1"/>
  <c r="F111" i="18"/>
  <c r="C29" i="33"/>
  <c r="E29" i="33"/>
  <c r="E7" i="33"/>
  <c r="F8" i="33"/>
  <c r="F110" i="18"/>
  <c r="D123" i="18" s="1"/>
  <c r="F84" i="18"/>
  <c r="D9" i="33" l="1"/>
  <c r="D30" i="33" s="1"/>
  <c r="D124" i="18"/>
  <c r="D8" i="33"/>
  <c r="F109" i="18"/>
  <c r="D122" i="18" s="1"/>
  <c r="B8" i="33"/>
  <c r="B29" i="33" s="1"/>
  <c r="F83" i="18"/>
  <c r="F86" i="18"/>
  <c r="B7" i="33"/>
  <c r="B28" i="33" s="1"/>
  <c r="F7" i="33"/>
  <c r="F29" i="33"/>
  <c r="D29" i="33"/>
  <c r="E28" i="33"/>
  <c r="C28" i="33"/>
  <c r="D7" i="33" l="1"/>
  <c r="D28" i="33" s="1"/>
  <c r="F28" i="33"/>
  <c r="B10" i="33"/>
  <c r="B31" i="33" s="1"/>
  <c r="K66" i="34" l="1"/>
  <c r="K81" i="34"/>
  <c r="H54" i="34"/>
  <c r="H81" i="34" s="1"/>
  <c r="H53" i="34"/>
  <c r="H80" i="34" s="1"/>
  <c r="K28" i="30"/>
  <c r="K53" i="34" s="1"/>
  <c r="H51" i="34"/>
  <c r="H50" i="34"/>
  <c r="H62" i="34" s="1"/>
  <c r="K30" i="30"/>
  <c r="H55" i="34"/>
  <c r="H67" i="34" s="1"/>
  <c r="J25" i="30"/>
  <c r="J50" i="34" s="1"/>
  <c r="K26" i="30"/>
  <c r="K51" i="34" s="1"/>
  <c r="M29" i="30"/>
  <c r="M31" i="30" s="1"/>
  <c r="J31" i="30" l="1"/>
  <c r="K31" i="30"/>
  <c r="K65" i="34"/>
  <c r="K80" i="34"/>
  <c r="H58" i="34"/>
  <c r="H77" i="34"/>
  <c r="H78" i="34"/>
  <c r="H57" i="34"/>
  <c r="H84" i="34" s="1"/>
  <c r="H66" i="34"/>
  <c r="H65" i="34"/>
  <c r="H82" i="34"/>
  <c r="H70" i="34"/>
  <c r="H85" i="34"/>
  <c r="K57" i="34"/>
  <c r="K78" i="34"/>
  <c r="K63" i="34"/>
  <c r="J58" i="34"/>
  <c r="C4" i="30" s="1"/>
  <c r="J57" i="34"/>
  <c r="J62" i="34"/>
  <c r="J68" i="34" s="1"/>
  <c r="J56" i="34"/>
  <c r="J77" i="34"/>
  <c r="J83" i="34" s="1"/>
  <c r="M54" i="34"/>
  <c r="K55" i="34"/>
  <c r="H63" i="34"/>
  <c r="G31" i="30" l="1"/>
  <c r="H83" i="34"/>
  <c r="H68" i="34"/>
  <c r="H69" i="34"/>
  <c r="K67" i="34"/>
  <c r="K68" i="34" s="1"/>
  <c r="K82" i="34"/>
  <c r="K83" i="34" s="1"/>
  <c r="J84" i="34"/>
  <c r="J69" i="34"/>
  <c r="J85" i="34"/>
  <c r="J87" i="34" s="1"/>
  <c r="J70" i="34"/>
  <c r="J72" i="34" s="1"/>
  <c r="K56" i="34"/>
  <c r="K84" i="34"/>
  <c r="K69" i="34"/>
  <c r="M58" i="34"/>
  <c r="F4" i="30" s="1"/>
  <c r="M81" i="34"/>
  <c r="M83" i="34" s="1"/>
  <c r="M56" i="34"/>
  <c r="M66" i="34"/>
  <c r="M68" i="34" s="1"/>
  <c r="K58" i="34"/>
  <c r="D4" i="30" s="1"/>
  <c r="I4" i="30" l="1"/>
  <c r="C94" i="18"/>
  <c r="E94" i="18"/>
  <c r="D94" i="18"/>
  <c r="H4" i="30"/>
  <c r="H56" i="34"/>
  <c r="M70" i="34"/>
  <c r="M72" i="34" s="1"/>
  <c r="M85" i="34"/>
  <c r="M87" i="34" s="1"/>
  <c r="K85" i="34"/>
  <c r="K87" i="34" s="1"/>
  <c r="K70" i="34"/>
  <c r="K72" i="34" s="1"/>
  <c r="M73" i="34" l="1"/>
  <c r="D107" i="18"/>
  <c r="D112" i="18" s="1"/>
  <c r="D99" i="18"/>
  <c r="E107" i="18"/>
  <c r="E112" i="18" s="1"/>
  <c r="E99" i="18"/>
  <c r="C107" i="18"/>
  <c r="G94" i="18"/>
  <c r="C99" i="18"/>
  <c r="M88" i="34"/>
  <c r="E5" i="33" l="1"/>
  <c r="E120" i="18"/>
  <c r="E125" i="18" s="1"/>
  <c r="F94" i="18"/>
  <c r="G99" i="18"/>
  <c r="G107" i="18"/>
  <c r="C112" i="18"/>
  <c r="C5" i="33" l="1"/>
  <c r="C120" i="18"/>
  <c r="F99" i="18"/>
  <c r="C125" i="18" s="1"/>
  <c r="F5" i="33"/>
  <c r="F120" i="18"/>
  <c r="F125" i="18" s="1"/>
  <c r="F107" i="18"/>
  <c r="G112" i="18"/>
  <c r="E26" i="33"/>
  <c r="E10" i="33"/>
  <c r="E31" i="33" s="1"/>
  <c r="E32" i="33" s="1"/>
  <c r="D120" i="18" l="1"/>
  <c r="D5" i="33"/>
  <c r="F112" i="18"/>
  <c r="D125" i="18" s="1"/>
  <c r="F26" i="33"/>
  <c r="F10" i="33"/>
  <c r="F31" i="33" s="1"/>
  <c r="F32" i="33" s="1"/>
  <c r="C26" i="33"/>
  <c r="C10" i="33"/>
  <c r="C31" i="33" s="1"/>
  <c r="C32" i="33" s="1"/>
  <c r="D26" i="33" l="1"/>
  <c r="D10" i="33"/>
  <c r="D31" i="33" s="1"/>
  <c r="D32"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<sst xmlns="http://schemas.openxmlformats.org/spreadsheetml/2006/main" count="1805" uniqueCount="574">
  <si>
    <t>TCD Grants ICR Revision Supporting Statement Appendix A: Burden Calculations</t>
  </si>
  <si>
    <t>2024-2025 Revision | Updated March 2025</t>
  </si>
  <si>
    <t>Table from Supporting Statement</t>
  </si>
  <si>
    <t>Link to Table in Workbook</t>
  </si>
  <si>
    <t>Table 1</t>
  </si>
  <si>
    <t xml:space="preserve">Updated Summary of Burden and Cost Estimation for Revised ICR </t>
  </si>
  <si>
    <t>Table 2</t>
  </si>
  <si>
    <t>Unit Burden for DERA Grant Program (State, National, and Tribal &amp; Territory Programs)</t>
  </si>
  <si>
    <t>Table 3</t>
  </si>
  <si>
    <t>Unit Burden for the Clean School Bus Grant Program</t>
  </si>
  <si>
    <t>Table 4</t>
  </si>
  <si>
    <t>Unit Burden for the Clean Heavy-Duty Vehicles Program</t>
  </si>
  <si>
    <t>Table 5</t>
  </si>
  <si>
    <t>Unit Burden for the Clean Ports Climate and Air Quality Planning Program</t>
  </si>
  <si>
    <t>Table 6</t>
  </si>
  <si>
    <t>Unit Burden for the Clean Ports Zero-Emission Technology Deployment Program</t>
  </si>
  <si>
    <t>Table 7</t>
  </si>
  <si>
    <t>State, Local, Private Loaded Wage Rates (2024$)</t>
  </si>
  <si>
    <t>Table 8a</t>
  </si>
  <si>
    <t>Distribution of Grant Recipients to State, Local, and Private Entities by Program</t>
  </si>
  <si>
    <t>Table 8b</t>
  </si>
  <si>
    <t>Distribution of Grant Applicants to State, Local, and Private Entities by Program</t>
  </si>
  <si>
    <t>Table 9</t>
  </si>
  <si>
    <t>Number of Participants in each Reporting Stage in the Middle of ICR (2026)</t>
  </si>
  <si>
    <t>Table 10a</t>
  </si>
  <si>
    <t>Table 10b</t>
  </si>
  <si>
    <t>Respondent Burden - DERA Grant (State and Local)</t>
  </si>
  <si>
    <t>Table 10c</t>
  </si>
  <si>
    <t>Respondent Burden - DERA Grant (Private)</t>
  </si>
  <si>
    <t>Table 11a</t>
  </si>
  <si>
    <t>Unit Burden for Clean School Bus Grant Program</t>
  </si>
  <si>
    <t>Table 11b</t>
  </si>
  <si>
    <t>Respondent Burden - Clean School Bus Grant (State and Local)</t>
  </si>
  <si>
    <t>Table 11c</t>
  </si>
  <si>
    <t>Respondent Burden - Clean School Bus Grant (Private)</t>
  </si>
  <si>
    <t>Table 12a</t>
  </si>
  <si>
    <t>Unit Burden for Clean Heavy-Duty Vehicles Grant Program</t>
  </si>
  <si>
    <t>Table 12b</t>
  </si>
  <si>
    <t>Respondent Burden - Clean Heavy-Duty Vehicles Grant (State and Local)</t>
  </si>
  <si>
    <t>Table 12c</t>
  </si>
  <si>
    <t>Respondent Burden - Clean Heavy-Duty Vehicles Grant (Private)</t>
  </si>
  <si>
    <t>Table 13a</t>
  </si>
  <si>
    <t>Unit Burden for Clean Ports Program - Climate and Air Quality Planning Grants</t>
  </si>
  <si>
    <t>Table 13b</t>
  </si>
  <si>
    <t>Respondent Burden - Clean Ports Program - Climate and Air Quality Planning Grants (State and Local)</t>
  </si>
  <si>
    <t>Table 13c</t>
  </si>
  <si>
    <t>Respondent Burden - Clean Ports Program - Climate and Air Quality Planning Grants (Private)</t>
  </si>
  <si>
    <t>Table 14a</t>
  </si>
  <si>
    <t>Unit Burden for Clean Ports Program - Zero Emission Technology Grants</t>
  </si>
  <si>
    <t>Table 14b</t>
  </si>
  <si>
    <t>Respondent Burden - Clean Ports Program - Zero Emission Technology Grants (State and Local)</t>
  </si>
  <si>
    <t>Table 14c</t>
  </si>
  <si>
    <t>Respondent Burden - Clean Ports Program - Zero Emission Technology Grants (Private)</t>
  </si>
  <si>
    <t>Table 15</t>
  </si>
  <si>
    <t>Total Reporting Burden and Cost by Grant</t>
  </si>
  <si>
    <t>Table 16</t>
  </si>
  <si>
    <t>Estimated Burden and Cost to Agency</t>
  </si>
  <si>
    <t>Table 17</t>
  </si>
  <si>
    <t>Difference in Burden from Original Estimation to Revision</t>
  </si>
  <si>
    <t>Table 1: Updated Burden Estimation for Revised ICR</t>
  </si>
  <si>
    <t>Grant Program</t>
  </si>
  <si>
    <t>Average Number of Respondents per Year over ICR Period</t>
  </si>
  <si>
    <t>Average Annual Temporal Cost for Participants over ICR Period (2025-2027) (hrs)</t>
  </si>
  <si>
    <t>Average Annual Cost for Participants over ICR Period (2025-2027) (hrs)</t>
  </si>
  <si>
    <r>
      <t>Total Hours Over ICR Period</t>
    </r>
    <r>
      <rPr>
        <sz val="9"/>
        <rFont val="Calibri"/>
        <family val="2"/>
        <scheme val="minor"/>
      </rPr>
      <t> </t>
    </r>
  </si>
  <si>
    <r>
      <t>Total Cost Over ICR Period</t>
    </r>
    <r>
      <rPr>
        <sz val="9"/>
        <rFont val="Calibri"/>
        <family val="2"/>
        <scheme val="minor"/>
      </rPr>
      <t> </t>
    </r>
  </si>
  <si>
    <t>DERA Grant Program  (National, Tribal, and State) </t>
  </si>
  <si>
    <t>Clean School Bus Grant Program</t>
  </si>
  <si>
    <t>Clean Heavy-Duty Vehicles Grant Program</t>
  </si>
  <si>
    <t>Clean Ports Program Grant Program</t>
  </si>
  <si>
    <t>Clean Ports Climate and Air Quality Grants</t>
  </si>
  <si>
    <t>Clean Ports Zero Emission Technology Deployment Grants</t>
  </si>
  <si>
    <r>
      <t>Total</t>
    </r>
    <r>
      <rPr>
        <sz val="9"/>
        <rFont val="Calibri"/>
        <family val="2"/>
        <scheme val="minor"/>
      </rPr>
      <t> </t>
    </r>
  </si>
  <si>
    <t>Original Burden Estimation in Initial ICR</t>
  </si>
  <si>
    <t>Average Annual Temporal Cost for Participants over ICR Period (2024-2026) (hrs)</t>
  </si>
  <si>
    <t>Average Annual Cost for Participants over ICR Period (2024-2026) (hrs)</t>
  </si>
  <si>
    <t>DERA (National, Tribal, and State) </t>
  </si>
  <si>
    <t>Clean School Bus </t>
  </si>
  <si>
    <t>Clean Heavy Duty </t>
  </si>
  <si>
    <t>Clean Ports Program</t>
  </si>
  <si>
    <t>  Ports Planning Awards </t>
  </si>
  <si>
    <t>  Ports Deployment of Zero Emissions Technology Awards </t>
  </si>
  <si>
    <t>  Ports Planning and Deployment of Zero Emissions Technology Awards </t>
  </si>
  <si>
    <t>Table 17. Difference in Burden from Original Estimation to Revision</t>
  </si>
  <si>
    <t>Difference in Average Number of Respondents per Year over ICR Period</t>
  </si>
  <si>
    <t>Difference in Average Annual Temporal Cost for Participants over ICR Period (2025-2027) (hrs)</t>
  </si>
  <si>
    <t>Difference in Average Annual Cost for Participants over ICR Period (2025-2027) (hrs)</t>
  </si>
  <si>
    <r>
      <t>Difference in Total Hours Over ICR Period</t>
    </r>
    <r>
      <rPr>
        <sz val="9"/>
        <rFont val="Calibri"/>
        <family val="2"/>
        <scheme val="minor"/>
      </rPr>
      <t> </t>
    </r>
  </si>
  <si>
    <r>
      <t>Difference in Total Cost Over ICR Period</t>
    </r>
    <r>
      <rPr>
        <sz val="9"/>
        <rFont val="Calibri"/>
        <family val="2"/>
        <scheme val="minor"/>
      </rPr>
      <t> </t>
    </r>
  </si>
  <si>
    <t>Total Difference</t>
  </si>
  <si>
    <t>Relative Difference from Initial ICR Estimate (approved in April 2024)</t>
  </si>
  <si>
    <t>Total Time to Complete by Funding Program and Project Period Year</t>
  </si>
  <si>
    <t>Funding Program</t>
  </si>
  <si>
    <r>
      <t xml:space="preserve">List of Instruments for Awardees to Complete*
</t>
    </r>
    <r>
      <rPr>
        <i/>
        <sz val="9"/>
        <color theme="1"/>
        <rFont val="Calibri"/>
        <family val="2"/>
        <scheme val="minor"/>
      </rPr>
      <t>Includes all optional instruments and information collection</t>
    </r>
  </si>
  <si>
    <r>
      <t>Estimated Total Hours Required by Applicants</t>
    </r>
    <r>
      <rPr>
        <b/>
        <sz val="9"/>
        <color theme="1"/>
        <rFont val="Calibri"/>
        <family val="2"/>
      </rPr>
      <t>ⁱ</t>
    </r>
  </si>
  <si>
    <t>Estimated Total Hours Required by Awardeesⁱ
Year 1 of Project Period</t>
  </si>
  <si>
    <t>Estimated Total Hours Required by Awardeesⁱ
Year 2 of Project Period</t>
  </si>
  <si>
    <t>Estimated Total Hours Required by Awardeesⁱ
Year 3 of Project Period</t>
  </si>
  <si>
    <t>Estimated Total Hours Required by Awardeesⁱ
Year 4 of Project Period*</t>
  </si>
  <si>
    <t>Estimated Total Hours Required by Awardees for application and entire project period</t>
  </si>
  <si>
    <t>Estimated Total Hours Required by Awardees for entire project period</t>
  </si>
  <si>
    <t>DERA Grant Program</t>
  </si>
  <si>
    <t>N/A</t>
  </si>
  <si>
    <t>Clean Ports Program, Climate and Air Quality Planning Grants</t>
  </si>
  <si>
    <t>Clean Ports Program, Zero Emission Technology Grants</t>
  </si>
  <si>
    <t>*All project periods of performance are up to 3 years, except for Clean Ports Zero Emission Technology Program and DERA Grant Program, which are up to 4 years.</t>
  </si>
  <si>
    <r>
      <rPr>
        <i/>
        <sz val="9"/>
        <color theme="1"/>
        <rFont val="Calibri"/>
        <family val="2"/>
      </rPr>
      <t>ⁱ</t>
    </r>
    <r>
      <rPr>
        <i/>
        <sz val="9"/>
        <color theme="1"/>
        <rFont val="Calibri"/>
        <family val="2"/>
        <scheme val="minor"/>
      </rPr>
      <t xml:space="preserve">Total Temporal Burden by Program presented in the table above uses a weighted average of participants submitting optional forms to tabulate the estimated temporal burden by program and project period. </t>
    </r>
  </si>
  <si>
    <t>Table 2. Unit Burden for DERA Grant Program (State, National, and Tribal &amp; Territory Programs)</t>
  </si>
  <si>
    <t>Estimated Time Required Over Project Lifetime
*does not use Weighted average to account for optional forms</t>
  </si>
  <si>
    <t>EPA Form Name</t>
  </si>
  <si>
    <t>EPA Form Number</t>
  </si>
  <si>
    <t>Required or Optional</t>
  </si>
  <si>
    <r>
      <t>Share of participants completing</t>
    </r>
    <r>
      <rPr>
        <i/>
        <sz val="9"/>
        <color theme="1"/>
        <rFont val="Calibri"/>
        <family val="2"/>
        <scheme val="minor"/>
      </rPr>
      <t xml:space="preserve"> 
</t>
    </r>
    <r>
      <rPr>
        <i/>
        <sz val="8"/>
        <color theme="1"/>
        <rFont val="Calibri"/>
        <family val="2"/>
        <scheme val="minor"/>
      </rPr>
      <t>(If required, assume 100% of respondents will complete and submit this form)</t>
    </r>
  </si>
  <si>
    <r>
      <t xml:space="preserve">Low End Estimate
</t>
    </r>
    <r>
      <rPr>
        <sz val="9"/>
        <color theme="1"/>
        <rFont val="Calibri"/>
        <family val="2"/>
        <scheme val="minor"/>
      </rPr>
      <t>(hrs.)</t>
    </r>
  </si>
  <si>
    <r>
      <t xml:space="preserve">High End Estimate
</t>
    </r>
    <r>
      <rPr>
        <sz val="9"/>
        <color theme="1"/>
        <rFont val="Calibri"/>
        <family val="2"/>
        <scheme val="minor"/>
      </rPr>
      <t>(hrs.)</t>
    </r>
  </si>
  <si>
    <r>
      <t xml:space="preserve">Average Estimate
</t>
    </r>
    <r>
      <rPr>
        <sz val="9"/>
        <color theme="1"/>
        <rFont val="Calibri"/>
        <family val="2"/>
        <scheme val="minor"/>
      </rPr>
      <t>(hrs.)</t>
    </r>
  </si>
  <si>
    <r>
      <t xml:space="preserve">Weighted Average </t>
    </r>
    <r>
      <rPr>
        <sz val="9"/>
        <color theme="1"/>
        <rFont val="Calibri"/>
        <family val="2"/>
        <scheme val="minor"/>
      </rPr>
      <t>(hrs.)
Accounting for Share of Participants Completing Optional Forms</t>
    </r>
  </si>
  <si>
    <r>
      <t xml:space="preserve">Range of Time to Complete
</t>
    </r>
    <r>
      <rPr>
        <sz val="9"/>
        <color theme="1"/>
        <rFont val="Calibri"/>
        <family val="2"/>
        <scheme val="minor"/>
      </rPr>
      <t>(hrs.)</t>
    </r>
  </si>
  <si>
    <t>Application</t>
  </si>
  <si>
    <t xml:space="preserve"> Year 1</t>
  </si>
  <si>
    <t xml:space="preserve"> Year 2</t>
  </si>
  <si>
    <t xml:space="preserve"> Year 3</t>
  </si>
  <si>
    <t xml:space="preserve"> Year 4</t>
  </si>
  <si>
    <t>DERA Supplemental Application Template</t>
  </si>
  <si>
    <t>5900-681</t>
  </si>
  <si>
    <t>Required</t>
  </si>
  <si>
    <t>DERA Eligibility Statement</t>
  </si>
  <si>
    <t>5900-687</t>
  </si>
  <si>
    <t>DERA Scrappage Statement</t>
  </si>
  <si>
    <t>5900-688</t>
  </si>
  <si>
    <t>DERA Project Reporting Template</t>
  </si>
  <si>
    <t>5900-691</t>
  </si>
  <si>
    <t>Utility Partnership Agreement</t>
  </si>
  <si>
    <t>5900-685</t>
  </si>
  <si>
    <t>Optional</t>
  </si>
  <si>
    <t>OTAQ Funding Program Recipient Story Collection Form</t>
  </si>
  <si>
    <t>TBA</t>
  </si>
  <si>
    <t>BABA Waiver Request (non-form information collection)</t>
  </si>
  <si>
    <t>Total</t>
  </si>
  <si>
    <t>Table 3. Unit Burden for Clean School Bus Grant Program</t>
  </si>
  <si>
    <t>CSB Supplemental Application Template</t>
  </si>
  <si>
    <t>5900-680</t>
  </si>
  <si>
    <t>CSB Eligibility and Scrap Sell Donate Statement</t>
  </si>
  <si>
    <t>5900-686</t>
  </si>
  <si>
    <t>CSB Project Reporting Template</t>
  </si>
  <si>
    <t>5900-692</t>
  </si>
  <si>
    <t>CSB Utility Partnership Statement</t>
  </si>
  <si>
    <t>5900-693</t>
  </si>
  <si>
    <t>Table 4. Unit Burden for Clean Heavy-Duty Vehicles Program</t>
  </si>
  <si>
    <t>CHDV Supplemental Application Template</t>
  </si>
  <si>
    <t>5900-689</t>
  </si>
  <si>
    <t>CHDV Eligibility and Scrappage Statement</t>
  </si>
  <si>
    <t>5900-682</t>
  </si>
  <si>
    <t>CHDV Project Reporting Template</t>
  </si>
  <si>
    <t>5900-683</t>
  </si>
  <si>
    <t>Table 5. Unit Burden for Clean Ports Program Climate and Air Quality Planning Grants</t>
  </si>
  <si>
    <t>Clean Ports Supplemental Application Template</t>
  </si>
  <si>
    <t>5900-679</t>
  </si>
  <si>
    <t>Clean Ports Climate and Air Quality Planning Project Reporting Template</t>
  </si>
  <si>
    <t>Table 6. Unit Burden for Clean Ports Program Zero Emissions Technology Deployment Grant</t>
  </si>
  <si>
    <t>Clean Ports Program Scrappage Evidence Statement</t>
  </si>
  <si>
    <t>5900-684</t>
  </si>
  <si>
    <t>Clean Ports Zero-Emission Technology Project Reporting Template</t>
  </si>
  <si>
    <t>Clean Ports Program Deployment Evidence Form</t>
  </si>
  <si>
    <t>Clean Ports Program Scrappage Eligibility Statement</t>
  </si>
  <si>
    <t>Table 7: State, Local, Private Loaded Wage Rates (2024$)</t>
  </si>
  <si>
    <t>Agency Wage Rates (2024$)</t>
  </si>
  <si>
    <t>Labor Category</t>
  </si>
  <si>
    <r>
      <t>Wage</t>
    </r>
    <r>
      <rPr>
        <b/>
        <vertAlign val="superscript"/>
        <sz val="9"/>
        <color rgb="FF000000"/>
        <rFont val="Calibri"/>
        <family val="2"/>
        <scheme val="minor"/>
      </rPr>
      <t>1</t>
    </r>
  </si>
  <si>
    <r>
      <t>Fringe Benefit</t>
    </r>
    <r>
      <rPr>
        <b/>
        <vertAlign val="superscript"/>
        <sz val="9"/>
        <color rgb="FF000000"/>
        <rFont val="Calibri"/>
        <family val="2"/>
        <scheme val="minor"/>
      </rPr>
      <t>1</t>
    </r>
  </si>
  <si>
    <t>Total Compensation</t>
  </si>
  <si>
    <r>
      <t>Overhead % wage</t>
    </r>
    <r>
      <rPr>
        <b/>
        <vertAlign val="superscript"/>
        <sz val="9"/>
        <color rgb="FF000000"/>
        <rFont val="Calibri"/>
        <family val="2"/>
        <scheme val="minor"/>
      </rPr>
      <t>2</t>
    </r>
  </si>
  <si>
    <t>Overhead</t>
  </si>
  <si>
    <r>
      <t>Hourly Loaded Wages</t>
    </r>
    <r>
      <rPr>
        <b/>
        <vertAlign val="superscript"/>
        <sz val="9"/>
        <color rgb="FF000000"/>
        <rFont val="Calibri"/>
        <family val="2"/>
        <scheme val="minor"/>
      </rPr>
      <t>3</t>
    </r>
  </si>
  <si>
    <t>BLS Occupational Group</t>
  </si>
  <si>
    <t>Data Source for Wage Information</t>
  </si>
  <si>
    <t>Wage ($/hour)</t>
  </si>
  <si>
    <r>
      <t>Fringes as % wage</t>
    </r>
    <r>
      <rPr>
        <b/>
        <vertAlign val="superscript"/>
        <sz val="9"/>
        <color theme="1"/>
        <rFont val="Calibri"/>
        <family val="2"/>
        <scheme val="minor"/>
      </rPr>
      <t>2</t>
    </r>
  </si>
  <si>
    <t>Fringe Benefit</t>
  </si>
  <si>
    <r>
      <t>Overhead as % of Total Compensation</t>
    </r>
    <r>
      <rPr>
        <b/>
        <vertAlign val="superscript"/>
        <sz val="9"/>
        <color theme="1"/>
        <rFont val="Calibri"/>
        <family val="2"/>
        <scheme val="minor"/>
      </rPr>
      <t>3</t>
    </r>
  </si>
  <si>
    <t>Loaded Wage ($/hour)</t>
  </si>
  <si>
    <t>(a)</t>
  </si>
  <si>
    <t>(b)</t>
  </si>
  <si>
    <t>(c) =(a)+ (b)</t>
  </si>
  <si>
    <t>(d)</t>
  </si>
  <si>
    <t>(e)= (c) *(d)</t>
  </si>
  <si>
    <t>(f)=(c)+(e)</t>
  </si>
  <si>
    <t>(c) = (a)*(b)</t>
  </si>
  <si>
    <t xml:space="preserve">(d)= (a)+ (c) </t>
  </si>
  <si>
    <t>(e)</t>
  </si>
  <si>
    <t xml:space="preserve">(f) = (d) * (e) </t>
  </si>
  <si>
    <t>(g) = (d) + (f)</t>
  </si>
  <si>
    <t>State &amp; local governments (including schools)</t>
  </si>
  <si>
    <t>Technical</t>
  </si>
  <si>
    <r>
      <t>GS-13 Step 10 pay rates</t>
    </r>
    <r>
      <rPr>
        <vertAlign val="superscript"/>
        <sz val="9"/>
        <color theme="1"/>
        <rFont val="Calibri"/>
        <family val="2"/>
        <scheme val="minor"/>
      </rPr>
      <t>1</t>
    </r>
  </si>
  <si>
    <t>Managerial</t>
  </si>
  <si>
    <t>State and Local Government Workers: Management, Professional, and Related</t>
  </si>
  <si>
    <t>Professional / Technical</t>
  </si>
  <si>
    <t>State and Local Government Workers: Public Administration</t>
  </si>
  <si>
    <t>Footnotes:</t>
  </si>
  <si>
    <t>Clerical</t>
  </si>
  <si>
    <t>State and Local Government Workers: Office and Administrative Support</t>
  </si>
  <si>
    <t>Source: U.S. Office of Personnel Management (2024), Washington-Baltimore-Northern Virginia, DC-MD-PA-VA-WV area. Retrieved November 12, 2024 from https://www.opm.gov/policy-data-oversight/pay-leave/salaries-wages/salary-tables/pdf/2024/DCB.pdf</t>
  </si>
  <si>
    <r>
      <t xml:space="preserve">EPA’s </t>
    </r>
    <r>
      <rPr>
        <i/>
        <sz val="9"/>
        <color theme="1"/>
        <rFont val="Calibri"/>
        <family val="2"/>
        <scheme val="minor"/>
      </rPr>
      <t>Handbook on Valuing Changes in Time Use Induced by Regulatory Requirements and Other EPA Actions</t>
    </r>
    <r>
      <rPr>
        <sz val="9"/>
        <color theme="1"/>
        <rFont val="Calibri"/>
        <family val="2"/>
        <scheme val="minor"/>
      </rPr>
      <t xml:space="preserve"> recommends a study by the Congressional Budget Office for estimating benefit values for federal government workers. The study reports that total benefits account for 63.9 percent of average wages in the federal government sector. Therefore, 63.9 percent of the wage is used to calculate the fringe in the derivation of Agency wage rates. </t>
    </r>
  </si>
  <si>
    <t>Private fleets</t>
  </si>
  <si>
    <r>
      <t xml:space="preserve">An overhead rate of 20% is used based on assumptions in </t>
    </r>
    <r>
      <rPr>
        <i/>
        <sz val="9"/>
        <color theme="1"/>
        <rFont val="Calibri"/>
        <family val="2"/>
        <scheme val="minor"/>
      </rPr>
      <t>Handbook on Valuing Changes in Time Use Induced by Regulatory Requirements and Other U.S. EPA Action</t>
    </r>
    <r>
      <rPr>
        <sz val="9"/>
        <color theme="1"/>
        <rFont val="Calibri"/>
        <family val="2"/>
        <scheme val="minor"/>
      </rPr>
      <t>s.</t>
    </r>
  </si>
  <si>
    <t>Service Providing Industries: Management, Professional, and Related Occupations</t>
  </si>
  <si>
    <t>Service Providing Industries: Transportation and Material Moving Occupations</t>
  </si>
  <si>
    <t>Service Providing Industries: Office and Adminstrative Support Occupations</t>
  </si>
  <si>
    <t>Weighting factors</t>
  </si>
  <si>
    <t>Management</t>
  </si>
  <si>
    <r>
      <rPr>
        <vertAlign val="superscript"/>
        <sz val="9"/>
        <color theme="1"/>
        <rFont val="Calibri"/>
        <family val="2"/>
        <scheme val="minor"/>
      </rPr>
      <t>1</t>
    </r>
    <r>
      <rPr>
        <sz val="9"/>
        <color theme="1"/>
        <rFont val="Calibri"/>
        <family val="2"/>
        <scheme val="minor"/>
      </rPr>
      <t>Source: 
State and Local Governments - Bureau of Labor Statistics Economic News Release Table 3. State and local government, by occupational and industry group, June 2024. http://www.bls.gov/news.release/ecec.t03.htm 
Private Fleets - Bureau of Labor Statistics Economic News Release Table 4. Private industry workers by occupational and industry group, June 2024. https://www.bls.gov/news.release/ecec.t04.htm</t>
    </r>
  </si>
  <si>
    <r>
      <rPr>
        <vertAlign val="superscript"/>
        <sz val="9"/>
        <color theme="1"/>
        <rFont val="Calibri"/>
        <family val="2"/>
        <scheme val="minor"/>
      </rPr>
      <t>2</t>
    </r>
    <r>
      <rPr>
        <sz val="9"/>
        <color theme="1"/>
        <rFont val="Calibri"/>
        <family val="2"/>
        <scheme val="minor"/>
      </rPr>
      <t xml:space="preserve">An overhead rate of 20% is used based on assumptions in </t>
    </r>
    <r>
      <rPr>
        <i/>
        <sz val="9"/>
        <color theme="1"/>
        <rFont val="Calibri"/>
        <family val="2"/>
        <scheme val="minor"/>
      </rPr>
      <t>Handbook on Valuing Changes in Time Use Induced by Regulatory Requirements and other U.S. EPA Actions</t>
    </r>
    <r>
      <rPr>
        <sz val="9"/>
        <color theme="1"/>
        <rFont val="Calibri"/>
        <family val="2"/>
        <scheme val="minor"/>
      </rPr>
      <t>.</t>
    </r>
  </si>
  <si>
    <t xml:space="preserve">Source: Average contribution of each labor category in the CSB Rebate Program Emergency ICR. </t>
  </si>
  <si>
    <r>
      <rPr>
        <vertAlign val="superscript"/>
        <sz val="9"/>
        <color theme="1"/>
        <rFont val="Calibri"/>
        <family val="2"/>
        <scheme val="minor"/>
      </rPr>
      <t>3</t>
    </r>
    <r>
      <rPr>
        <sz val="9"/>
        <color theme="1"/>
        <rFont val="Calibri"/>
        <family val="2"/>
        <scheme val="minor"/>
      </rPr>
      <t>Values may not sum due to rounding. Wage rates are rounded to the nearest cent.</t>
    </r>
  </si>
  <si>
    <t>Weighted Average Wage Rates</t>
  </si>
  <si>
    <t>State and Local</t>
  </si>
  <si>
    <t>Private</t>
  </si>
  <si>
    <t>Universe of Respondents for Grant Programs Covered under this Information Collection</t>
  </si>
  <si>
    <t>Table 8a. Distribution of Grant Recipients to State, Local, and Private Entities by Program</t>
  </si>
  <si>
    <t>Approved Recipient Per Year</t>
  </si>
  <si>
    <t>Number of State Recipients</t>
  </si>
  <si>
    <t>Number of Local Recipients</t>
  </si>
  <si>
    <t>Number of Private Recipients</t>
  </si>
  <si>
    <t>Total Recipients</t>
  </si>
  <si>
    <t xml:space="preserve">  DERA National</t>
  </si>
  <si>
    <t xml:space="preserve">  DERA Tribal &amp; Territory</t>
  </si>
  <si>
    <t xml:space="preserve">  DERA State</t>
  </si>
  <si>
    <t>Clean Ports Grant Program</t>
  </si>
  <si>
    <t>Clean Ports Climate and Air Quality Planning Grant</t>
  </si>
  <si>
    <t>Clean Ports Zero Emission Technology Grant</t>
  </si>
  <si>
    <t>Table 8b. Distribution of Grant Applicants by State, Local, Private Entities by Program</t>
  </si>
  <si>
    <t>Anticipated Applicants Per Year</t>
  </si>
  <si>
    <t>Number of State Applicants</t>
  </si>
  <si>
    <t>Number of Local Applicants</t>
  </si>
  <si>
    <t>Number of Private Applicants</t>
  </si>
  <si>
    <t>Total Applicants</t>
  </si>
  <si>
    <t>Source: Estimates provided by EPA/OTAQ (Tim Thomas) via email on 9/06/2023: We expect no more than 200 Recipients per grant program and no more than 50 to be selected for project funding for each program.
Sarah Harrison updated counts of selectees for Clean Ports and CHDV on 11/13/2024</t>
  </si>
  <si>
    <t>Table 8c. Share of Participant by Type and Program</t>
  </si>
  <si>
    <t>Anticipated Participants Per Year</t>
  </si>
  <si>
    <t>Share of State Participants</t>
  </si>
  <si>
    <t>Share of Local Participants</t>
  </si>
  <si>
    <t>Share of Private Participants</t>
  </si>
  <si>
    <t>Total Participants</t>
  </si>
  <si>
    <t>Anticipated Number of Responses by Program Throughout Grant Funding Life Cycle and ICR Period</t>
  </si>
  <si>
    <t xml:space="preserve">This tab details how many responses are anticipated by funding program and FY, based on the following assumptions: (1) DERA is funded annually each year; (2) CSB Grant competitions are held each year through 202026; (3) CHDV and Clean Ports Programs are 1-time programs, that is, only one round of competitive funding is issued, and the burden for these applications is outside of the scope of this ICR revision. </t>
  </si>
  <si>
    <t>Where X= 2024, ICR Year 0</t>
  </si>
  <si>
    <t>Count of Applicants (awarded in FYX)</t>
  </si>
  <si>
    <t>Count of grantees completing interannual reports in first reporting year (originally awarded in FYX-1)</t>
  </si>
  <si>
    <t>Count of grantees completing interannual reports in second reporting year (originally awarded in FYX-2)</t>
  </si>
  <si>
    <t>Count of grantees completing interannual reports in third reporting year (originally awarded in FYX-3)</t>
  </si>
  <si>
    <t>Count of grantees completing their fourth reporting year (originally awarded in FYX-4)</t>
  </si>
  <si>
    <t>Total Respondents by Program in ICR Year 0</t>
  </si>
  <si>
    <t>  DERA National</t>
  </si>
  <si>
    <t>  DERA Tribal</t>
  </si>
  <si>
    <t>  DERA State</t>
  </si>
  <si>
    <t>Clean Heavy-Duty Vehicles Program</t>
  </si>
  <si>
    <t>Clean Ports Climate and Air Quality Planning Grants</t>
  </si>
  <si>
    <t>Clean Ports Deployment of Zero Emissions Technology Grants</t>
  </si>
  <si>
    <t>Where X= 2025, ICR Year 1</t>
  </si>
  <si>
    <t>Total Respondents by Program in ICR Year 1</t>
  </si>
  <si>
    <t>Where X= 2026, ICR Year 2</t>
  </si>
  <si>
    <t>Table 9. Number of Participants in each Reporting Stage in 2026</t>
  </si>
  <si>
    <t>Total Respondents by Program in ICR Year 2</t>
  </si>
  <si>
    <t>Where X= 2027, ICR Year 3</t>
  </si>
  <si>
    <t>Total Respondents by Program in ICR Expiration Year 3/Renewal Year 1</t>
  </si>
  <si>
    <t>Where X= 2028; ICR set to expire</t>
  </si>
  <si>
    <t>Total Respondents by Program in ICR Renewal Year 2</t>
  </si>
  <si>
    <t>Total Number of Respondents by ICR Year and Program</t>
  </si>
  <si>
    <t>Total Number of Respondents by Program in ICR Year 1</t>
  </si>
  <si>
    <t>Total Number of Respondents by Program in ICR Year 2</t>
  </si>
  <si>
    <t>Total Number of Respondents by Program in ICR Year 3</t>
  </si>
  <si>
    <t>Average Number of Respondents over ICR (2025-2027)</t>
  </si>
  <si>
    <t>Total Number of Respondents Over ICR (2025-2027)</t>
  </si>
  <si>
    <t>Total Anticipated Temporal Burden for Responses by ICR Year and Program</t>
  </si>
  <si>
    <r>
      <t xml:space="preserve">Total Temporal Cost by Program in ICR Year 1 </t>
    </r>
    <r>
      <rPr>
        <sz val="11"/>
        <color rgb="FF000000"/>
        <rFont val="Calibri"/>
        <family val="2"/>
      </rPr>
      <t>(hrs)</t>
    </r>
  </si>
  <si>
    <r>
      <t xml:space="preserve">Total Temporal Cost by Program in ICR Year 2 </t>
    </r>
    <r>
      <rPr>
        <sz val="11"/>
        <color rgb="FF000000"/>
        <rFont val="Calibri"/>
        <family val="2"/>
      </rPr>
      <t>(hrs)</t>
    </r>
  </si>
  <si>
    <r>
      <t xml:space="preserve">Total Temporal Cost by Program in ICR Year 3 </t>
    </r>
    <r>
      <rPr>
        <sz val="11"/>
        <color rgb="FF000000"/>
        <rFont val="Calibri"/>
        <family val="2"/>
      </rPr>
      <t>(hrs)</t>
    </r>
  </si>
  <si>
    <t>Total Temporal Cost Over ICR (2025-2027) (hrs)</t>
  </si>
  <si>
    <t>Total Anticipated Cost for Participants Responses by ICR Year and Program</t>
  </si>
  <si>
    <t>Total Cost by Program in ICR Year 1 ($)</t>
  </si>
  <si>
    <t>Total Cost by Program in ICR Year 2 ($)</t>
  </si>
  <si>
    <t>Total Cost by Program in ICR Year 3 ($)</t>
  </si>
  <si>
    <t>Average Annual Cost for Participants over ICR Period (2025-2027; $)</t>
  </si>
  <si>
    <t>Total Cost Over ICR (2025-2027) ($)</t>
  </si>
  <si>
    <t>Table 15. Total Reporting Burden and Cost by Grant Program</t>
  </si>
  <si>
    <t>Table 10A. Unit Burden for DERA Grant Program (State, National, and Tribal &amp; Territory Programs)</t>
  </si>
  <si>
    <t>Estimated Time Required Over Project Lifetime</t>
  </si>
  <si>
    <t>Item #</t>
  </si>
  <si>
    <t>Share of Responses</t>
  </si>
  <si>
    <r>
      <t xml:space="preserve">Low End Estimate
</t>
    </r>
    <r>
      <rPr>
        <sz val="11"/>
        <color theme="1"/>
        <rFont val="Calibri"/>
        <family val="2"/>
        <scheme val="minor"/>
      </rPr>
      <t>(hrs.)</t>
    </r>
  </si>
  <si>
    <r>
      <t xml:space="preserve">High End Estimate
</t>
    </r>
    <r>
      <rPr>
        <sz val="11"/>
        <color theme="1"/>
        <rFont val="Calibri"/>
        <family val="2"/>
        <scheme val="minor"/>
      </rPr>
      <t>(hrs.)</t>
    </r>
  </si>
  <si>
    <r>
      <t xml:space="preserve">Average Estimate
</t>
    </r>
    <r>
      <rPr>
        <sz val="11"/>
        <color theme="1"/>
        <rFont val="Calibri"/>
        <family val="2"/>
        <scheme val="minor"/>
      </rPr>
      <t>(hrs.)</t>
    </r>
  </si>
  <si>
    <r>
      <t xml:space="preserve">Range of Time to Complete
</t>
    </r>
    <r>
      <rPr>
        <sz val="11"/>
        <color theme="1"/>
        <rFont val="Calibri"/>
        <family val="2"/>
        <scheme val="minor"/>
      </rPr>
      <t>(hrs.)</t>
    </r>
  </si>
  <si>
    <t>a</t>
  </si>
  <si>
    <t>b</t>
  </si>
  <si>
    <t>c</t>
  </si>
  <si>
    <t>d</t>
  </si>
  <si>
    <t>e</t>
  </si>
  <si>
    <t>f</t>
  </si>
  <si>
    <t>g</t>
  </si>
  <si>
    <t>h</t>
  </si>
  <si>
    <r>
      <t>Total Hours per Complete Response 
(</t>
    </r>
    <r>
      <rPr>
        <b/>
        <sz val="11"/>
        <color theme="1"/>
        <rFont val="Calibri"/>
        <family val="2"/>
      </rPr>
      <t>a + b + c + d + e + f + g)</t>
    </r>
  </si>
  <si>
    <t>i</t>
  </si>
  <si>
    <t>Total Hours per Required Response
(a + b + c +  d)</t>
  </si>
  <si>
    <t>j</t>
  </si>
  <si>
    <t>Weighted Average of Response</t>
  </si>
  <si>
    <t>Table 10B. Cost to State and Local Respondents to Complete DERA Grant Program (State, National, and Tribal &amp; Territory Programs)</t>
  </si>
  <si>
    <t>Estimated Cost Required Over Project Lifetime</t>
  </si>
  <si>
    <r>
      <t xml:space="preserve">Low End Estimate
</t>
    </r>
    <r>
      <rPr>
        <sz val="11"/>
        <color theme="1"/>
        <rFont val="Calibri"/>
        <family val="2"/>
        <scheme val="minor"/>
      </rPr>
      <t>($)</t>
    </r>
  </si>
  <si>
    <r>
      <t xml:space="preserve">High End Estimate
</t>
    </r>
    <r>
      <rPr>
        <sz val="11"/>
        <color theme="1"/>
        <rFont val="Calibri"/>
        <family val="2"/>
        <scheme val="minor"/>
      </rPr>
      <t>($)</t>
    </r>
  </si>
  <si>
    <r>
      <t xml:space="preserve">Average Estimate
</t>
    </r>
    <r>
      <rPr>
        <sz val="11"/>
        <color theme="1"/>
        <rFont val="Calibri"/>
        <family val="2"/>
        <scheme val="minor"/>
      </rPr>
      <t>($)</t>
    </r>
  </si>
  <si>
    <r>
      <t xml:space="preserve">Range of Cost to Complete
</t>
    </r>
    <r>
      <rPr>
        <sz val="11"/>
        <color theme="1"/>
        <rFont val="Calibri"/>
        <family val="2"/>
        <scheme val="minor"/>
      </rPr>
      <t>($)</t>
    </r>
  </si>
  <si>
    <t>Total Cost Per Complete Response 
(a + b + c + d + e + f + g)</t>
  </si>
  <si>
    <t>Total Cost Per Required Response 
(a + b + c + d)</t>
  </si>
  <si>
    <t>Total Cost of Response using Weighted Average of Share of Respondents Submitting Optional Forms</t>
  </si>
  <si>
    <t>k</t>
  </si>
  <si>
    <t>Anticipated Number of State and Local Respondents per Year</t>
  </si>
  <si>
    <t>l</t>
  </si>
  <si>
    <t>Total Cost for Program by Stage 
(j) x (k)</t>
  </si>
  <si>
    <t>m</t>
  </si>
  <si>
    <r>
      <t>Total Cost for State and Local Respondents
(</t>
    </r>
    <r>
      <rPr>
        <b/>
        <sz val="11"/>
        <color theme="1"/>
        <rFont val="Calibri"/>
        <family val="2"/>
      </rPr>
      <t>Σ l)</t>
    </r>
  </si>
  <si>
    <t>Table 10C. Cost to Private Respondents to Complete DERA Grant Program (State, National, and Tribal &amp; Territory Programs)</t>
  </si>
  <si>
    <t>Anticipated Number of Private Respondents per Year</t>
  </si>
  <si>
    <t>Total Cost for Private Respondents
(Σ l)</t>
  </si>
  <si>
    <t>Table 11A. Unit Burden for Clean School Bus Grant Program</t>
  </si>
  <si>
    <r>
      <t>Total Hours per Complete Response 
(</t>
    </r>
    <r>
      <rPr>
        <b/>
        <sz val="11"/>
        <color theme="1"/>
        <rFont val="Calibri"/>
        <family val="2"/>
      </rPr>
      <t>a + b + c + d + e + f)</t>
    </r>
  </si>
  <si>
    <t>Table 11B. Cost to State and Local Respondents to Complete Clean School Bus Grant Program</t>
  </si>
  <si>
    <t>Total Cost Per Complete Response 
(a + b + c + d + e + f)</t>
  </si>
  <si>
    <t>Total Cost for Program by Stage 
(i) x (j)</t>
  </si>
  <si>
    <t>Total Cost for State and Local Respondents
(Σ k)</t>
  </si>
  <si>
    <t>Table 11C. Cost to Private Respondents to Complete Clean School Bus Grant Program</t>
  </si>
  <si>
    <t>Total Cost for Private Respondents
(Σ k)</t>
  </si>
  <si>
    <t>Table 12A. Unit Burden for Clean Heavy-Duty Vehicles Grant Program</t>
  </si>
  <si>
    <t>Total Hours per Required Response
(a + b + c )</t>
  </si>
  <si>
    <t>Table 12B. Cost to State and Local Respondents to Complete Clean Heavy-Duty Vehicles Grant Program</t>
  </si>
  <si>
    <t>Total Cost per Required Response
(a + b + c )</t>
  </si>
  <si>
    <t>Table 12C. Cost to Private Respondents to Complete Clean Heavy-Duty Vehicles Grant Program</t>
  </si>
  <si>
    <t>Table 13A. Unit Burden for Clean Ports Climate and Air Quality Planning Grants</t>
  </si>
  <si>
    <r>
      <t>Total Hours per Complete Response 
(</t>
    </r>
    <r>
      <rPr>
        <b/>
        <sz val="11"/>
        <color theme="1"/>
        <rFont val="Calibri"/>
        <family val="2"/>
      </rPr>
      <t>a + b + c)</t>
    </r>
  </si>
  <si>
    <t>Total Hours per Required Response
(a + b)</t>
  </si>
  <si>
    <t>Table 13B. Cost to State and Local Respondents to Complete Clean Ports Climate and Air Quality Planning Grants</t>
  </si>
  <si>
    <t>Total Cost Per Complete Response 
(a + b + c)</t>
  </si>
  <si>
    <t>Total Cost per Required Response
(a + b )</t>
  </si>
  <si>
    <t>Total Cost for Program by Stage 
(f) x (g)</t>
  </si>
  <si>
    <t>Total Cost for State and Local Respondents
(Σ h)</t>
  </si>
  <si>
    <t>Table 13C. Cost to Private Respondents to Complete Clean Ports Climate and Air Quality Planning Grants</t>
  </si>
  <si>
    <t>Total Cost per Required Response 
(a + b)</t>
  </si>
  <si>
    <t>Total Cost for Private Respondents
(Σ h)</t>
  </si>
  <si>
    <t>Table 14A. Unit Burden for Clean Ports Zero Emissions Technology Grants</t>
  </si>
  <si>
    <t>Total Hours per Required Response
(a + b + d + e  + f )</t>
  </si>
  <si>
    <t>Table 14B. Cost to State and Local Respondents to Complete Clean Ports Zero Emissions Technology Grants</t>
  </si>
  <si>
    <t>Total Cost Per Complete Response 
(a + b + c + d + e + f + g + h)</t>
  </si>
  <si>
    <t>Total Cost per Required Response 
(a + b + d + e + f)</t>
  </si>
  <si>
    <t>Total Cost of Responise using Weighted Average of Share of Respondents Submitting Optional Forms</t>
  </si>
  <si>
    <t>Total Cost for Program by Stage 
(k) x (l)</t>
  </si>
  <si>
    <t>n</t>
  </si>
  <si>
    <t>Total Cost for State and Local Respondents
(Σ m)</t>
  </si>
  <si>
    <t>Table 14C. Cost to Private Respondents to Complete Clean Ports Zero Emissions Technology Grants</t>
  </si>
  <si>
    <t>Total Cost for Private Respondents
(Σ m)</t>
  </si>
  <si>
    <t>Table 16. Estimated Burden and Cost to the Agency</t>
  </si>
  <si>
    <r>
      <t>Collection Activity</t>
    </r>
    <r>
      <rPr>
        <b/>
        <vertAlign val="superscript"/>
        <sz val="11"/>
        <color theme="1"/>
        <rFont val="Calibri"/>
        <family val="2"/>
        <scheme val="minor"/>
      </rPr>
      <t>1</t>
    </r>
  </si>
  <si>
    <t>Reporting Burden per Response
(hours)</t>
  </si>
  <si>
    <t>Number of Applications</t>
  </si>
  <si>
    <t>Number of Responses per Interannual Reporting Period</t>
  </si>
  <si>
    <r>
      <t xml:space="preserve">Number of Interannual Reports Required </t>
    </r>
    <r>
      <rPr>
        <sz val="8"/>
        <color theme="1"/>
        <rFont val="Calibri"/>
        <family val="2"/>
        <scheme val="minor"/>
      </rPr>
      <t>(e.g., Quarterly = 4; Biannual= 2)</t>
    </r>
  </si>
  <si>
    <t>Total Agency Burden Annually
(hours)</t>
  </si>
  <si>
    <t>Total Agency Cost Annually ($2024)</t>
  </si>
  <si>
    <t>Total Agency Burden Over the ICR Period</t>
  </si>
  <si>
    <t>Total Agency Cost Over the ICR Period (2024$)</t>
  </si>
  <si>
    <t>DERA (National, Tribal, and State) Program</t>
  </si>
  <si>
    <t>Clean School Bus Program</t>
  </si>
  <si>
    <t>Clean Heavy-Duty Vehicles Program*</t>
  </si>
  <si>
    <t>Clean Ports Climate and Air Quality Planning Program*</t>
  </si>
  <si>
    <t>Clean Ports Deployment of Zero Emissions Technology Program*</t>
  </si>
  <si>
    <t>TOTAL</t>
  </si>
  <si>
    <t>1 Time estimate provided by EPA/OTAQ (Tim Thomas) via email on 9/06/2023: We expect that the agency burden will be 2 hours per submission.
*Assumes that Clean Heavy-Duty Vehicles and Clean Ports Programs are single-year funding programs, the burden of application review was completed prior to this ICR revision (2024).</t>
  </si>
  <si>
    <t>Total Time to Complete by Instrument</t>
  </si>
  <si>
    <t>#</t>
  </si>
  <si>
    <t>Depreciated Form Name</t>
  </si>
  <si>
    <t>List of Programs Affected</t>
  </si>
  <si>
    <t>Applicants or Awardees?</t>
  </si>
  <si>
    <t>If Optional, share of participants expected to participate</t>
  </si>
  <si>
    <t>Original Estimated Time to Complete (hours)
As estimated Dec 2023</t>
  </si>
  <si>
    <t>Original Average Estimated Time to Complete (hours)
As estimated Dec 2023</t>
  </si>
  <si>
    <t>Instrument Changed in NSC in Oct 2024?</t>
  </si>
  <si>
    <t>Instrument Changed in Revision begun in Nov 2024?</t>
  </si>
  <si>
    <t>Low End Estimate (h)</t>
  </si>
  <si>
    <t>High End Estimate (h)</t>
  </si>
  <si>
    <t>Average Estimate (h)</t>
  </si>
  <si>
    <t>Weighted Average Time (h)</t>
  </si>
  <si>
    <t>Range of Time to Complete
(hours; Nov 2024 Est.)</t>
  </si>
  <si>
    <t>Difference in Burden from Original Estimate (Dec 2023)</t>
  </si>
  <si>
    <t>Is this submitted as part of Semi-Annual Reporting?</t>
  </si>
  <si>
    <t>Incremental Time to Complete for Application</t>
  </si>
  <si>
    <r>
      <t xml:space="preserve">Incremental Time to Complete in Year 1 
</t>
    </r>
    <r>
      <rPr>
        <i/>
        <sz val="9"/>
        <color theme="1"/>
        <rFont val="Calibri"/>
        <family val="2"/>
        <scheme val="minor"/>
      </rPr>
      <t>(Inclusive of Semi-annual reporting and one-time reporting; using weighted averages for optional forms)</t>
    </r>
  </si>
  <si>
    <r>
      <t xml:space="preserve">Incremental Time to Complete in Year 2 
</t>
    </r>
    <r>
      <rPr>
        <i/>
        <sz val="9"/>
        <color theme="1"/>
        <rFont val="Calibri"/>
        <family val="2"/>
        <scheme val="minor"/>
      </rPr>
      <t>(Inclusive of Semi-annual reporting and one-time reporting; using weighted averages for optional forms)</t>
    </r>
  </si>
  <si>
    <r>
      <t xml:space="preserve">Incremental Time to Complete in Year 3 
</t>
    </r>
    <r>
      <rPr>
        <i/>
        <sz val="9"/>
        <color theme="1"/>
        <rFont val="Calibri"/>
        <family val="2"/>
        <scheme val="minor"/>
      </rPr>
      <t>(Inclusive of Semi-annual reporting and one-time reporting; using weighted averages for optional forms)</t>
    </r>
  </si>
  <si>
    <r>
      <rPr>
        <b/>
        <sz val="9"/>
        <color theme="1"/>
        <rFont val="Calibri"/>
        <family val="2"/>
        <scheme val="minor"/>
      </rPr>
      <t xml:space="preserve">Incremental Time to Complete in Year 4 </t>
    </r>
    <r>
      <rPr>
        <i/>
        <sz val="9"/>
        <color theme="1"/>
        <rFont val="Calibri"/>
        <family val="2"/>
        <scheme val="minor"/>
      </rPr>
      <t xml:space="preserve">
(Inclusive of Semi-annual reporting and one-time reporting; using weighted averages for optional forms)</t>
    </r>
  </si>
  <si>
    <t>DERA Grant</t>
  </si>
  <si>
    <t>Clean School Bus Grant</t>
  </si>
  <si>
    <t>Clean Heavy-Duty Vehicles Grant</t>
  </si>
  <si>
    <t>Clean Ports Zero Emission Technology Deployment Grant</t>
  </si>
  <si>
    <t>Applicant?</t>
  </si>
  <si>
    <t>Awardee?</t>
  </si>
  <si>
    <t>Clean Ports Climate and Air Quality Planning Grant Program; 
Clean Ports Zero Emission Technology Deployment Grant Program</t>
  </si>
  <si>
    <t>Applicants</t>
  </si>
  <si>
    <t>2.2 - 6.1</t>
  </si>
  <si>
    <t>No</t>
  </si>
  <si>
    <t>-</t>
  </si>
  <si>
    <t>Awardees &amp; Applicants</t>
  </si>
  <si>
    <t>Yes</t>
  </si>
  <si>
    <t>Awardees</t>
  </si>
  <si>
    <t>1.5 - 7.2</t>
  </si>
  <si>
    <t>TCD Scrappage Statement</t>
  </si>
  <si>
    <t>Clean Ports Zero Emission Technology Deployment Grant Program</t>
  </si>
  <si>
    <t>TCD Utility Partnership Agreement</t>
  </si>
  <si>
    <t>Clean Heavy-Duty Vehicles Grant Program; 
DERA Grant Program;
Clean Ports Zero Emission Technology Deployment Grant Program</t>
  </si>
  <si>
    <t>Clean Ports Project Reporting Template*</t>
  </si>
  <si>
    <t>Clean Ports Climate and Air Quality Planning Grant Program; Clean Ports Zero Emission Technology Deployment Grant Program</t>
  </si>
  <si>
    <t>5900-690</t>
  </si>
  <si>
    <t>Yes - Retired</t>
  </si>
  <si>
    <t>7.4 - 13.5</t>
  </si>
  <si>
    <t>Clean Ports Climate and Air Quality Planning Grant Program</t>
  </si>
  <si>
    <t>TBD</t>
  </si>
  <si>
    <t>Yes - New</t>
  </si>
  <si>
    <t>Clean Heavy-Duty Vehicles Grant Program; 
Clean Ports Climate and Air Quality Planning Grant Program; 
Clean Ports Zero Emission Technology Deployment Grant Program; 
Clean School Bus Grant Program; 
DERA Grant Program</t>
  </si>
  <si>
    <t>Clean Ports Program Zero-Emission Technology Deployment Competition Eligibility Statement</t>
  </si>
  <si>
    <t>Yes- New</t>
  </si>
  <si>
    <t>Clean Ports Program Technology Deployment Evidence Statement</t>
  </si>
  <si>
    <t xml:space="preserve">Clean School Bus Grant Program; </t>
  </si>
  <si>
    <t xml:space="preserve">Clean Heavy-Duty Vehicles Grant Program; </t>
  </si>
  <si>
    <t xml:space="preserve">Clean Ports Zero Emission Technology Deployment Grant Program; </t>
  </si>
  <si>
    <t>* The Clean Ports Project Reporting Template has been replaced with the Clean Ports Climate and Air Quality Planning Project Reporting Template and the Clean Ports Zero-Emission Technology Deployement Project Reporting Template reflecting program design changes since the initial ICR was developed.
† Estimates of share of awardees requesting BABA Waivers provided by Robert Caldwell (OTAQ, 3/19/2025); 40 CHDV, 15 CPP ZE; 10 CSB; and 10 DERA.
**Fields in yellow reflect changes in the EPA Form's Name</t>
  </si>
  <si>
    <t>Summary of Form Changes from Initial ICR Approval to Present [Internal OTAQ Use Only]</t>
  </si>
  <si>
    <t>Edits since April 2024 ICR Approval</t>
  </si>
  <si>
    <t>Appendix Number</t>
  </si>
  <si>
    <t>Brief Description</t>
  </si>
  <si>
    <t>Text for Appendix</t>
  </si>
  <si>
    <t>Range of Time for Burden Statement (hrs)</t>
  </si>
  <si>
    <t>1_New Form</t>
  </si>
  <si>
    <t>W</t>
  </si>
  <si>
    <t>Optional.
Fillable PDF file for awardees to provide testimonials on their projects for EPA communications; includes attachments for photo/video/audio liscence agreement and consent forms from Office of Multimedia. 
Developed by OTAQ IO (Clay Batko)</t>
  </si>
  <si>
    <t>X</t>
  </si>
  <si>
    <t xml:space="preserve">Fillable PDF file for awardees to attest and sign stating vehicles are eligible to be scrapped as part of the program. </t>
  </si>
  <si>
    <t>Y</t>
  </si>
  <si>
    <t>Fillable PDF file for awardees to attest and sign stating vehicles and equipment funded by the program have been deployed and are operational, and to attach photographic evidence of successful deployment/operation.</t>
  </si>
  <si>
    <t>2_New Form, developed from existing form*</t>
  </si>
  <si>
    <t>U</t>
  </si>
  <si>
    <t>Fillable Excel form for Awardees to submit iteratively documenting regular project updates, finanical details, project outputs, and outcomes. This file was developed from EPA Form 5900-690, but is specific to recipients of CAQP projects</t>
  </si>
  <si>
    <t>V</t>
  </si>
  <si>
    <t>Fillable Excel form for Awardees to submit iteratively documenting regular project updates, finanical details, project outputs, and outcomes. This file was developed from EPA Form 5900-690, but is specific to recipients of ZE projects</t>
  </si>
  <si>
    <t>3_Retired/broken into two new forms*</t>
  </si>
  <si>
    <t xml:space="preserve">Fillable Excel form for Awardees to submit iteratively documenting regular project updates, finanical details, project outputs, and outcomes. This file was retired and broken out into two specific forms for the two types of grants for the Clean Ports Program. </t>
  </si>
  <si>
    <t>4_Renamed</t>
  </si>
  <si>
    <t>L</t>
  </si>
  <si>
    <t xml:space="preserve">Fillable PDF file for awardees to attest and sign stating vehicles eligible to be scrapped as part of the program have been scrapped and attach photographic evidence of scrappage, developed off of feedback from NCDC Regional Work Group on scrappage evidence. 
 Note: form was renamed to specify which funding program it applies to. </t>
  </si>
  <si>
    <t>M</t>
  </si>
  <si>
    <t xml:space="preserve">Fillable PDF for Applicants or Awardees to complete demonstrating their coordination with electrical utility provider(s) in pursuit of this project. Note: form was renamed to remove acronyms from the title, per EPA Forms Management Program style recommendation </t>
  </si>
  <si>
    <t>5_Substantive technical changes</t>
  </si>
  <si>
    <t>K</t>
  </si>
  <si>
    <t xml:space="preserve">Fillable Excel form for Awardees to submit iteratively documenting regular project updates, finanical details, project outputs, and outcomes. 
Changes: Implemented Excel Tables throughout to enable ingestion of data via SharePoint List (which will enable calling tables and fields by name, rather than cell location); these technical changes do not impact user burden. Revised field headings to align with final program design. </t>
  </si>
  <si>
    <t>6_Non-substantive technical changes</t>
  </si>
  <si>
    <t>J</t>
  </si>
  <si>
    <t>Fillable PDF file /attestation form for awardees to complete and sign (1) stating vehicles are eligible to be scrapped as part of the program requirements, and (2) documenting and providing evidence that vehicles have been scrapped as part of the program requirements, including photographs of scrapped and new vehicles. 
Changes: minor instruction edits; incorporates feedback from NCDC Regional Work Group on scrappage evidence; implementing EPA Forms Management Program style recommendations.</t>
  </si>
  <si>
    <t>N</t>
  </si>
  <si>
    <t>Fillable PDF file /attestation form for awardees to complete and sign (1) stating vehicles are eligible to be scrapped as part of the program requirements, and (2) documenting and providing evidence that vehicles have been scrapped as part of the program requirements, including photographs of scrapped and new vehicles
Changes: minor instruction edits; incorporates feedback from NCDC Regional Work Group on scrappage evidence; implementing EPA Forms Management Program style recommendations.</t>
  </si>
  <si>
    <t>O</t>
  </si>
  <si>
    <t>Fillable PDF file for awardees to attest and sign stating vehicles are eligible to be scrapped as part of the program. 
Changes: implementing EPA Forms Management Program style recommendations.</t>
  </si>
  <si>
    <t>P</t>
  </si>
  <si>
    <t>Fillable PDF file for awardees to attest and sign stating vehicles eligible to be scrapped as part of the program have been scrapped and attach photographic evidence of scrappage. 
Changes: minor instruction edits; incorporates feedback from NCDC Regional Work Group on scrappage evidence; implementing EPA Forms Management Program style recommendations.</t>
  </si>
  <si>
    <t>R</t>
  </si>
  <si>
    <t>Fillable Excel form for Awardees to submit iteratively documenting regular project updates, finanical details, project outputs, and outcomes. 
Changes: minor instruction edits; minor technical enhancements to enhance user experience/ease of use including: additional conditional formatting to alert users and project officers of potential errors;  protecting fields that should not be modified; adding additional dropdown menus; adding additional fields to acommodate volume of data anticipated; implementing EPA Forms Management Program style recommendations.</t>
  </si>
  <si>
    <t>S</t>
  </si>
  <si>
    <t>T</t>
  </si>
  <si>
    <t>Fillable PDF for Applicants or Awardees to complete demonstrating their coordination with electrical utility provider(s) in pursuit of this project. 
Changes: minor instruction edits; implementing EPA Forms Management Program style recommendations.</t>
  </si>
  <si>
    <t>7_Unchanged</t>
  </si>
  <si>
    <t>H</t>
  </si>
  <si>
    <t>Fillable Excel form for Applicants to include in application for Clean School Bus Grant program</t>
  </si>
  <si>
    <t>I</t>
  </si>
  <si>
    <t>Fillable Excel form for Applicants to include in application for DERA Grant programs</t>
  </si>
  <si>
    <t>8_Unchanged and not expected to be in use</t>
  </si>
  <si>
    <t>G</t>
  </si>
  <si>
    <t>Fillable Excel form for Applicants to include in application for Clean Ports Program</t>
  </si>
  <si>
    <t>Q</t>
  </si>
  <si>
    <t>Fillable Excel form for Applicants to include in application for CHDV Grant Program</t>
  </si>
  <si>
    <t xml:space="preserve">* EPA Form Numbers are assigned by EPA Forms Management Program, and are not assigned until approved for use. </t>
  </si>
  <si>
    <t>List of Forms in FRN: 5900-684, 5900-685, 5900-683, 5900-682, 5900-686, 5900-687, 5900-688, 5900-691, 5900-692, 5900-693, 5900-679, 5900-680, 5900-681, 5900-689 (n=14 forms with assigned Form Numbers; 2 forms derived from EPA Form Number 5900-690; 3 new forms awaiting Form Number assignment)</t>
  </si>
  <si>
    <t>DERA Program: Supplemental Application Template</t>
  </si>
  <si>
    <t>Tab</t>
  </si>
  <si>
    <t>Template Tab</t>
  </si>
  <si>
    <r>
      <t xml:space="preserve">Allotted Time from Tester 1
</t>
    </r>
    <r>
      <rPr>
        <i/>
        <sz val="11"/>
        <color rgb="FF000000"/>
        <rFont val="Calibri"/>
        <family val="2"/>
      </rPr>
      <t>(hours)</t>
    </r>
  </si>
  <si>
    <r>
      <t xml:space="preserve">Alloted Time from Tester 2
</t>
    </r>
    <r>
      <rPr>
        <i/>
        <sz val="11"/>
        <color rgb="FF000000"/>
        <rFont val="Calibri"/>
        <family val="2"/>
      </rPr>
      <t>(hours)</t>
    </r>
  </si>
  <si>
    <r>
      <t xml:space="preserve">Average Estimated Time Required 
</t>
    </r>
    <r>
      <rPr>
        <i/>
        <sz val="11"/>
        <color rgb="FF000000"/>
        <rFont val="Calibri"/>
        <family val="2"/>
      </rPr>
      <t>(hours)</t>
    </r>
  </si>
  <si>
    <t>Time Required in Year 1
(hours)</t>
  </si>
  <si>
    <t>Time Required in Year 2
(hours)</t>
  </si>
  <si>
    <t>Time Required in Year 3
(hours)</t>
  </si>
  <si>
    <t>Time Required in Year 4
(hours)</t>
  </si>
  <si>
    <t>Total Time Required over Project Period
(hours)</t>
  </si>
  <si>
    <t>Instructions</t>
  </si>
  <si>
    <t>Fleet Description</t>
  </si>
  <si>
    <t>Infrastructure</t>
  </si>
  <si>
    <t>DERA Project Reporting Template: Estimated Temporal Burden by Data Field &amp; Reporting Period</t>
  </si>
  <si>
    <t>Financial Summary</t>
  </si>
  <si>
    <t>Year 1</t>
  </si>
  <si>
    <t>Year 2</t>
  </si>
  <si>
    <t>Year 3</t>
  </si>
  <si>
    <t>Year 4</t>
  </si>
  <si>
    <t>Year 5*</t>
  </si>
  <si>
    <t>Amendmentsⁱ</t>
  </si>
  <si>
    <t>DERA Priorities</t>
  </si>
  <si>
    <r>
      <t>Fleet Description</t>
    </r>
    <r>
      <rPr>
        <vertAlign val="superscript"/>
        <sz val="11"/>
        <color rgb="FF000000"/>
        <rFont val="Calibri"/>
        <family val="2"/>
      </rPr>
      <t>†</t>
    </r>
  </si>
  <si>
    <r>
      <t>Infrastructure</t>
    </r>
    <r>
      <rPr>
        <vertAlign val="superscript"/>
        <sz val="11"/>
        <color rgb="FF000000"/>
        <rFont val="Calibri"/>
        <family val="2"/>
      </rPr>
      <t>†</t>
    </r>
  </si>
  <si>
    <r>
      <t>Final Report</t>
    </r>
    <r>
      <rPr>
        <vertAlign val="superscript"/>
        <sz val="11"/>
        <color rgb="FF000000"/>
        <rFont val="Calibri"/>
        <family val="2"/>
      </rPr>
      <t>‡</t>
    </r>
  </si>
  <si>
    <r>
      <rPr>
        <i/>
        <vertAlign val="superscript"/>
        <sz val="11"/>
        <color theme="1"/>
        <rFont val="Calibri"/>
        <family val="2"/>
        <scheme val="minor"/>
      </rPr>
      <t>†</t>
    </r>
    <r>
      <rPr>
        <i/>
        <sz val="11"/>
        <color theme="1"/>
        <rFont val="Calibri"/>
        <family val="2"/>
        <scheme val="minor"/>
      </rPr>
      <t>Assumes user pulls from Application data</t>
    </r>
  </si>
  <si>
    <r>
      <rPr>
        <i/>
        <vertAlign val="superscript"/>
        <sz val="11"/>
        <color rgb="FF000000"/>
        <rFont val="Calibri"/>
        <family val="2"/>
      </rPr>
      <t>‡</t>
    </r>
    <r>
      <rPr>
        <i/>
        <sz val="11"/>
        <color rgb="FF000000"/>
        <rFont val="Calibri"/>
        <family val="2"/>
      </rPr>
      <t>Includes 30 min to run DEQ</t>
    </r>
  </si>
  <si>
    <t>Clean Ports Program: Supplemental Application Template</t>
  </si>
  <si>
    <r>
      <t xml:space="preserve">Allotted Time from Tester 1
</t>
    </r>
    <r>
      <rPr>
        <i/>
        <sz val="11"/>
        <color rgb="FF000000"/>
        <rFont val="Calibri"/>
        <family val="2"/>
      </rPr>
      <t>(hours; assumed to be Planning Applicant)</t>
    </r>
  </si>
  <si>
    <r>
      <t xml:space="preserve">Alloted Time from Tester 2
</t>
    </r>
    <r>
      <rPr>
        <i/>
        <sz val="11"/>
        <color rgb="FF000000"/>
        <rFont val="Calibri"/>
        <family val="2"/>
      </rPr>
      <t>(hours; assumed to be ZE Technology Applicant)</t>
    </r>
  </si>
  <si>
    <t>CAQP Supplemental App</t>
  </si>
  <si>
    <t>Cover Sheet for App_ZE</t>
  </si>
  <si>
    <t>4a</t>
  </si>
  <si>
    <t>New Fleet Description</t>
  </si>
  <si>
    <t>4b</t>
  </si>
  <si>
    <t>Scrappage Information</t>
  </si>
  <si>
    <t>Clean Ports Zero Emission Technology Deployment Project Reporting Template: Estimated Temporal Burden by Data Field &amp; Reporting Period</t>
  </si>
  <si>
    <r>
      <t xml:space="preserve">Allotted Time from Tester 1
</t>
    </r>
    <r>
      <rPr>
        <i/>
        <sz val="11"/>
        <color rgb="FF000000"/>
        <rFont val="Calibri"/>
        <family val="2"/>
      </rPr>
      <t>(Tabs in gray were not tested directly by Tester 1; hours)</t>
    </r>
  </si>
  <si>
    <t>2a</t>
  </si>
  <si>
    <t>Recipient &amp; Project Details</t>
  </si>
  <si>
    <t>2b</t>
  </si>
  <si>
    <t>Project Partners</t>
  </si>
  <si>
    <t>2c</t>
  </si>
  <si>
    <t>Subawardee</t>
  </si>
  <si>
    <t>2d</t>
  </si>
  <si>
    <t>Project Overview</t>
  </si>
  <si>
    <t>3a</t>
  </si>
  <si>
    <t>Port Facility Locations</t>
  </si>
  <si>
    <t>3b</t>
  </si>
  <si>
    <t>Additional Locations</t>
  </si>
  <si>
    <t>Amendments</t>
  </si>
  <si>
    <t>Workplan Commitments</t>
  </si>
  <si>
    <t>Additional External Funds</t>
  </si>
  <si>
    <t>EVSE</t>
  </si>
  <si>
    <t>Shore Power</t>
  </si>
  <si>
    <t>Hydrogen</t>
  </si>
  <si>
    <t>Power Gen</t>
  </si>
  <si>
    <t>BESS</t>
  </si>
  <si>
    <t>Other</t>
  </si>
  <si>
    <t>Final Report</t>
  </si>
  <si>
    <t>Clean Ports Climate and Air Quality Planning Project Reporting Template: Estimated Burden by Data Fields &amp; Reporting Period</t>
  </si>
  <si>
    <t xml:space="preserve">Alloted Time from Tester 3
</t>
  </si>
  <si>
    <r>
      <t xml:space="preserve">Alloted Time from Tester 4
</t>
    </r>
    <r>
      <rPr>
        <i/>
        <sz val="11"/>
        <color rgb="FF000000"/>
        <rFont val="Calibri"/>
        <family val="2"/>
      </rPr>
      <t>Using the average of time of shared tabs from ZE template from Testers 1 and 2</t>
    </r>
  </si>
  <si>
    <t>Amendments*</t>
  </si>
  <si>
    <t>Climate &amp; Air Quality Plans</t>
  </si>
  <si>
    <t>Clean Heavy Duty Vehicle Program: Supplemental Application Template</t>
  </si>
  <si>
    <t>Clean Heavy-Duty Vehicle Program: Project Reporting Template</t>
  </si>
  <si>
    <t>Work Plan</t>
  </si>
  <si>
    <t>CHDV Priorities</t>
  </si>
  <si>
    <t>Clean School Bus Program: Supplemental Application Template</t>
  </si>
  <si>
    <t>EV Infrastructure</t>
  </si>
  <si>
    <t>Clean School Bus Program: Project Reporting Template</t>
  </si>
  <si>
    <t>CSB Priorities</t>
  </si>
  <si>
    <t>Instrument Requires Coordination from Multiple Parties?</t>
  </si>
  <si>
    <t>Range of Time to Complete (hours)</t>
  </si>
  <si>
    <t>Clean Heavy Duty Vehicle Grant</t>
  </si>
  <si>
    <t>Clean Heavy Duty Vehicle Grant; Clean Ports Zero Emission Technology Deployment Grant</t>
  </si>
  <si>
    <t>Clean Heavy Duty Vehicle Grant, DERA Grant, Clean Ports Zero Emission Technology Deployment Grant</t>
  </si>
  <si>
    <t>EPA Funding Program Recipient Story Collection Form</t>
  </si>
  <si>
    <t>Sources:</t>
  </si>
  <si>
    <t>U.S. Bureau of Labor Statistics (BLS) (2024a). "Employer Costs for Employee Compensation for state and local government workers by occupation and industry group Table3 - June 2024." http://www.bls.gov/news.release/ecec.t03.htm</t>
  </si>
  <si>
    <t>U.S. Bureau of Labor Statistics (BLS) (2024b). "Employer Costs for Employee Compensation for private industry workers by occupational and industry group Table 4 -June 2024." https://www.bls.gov/news.release/ecec.t04.htm</t>
  </si>
  <si>
    <t>U.S. Environmental Protection Agency (EPA) (2020). Handbook on Valuing Changes in Time Use Induced by Regulatory Requirements and Other EPA Actions. EPA-236-B-15-001. National Center for Environmental Economics.</t>
  </si>
  <si>
    <t xml:space="preserve"> U.S. Office of Personnel Management (2024), Washington-Baltimore-Northern Virginia, DC-MD-PA-VA-WV area. Retrieved from https://www.opm.gov/policy-data-oversight/pay-leave/salaries-wages/salary-tables/pdf/2024/DCB.pdf</t>
  </si>
  <si>
    <t>Clean Ports Scrappage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</si>
</sst>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_(* #,##0_);_(* \(#,##0\);_(* &quot;-&quot;??_);_(@_)"/>
    <numFmt numFmtId="167" formatCode="&quot;$&quot;#,##0"/>
    <numFmt numFmtId="168" formatCode="0.0"/>
    <numFmt numFmtId="169" formatCode="_(&quot;$&quot;* #,##0_);_(&quot;$&quot;* \(#,##0\);_(&quot;$&quot;* &quot;-&quot;??_);_(@_)"/>
  </numFmts>
  <fonts count="61" x14ac:knownFonts="1">
    <font>
      <sz val="11"/>
      <color theme="1"/>
      <name val="Calibri"/>
      <family val="2"/>
      <scheme val="minor"/>
    </font>
    <font>
      <b/>
      <sz val="11"/>
      <color theme="1"/>
      <name val="Calibri"/>
      <family val="2"/>
      <scheme val="minor"/>
    </font>
    <font>
      <b/>
      <sz val="9"/>
      <color theme="1"/>
      <name val="Arial"/>
      <family val="2"/>
    </font>
    <font>
      <sz val="9"/>
      <color theme="1"/>
      <name val="Arial"/>
      <family val="2"/>
    </font>
    <font>
      <sz val="11"/>
      <color theme="1"/>
      <name val="Calibri"/>
      <family val="2"/>
      <scheme val="minor"/>
    </font>
    <font>
      <sz val="10"/>
      <name val="Arial"/>
      <family val="2"/>
    </font>
    <font>
      <sz val="9"/>
      <color theme="1"/>
      <name val="Calibri"/>
      <family val="2"/>
      <scheme val="minor"/>
    </font>
    <font>
      <sz val="10"/>
      <color theme="1"/>
      <name val="Calibri"/>
      <family val="2"/>
      <scheme val="minor"/>
    </font>
    <font>
      <i/>
      <sz val="9"/>
      <color theme="1"/>
      <name val="Calibri"/>
      <family val="2"/>
      <scheme val="minor"/>
    </font>
    <font>
      <b/>
      <sz val="11"/>
      <color rgb="FF000000"/>
      <name val="Calibri"/>
      <family val="2"/>
      <scheme val="minor"/>
    </font>
    <font>
      <sz val="10"/>
      <color theme="1"/>
      <name val="Times New Roman"/>
      <family val="1"/>
    </font>
    <font>
      <sz val="11"/>
      <name val="Calibri"/>
      <family val="2"/>
      <scheme val="minor"/>
    </font>
    <font>
      <b/>
      <sz val="11"/>
      <name val="Calibri"/>
      <family val="2"/>
      <scheme val="minor"/>
    </font>
    <font>
      <sz val="11"/>
      <color rgb="FF000000"/>
      <name val="Calibri"/>
      <family val="2"/>
    </font>
    <font>
      <b/>
      <sz val="11"/>
      <color rgb="FF000000"/>
      <name val="Calibri"/>
      <family val="2"/>
    </font>
    <font>
      <i/>
      <sz val="11"/>
      <color rgb="FF000000"/>
      <name val="Calibri"/>
      <family val="2"/>
    </font>
    <font>
      <b/>
      <i/>
      <sz val="11"/>
      <color theme="1"/>
      <name val="Calibri"/>
      <family val="2"/>
      <scheme val="minor"/>
    </font>
    <font>
      <sz val="11"/>
      <color rgb="FFFF0000"/>
      <name val="Calibri"/>
      <family val="2"/>
      <scheme val="minor"/>
    </font>
    <font>
      <i/>
      <sz val="11"/>
      <color theme="1"/>
      <name val="Calibri"/>
      <family val="2"/>
      <scheme val="minor"/>
    </font>
    <font>
      <b/>
      <sz val="9"/>
      <color rgb="FF000000"/>
      <name val="Calibri"/>
      <family val="2"/>
      <scheme val="minor"/>
    </font>
    <font>
      <b/>
      <vertAlign val="superscript"/>
      <sz val="9"/>
      <color rgb="FF000000"/>
      <name val="Calibri"/>
      <family val="2"/>
      <scheme val="minor"/>
    </font>
    <font>
      <b/>
      <vertAlign val="superscript"/>
      <sz val="9"/>
      <color theme="1"/>
      <name val="Calibri"/>
      <family val="2"/>
      <scheme val="minor"/>
    </font>
    <font>
      <b/>
      <i/>
      <sz val="9"/>
      <color rgb="FF000000"/>
      <name val="Calibri"/>
      <family val="2"/>
      <scheme val="minor"/>
    </font>
    <font>
      <b/>
      <sz val="9"/>
      <color theme="1"/>
      <name val="Calibri"/>
      <family val="2"/>
      <scheme val="minor"/>
    </font>
    <font>
      <vertAlign val="superscript"/>
      <sz val="9"/>
      <color theme="1"/>
      <name val="Calibri"/>
      <family val="2"/>
      <scheme val="minor"/>
    </font>
    <font>
      <sz val="9"/>
      <color rgb="FF000000"/>
      <name val="Calibri"/>
      <family val="2"/>
      <scheme val="minor"/>
    </font>
    <font>
      <sz val="11"/>
      <color indexed="8"/>
      <name val="Calibri"/>
      <family val="2"/>
      <scheme val="minor"/>
    </font>
    <font>
      <vertAlign val="superscript"/>
      <sz val="11"/>
      <color indexed="8"/>
      <name val="Calibri"/>
      <family val="2"/>
      <scheme val="minor"/>
    </font>
    <font>
      <vertAlign val="superscript"/>
      <sz val="11"/>
      <color theme="1"/>
      <name val="Calibri"/>
      <family val="2"/>
      <scheme val="minor"/>
    </font>
    <font>
      <sz val="8"/>
      <color theme="1"/>
      <name val="Calibri"/>
      <family val="2"/>
      <scheme val="minor"/>
    </font>
    <font>
      <b/>
      <sz val="9"/>
      <color theme="0"/>
      <name val="Calibri"/>
      <family val="2"/>
      <scheme val="minor"/>
    </font>
    <font>
      <b/>
      <sz val="8"/>
      <color theme="1"/>
      <name val="Calibri"/>
      <family val="2"/>
      <scheme val="minor"/>
    </font>
    <font>
      <sz val="11"/>
      <color rgb="FF000000"/>
      <name val="Calibri"/>
      <family val="2"/>
      <scheme val="minor"/>
    </font>
    <font>
      <u/>
      <sz val="11"/>
      <color theme="10"/>
      <name val="Calibri"/>
      <family val="2"/>
      <scheme val="minor"/>
    </font>
    <font>
      <sz val="8"/>
      <name val="Calibri"/>
      <family val="2"/>
      <scheme val="minor"/>
    </font>
    <font>
      <vertAlign val="superscript"/>
      <sz val="11"/>
      <color rgb="FF000000"/>
      <name val="Calibri"/>
      <family val="2"/>
    </font>
    <font>
      <i/>
      <vertAlign val="superscript"/>
      <sz val="11"/>
      <color rgb="FF000000"/>
      <name val="Calibri"/>
      <family val="2"/>
    </font>
    <font>
      <i/>
      <vertAlign val="superscript"/>
      <sz val="11"/>
      <color theme="1"/>
      <name val="Calibri"/>
      <family val="2"/>
      <scheme val="minor"/>
    </font>
    <font>
      <sz val="10"/>
      <color rgb="FF000000"/>
      <name val="Calibri"/>
      <family val="2"/>
      <scheme val="minor"/>
    </font>
    <font>
      <b/>
      <sz val="12"/>
      <color theme="1"/>
      <name val="Calibri"/>
      <family val="2"/>
      <scheme val="minor"/>
    </font>
    <font>
      <sz val="10"/>
      <color rgb="FFFF0000"/>
      <name val="Calibri"/>
      <family val="2"/>
      <scheme val="minor"/>
    </font>
    <font>
      <b/>
      <sz val="14"/>
      <color theme="7" tint="0.39997558519241921"/>
      <name val="Calibri"/>
      <family val="2"/>
      <scheme val="minor"/>
    </font>
    <font>
      <b/>
      <vertAlign val="superscript"/>
      <sz val="11"/>
      <color theme="1"/>
      <name val="Calibri"/>
      <family val="2"/>
      <scheme val="minor"/>
    </font>
    <font>
      <b/>
      <sz val="9"/>
      <color theme="1"/>
      <name val="Calibri"/>
      <family val="2"/>
    </font>
    <font>
      <i/>
      <sz val="9"/>
      <color theme="1"/>
      <name val="Calibri"/>
      <family val="2"/>
    </font>
    <font>
      <i/>
      <sz val="10"/>
      <color theme="1"/>
      <name val="Calibri"/>
      <family val="2"/>
      <scheme val="minor"/>
    </font>
    <font>
      <b/>
      <u val="singleAccounting"/>
      <sz val="11"/>
      <color theme="1"/>
      <name val="Calibri"/>
      <family val="2"/>
      <scheme val="minor"/>
    </font>
    <font>
      <b/>
      <sz val="12"/>
      <name val="Calibri"/>
      <family val="2"/>
      <scheme val="minor"/>
    </font>
    <font>
      <b/>
      <u/>
      <sz val="12"/>
      <name val="Calibri"/>
      <family val="2"/>
      <scheme val="minor"/>
    </font>
    <font>
      <b/>
      <sz val="12"/>
      <color rgb="FF000000"/>
      <name val="Calibri"/>
      <family val="2"/>
    </font>
    <font>
      <b/>
      <sz val="11"/>
      <color theme="1"/>
      <name val="Times New Roman"/>
      <family val="1"/>
    </font>
    <font>
      <b/>
      <i/>
      <sz val="12"/>
      <color rgb="FF000000"/>
      <name val="Calibri"/>
      <family val="2"/>
    </font>
    <font>
      <sz val="9"/>
      <name val="Calibri"/>
      <family val="2"/>
      <scheme val="minor"/>
    </font>
    <font>
      <b/>
      <sz val="11"/>
      <color theme="1"/>
      <name val="Calibri"/>
      <family val="2"/>
    </font>
    <font>
      <b/>
      <sz val="12"/>
      <color rgb="FF000000"/>
      <name val="Calibri"/>
    </font>
    <font>
      <b/>
      <sz val="9"/>
      <name val="Calibri"/>
      <family val="2"/>
      <scheme val="minor"/>
    </font>
    <font>
      <i/>
      <sz val="9"/>
      <name val="Calibri"/>
      <family val="2"/>
      <scheme val="minor"/>
    </font>
    <font>
      <b/>
      <sz val="11"/>
      <color rgb="FF242424"/>
      <name val="Calibri"/>
      <family val="2"/>
      <charset val="1"/>
    </font>
    <font>
      <sz val="9"/>
      <name val="Calibri"/>
      <family val="2"/>
    </font>
    <font>
      <sz val="9"/>
      <color rgb="FF242424"/>
      <name val="Calibri"/>
      <family val="2"/>
      <charset val="1"/>
    </font>
    <font>
      <i/>
      <sz val="8"/>
      <color theme="1"/>
      <name val="Calibri"/>
      <family val="2"/>
      <scheme val="minor"/>
    </font>
  </fonts>
  <fills count="15">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2F2F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1DE"/>
        <bgColor indexed="64"/>
      </patternFill>
    </fill>
    <fill>
      <patternFill patternType="solid">
        <fgColor theme="1"/>
        <bgColor indexed="64"/>
      </patternFill>
    </fill>
    <fill>
      <patternFill patternType="solid">
        <fgColor rgb="FFF5F5B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diagonal/>
    </border>
    <border>
      <left/>
      <right style="thin">
        <color theme="0" tint="-0.499984740745262"/>
      </right>
      <top/>
      <bottom/>
      <diagonal/>
    </border>
    <border>
      <left style="thin">
        <color theme="0" tint="-0.499984740745262"/>
      </left>
      <right/>
      <top/>
      <bottom/>
      <diagonal/>
    </border>
    <border>
      <left/>
      <right/>
      <top style="thin">
        <color theme="0" tint="-0.499984740745262"/>
      </top>
      <bottom/>
      <diagonal/>
    </border>
    <border>
      <left style="thin">
        <color theme="0" tint="-0.14999847407452621"/>
      </left>
      <right/>
      <top style="thin">
        <color theme="0" tint="-0.499984740745262"/>
      </top>
      <bottom/>
      <diagonal/>
    </border>
    <border>
      <left/>
      <right style="thin">
        <color theme="0" tint="-0.14999847407452621"/>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diagonal/>
    </border>
    <border>
      <left style="thin">
        <color indexed="64"/>
      </left>
      <right style="thin">
        <color auto="1"/>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7">
    <xf numFmtId="0" fontId="0" fillId="0" borderId="0"/>
    <xf numFmtId="0" fontId="4" fillId="0" borderId="0"/>
    <xf numFmtId="0" fontId="5" fillId="0" borderId="0"/>
    <xf numFmtId="4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33" fillId="0" borderId="0" applyNumberFormat="0" applyFill="0" applyBorder="0" applyAlignment="0" applyProtection="0"/>
  </cellStyleXfs>
  <cellXfs count="582">
    <xf numFmtId="0" fontId="0" fillId="0" borderId="0" xfId="0"/>
    <xf numFmtId="0" fontId="1" fillId="0" borderId="0" xfId="0" applyFont="1"/>
    <xf numFmtId="0" fontId="1" fillId="0" borderId="0" xfId="0" applyFont="1" applyAlignment="1">
      <alignment vertical="top"/>
    </xf>
    <xf numFmtId="0" fontId="0" fillId="0" borderId="0" xfId="0" applyAlignment="1">
      <alignment vertical="top"/>
    </xf>
    <xf numFmtId="0" fontId="0" fillId="0" borderId="1" xfId="0" applyBorder="1"/>
    <xf numFmtId="0" fontId="7" fillId="0" borderId="0" xfId="0" applyFont="1"/>
    <xf numFmtId="0" fontId="3" fillId="0" borderId="0" xfId="0" applyFont="1" applyAlignment="1">
      <alignment horizontal="center"/>
    </xf>
    <xf numFmtId="1" fontId="2" fillId="0" borderId="0" xfId="0" applyNumberFormat="1" applyFont="1" applyAlignment="1">
      <alignment horizontal="center"/>
    </xf>
    <xf numFmtId="8" fontId="1" fillId="4" borderId="1" xfId="0" applyNumberFormat="1" applyFont="1" applyFill="1" applyBorder="1"/>
    <xf numFmtId="0" fontId="7" fillId="0" borderId="0" xfId="0" applyFont="1" applyAlignment="1">
      <alignment horizontal="left" wrapText="1"/>
    </xf>
    <xf numFmtId="0" fontId="10" fillId="0" borderId="0" xfId="0" applyFont="1" applyAlignment="1">
      <alignment vertical="top"/>
    </xf>
    <xf numFmtId="9" fontId="0" fillId="0" borderId="1" xfId="4" applyFont="1" applyBorder="1"/>
    <xf numFmtId="0" fontId="13" fillId="0" borderId="0" xfId="0" applyFont="1" applyFill="1" applyBorder="1" applyAlignment="1">
      <alignment horizontal="center" vertical="center"/>
    </xf>
    <xf numFmtId="0" fontId="13" fillId="0" borderId="0" xfId="0" applyFont="1" applyBorder="1" applyAlignment="1">
      <alignment vertical="center"/>
    </xf>
    <xf numFmtId="0" fontId="13" fillId="0" borderId="0" xfId="0" applyFont="1" applyBorder="1" applyAlignment="1">
      <alignment horizontal="center" vertical="center"/>
    </xf>
    <xf numFmtId="0" fontId="13" fillId="0" borderId="0" xfId="0" applyFont="1" applyBorder="1" applyAlignment="1">
      <alignment vertical="top"/>
    </xf>
    <xf numFmtId="0" fontId="0" fillId="0" borderId="0" xfId="0" applyAlignment="1">
      <alignment vertical="center"/>
    </xf>
    <xf numFmtId="0" fontId="1" fillId="0" borderId="0" xfId="0" applyFont="1" applyAlignment="1">
      <alignment vertical="center" wrapText="1"/>
    </xf>
    <xf numFmtId="0" fontId="1" fillId="0" borderId="0" xfId="0" applyFont="1" applyAlignment="1">
      <alignment vertical="center"/>
    </xf>
    <xf numFmtId="168" fontId="13" fillId="0" borderId="0" xfId="0" applyNumberFormat="1" applyFont="1" applyBorder="1" applyAlignment="1">
      <alignment horizontal="center" vertical="center"/>
    </xf>
    <xf numFmtId="0" fontId="16" fillId="0" borderId="0" xfId="0" applyFont="1" applyAlignment="1"/>
    <xf numFmtId="0" fontId="13" fillId="0" borderId="0" xfId="0" applyFont="1" applyBorder="1" applyAlignment="1">
      <alignment horizontal="right" vertical="top"/>
    </xf>
    <xf numFmtId="0" fontId="13" fillId="0" borderId="0" xfId="0" applyFont="1" applyBorder="1" applyAlignment="1">
      <alignment horizontal="left" vertical="top" indent="1"/>
    </xf>
    <xf numFmtId="0" fontId="10" fillId="0" borderId="0" xfId="0" applyFont="1" applyBorder="1" applyAlignment="1">
      <alignment vertical="top"/>
    </xf>
    <xf numFmtId="0" fontId="0" fillId="0" borderId="0" xfId="0" applyFont="1"/>
    <xf numFmtId="0" fontId="0" fillId="0" borderId="0" xfId="0" applyFont="1" applyAlignment="1">
      <alignment vertical="top"/>
    </xf>
    <xf numFmtId="0" fontId="22" fillId="2" borderId="1" xfId="0" applyFont="1" applyFill="1" applyBorder="1" applyAlignment="1">
      <alignment horizontal="center" wrapText="1"/>
    </xf>
    <xf numFmtId="0" fontId="6" fillId="0" borderId="1" xfId="0" applyFont="1" applyBorder="1" applyAlignment="1">
      <alignment vertical="top" wrapText="1"/>
    </xf>
    <xf numFmtId="164" fontId="6" fillId="0" borderId="1" xfId="0" applyNumberFormat="1" applyFont="1" applyBorder="1" applyAlignment="1">
      <alignment horizontal="right" vertical="top" wrapText="1"/>
    </xf>
    <xf numFmtId="165" fontId="6" fillId="0" borderId="1" xfId="4" applyNumberFormat="1" applyFont="1" applyBorder="1" applyAlignment="1">
      <alignment vertical="top" wrapText="1"/>
    </xf>
    <xf numFmtId="9" fontId="6" fillId="0" borderId="1" xfId="0" applyNumberFormat="1" applyFont="1" applyBorder="1" applyAlignment="1">
      <alignment horizontal="right" vertical="top" wrapText="1"/>
    </xf>
    <xf numFmtId="0" fontId="25" fillId="0" borderId="1" xfId="0" applyFont="1" applyBorder="1" applyAlignment="1">
      <alignment vertical="center" wrapText="1"/>
    </xf>
    <xf numFmtId="8" fontId="25" fillId="0" borderId="1" xfId="0" applyNumberFormat="1" applyFont="1" applyBorder="1" applyAlignment="1">
      <alignment horizontal="center" vertical="center" wrapText="1"/>
    </xf>
    <xf numFmtId="9" fontId="25" fillId="0" borderId="1" xfId="0" applyNumberFormat="1" applyFont="1" applyBorder="1" applyAlignment="1">
      <alignment horizontal="center" vertical="center" wrapText="1"/>
    </xf>
    <xf numFmtId="164" fontId="25" fillId="0" borderId="1" xfId="3" applyNumberFormat="1" applyFont="1" applyBorder="1" applyAlignment="1">
      <alignment horizontal="center" vertical="center" wrapText="1"/>
    </xf>
    <xf numFmtId="0" fontId="6" fillId="0" borderId="1" xfId="0" applyFont="1" applyBorder="1" applyAlignment="1">
      <alignment wrapText="1"/>
    </xf>
    <xf numFmtId="0" fontId="6" fillId="0" borderId="2" xfId="0" applyFont="1" applyBorder="1" applyAlignment="1">
      <alignment vertical="top" wrapText="1"/>
    </xf>
    <xf numFmtId="0" fontId="6" fillId="0" borderId="7" xfId="0" applyFont="1" applyBorder="1" applyAlignment="1">
      <alignment vertical="top" wrapText="1"/>
    </xf>
    <xf numFmtId="0" fontId="6" fillId="0" borderId="3" xfId="0" applyFont="1" applyBorder="1" applyAlignment="1">
      <alignment vertical="top" wrapText="1"/>
    </xf>
    <xf numFmtId="0" fontId="27" fillId="0" borderId="11" xfId="0" applyFont="1" applyBorder="1" applyAlignment="1">
      <alignment vertical="top" wrapText="1"/>
    </xf>
    <xf numFmtId="0" fontId="25" fillId="0" borderId="8" xfId="0" applyFont="1" applyBorder="1" applyAlignment="1">
      <alignment vertical="center" wrapText="1"/>
    </xf>
    <xf numFmtId="8" fontId="25" fillId="0" borderId="9" xfId="0" applyNumberFormat="1" applyFont="1" applyBorder="1" applyAlignment="1">
      <alignment horizontal="center" vertical="center" wrapText="1"/>
    </xf>
    <xf numFmtId="9" fontId="25" fillId="0" borderId="9" xfId="0" applyNumberFormat="1" applyFont="1" applyBorder="1" applyAlignment="1">
      <alignment horizontal="center" vertical="center" wrapText="1"/>
    </xf>
    <xf numFmtId="164" fontId="25" fillId="0" borderId="9" xfId="3" applyNumberFormat="1" applyFont="1" applyBorder="1" applyAlignment="1">
      <alignment horizontal="center" vertical="center" wrapText="1"/>
    </xf>
    <xf numFmtId="8" fontId="25" fillId="0" borderId="10" xfId="0" applyNumberFormat="1" applyFont="1" applyBorder="1" applyAlignment="1">
      <alignment horizontal="center" vertical="center" wrapText="1"/>
    </xf>
    <xf numFmtId="0" fontId="6" fillId="0" borderId="1" xfId="0" applyFont="1" applyBorder="1"/>
    <xf numFmtId="0" fontId="28" fillId="0" borderId="11" xfId="0" applyFont="1" applyBorder="1" applyAlignment="1">
      <alignment vertical="top"/>
    </xf>
    <xf numFmtId="0" fontId="28" fillId="0" borderId="5" xfId="0" applyFont="1" applyBorder="1" applyAlignment="1">
      <alignment vertical="top"/>
    </xf>
    <xf numFmtId="0" fontId="0" fillId="3" borderId="1" xfId="0" applyFont="1" applyFill="1" applyBorder="1"/>
    <xf numFmtId="9" fontId="6" fillId="0" borderId="1" xfId="4" applyFont="1" applyBorder="1" applyAlignment="1">
      <alignment horizontal="center"/>
    </xf>
    <xf numFmtId="0" fontId="0" fillId="0" borderId="1" xfId="0" applyFont="1" applyBorder="1"/>
    <xf numFmtId="0" fontId="31" fillId="0" borderId="0" xfId="1" applyFont="1"/>
    <xf numFmtId="2" fontId="6" fillId="0" borderId="0" xfId="1" applyNumberFormat="1" applyFont="1" applyAlignment="1">
      <alignment horizontal="center"/>
    </xf>
    <xf numFmtId="0" fontId="6" fillId="0" borderId="0" xfId="1" applyFont="1"/>
    <xf numFmtId="164" fontId="6" fillId="0" borderId="0" xfId="1" applyNumberFormat="1" applyFont="1" applyAlignment="1">
      <alignment horizontal="center"/>
    </xf>
    <xf numFmtId="164" fontId="6" fillId="0" borderId="0" xfId="0" applyNumberFormat="1" applyFont="1" applyAlignment="1">
      <alignment horizontal="center" wrapText="1"/>
    </xf>
    <xf numFmtId="0" fontId="6" fillId="0" borderId="0" xfId="0" quotePrefix="1" applyFont="1" applyAlignment="1">
      <alignment vertical="center" wrapText="1"/>
    </xf>
    <xf numFmtId="0" fontId="13" fillId="0" borderId="0" xfId="0" applyFont="1" applyFill="1" applyBorder="1" applyAlignment="1">
      <alignment vertical="center"/>
    </xf>
    <xf numFmtId="168" fontId="13" fillId="0" borderId="0" xfId="0" applyNumberFormat="1" applyFont="1" applyFill="1" applyBorder="1" applyAlignment="1">
      <alignment horizontal="center" vertical="center"/>
    </xf>
    <xf numFmtId="168" fontId="0" fillId="0" borderId="0" xfId="0" applyNumberFormat="1" applyBorder="1" applyAlignment="1">
      <alignment horizontal="center"/>
    </xf>
    <xf numFmtId="0" fontId="0" fillId="8" borderId="0" xfId="0" applyFill="1" applyBorder="1" applyAlignment="1">
      <alignment horizontal="center"/>
    </xf>
    <xf numFmtId="168" fontId="0" fillId="8" borderId="0" xfId="0" applyNumberFormat="1" applyFill="1" applyBorder="1" applyAlignment="1">
      <alignment horizontal="center"/>
    </xf>
    <xf numFmtId="0" fontId="0" fillId="8" borderId="0" xfId="0" applyFill="1"/>
    <xf numFmtId="168" fontId="0" fillId="0" borderId="0" xfId="0" applyNumberFormat="1" applyAlignment="1">
      <alignment horizontal="center"/>
    </xf>
    <xf numFmtId="0" fontId="1" fillId="0" borderId="0" xfId="0" applyFont="1" applyAlignment="1"/>
    <xf numFmtId="168" fontId="32" fillId="0" borderId="14" xfId="0" applyNumberFormat="1" applyFont="1" applyFill="1" applyBorder="1" applyAlignment="1">
      <alignment horizontal="center"/>
    </xf>
    <xf numFmtId="168" fontId="13" fillId="0" borderId="15" xfId="0" applyNumberFormat="1" applyFont="1" applyBorder="1" applyAlignment="1">
      <alignment horizontal="center" vertical="center"/>
    </xf>
    <xf numFmtId="168" fontId="13" fillId="7" borderId="15" xfId="0" applyNumberFormat="1" applyFont="1" applyFill="1" applyBorder="1" applyAlignment="1">
      <alignment horizontal="center" vertical="center"/>
    </xf>
    <xf numFmtId="0" fontId="13" fillId="7" borderId="15" xfId="0" applyFont="1" applyFill="1" applyBorder="1" applyAlignment="1">
      <alignment horizontal="center" vertical="center"/>
    </xf>
    <xf numFmtId="168" fontId="1" fillId="8" borderId="15" xfId="0" applyNumberFormat="1" applyFont="1" applyFill="1" applyBorder="1" applyAlignment="1">
      <alignment horizontal="center"/>
    </xf>
    <xf numFmtId="0" fontId="14" fillId="8" borderId="16" xfId="0" applyFont="1" applyFill="1" applyBorder="1" applyAlignment="1">
      <alignment vertical="center"/>
    </xf>
    <xf numFmtId="0" fontId="1" fillId="8" borderId="16" xfId="0" applyFont="1" applyFill="1" applyBorder="1" applyAlignment="1">
      <alignment horizontal="center"/>
    </xf>
    <xf numFmtId="168" fontId="1" fillId="8" borderId="16" xfId="0" applyNumberFormat="1" applyFont="1" applyFill="1" applyBorder="1" applyAlignment="1">
      <alignment horizontal="center"/>
    </xf>
    <xf numFmtId="168" fontId="1" fillId="8" borderId="20" xfId="0" applyNumberFormat="1" applyFont="1" applyFill="1" applyBorder="1" applyAlignment="1">
      <alignment horizontal="center"/>
    </xf>
    <xf numFmtId="0" fontId="13" fillId="6" borderId="21" xfId="0" applyFont="1" applyFill="1" applyBorder="1" applyAlignment="1">
      <alignment horizontal="center" vertical="center"/>
    </xf>
    <xf numFmtId="0" fontId="14" fillId="6" borderId="21" xfId="0" applyFont="1" applyFill="1" applyBorder="1" applyAlignment="1">
      <alignment horizontal="center" vertical="center"/>
    </xf>
    <xf numFmtId="0" fontId="14" fillId="6" borderId="22"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8" borderId="21" xfId="0" applyFont="1" applyFill="1" applyBorder="1" applyAlignment="1">
      <alignment horizontal="center" vertical="center" wrapText="1"/>
    </xf>
    <xf numFmtId="0" fontId="14" fillId="8" borderId="22" xfId="0" applyFont="1" applyFill="1" applyBorder="1" applyAlignment="1">
      <alignment horizontal="center" vertical="center" wrapText="1"/>
    </xf>
    <xf numFmtId="2" fontId="14" fillId="8" borderId="18" xfId="0" applyNumberFormat="1" applyFont="1" applyFill="1" applyBorder="1" applyAlignment="1">
      <alignment horizontal="center" vertical="center"/>
    </xf>
    <xf numFmtId="168" fontId="9" fillId="8" borderId="19" xfId="0" applyNumberFormat="1" applyFont="1" applyFill="1" applyBorder="1" applyAlignment="1">
      <alignment horizontal="center"/>
    </xf>
    <xf numFmtId="0" fontId="14" fillId="6" borderId="21" xfId="0" applyFont="1" applyFill="1" applyBorder="1" applyAlignment="1">
      <alignment horizontal="center" vertical="center" wrapText="1"/>
    </xf>
    <xf numFmtId="168" fontId="0" fillId="0" borderId="0" xfId="0" applyNumberFormat="1" applyFill="1" applyBorder="1" applyAlignment="1">
      <alignment horizontal="center"/>
    </xf>
    <xf numFmtId="168" fontId="14" fillId="8" borderId="16" xfId="0" applyNumberFormat="1" applyFont="1" applyFill="1" applyBorder="1" applyAlignment="1">
      <alignment horizontal="center" vertical="center"/>
    </xf>
    <xf numFmtId="168" fontId="0" fillId="0" borderId="0" xfId="0" applyNumberFormat="1" applyFont="1" applyFill="1" applyBorder="1" applyAlignment="1">
      <alignment horizontal="center"/>
    </xf>
    <xf numFmtId="168" fontId="1" fillId="8" borderId="22" xfId="0" applyNumberFormat="1" applyFont="1" applyFill="1" applyBorder="1" applyAlignment="1">
      <alignment horizontal="center"/>
    </xf>
    <xf numFmtId="0" fontId="1" fillId="8" borderId="20" xfId="0" applyFont="1" applyFill="1" applyBorder="1" applyAlignment="1">
      <alignment horizontal="center"/>
    </xf>
    <xf numFmtId="168" fontId="1" fillId="8" borderId="17" xfId="0" applyNumberFormat="1" applyFont="1" applyFill="1" applyBorder="1" applyAlignment="1">
      <alignment horizontal="center"/>
    </xf>
    <xf numFmtId="168" fontId="14" fillId="8" borderId="18" xfId="0" applyNumberFormat="1" applyFont="1" applyFill="1" applyBorder="1" applyAlignment="1">
      <alignment horizontal="center" vertical="center"/>
    </xf>
    <xf numFmtId="168" fontId="13" fillId="0" borderId="15" xfId="0" applyNumberFormat="1" applyFont="1" applyFill="1" applyBorder="1" applyAlignment="1">
      <alignment horizontal="center" vertical="center"/>
    </xf>
    <xf numFmtId="0" fontId="15" fillId="0" borderId="0" xfId="0" applyFont="1" applyFill="1" applyBorder="1" applyAlignment="1">
      <alignment vertical="center"/>
    </xf>
    <xf numFmtId="0" fontId="18" fillId="0" borderId="0" xfId="0" applyFont="1"/>
    <xf numFmtId="2" fontId="23" fillId="2" borderId="1" xfId="0" applyNumberFormat="1" applyFont="1" applyFill="1" applyBorder="1" applyAlignment="1">
      <alignment horizontal="center" vertical="center" wrapText="1"/>
    </xf>
    <xf numFmtId="0" fontId="9" fillId="0" borderId="0" xfId="0" applyFont="1" applyFill="1" applyAlignment="1">
      <alignment vertical="center" wrapText="1" readingOrder="1"/>
    </xf>
    <xf numFmtId="0" fontId="38" fillId="0" borderId="0" xfId="0" applyFont="1" applyFill="1" applyAlignment="1">
      <alignment vertical="center" wrapText="1" readingOrder="1"/>
    </xf>
    <xf numFmtId="0" fontId="32" fillId="0" borderId="0" xfId="0" applyFont="1" applyFill="1" applyAlignment="1">
      <alignment vertical="center" readingOrder="1"/>
    </xf>
    <xf numFmtId="0" fontId="32" fillId="0" borderId="0" xfId="0" applyFont="1" applyFill="1" applyAlignment="1">
      <alignment vertical="center" wrapText="1" readingOrder="1"/>
    </xf>
    <xf numFmtId="0" fontId="17" fillId="0" borderId="0" xfId="0" applyFont="1" applyFill="1" applyAlignment="1">
      <alignment vertical="center" wrapText="1" readingOrder="1"/>
    </xf>
    <xf numFmtId="0" fontId="7" fillId="0" borderId="0" xfId="0" applyFont="1" applyAlignment="1">
      <alignment vertical="center"/>
    </xf>
    <xf numFmtId="0" fontId="32" fillId="9" borderId="0" xfId="0" applyFont="1" applyFill="1" applyAlignment="1">
      <alignment vertical="center" wrapText="1" readingOrder="1"/>
    </xf>
    <xf numFmtId="0" fontId="17" fillId="0" borderId="0" xfId="0" applyFont="1" applyFill="1" applyAlignment="1">
      <alignment vertical="center" readingOrder="1"/>
    </xf>
    <xf numFmtId="0" fontId="17" fillId="9" borderId="0" xfId="0" applyFont="1" applyFill="1" applyAlignment="1">
      <alignment vertical="center" wrapText="1" readingOrder="1"/>
    </xf>
    <xf numFmtId="0" fontId="40" fillId="0" borderId="0" xfId="0" applyFont="1" applyAlignment="1">
      <alignment vertical="center"/>
    </xf>
    <xf numFmtId="0" fontId="7" fillId="0" borderId="0" xfId="0" applyFont="1" applyAlignment="1">
      <alignment vertical="center" wrapText="1"/>
    </xf>
    <xf numFmtId="0" fontId="8" fillId="0" borderId="0" xfId="0" applyFont="1" applyAlignment="1"/>
    <xf numFmtId="9" fontId="32" fillId="0" borderId="0" xfId="0" applyNumberFormat="1" applyFont="1" applyFill="1" applyAlignment="1">
      <alignment vertical="center" readingOrder="1"/>
    </xf>
    <xf numFmtId="0" fontId="33" fillId="0" borderId="0" xfId="6"/>
    <xf numFmtId="0" fontId="41" fillId="0" borderId="0" xfId="0" applyFont="1"/>
    <xf numFmtId="2" fontId="23" fillId="0" borderId="0" xfId="1" applyNumberFormat="1" applyFont="1" applyAlignment="1">
      <alignment horizontal="center"/>
    </xf>
    <xf numFmtId="0" fontId="23" fillId="0" borderId="0" xfId="1" applyFont="1" applyAlignment="1">
      <alignment horizontal="center"/>
    </xf>
    <xf numFmtId="164" fontId="23" fillId="0" borderId="0" xfId="1" applyNumberFormat="1" applyFont="1" applyAlignment="1">
      <alignment horizontal="center"/>
    </xf>
    <xf numFmtId="0" fontId="29" fillId="0" borderId="0" xfId="1" applyFont="1" applyAlignment="1">
      <alignment horizontal="center"/>
    </xf>
    <xf numFmtId="0" fontId="6" fillId="0" borderId="0" xfId="1" applyFont="1" applyAlignment="1">
      <alignment horizontal="center"/>
    </xf>
    <xf numFmtId="0" fontId="7" fillId="0" borderId="0" xfId="1" applyFont="1"/>
    <xf numFmtId="0" fontId="23" fillId="0" borderId="0" xfId="1" applyFont="1" applyAlignment="1">
      <alignment horizontal="left"/>
    </xf>
    <xf numFmtId="0" fontId="23" fillId="0" borderId="0" xfId="1" applyFont="1"/>
    <xf numFmtId="0" fontId="1" fillId="0" borderId="1" xfId="1" applyFont="1" applyBorder="1" applyAlignment="1"/>
    <xf numFmtId="0" fontId="4" fillId="0" borderId="1" xfId="1" applyFont="1" applyBorder="1" applyAlignment="1">
      <alignment horizontal="right"/>
    </xf>
    <xf numFmtId="166" fontId="4" fillId="0" borderId="1" xfId="1" applyNumberFormat="1" applyFont="1" applyBorder="1" applyAlignment="1">
      <alignment horizontal="right"/>
    </xf>
    <xf numFmtId="0" fontId="29" fillId="0" borderId="0" xfId="1" applyFont="1" applyAlignment="1">
      <alignment horizontal="left" vertical="top" wrapText="1"/>
    </xf>
    <xf numFmtId="0" fontId="29" fillId="0" borderId="0" xfId="1" applyFont="1"/>
    <xf numFmtId="2" fontId="29" fillId="0" borderId="0" xfId="1" applyNumberFormat="1" applyFont="1" applyAlignment="1">
      <alignment horizontal="center"/>
    </xf>
    <xf numFmtId="164" fontId="29" fillId="0" borderId="0" xfId="1" applyNumberFormat="1" applyFont="1" applyAlignment="1">
      <alignment horizontal="center"/>
    </xf>
    <xf numFmtId="0" fontId="39" fillId="0" borderId="0" xfId="0" applyFont="1" applyAlignment="1">
      <alignment vertical="top"/>
    </xf>
    <xf numFmtId="168" fontId="0" fillId="0" borderId="0" xfId="0" applyNumberFormat="1"/>
    <xf numFmtId="168" fontId="11" fillId="0" borderId="0" xfId="0" applyNumberFormat="1" applyFont="1" applyFill="1" applyAlignment="1">
      <alignment vertical="center" wrapText="1" readingOrder="1"/>
    </xf>
    <xf numFmtId="168" fontId="11" fillId="5" borderId="0" xfId="0" applyNumberFormat="1" applyFont="1" applyFill="1" applyAlignment="1">
      <alignment vertical="center" wrapText="1" readingOrder="1"/>
    </xf>
    <xf numFmtId="0" fontId="12" fillId="0" borderId="0" xfId="0" applyFont="1" applyFill="1" applyAlignment="1">
      <alignment vertical="center" wrapText="1" readingOrder="1"/>
    </xf>
    <xf numFmtId="0" fontId="11" fillId="0" borderId="0" xfId="0" applyFont="1" applyFill="1" applyAlignment="1">
      <alignment vertical="center" readingOrder="1"/>
    </xf>
    <xf numFmtId="0" fontId="11" fillId="0" borderId="0" xfId="0" applyFont="1" applyFill="1" applyAlignment="1">
      <alignment horizontal="right" vertical="center" wrapText="1" readingOrder="1"/>
    </xf>
    <xf numFmtId="0" fontId="32" fillId="10" borderId="0" xfId="0" applyFont="1" applyFill="1" applyAlignment="1">
      <alignment vertical="center" wrapText="1" readingOrder="1"/>
    </xf>
    <xf numFmtId="2" fontId="1" fillId="2" borderId="1" xfId="0" applyNumberFormat="1" applyFont="1" applyFill="1" applyBorder="1" applyAlignment="1">
      <alignment horizontal="center" vertical="center" wrapText="1"/>
    </xf>
    <xf numFmtId="0" fontId="32" fillId="0" borderId="4" xfId="0" applyFont="1" applyFill="1" applyBorder="1" applyAlignment="1">
      <alignment vertical="center" wrapText="1" readingOrder="1"/>
    </xf>
    <xf numFmtId="168" fontId="11" fillId="0" borderId="4" xfId="0" applyNumberFormat="1" applyFont="1" applyFill="1" applyBorder="1" applyAlignment="1">
      <alignment vertical="center" wrapText="1" readingOrder="1"/>
    </xf>
    <xf numFmtId="168" fontId="11" fillId="0" borderId="0" xfId="0" applyNumberFormat="1" applyFont="1" applyFill="1" applyAlignment="1">
      <alignment horizontal="right" vertical="center" wrapText="1" readingOrder="1"/>
    </xf>
    <xf numFmtId="168" fontId="11" fillId="0" borderId="4" xfId="0" applyNumberFormat="1" applyFont="1" applyFill="1" applyBorder="1" applyAlignment="1">
      <alignment horizontal="right" vertical="center" wrapText="1" readingOrder="1"/>
    </xf>
    <xf numFmtId="0" fontId="0" fillId="0" borderId="0" xfId="0" applyFont="1" applyAlignment="1">
      <alignment horizontal="right" vertical="center"/>
    </xf>
    <xf numFmtId="0" fontId="39" fillId="0" borderId="0" xfId="0" applyFont="1" applyAlignment="1">
      <alignment vertical="center"/>
    </xf>
    <xf numFmtId="0" fontId="0" fillId="0" borderId="0" xfId="0" applyFont="1" applyAlignment="1">
      <alignment vertical="center"/>
    </xf>
    <xf numFmtId="168" fontId="0" fillId="0" borderId="0" xfId="0" applyNumberFormat="1" applyFont="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168" fontId="0" fillId="0" borderId="4" xfId="0" applyNumberFormat="1" applyFont="1" applyBorder="1" applyAlignment="1">
      <alignment vertical="center"/>
    </xf>
    <xf numFmtId="0" fontId="1" fillId="0" borderId="0" xfId="0" applyFont="1" applyAlignment="1">
      <alignment horizontal="right" vertical="center"/>
    </xf>
    <xf numFmtId="0" fontId="0" fillId="0" borderId="0" xfId="0" applyFont="1" applyAlignment="1">
      <alignment vertical="center" wrapText="1"/>
    </xf>
    <xf numFmtId="0" fontId="0" fillId="0" borderId="0" xfId="0" applyFont="1" applyBorder="1" applyAlignment="1">
      <alignment horizontal="right" vertical="center"/>
    </xf>
    <xf numFmtId="0" fontId="39" fillId="0" borderId="0" xfId="0" applyFont="1" applyBorder="1" applyAlignment="1">
      <alignment horizontal="left" vertical="center"/>
    </xf>
    <xf numFmtId="0" fontId="0" fillId="0" borderId="0" xfId="0" applyBorder="1"/>
    <xf numFmtId="0" fontId="1" fillId="0" borderId="0" xfId="0" applyFont="1" applyBorder="1" applyAlignment="1">
      <alignment horizontal="right" vertical="center"/>
    </xf>
    <xf numFmtId="0" fontId="1" fillId="0" borderId="0" xfId="0" applyFont="1" applyBorder="1" applyAlignment="1">
      <alignment vertical="center" wrapText="1"/>
    </xf>
    <xf numFmtId="169" fontId="0" fillId="0" borderId="0" xfId="0" applyNumberFormat="1" applyFont="1" applyAlignment="1">
      <alignment horizontal="right" vertical="center"/>
    </xf>
    <xf numFmtId="169" fontId="0" fillId="0" borderId="4" xfId="0" applyNumberFormat="1" applyFont="1" applyBorder="1" applyAlignment="1">
      <alignment horizontal="right" vertical="center"/>
    </xf>
    <xf numFmtId="169" fontId="0" fillId="0" borderId="0" xfId="0" applyNumberFormat="1" applyFont="1" applyAlignment="1">
      <alignment vertical="center"/>
    </xf>
    <xf numFmtId="169" fontId="1" fillId="0" borderId="0" xfId="3" applyNumberFormat="1" applyFont="1" applyAlignment="1">
      <alignment horizontal="right" vertical="center"/>
    </xf>
    <xf numFmtId="0" fontId="1" fillId="0" borderId="0" xfId="0" applyFont="1" applyBorder="1" applyAlignment="1">
      <alignment horizontal="left" vertical="center"/>
    </xf>
    <xf numFmtId="169" fontId="0" fillId="0" borderId="0" xfId="0" applyNumberFormat="1"/>
    <xf numFmtId="0" fontId="0" fillId="0" borderId="4" xfId="0" applyBorder="1"/>
    <xf numFmtId="0" fontId="0" fillId="0" borderId="0" xfId="0" applyFill="1" applyBorder="1"/>
    <xf numFmtId="6" fontId="0" fillId="0" borderId="0" xfId="0" applyNumberFormat="1"/>
    <xf numFmtId="6" fontId="0" fillId="0" borderId="4" xfId="0" applyNumberFormat="1" applyBorder="1"/>
    <xf numFmtId="9" fontId="7" fillId="0" borderId="0" xfId="4" applyFont="1" applyAlignment="1">
      <alignment vertical="center"/>
    </xf>
    <xf numFmtId="168" fontId="7" fillId="0" borderId="0" xfId="0" applyNumberFormat="1" applyFont="1" applyAlignment="1">
      <alignment vertical="center"/>
    </xf>
    <xf numFmtId="2" fontId="23" fillId="2" borderId="24" xfId="0" applyNumberFormat="1" applyFont="1" applyFill="1" applyBorder="1" applyAlignment="1">
      <alignment horizontal="center" vertical="center" wrapText="1"/>
    </xf>
    <xf numFmtId="169" fontId="0" fillId="0" borderId="0" xfId="0" applyNumberFormat="1" applyFont="1" applyBorder="1" applyAlignment="1">
      <alignment horizontal="right" vertical="center"/>
    </xf>
    <xf numFmtId="0" fontId="0" fillId="0" borderId="3" xfId="0" applyBorder="1"/>
    <xf numFmtId="0" fontId="0" fillId="0" borderId="2" xfId="0" applyBorder="1"/>
    <xf numFmtId="0" fontId="1" fillId="2" borderId="6" xfId="0" applyFont="1" applyFill="1" applyBorder="1" applyAlignment="1">
      <alignment vertical="center"/>
    </xf>
    <xf numFmtId="0" fontId="1" fillId="2" borderId="24" xfId="0" applyFont="1" applyFill="1" applyBorder="1" applyAlignment="1">
      <alignment vertical="center" wrapText="1"/>
    </xf>
    <xf numFmtId="0" fontId="1" fillId="2" borderId="5" xfId="0" applyFont="1" applyFill="1" applyBorder="1" applyAlignment="1">
      <alignment vertical="center" wrapText="1"/>
    </xf>
    <xf numFmtId="0" fontId="1" fillId="8" borderId="3" xfId="0" applyFont="1" applyFill="1" applyBorder="1"/>
    <xf numFmtId="0" fontId="1" fillId="8" borderId="1" xfId="0" applyFont="1" applyFill="1" applyBorder="1"/>
    <xf numFmtId="0" fontId="1" fillId="8" borderId="2" xfId="0" applyFont="1" applyFill="1" applyBorder="1"/>
    <xf numFmtId="0" fontId="47" fillId="8" borderId="13" xfId="0" applyFont="1" applyFill="1" applyBorder="1"/>
    <xf numFmtId="0" fontId="7" fillId="0" borderId="0" xfId="0" applyFont="1" applyBorder="1" applyAlignment="1">
      <alignment wrapText="1"/>
    </xf>
    <xf numFmtId="1" fontId="1" fillId="8" borderId="1" xfId="0" applyNumberFormat="1" applyFont="1" applyFill="1" applyBorder="1"/>
    <xf numFmtId="0" fontId="39" fillId="8" borderId="10" xfId="0" applyFont="1" applyFill="1" applyBorder="1"/>
    <xf numFmtId="0" fontId="48" fillId="8" borderId="8" xfId="0" applyFont="1" applyFill="1" applyBorder="1"/>
    <xf numFmtId="1" fontId="47" fillId="8" borderId="13" xfId="0" applyNumberFormat="1" applyFont="1" applyFill="1" applyBorder="1"/>
    <xf numFmtId="1" fontId="48" fillId="8" borderId="8" xfId="0" applyNumberFormat="1" applyFont="1" applyFill="1" applyBorder="1"/>
    <xf numFmtId="0" fontId="39" fillId="8" borderId="0" xfId="0" applyFont="1" applyFill="1" applyBorder="1"/>
    <xf numFmtId="1" fontId="47" fillId="8" borderId="0" xfId="0" applyNumberFormat="1" applyFont="1" applyFill="1" applyBorder="1"/>
    <xf numFmtId="1" fontId="48" fillId="8" borderId="0" xfId="0" applyNumberFormat="1" applyFont="1" applyFill="1" applyBorder="1"/>
    <xf numFmtId="1" fontId="47" fillId="0" borderId="0" xfId="0" applyNumberFormat="1" applyFont="1" applyFill="1" applyBorder="1"/>
    <xf numFmtId="1" fontId="48" fillId="0" borderId="0" xfId="0" applyNumberFormat="1" applyFont="1" applyFill="1" applyBorder="1"/>
    <xf numFmtId="0" fontId="7" fillId="0" borderId="0" xfId="0" applyFont="1" applyFill="1" applyBorder="1" applyAlignment="1">
      <alignment wrapText="1"/>
    </xf>
    <xf numFmtId="0" fontId="3" fillId="0" borderId="0" xfId="0" applyFont="1" applyFill="1" applyAlignment="1">
      <alignment horizontal="center"/>
    </xf>
    <xf numFmtId="0" fontId="0" fillId="0" borderId="0" xfId="0" applyFill="1"/>
    <xf numFmtId="9" fontId="1" fillId="8" borderId="1" xfId="4" applyFont="1" applyFill="1" applyBorder="1"/>
    <xf numFmtId="9" fontId="1" fillId="8" borderId="2" xfId="4" applyFont="1" applyFill="1" applyBorder="1"/>
    <xf numFmtId="9" fontId="0" fillId="0" borderId="2" xfId="4" applyFont="1" applyBorder="1"/>
    <xf numFmtId="0" fontId="0" fillId="0" borderId="4" xfId="0" applyFont="1" applyBorder="1"/>
    <xf numFmtId="0" fontId="14" fillId="3" borderId="0" xfId="0" applyFont="1" applyFill="1" applyBorder="1" applyAlignment="1">
      <alignment vertical="center"/>
    </xf>
    <xf numFmtId="0" fontId="14" fillId="3" borderId="0" xfId="0" applyFont="1" applyFill="1" applyBorder="1" applyAlignment="1">
      <alignment vertical="center" wrapText="1"/>
    </xf>
    <xf numFmtId="0" fontId="49" fillId="0" borderId="0" xfId="0" applyFont="1" applyAlignment="1">
      <alignment vertical="top"/>
    </xf>
    <xf numFmtId="0" fontId="49" fillId="0" borderId="0" xfId="0" applyFont="1" applyBorder="1" applyAlignment="1">
      <alignment vertical="top"/>
    </xf>
    <xf numFmtId="0" fontId="14" fillId="0" borderId="0" xfId="0" applyFont="1" applyFill="1" applyBorder="1" applyAlignment="1">
      <alignment vertical="top"/>
    </xf>
    <xf numFmtId="0" fontId="50" fillId="0" borderId="0" xfId="0" applyFont="1" applyFill="1" applyBorder="1" applyAlignment="1">
      <alignment vertical="top"/>
    </xf>
    <xf numFmtId="0" fontId="51" fillId="0" borderId="0" xfId="0" applyFont="1" applyBorder="1" applyAlignment="1">
      <alignment vertical="top"/>
    </xf>
    <xf numFmtId="0" fontId="49" fillId="0" borderId="0" xfId="0" applyFont="1" applyFill="1" applyBorder="1" applyAlignment="1">
      <alignment vertical="top"/>
    </xf>
    <xf numFmtId="0" fontId="14" fillId="0" borderId="9" xfId="0" applyFont="1" applyBorder="1" applyAlignment="1">
      <alignment vertical="top"/>
    </xf>
    <xf numFmtId="0" fontId="1" fillId="0" borderId="11" xfId="0" applyFont="1" applyBorder="1" applyAlignment="1">
      <alignment vertical="top"/>
    </xf>
    <xf numFmtId="0" fontId="14" fillId="3" borderId="4" xfId="0" applyFont="1" applyFill="1" applyBorder="1" applyAlignment="1">
      <alignment vertical="center"/>
    </xf>
    <xf numFmtId="0" fontId="14" fillId="3" borderId="4" xfId="0" applyFont="1" applyFill="1" applyBorder="1" applyAlignment="1">
      <alignment vertical="center" wrapText="1"/>
    </xf>
    <xf numFmtId="0" fontId="14" fillId="3" borderId="5" xfId="0" applyFont="1" applyFill="1" applyBorder="1" applyAlignment="1">
      <alignment vertical="center" wrapText="1"/>
    </xf>
    <xf numFmtId="166" fontId="1" fillId="0" borderId="9" xfId="5" applyNumberFormat="1" applyFont="1" applyBorder="1" applyAlignment="1">
      <alignment vertical="top"/>
    </xf>
    <xf numFmtId="1" fontId="1" fillId="0" borderId="0" xfId="0" applyNumberFormat="1" applyFont="1" applyBorder="1" applyAlignment="1">
      <alignment horizontal="right" vertical="center"/>
    </xf>
    <xf numFmtId="0" fontId="1" fillId="2" borderId="6" xfId="0" applyFont="1" applyFill="1" applyBorder="1" applyAlignment="1">
      <alignment vertical="center" wrapText="1"/>
    </xf>
    <xf numFmtId="0" fontId="3" fillId="0" borderId="0" xfId="0" applyFont="1" applyFill="1" applyAlignment="1">
      <alignment horizontal="center" wrapText="1"/>
    </xf>
    <xf numFmtId="0" fontId="0" fillId="0" borderId="0" xfId="0" applyFill="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horizontal="right" vertical="center"/>
    </xf>
    <xf numFmtId="166" fontId="1" fillId="0" borderId="0" xfId="5" applyNumberFormat="1" applyFont="1" applyAlignment="1">
      <alignment vertical="top"/>
    </xf>
    <xf numFmtId="166" fontId="1" fillId="0" borderId="11" xfId="5" applyNumberFormat="1" applyFont="1" applyBorder="1" applyAlignment="1">
      <alignment vertical="top"/>
    </xf>
    <xf numFmtId="0" fontId="14" fillId="0" borderId="0" xfId="0" applyFont="1" applyBorder="1" applyAlignment="1">
      <alignment vertical="top"/>
    </xf>
    <xf numFmtId="0" fontId="1" fillId="0" borderId="0" xfId="0" applyFont="1" applyBorder="1" applyAlignment="1">
      <alignment vertical="top"/>
    </xf>
    <xf numFmtId="0" fontId="0" fillId="13" borderId="0" xfId="0" applyFill="1" applyAlignment="1">
      <alignment vertical="top"/>
    </xf>
    <xf numFmtId="0" fontId="14" fillId="13" borderId="0" xfId="0" applyFont="1" applyFill="1" applyBorder="1" applyAlignment="1">
      <alignment vertical="top"/>
    </xf>
    <xf numFmtId="0" fontId="1" fillId="13" borderId="0" xfId="0" applyFont="1" applyFill="1" applyBorder="1" applyAlignment="1">
      <alignment vertical="top"/>
    </xf>
    <xf numFmtId="166" fontId="1" fillId="0" borderId="0" xfId="5" applyNumberFormat="1" applyFont="1" applyBorder="1" applyAlignment="1">
      <alignment vertical="top"/>
    </xf>
    <xf numFmtId="0" fontId="14" fillId="3" borderId="11" xfId="0" applyFont="1" applyFill="1" applyBorder="1" applyAlignment="1">
      <alignment vertical="center" wrapText="1"/>
    </xf>
    <xf numFmtId="0" fontId="0" fillId="0" borderId="11" xfId="0" applyBorder="1" applyAlignment="1">
      <alignment vertical="top"/>
    </xf>
    <xf numFmtId="0" fontId="1" fillId="0" borderId="8" xfId="0" applyFont="1" applyBorder="1" applyAlignment="1">
      <alignment vertical="top"/>
    </xf>
    <xf numFmtId="169" fontId="4" fillId="0" borderId="1" xfId="3" applyNumberFormat="1" applyFont="1" applyBorder="1" applyAlignment="1">
      <alignment horizontal="right"/>
    </xf>
    <xf numFmtId="0" fontId="25" fillId="0" borderId="0" xfId="0" applyFont="1" applyFill="1" applyAlignment="1">
      <alignment vertical="center" wrapText="1" readingOrder="1"/>
    </xf>
    <xf numFmtId="0" fontId="52" fillId="0" borderId="0" xfId="0" applyFont="1" applyFill="1" applyAlignment="1">
      <alignment vertical="center" wrapText="1" readingOrder="1"/>
    </xf>
    <xf numFmtId="0" fontId="6" fillId="0" borderId="0" xfId="0" applyFont="1" applyAlignment="1">
      <alignment vertical="center" wrapText="1"/>
    </xf>
    <xf numFmtId="0" fontId="32" fillId="0" borderId="0" xfId="0" applyNumberFormat="1" applyFont="1" applyFill="1" applyAlignment="1">
      <alignment vertical="center" wrapText="1" readingOrder="1"/>
    </xf>
    <xf numFmtId="0" fontId="1" fillId="0" borderId="0" xfId="0" applyFont="1" applyAlignment="1">
      <alignment wrapText="1"/>
    </xf>
    <xf numFmtId="0" fontId="1" fillId="0" borderId="4" xfId="0" applyFont="1" applyBorder="1" applyAlignment="1">
      <alignment vertical="center" wrapText="1"/>
    </xf>
    <xf numFmtId="0" fontId="1" fillId="0" borderId="4" xfId="0" applyFont="1" applyBorder="1" applyAlignment="1">
      <alignment horizontal="right" vertical="center"/>
    </xf>
    <xf numFmtId="0" fontId="0" fillId="0" borderId="0" xfId="0" applyFont="1" applyFill="1"/>
    <xf numFmtId="0" fontId="0" fillId="13" borderId="0" xfId="0" applyFill="1"/>
    <xf numFmtId="0" fontId="1" fillId="13" borderId="0" xfId="0" applyFont="1" applyFill="1" applyAlignment="1">
      <alignment vertical="center"/>
    </xf>
    <xf numFmtId="0" fontId="0" fillId="13" borderId="0" xfId="0" applyFont="1" applyFill="1" applyAlignment="1">
      <alignment vertical="center"/>
    </xf>
    <xf numFmtId="0" fontId="1" fillId="13" borderId="0" xfId="0" applyFont="1" applyFill="1" applyAlignment="1">
      <alignment horizontal="right" vertical="center"/>
    </xf>
    <xf numFmtId="0" fontId="1" fillId="13" borderId="0" xfId="0" applyFont="1" applyFill="1"/>
    <xf numFmtId="0" fontId="0" fillId="13" borderId="0" xfId="0" applyFont="1" applyFill="1"/>
    <xf numFmtId="1" fontId="4" fillId="0" borderId="1" xfId="1" applyNumberFormat="1" applyFont="1" applyBorder="1" applyAlignment="1">
      <alignment horizontal="right"/>
    </xf>
    <xf numFmtId="0" fontId="1" fillId="2" borderId="13" xfId="1" applyFont="1" applyFill="1" applyBorder="1" applyAlignment="1">
      <alignment horizontal="center" vertical="center"/>
    </xf>
    <xf numFmtId="2" fontId="1" fillId="2" borderId="13" xfId="1" applyNumberFormat="1" applyFont="1" applyFill="1" applyBorder="1" applyAlignment="1">
      <alignment horizontal="center" vertical="center" wrapText="1"/>
    </xf>
    <xf numFmtId="0" fontId="1" fillId="2" borderId="13" xfId="1" applyFont="1" applyFill="1" applyBorder="1" applyAlignment="1">
      <alignment horizontal="center" vertical="center" wrapText="1"/>
    </xf>
    <xf numFmtId="164" fontId="1" fillId="2" borderId="13" xfId="1" applyNumberFormat="1" applyFont="1" applyFill="1" applyBorder="1" applyAlignment="1">
      <alignment horizontal="center" vertical="center" wrapText="1"/>
    </xf>
    <xf numFmtId="164" fontId="23" fillId="0" borderId="0" xfId="1" applyNumberFormat="1" applyFont="1" applyAlignment="1">
      <alignment horizontal="center" vertical="center" wrapText="1"/>
    </xf>
    <xf numFmtId="0" fontId="29" fillId="0" borderId="0" xfId="1" applyFont="1" applyAlignment="1">
      <alignment horizontal="center" vertical="center" wrapText="1"/>
    </xf>
    <xf numFmtId="0" fontId="23" fillId="0" borderId="0" xfId="1" applyFont="1" applyAlignment="1">
      <alignment horizontal="center" vertical="center"/>
    </xf>
    <xf numFmtId="2" fontId="23" fillId="0" borderId="0" xfId="1" applyNumberFormat="1" applyFont="1" applyAlignment="1">
      <alignment horizontal="center" vertical="center" wrapText="1"/>
    </xf>
    <xf numFmtId="0" fontId="7" fillId="0" borderId="0" xfId="1" applyFont="1" applyAlignment="1">
      <alignment horizontal="center" vertical="center"/>
    </xf>
    <xf numFmtId="0" fontId="39" fillId="0" borderId="24" xfId="1" applyFont="1" applyBorder="1" applyAlignment="1">
      <alignment horizontal="right"/>
    </xf>
    <xf numFmtId="2" fontId="1" fillId="0" borderId="24" xfId="1" applyNumberFormat="1" applyFont="1" applyBorder="1" applyAlignment="1">
      <alignment horizontal="right"/>
    </xf>
    <xf numFmtId="0" fontId="1" fillId="0" borderId="24" xfId="1" applyFont="1" applyBorder="1" applyAlignment="1">
      <alignment horizontal="right"/>
    </xf>
    <xf numFmtId="166" fontId="1" fillId="0" borderId="24" xfId="5" applyNumberFormat="1" applyFont="1" applyBorder="1" applyAlignment="1">
      <alignment horizontal="right"/>
    </xf>
    <xf numFmtId="169" fontId="1" fillId="0" borderId="24" xfId="3" applyNumberFormat="1" applyFont="1" applyBorder="1" applyAlignment="1">
      <alignment horizontal="right"/>
    </xf>
    <xf numFmtId="0" fontId="1" fillId="0" borderId="26" xfId="1" applyFont="1" applyBorder="1" applyAlignment="1"/>
    <xf numFmtId="1" fontId="4" fillId="0" borderId="26" xfId="1" applyNumberFormat="1" applyFont="1" applyBorder="1" applyAlignment="1">
      <alignment horizontal="right"/>
    </xf>
    <xf numFmtId="0" fontId="4" fillId="0" borderId="26" xfId="1" applyFont="1" applyBorder="1" applyAlignment="1">
      <alignment horizontal="right"/>
    </xf>
    <xf numFmtId="169" fontId="4" fillId="0" borderId="26" xfId="3" applyNumberFormat="1" applyFont="1" applyBorder="1" applyAlignment="1">
      <alignment horizontal="right"/>
    </xf>
    <xf numFmtId="166" fontId="4" fillId="0" borderId="26" xfId="1" applyNumberFormat="1" applyFont="1" applyBorder="1" applyAlignment="1">
      <alignment horizontal="right"/>
    </xf>
    <xf numFmtId="1" fontId="1" fillId="0" borderId="24" xfId="1" applyNumberFormat="1" applyFont="1" applyBorder="1" applyAlignment="1">
      <alignment horizontal="right"/>
    </xf>
    <xf numFmtId="0" fontId="39" fillId="0" borderId="4" xfId="1" applyFont="1" applyBorder="1" applyAlignment="1"/>
    <xf numFmtId="0" fontId="54" fillId="0" borderId="0" xfId="0" applyFont="1" applyAlignment="1">
      <alignment vertical="top"/>
    </xf>
    <xf numFmtId="167" fontId="1" fillId="0" borderId="11" xfId="3" applyNumberFormat="1" applyFont="1" applyBorder="1" applyAlignment="1">
      <alignment vertical="top"/>
    </xf>
    <xf numFmtId="167" fontId="1" fillId="0" borderId="0" xfId="3" applyNumberFormat="1" applyFont="1" applyAlignment="1">
      <alignment vertical="top"/>
    </xf>
    <xf numFmtId="167" fontId="0" fillId="0" borderId="0" xfId="3" applyNumberFormat="1" applyFont="1" applyAlignment="1">
      <alignment vertical="center"/>
    </xf>
    <xf numFmtId="167" fontId="0" fillId="0" borderId="4" xfId="3" applyNumberFormat="1" applyFont="1" applyBorder="1" applyAlignment="1">
      <alignment vertical="center"/>
    </xf>
    <xf numFmtId="167" fontId="0" fillId="0" borderId="9" xfId="3" applyNumberFormat="1" applyFont="1" applyBorder="1" applyAlignment="1">
      <alignment vertical="center"/>
    </xf>
    <xf numFmtId="167" fontId="0" fillId="0" borderId="0" xfId="3" applyNumberFormat="1" applyFont="1" applyBorder="1" applyAlignment="1">
      <alignment vertical="center"/>
    </xf>
    <xf numFmtId="167" fontId="1" fillId="0" borderId="0" xfId="3" applyNumberFormat="1" applyFont="1" applyAlignment="1">
      <alignment horizontal="right" vertical="center"/>
    </xf>
    <xf numFmtId="167" fontId="0" fillId="0" borderId="0" xfId="0" applyNumberFormat="1"/>
    <xf numFmtId="167" fontId="0" fillId="0" borderId="0" xfId="0" applyNumberFormat="1" applyFont="1" applyAlignment="1">
      <alignment vertical="center"/>
    </xf>
    <xf numFmtId="167" fontId="0" fillId="0" borderId="0" xfId="0" applyNumberFormat="1" applyBorder="1"/>
    <xf numFmtId="167" fontId="0" fillId="0" borderId="0" xfId="0" applyNumberFormat="1" applyFont="1" applyBorder="1" applyAlignment="1">
      <alignment vertical="center"/>
    </xf>
    <xf numFmtId="167" fontId="1" fillId="2" borderId="1" xfId="0" applyNumberFormat="1" applyFont="1" applyFill="1" applyBorder="1" applyAlignment="1">
      <alignment horizontal="center" vertical="center" wrapText="1"/>
    </xf>
    <xf numFmtId="167" fontId="0" fillId="0" borderId="4" xfId="0" applyNumberFormat="1" applyBorder="1"/>
    <xf numFmtId="166" fontId="4" fillId="0" borderId="1" xfId="5" applyNumberFormat="1" applyFont="1" applyBorder="1" applyAlignment="1">
      <alignment horizontal="right"/>
    </xf>
    <xf numFmtId="166" fontId="4" fillId="0" borderId="26" xfId="5" applyNumberFormat="1" applyFont="1" applyBorder="1" applyAlignment="1">
      <alignment horizontal="right"/>
    </xf>
    <xf numFmtId="1" fontId="1" fillId="0" borderId="11" xfId="0" applyNumberFormat="1" applyFont="1" applyBorder="1" applyAlignment="1">
      <alignment vertical="top"/>
    </xf>
    <xf numFmtId="0" fontId="0" fillId="0" borderId="0" xfId="0" applyBorder="1" applyAlignment="1">
      <alignment vertical="top"/>
    </xf>
    <xf numFmtId="0" fontId="1" fillId="0" borderId="13" xfId="0" applyFont="1" applyBorder="1" applyAlignment="1">
      <alignment vertical="top"/>
    </xf>
    <xf numFmtId="0" fontId="15" fillId="0" borderId="0" xfId="0" applyFont="1" applyBorder="1" applyAlignment="1">
      <alignment vertical="top"/>
    </xf>
    <xf numFmtId="0" fontId="18" fillId="0" borderId="0" xfId="0" applyFont="1" applyAlignment="1">
      <alignment vertical="top"/>
    </xf>
    <xf numFmtId="1" fontId="18" fillId="0" borderId="11" xfId="0" applyNumberFormat="1" applyFont="1" applyBorder="1" applyAlignment="1">
      <alignment vertical="top"/>
    </xf>
    <xf numFmtId="0" fontId="18" fillId="0" borderId="11" xfId="0" applyFont="1" applyBorder="1" applyAlignment="1">
      <alignment vertical="top"/>
    </xf>
    <xf numFmtId="0" fontId="15" fillId="0" borderId="0" xfId="0" applyFont="1" applyBorder="1" applyAlignment="1">
      <alignment horizontal="left" vertical="top" indent="1"/>
    </xf>
    <xf numFmtId="166" fontId="18" fillId="0" borderId="0" xfId="5" applyNumberFormat="1" applyFont="1" applyAlignment="1">
      <alignment vertical="top"/>
    </xf>
    <xf numFmtId="166" fontId="18" fillId="0" borderId="11" xfId="5" applyNumberFormat="1" applyFont="1" applyBorder="1" applyAlignment="1">
      <alignment vertical="top"/>
    </xf>
    <xf numFmtId="166" fontId="18" fillId="0" borderId="5" xfId="5" applyNumberFormat="1" applyFont="1" applyBorder="1" applyAlignment="1">
      <alignment vertical="top"/>
    </xf>
    <xf numFmtId="167" fontId="18" fillId="0" borderId="0" xfId="3" applyNumberFormat="1" applyFont="1" applyAlignment="1">
      <alignment vertical="top"/>
    </xf>
    <xf numFmtId="167" fontId="18" fillId="0" borderId="11" xfId="3" applyNumberFormat="1" applyFont="1" applyBorder="1" applyAlignment="1">
      <alignment vertical="top"/>
    </xf>
    <xf numFmtId="167" fontId="18" fillId="0" borderId="5" xfId="3" applyNumberFormat="1" applyFont="1" applyBorder="1" applyAlignment="1">
      <alignment vertical="top"/>
    </xf>
    <xf numFmtId="0" fontId="1" fillId="0" borderId="31" xfId="0" applyFont="1" applyBorder="1" applyAlignment="1">
      <alignment vertical="top"/>
    </xf>
    <xf numFmtId="1" fontId="18" fillId="0" borderId="5" xfId="0" applyNumberFormat="1" applyFont="1" applyBorder="1" applyAlignment="1">
      <alignment vertical="top"/>
    </xf>
    <xf numFmtId="166" fontId="1" fillId="0" borderId="13" xfId="5" applyNumberFormat="1" applyFont="1" applyBorder="1" applyAlignment="1">
      <alignment vertical="top"/>
    </xf>
    <xf numFmtId="167" fontId="1" fillId="0" borderId="13" xfId="0" applyNumberFormat="1" applyFont="1" applyBorder="1" applyAlignment="1">
      <alignment vertical="top"/>
    </xf>
    <xf numFmtId="167" fontId="1" fillId="0" borderId="0" xfId="0" applyNumberFormat="1" applyFont="1" applyAlignment="1">
      <alignment vertical="top"/>
    </xf>
    <xf numFmtId="1" fontId="1" fillId="0" borderId="31" xfId="0" applyNumberFormat="1" applyFont="1" applyBorder="1" applyAlignment="1">
      <alignment vertical="top"/>
    </xf>
    <xf numFmtId="167" fontId="1" fillId="0" borderId="9" xfId="5" applyNumberFormat="1" applyFont="1" applyBorder="1" applyAlignment="1">
      <alignment vertical="top"/>
    </xf>
    <xf numFmtId="167" fontId="1" fillId="0" borderId="31" xfId="0" applyNumberFormat="1" applyFont="1" applyBorder="1" applyAlignment="1">
      <alignment vertical="top"/>
    </xf>
    <xf numFmtId="167" fontId="1" fillId="0" borderId="13" xfId="5" applyNumberFormat="1" applyFont="1" applyBorder="1" applyAlignment="1">
      <alignment vertical="top"/>
    </xf>
    <xf numFmtId="167" fontId="18" fillId="0" borderId="0" xfId="0" applyNumberFormat="1" applyFont="1" applyAlignment="1">
      <alignment vertical="top"/>
    </xf>
    <xf numFmtId="166" fontId="18" fillId="0" borderId="4" xfId="5" applyNumberFormat="1" applyFont="1" applyBorder="1" applyAlignment="1">
      <alignment vertical="top"/>
    </xf>
    <xf numFmtId="167" fontId="1" fillId="0" borderId="0" xfId="5" applyNumberFormat="1" applyFont="1" applyAlignment="1">
      <alignment vertical="top"/>
    </xf>
    <xf numFmtId="167" fontId="18" fillId="0" borderId="0" xfId="5" applyNumberFormat="1" applyFont="1" applyAlignment="1">
      <alignment vertical="top"/>
    </xf>
    <xf numFmtId="167" fontId="18" fillId="0" borderId="4" xfId="5" applyNumberFormat="1" applyFont="1" applyBorder="1" applyAlignment="1">
      <alignment vertical="top"/>
    </xf>
    <xf numFmtId="6" fontId="0" fillId="0" borderId="0" xfId="0" applyNumberFormat="1" applyFont="1" applyAlignment="1">
      <alignment horizontal="right" vertical="center"/>
    </xf>
    <xf numFmtId="6" fontId="0" fillId="0" borderId="4" xfId="0" applyNumberFormat="1" applyFont="1" applyBorder="1" applyAlignment="1">
      <alignment horizontal="right" vertical="center"/>
    </xf>
    <xf numFmtId="6" fontId="0" fillId="0" borderId="0" xfId="0" applyNumberFormat="1" applyFont="1" applyBorder="1" applyAlignment="1">
      <alignment horizontal="right" vertical="center"/>
    </xf>
    <xf numFmtId="168" fontId="32" fillId="0" borderId="0" xfId="0" applyNumberFormat="1" applyFont="1" applyFill="1" applyAlignment="1">
      <alignment vertical="center" readingOrder="1"/>
    </xf>
    <xf numFmtId="0" fontId="23" fillId="0" borderId="0" xfId="0" applyFont="1" applyAlignment="1"/>
    <xf numFmtId="0" fontId="6" fillId="0" borderId="0" xfId="0" applyFont="1"/>
    <xf numFmtId="168" fontId="6" fillId="0" borderId="0" xfId="0" applyNumberFormat="1" applyFont="1" applyAlignment="1">
      <alignment horizontal="center" vertical="center"/>
    </xf>
    <xf numFmtId="168" fontId="23" fillId="0" borderId="0" xfId="0" applyNumberFormat="1" applyFont="1" applyAlignment="1">
      <alignment horizontal="center" vertical="center"/>
    </xf>
    <xf numFmtId="168" fontId="6" fillId="8" borderId="0" xfId="0" applyNumberFormat="1" applyFont="1" applyFill="1" applyAlignment="1">
      <alignment horizontal="center" vertical="center"/>
    </xf>
    <xf numFmtId="0" fontId="6" fillId="0" borderId="0" xfId="0" applyFont="1" applyAlignment="1">
      <alignment vertical="center"/>
    </xf>
    <xf numFmtId="168" fontId="6" fillId="0" borderId="0" xfId="0" applyNumberFormat="1" applyFont="1" applyAlignment="1">
      <alignment vertical="center"/>
    </xf>
    <xf numFmtId="0" fontId="6" fillId="0" borderId="0" xfId="0" applyFont="1" applyAlignment="1">
      <alignment horizontal="right" vertical="center"/>
    </xf>
    <xf numFmtId="168" fontId="6" fillId="0" borderId="0" xfId="0" applyNumberFormat="1" applyFont="1" applyFill="1" applyAlignment="1">
      <alignment vertical="center"/>
    </xf>
    <xf numFmtId="0" fontId="6" fillId="11" borderId="0" xfId="0" applyFont="1" applyFill="1" applyAlignment="1">
      <alignment vertical="center"/>
    </xf>
    <xf numFmtId="0" fontId="6" fillId="0" borderId="0" xfId="0" applyFont="1" applyBorder="1" applyAlignment="1">
      <alignment vertical="center"/>
    </xf>
    <xf numFmtId="0" fontId="6" fillId="0" borderId="4" xfId="0" applyFont="1" applyBorder="1" applyAlignment="1">
      <alignment vertical="center"/>
    </xf>
    <xf numFmtId="168" fontId="6" fillId="0" borderId="4" xfId="0" applyNumberFormat="1" applyFont="1" applyBorder="1" applyAlignment="1">
      <alignment vertical="center"/>
    </xf>
    <xf numFmtId="0" fontId="6" fillId="0" borderId="4" xfId="0" applyFont="1" applyBorder="1" applyAlignment="1">
      <alignment horizontal="right" vertical="center"/>
    </xf>
    <xf numFmtId="0" fontId="6" fillId="11" borderId="4" xfId="0" applyFont="1" applyFill="1" applyBorder="1" applyAlignment="1">
      <alignment vertical="center"/>
    </xf>
    <xf numFmtId="168" fontId="6" fillId="0" borderId="4" xfId="0" applyNumberFormat="1" applyFont="1" applyFill="1" applyBorder="1" applyAlignment="1">
      <alignment vertical="center"/>
    </xf>
    <xf numFmtId="168" fontId="23" fillId="0" borderId="0" xfId="0" applyNumberFormat="1" applyFont="1" applyAlignment="1">
      <alignment vertical="center"/>
    </xf>
    <xf numFmtId="0" fontId="23" fillId="0" borderId="0" xfId="0" applyFont="1" applyAlignment="1">
      <alignment horizontal="right" vertical="center"/>
    </xf>
    <xf numFmtId="0" fontId="6" fillId="0" borderId="0" xfId="0" applyFont="1" applyFill="1" applyAlignment="1">
      <alignment vertical="center"/>
    </xf>
    <xf numFmtId="0" fontId="6" fillId="0" borderId="0" xfId="0" applyFont="1" applyBorder="1" applyAlignment="1">
      <alignment horizontal="right" vertical="center"/>
    </xf>
    <xf numFmtId="168" fontId="6" fillId="0" borderId="0" xfId="0" applyNumberFormat="1" applyFont="1" applyFill="1" applyBorder="1" applyAlignment="1">
      <alignment vertical="center"/>
    </xf>
    <xf numFmtId="0" fontId="6" fillId="11" borderId="0" xfId="0" applyFont="1" applyFill="1" applyBorder="1" applyAlignment="1">
      <alignment vertical="center"/>
    </xf>
    <xf numFmtId="168" fontId="6" fillId="0" borderId="0" xfId="0" applyNumberFormat="1" applyFont="1" applyBorder="1" applyAlignment="1">
      <alignment vertical="center"/>
    </xf>
    <xf numFmtId="0" fontId="25" fillId="0" borderId="0" xfId="0" applyFont="1" applyFill="1" applyAlignment="1">
      <alignment vertical="center" readingOrder="1"/>
    </xf>
    <xf numFmtId="0" fontId="52" fillId="0" borderId="0" xfId="0" applyFont="1" applyFill="1" applyAlignment="1">
      <alignment horizontal="right" vertical="center" wrapText="1" readingOrder="1"/>
    </xf>
    <xf numFmtId="168" fontId="52" fillId="0" borderId="0" xfId="0" applyNumberFormat="1" applyFont="1" applyFill="1" applyAlignment="1">
      <alignment horizontal="right" vertical="center" wrapText="1" readingOrder="1"/>
    </xf>
    <xf numFmtId="0" fontId="25" fillId="0" borderId="4" xfId="0" applyFont="1" applyFill="1" applyBorder="1" applyAlignment="1">
      <alignment vertical="center" wrapText="1" readingOrder="1"/>
    </xf>
    <xf numFmtId="0" fontId="25" fillId="0" borderId="4" xfId="0" applyFont="1" applyFill="1" applyBorder="1" applyAlignment="1">
      <alignment vertical="center" readingOrder="1"/>
    </xf>
    <xf numFmtId="168" fontId="52" fillId="0" borderId="4" xfId="0" applyNumberFormat="1" applyFont="1" applyFill="1" applyBorder="1" applyAlignment="1">
      <alignment horizontal="right" vertical="center" wrapText="1" readingOrder="1"/>
    </xf>
    <xf numFmtId="168" fontId="52" fillId="0" borderId="0" xfId="0" applyNumberFormat="1" applyFont="1" applyFill="1" applyAlignment="1">
      <alignment vertical="center" wrapText="1" readingOrder="1"/>
    </xf>
    <xf numFmtId="0" fontId="6" fillId="0" borderId="0" xfId="0" applyFont="1" applyAlignment="1">
      <alignment horizontal="center" vertical="center"/>
    </xf>
    <xf numFmtId="0" fontId="55" fillId="0" borderId="0" xfId="0" applyFont="1"/>
    <xf numFmtId="0" fontId="52" fillId="0" borderId="0" xfId="0" applyFont="1"/>
    <xf numFmtId="0" fontId="55" fillId="12" borderId="1" xfId="0" applyFont="1" applyFill="1" applyBorder="1" applyAlignment="1">
      <alignment vertical="center" wrapText="1"/>
    </xf>
    <xf numFmtId="0" fontId="55" fillId="12" borderId="1" xfId="0" applyFont="1" applyFill="1" applyBorder="1" applyAlignment="1">
      <alignment horizontal="center" vertical="center" wrapText="1"/>
    </xf>
    <xf numFmtId="0" fontId="52" fillId="0" borderId="1" xfId="0" applyFont="1" applyBorder="1" applyAlignment="1">
      <alignment vertical="center" wrapText="1"/>
    </xf>
    <xf numFmtId="1" fontId="52" fillId="0" borderId="1" xfId="0" applyNumberFormat="1" applyFont="1" applyBorder="1" applyAlignment="1">
      <alignment horizontal="right" wrapText="1"/>
    </xf>
    <xf numFmtId="166" fontId="52" fillId="0" borderId="1" xfId="5" applyNumberFormat="1" applyFont="1" applyBorder="1" applyAlignment="1">
      <alignment horizontal="right" wrapText="1"/>
    </xf>
    <xf numFmtId="167" fontId="52" fillId="0" borderId="1" xfId="3" applyNumberFormat="1" applyFont="1" applyBorder="1" applyAlignment="1">
      <alignment horizontal="right" wrapText="1"/>
    </xf>
    <xf numFmtId="1" fontId="56" fillId="0" borderId="1" xfId="0" applyNumberFormat="1" applyFont="1" applyBorder="1" applyAlignment="1">
      <alignment horizontal="right" wrapText="1"/>
    </xf>
    <xf numFmtId="166" fontId="56" fillId="0" borderId="1" xfId="5" applyNumberFormat="1" applyFont="1" applyBorder="1" applyAlignment="1">
      <alignment horizontal="right" wrapText="1"/>
    </xf>
    <xf numFmtId="167" fontId="56" fillId="0" borderId="1" xfId="3" applyNumberFormat="1" applyFont="1" applyBorder="1" applyAlignment="1">
      <alignment horizontal="right" wrapText="1"/>
    </xf>
    <xf numFmtId="1" fontId="56" fillId="0" borderId="26" xfId="0" applyNumberFormat="1" applyFont="1" applyBorder="1" applyAlignment="1">
      <alignment horizontal="right" wrapText="1"/>
    </xf>
    <xf numFmtId="166" fontId="56" fillId="0" borderId="26" xfId="5" applyNumberFormat="1" applyFont="1" applyBorder="1" applyAlignment="1">
      <alignment horizontal="right" wrapText="1"/>
    </xf>
    <xf numFmtId="167" fontId="56" fillId="0" borderId="26" xfId="3" applyNumberFormat="1" applyFont="1" applyBorder="1" applyAlignment="1">
      <alignment horizontal="right" wrapText="1"/>
    </xf>
    <xf numFmtId="0" fontId="55" fillId="0" borderId="24" xfId="0" applyFont="1" applyBorder="1" applyAlignment="1">
      <alignment horizontal="left" vertical="center" wrapText="1"/>
    </xf>
    <xf numFmtId="166" fontId="55" fillId="0" borderId="24" xfId="5" applyNumberFormat="1" applyFont="1" applyBorder="1" applyAlignment="1">
      <alignment horizontal="right" wrapText="1"/>
    </xf>
    <xf numFmtId="167" fontId="55" fillId="0" borderId="24" xfId="3" applyNumberFormat="1" applyFont="1" applyBorder="1" applyAlignment="1">
      <alignment horizontal="right" wrapText="1"/>
    </xf>
    <xf numFmtId="0" fontId="23" fillId="0" borderId="0" xfId="0" applyFont="1"/>
    <xf numFmtId="0" fontId="52" fillId="0" borderId="1" xfId="0" applyFont="1" applyBorder="1" applyAlignment="1">
      <alignment horizontal="left" vertical="center" wrapText="1"/>
    </xf>
    <xf numFmtId="1" fontId="52" fillId="0" borderId="1" xfId="0" applyNumberFormat="1" applyFont="1" applyBorder="1" applyAlignment="1">
      <alignment horizontal="right" vertical="center" wrapText="1"/>
    </xf>
    <xf numFmtId="166" fontId="52" fillId="0" borderId="1" xfId="5" applyNumberFormat="1" applyFont="1" applyBorder="1" applyAlignment="1">
      <alignment horizontal="right" vertical="center" wrapText="1"/>
    </xf>
    <xf numFmtId="167" fontId="52" fillId="0" borderId="1" xfId="3" applyNumberFormat="1" applyFont="1" applyBorder="1" applyAlignment="1">
      <alignment horizontal="right" vertical="center" wrapText="1"/>
    </xf>
    <xf numFmtId="1" fontId="56" fillId="0" borderId="1" xfId="0" applyNumberFormat="1" applyFont="1" applyBorder="1" applyAlignment="1">
      <alignment horizontal="right" vertical="center" wrapText="1"/>
    </xf>
    <xf numFmtId="166" fontId="56" fillId="0" borderId="1" xfId="5" applyNumberFormat="1" applyFont="1" applyBorder="1" applyAlignment="1">
      <alignment horizontal="right" vertical="center" wrapText="1"/>
    </xf>
    <xf numFmtId="167" fontId="56" fillId="0" borderId="1" xfId="3" applyNumberFormat="1" applyFont="1" applyBorder="1" applyAlignment="1">
      <alignment horizontal="right" vertical="center" wrapText="1"/>
    </xf>
    <xf numFmtId="1" fontId="56" fillId="0" borderId="26" xfId="0" applyNumberFormat="1" applyFont="1" applyBorder="1" applyAlignment="1">
      <alignment horizontal="right" vertical="center" wrapText="1"/>
    </xf>
    <xf numFmtId="166" fontId="56" fillId="0" borderId="26" xfId="5" applyNumberFormat="1" applyFont="1" applyBorder="1" applyAlignment="1">
      <alignment horizontal="right" vertical="center" wrapText="1"/>
    </xf>
    <xf numFmtId="167" fontId="56" fillId="0" borderId="26" xfId="3" applyNumberFormat="1" applyFont="1" applyBorder="1" applyAlignment="1">
      <alignment horizontal="right" vertical="center" wrapText="1"/>
    </xf>
    <xf numFmtId="1" fontId="55" fillId="0" borderId="24" xfId="0" applyNumberFormat="1" applyFont="1" applyBorder="1" applyAlignment="1">
      <alignment horizontal="right" vertical="center" wrapText="1"/>
    </xf>
    <xf numFmtId="166" fontId="55" fillId="0" borderId="24" xfId="5" applyNumberFormat="1" applyFont="1" applyBorder="1" applyAlignment="1">
      <alignment horizontal="right" vertical="center" wrapText="1"/>
    </xf>
    <xf numFmtId="167" fontId="55" fillId="0" borderId="24" xfId="3" applyNumberFormat="1" applyFont="1" applyBorder="1" applyAlignment="1">
      <alignment horizontal="right" vertical="center" wrapText="1"/>
    </xf>
    <xf numFmtId="0" fontId="55" fillId="0" borderId="0" xfId="0" applyFont="1" applyFill="1" applyBorder="1" applyAlignment="1">
      <alignment horizontal="left" vertical="center"/>
    </xf>
    <xf numFmtId="0" fontId="55" fillId="12" borderId="13" xfId="0" applyFont="1" applyFill="1" applyBorder="1" applyAlignment="1">
      <alignment vertical="center" wrapText="1"/>
    </xf>
    <xf numFmtId="0" fontId="55" fillId="12" borderId="13" xfId="0" applyFont="1" applyFill="1" applyBorder="1" applyAlignment="1">
      <alignment horizontal="center" vertical="center" wrapText="1"/>
    </xf>
    <xf numFmtId="0" fontId="52" fillId="0" borderId="25" xfId="0" applyFont="1" applyBorder="1" applyAlignment="1">
      <alignment vertical="center" wrapText="1"/>
    </xf>
    <xf numFmtId="1" fontId="52" fillId="0" borderId="25" xfId="0" applyNumberFormat="1" applyFont="1" applyBorder="1" applyAlignment="1">
      <alignment horizontal="right" vertical="center" wrapText="1"/>
    </xf>
    <xf numFmtId="167" fontId="52" fillId="0" borderId="25" xfId="3" applyNumberFormat="1" applyFont="1" applyBorder="1" applyAlignment="1">
      <alignment horizontal="right" vertical="center" wrapText="1"/>
    </xf>
    <xf numFmtId="0" fontId="52" fillId="0" borderId="30" xfId="0" applyFont="1" applyBorder="1" applyAlignment="1">
      <alignment vertical="center" wrapText="1"/>
    </xf>
    <xf numFmtId="1" fontId="52" fillId="0" borderId="30" xfId="0" applyNumberFormat="1" applyFont="1" applyBorder="1" applyAlignment="1">
      <alignment horizontal="right" vertical="center" wrapText="1"/>
    </xf>
    <xf numFmtId="167" fontId="52" fillId="0" borderId="30" xfId="3" applyNumberFormat="1" applyFont="1" applyBorder="1" applyAlignment="1">
      <alignment horizontal="right" vertical="center" wrapText="1"/>
    </xf>
    <xf numFmtId="1" fontId="56" fillId="0" borderId="25" xfId="0" applyNumberFormat="1" applyFont="1" applyBorder="1" applyAlignment="1">
      <alignment horizontal="right" vertical="center" wrapText="1"/>
    </xf>
    <xf numFmtId="167" fontId="56" fillId="0" borderId="25" xfId="3" applyNumberFormat="1" applyFont="1" applyBorder="1" applyAlignment="1">
      <alignment horizontal="right" vertical="center" wrapText="1"/>
    </xf>
    <xf numFmtId="1" fontId="56" fillId="0" borderId="28" xfId="0" applyNumberFormat="1" applyFont="1" applyBorder="1" applyAlignment="1">
      <alignment horizontal="right" vertical="center" wrapText="1"/>
    </xf>
    <xf numFmtId="167" fontId="56" fillId="0" borderId="29" xfId="3" applyNumberFormat="1" applyFont="1" applyBorder="1" applyAlignment="1">
      <alignment horizontal="right" vertical="center" wrapText="1"/>
    </xf>
    <xf numFmtId="0" fontId="52" fillId="0" borderId="1" xfId="0" applyFont="1" applyFill="1" applyBorder="1" applyAlignment="1">
      <alignment vertical="center" wrapText="1"/>
    </xf>
    <xf numFmtId="9" fontId="6" fillId="0" borderId="1" xfId="4" applyFont="1" applyBorder="1"/>
    <xf numFmtId="168" fontId="0" fillId="0" borderId="0" xfId="0" applyNumberFormat="1" applyFont="1" applyAlignment="1">
      <alignment horizontal="right" vertical="center"/>
    </xf>
    <xf numFmtId="0" fontId="0" fillId="0" borderId="0" xfId="0" applyAlignment="1">
      <alignment horizontal="right"/>
    </xf>
    <xf numFmtId="0" fontId="0" fillId="13" borderId="0" xfId="0" applyFill="1" applyAlignment="1">
      <alignment horizontal="right"/>
    </xf>
    <xf numFmtId="0" fontId="0" fillId="0" borderId="0" xfId="0" applyFill="1" applyBorder="1" applyAlignment="1">
      <alignment horizontal="right"/>
    </xf>
    <xf numFmtId="0" fontId="0" fillId="0" borderId="4" xfId="0" applyBorder="1" applyAlignment="1">
      <alignment horizontal="right"/>
    </xf>
    <xf numFmtId="168" fontId="1" fillId="0" borderId="0" xfId="0" applyNumberFormat="1" applyFont="1" applyAlignment="1">
      <alignment horizontal="right" vertical="center"/>
    </xf>
    <xf numFmtId="167" fontId="0" fillId="0" borderId="0" xfId="3" applyNumberFormat="1" applyFont="1" applyAlignment="1">
      <alignment horizontal="right" vertical="center"/>
    </xf>
    <xf numFmtId="167" fontId="0" fillId="0" borderId="0" xfId="3" applyNumberFormat="1" applyFont="1" applyFill="1" applyAlignment="1">
      <alignment horizontal="right" vertical="center"/>
    </xf>
    <xf numFmtId="167" fontId="0" fillId="0" borderId="4" xfId="3" applyNumberFormat="1" applyFont="1" applyBorder="1" applyAlignment="1">
      <alignment horizontal="right" vertical="center"/>
    </xf>
    <xf numFmtId="167" fontId="0" fillId="0" borderId="4" xfId="3" applyNumberFormat="1" applyFont="1" applyFill="1" applyBorder="1" applyAlignment="1">
      <alignment horizontal="right" vertical="center"/>
    </xf>
    <xf numFmtId="168" fontId="1" fillId="0" borderId="0" xfId="0" applyNumberFormat="1" applyFont="1" applyBorder="1" applyAlignment="1">
      <alignment horizontal="right" vertical="center"/>
    </xf>
    <xf numFmtId="168" fontId="1" fillId="0" borderId="4" xfId="0" applyNumberFormat="1" applyFont="1" applyBorder="1" applyAlignment="1">
      <alignment horizontal="right" vertical="center"/>
    </xf>
    <xf numFmtId="167" fontId="1" fillId="0" borderId="4" xfId="3" applyNumberFormat="1" applyFont="1" applyBorder="1" applyAlignment="1">
      <alignment horizontal="right" vertical="center"/>
    </xf>
    <xf numFmtId="167" fontId="1" fillId="0" borderId="0" xfId="0" applyNumberFormat="1" applyFont="1" applyAlignment="1">
      <alignment horizontal="right" vertical="center"/>
    </xf>
    <xf numFmtId="167" fontId="46" fillId="0" borderId="0" xfId="0" applyNumberFormat="1" applyFont="1" applyAlignment="1">
      <alignment horizontal="right"/>
    </xf>
    <xf numFmtId="167" fontId="0" fillId="0" borderId="9" xfId="3" applyNumberFormat="1" applyFont="1" applyBorder="1" applyAlignment="1">
      <alignment horizontal="right" vertical="center"/>
    </xf>
    <xf numFmtId="167" fontId="0" fillId="0" borderId="0" xfId="3" applyNumberFormat="1" applyFont="1" applyBorder="1" applyAlignment="1">
      <alignment horizontal="right" vertical="center"/>
    </xf>
    <xf numFmtId="167" fontId="0" fillId="0" borderId="0" xfId="0" applyNumberFormat="1" applyAlignment="1">
      <alignment horizontal="right"/>
    </xf>
    <xf numFmtId="169" fontId="46" fillId="13" borderId="0" xfId="0" applyNumberFormat="1" applyFont="1" applyFill="1" applyAlignment="1">
      <alignment horizontal="right"/>
    </xf>
    <xf numFmtId="2" fontId="1" fillId="0" borderId="0" xfId="0" applyNumberFormat="1" applyFont="1" applyFill="1" applyBorder="1" applyAlignment="1">
      <alignment horizontal="right" vertical="center" wrapText="1"/>
    </xf>
    <xf numFmtId="0" fontId="0" fillId="0" borderId="0" xfId="0" applyFont="1" applyFill="1" applyBorder="1" applyAlignment="1">
      <alignment horizontal="right" vertical="center"/>
    </xf>
    <xf numFmtId="169" fontId="1" fillId="0" borderId="0" xfId="3" applyNumberFormat="1" applyFont="1" applyFill="1" applyBorder="1" applyAlignment="1">
      <alignment horizontal="right" vertical="center"/>
    </xf>
    <xf numFmtId="167" fontId="1" fillId="0" borderId="0" xfId="0" applyNumberFormat="1" applyFont="1" applyBorder="1" applyAlignment="1">
      <alignment horizontal="right" vertical="center"/>
    </xf>
    <xf numFmtId="169" fontId="46" fillId="0" borderId="0" xfId="0" applyNumberFormat="1" applyFont="1" applyAlignment="1">
      <alignment horizontal="right"/>
    </xf>
    <xf numFmtId="167" fontId="0" fillId="0" borderId="4" xfId="0" applyNumberFormat="1" applyBorder="1" applyAlignment="1">
      <alignment horizontal="right"/>
    </xf>
    <xf numFmtId="168" fontId="1" fillId="13" borderId="0" xfId="0" applyNumberFormat="1" applyFont="1" applyFill="1" applyAlignment="1">
      <alignment horizontal="right" vertical="center"/>
    </xf>
    <xf numFmtId="0" fontId="0" fillId="13" borderId="0" xfId="0" applyFill="1" applyBorder="1" applyAlignment="1">
      <alignment horizontal="right"/>
    </xf>
    <xf numFmtId="6" fontId="0" fillId="0" borderId="0" xfId="0" applyNumberFormat="1" applyAlignment="1">
      <alignment horizontal="right"/>
    </xf>
    <xf numFmtId="6" fontId="0" fillId="0" borderId="4" xfId="0" applyNumberFormat="1" applyBorder="1" applyAlignment="1">
      <alignment horizontal="right"/>
    </xf>
    <xf numFmtId="0" fontId="7" fillId="0" borderId="0" xfId="0" applyFont="1" applyAlignment="1">
      <alignment horizontal="right" vertical="center"/>
    </xf>
    <xf numFmtId="1" fontId="1" fillId="0" borderId="0" xfId="0" applyNumberFormat="1" applyFont="1" applyFill="1" applyBorder="1" applyAlignment="1">
      <alignment horizontal="right" vertical="center"/>
    </xf>
    <xf numFmtId="168" fontId="1" fillId="0" borderId="0" xfId="0" applyNumberFormat="1" applyFont="1" applyFill="1" applyBorder="1" applyAlignment="1">
      <alignment horizontal="right" vertical="center"/>
    </xf>
    <xf numFmtId="0" fontId="0" fillId="0" borderId="0" xfId="0" applyAlignment="1">
      <alignment horizontal="center"/>
    </xf>
    <xf numFmtId="0" fontId="0" fillId="0" borderId="0" xfId="0" applyFont="1" applyAlignment="1">
      <alignment horizontal="center" vertical="center"/>
    </xf>
    <xf numFmtId="168" fontId="0" fillId="0" borderId="0" xfId="0" applyNumberFormat="1" applyFont="1" applyBorder="1" applyAlignment="1">
      <alignment horizontal="right" vertical="center"/>
    </xf>
    <xf numFmtId="0" fontId="52" fillId="11" borderId="4" xfId="0" applyFont="1" applyFill="1" applyBorder="1" applyAlignment="1">
      <alignment horizontal="right" vertical="center" wrapText="1" readingOrder="1"/>
    </xf>
    <xf numFmtId="0" fontId="52" fillId="11" borderId="0" xfId="0" applyFont="1" applyFill="1" applyAlignment="1">
      <alignment horizontal="right" vertical="center" wrapText="1" readingOrder="1"/>
    </xf>
    <xf numFmtId="167" fontId="0" fillId="0" borderId="0" xfId="3" applyNumberFormat="1" applyFont="1" applyFill="1" applyBorder="1" applyAlignment="1">
      <alignment horizontal="right" vertical="center"/>
    </xf>
    <xf numFmtId="167" fontId="0" fillId="0" borderId="9" xfId="0" applyNumberFormat="1" applyBorder="1" applyAlignment="1">
      <alignment horizontal="right"/>
    </xf>
    <xf numFmtId="167" fontId="0" fillId="0" borderId="0" xfId="0" applyNumberFormat="1" applyBorder="1" applyAlignment="1">
      <alignment horizontal="right"/>
    </xf>
    <xf numFmtId="168" fontId="11" fillId="0" borderId="9" xfId="0" applyNumberFormat="1" applyFont="1" applyFill="1" applyBorder="1" applyAlignment="1">
      <alignment vertical="center" wrapText="1" readingOrder="1"/>
    </xf>
    <xf numFmtId="168" fontId="11" fillId="0" borderId="9" xfId="0" applyNumberFormat="1" applyFont="1" applyFill="1" applyBorder="1" applyAlignment="1">
      <alignment horizontal="right" vertical="center" wrapText="1" readingOrder="1"/>
    </xf>
    <xf numFmtId="168" fontId="11" fillId="0" borderId="0" xfId="0" applyNumberFormat="1" applyFont="1" applyFill="1" applyBorder="1" applyAlignment="1">
      <alignment vertical="center" wrapText="1" readingOrder="1"/>
    </xf>
    <xf numFmtId="168" fontId="11" fillId="0" borderId="0" xfId="0" applyNumberFormat="1" applyFont="1" applyFill="1" applyBorder="1" applyAlignment="1">
      <alignment horizontal="right" vertical="center" wrapText="1" readingOrder="1"/>
    </xf>
    <xf numFmtId="6" fontId="0" fillId="0" borderId="9" xfId="0" applyNumberFormat="1" applyBorder="1" applyAlignment="1">
      <alignment horizontal="right"/>
    </xf>
    <xf numFmtId="6" fontId="0" fillId="0" borderId="0" xfId="0" applyNumberFormat="1" applyBorder="1" applyAlignment="1">
      <alignment horizontal="right"/>
    </xf>
    <xf numFmtId="0" fontId="0" fillId="0" borderId="4" xfId="0" applyFont="1" applyBorder="1" applyAlignment="1">
      <alignment horizontal="center" vertical="center"/>
    </xf>
    <xf numFmtId="3" fontId="52" fillId="0" borderId="25" xfId="5" applyNumberFormat="1" applyFont="1" applyBorder="1" applyAlignment="1">
      <alignment horizontal="right" vertical="center" wrapText="1"/>
    </xf>
    <xf numFmtId="3" fontId="52" fillId="0" borderId="30" xfId="5" applyNumberFormat="1" applyFont="1" applyBorder="1" applyAlignment="1">
      <alignment horizontal="right" vertical="center" wrapText="1"/>
    </xf>
    <xf numFmtId="3" fontId="56" fillId="0" borderId="25" xfId="5" applyNumberFormat="1" applyFont="1" applyBorder="1" applyAlignment="1">
      <alignment horizontal="right" vertical="center" wrapText="1"/>
    </xf>
    <xf numFmtId="3" fontId="56" fillId="0" borderId="29" xfId="5" applyNumberFormat="1" applyFont="1" applyBorder="1" applyAlignment="1">
      <alignment horizontal="right" vertical="center" wrapText="1"/>
    </xf>
    <xf numFmtId="3" fontId="55" fillId="0" borderId="24" xfId="5" applyNumberFormat="1" applyFont="1" applyBorder="1" applyAlignment="1">
      <alignment horizontal="right" vertical="center" wrapText="1"/>
    </xf>
    <xf numFmtId="3" fontId="52" fillId="0" borderId="25" xfId="0" applyNumberFormat="1" applyFont="1" applyBorder="1" applyAlignment="1">
      <alignment horizontal="right" vertical="center" wrapText="1"/>
    </xf>
    <xf numFmtId="3" fontId="56" fillId="0" borderId="29" xfId="0" applyNumberFormat="1" applyFont="1" applyBorder="1" applyAlignment="1">
      <alignment horizontal="right" vertical="center" wrapText="1"/>
    </xf>
    <xf numFmtId="0" fontId="0" fillId="0" borderId="0" xfId="0" applyAlignment="1">
      <alignment wrapText="1"/>
    </xf>
    <xf numFmtId="0" fontId="56" fillId="0" borderId="1" xfId="0" applyFont="1" applyBorder="1" applyAlignment="1">
      <alignment horizontal="right" vertical="center" wrapText="1"/>
    </xf>
    <xf numFmtId="0" fontId="56" fillId="0" borderId="26" xfId="0" applyFont="1" applyBorder="1" applyAlignment="1">
      <alignment horizontal="right" vertical="center" wrapText="1"/>
    </xf>
    <xf numFmtId="0" fontId="56" fillId="0" borderId="25" xfId="0" applyFont="1" applyBorder="1" applyAlignment="1">
      <alignment horizontal="right" vertical="center" wrapText="1" indent="1"/>
    </xf>
    <xf numFmtId="0" fontId="56" fillId="0" borderId="27" xfId="0" applyFont="1" applyBorder="1" applyAlignment="1">
      <alignment horizontal="right" vertical="center" wrapText="1" indent="1"/>
    </xf>
    <xf numFmtId="9" fontId="32" fillId="0" borderId="0" xfId="4" applyFont="1" applyFill="1" applyAlignment="1">
      <alignment vertical="center" readingOrder="1"/>
    </xf>
    <xf numFmtId="0" fontId="57" fillId="0" borderId="0" xfId="0" applyFont="1"/>
    <xf numFmtId="0" fontId="6" fillId="0" borderId="0" xfId="0" applyFont="1" applyBorder="1"/>
    <xf numFmtId="0" fontId="25" fillId="0" borderId="0" xfId="0" applyFont="1" applyFill="1" applyBorder="1" applyAlignment="1">
      <alignment vertical="center" wrapText="1" readingOrder="1"/>
    </xf>
    <xf numFmtId="0" fontId="25" fillId="0" borderId="0" xfId="0" applyFont="1" applyFill="1" applyBorder="1" applyAlignment="1">
      <alignment vertical="center" readingOrder="1"/>
    </xf>
    <xf numFmtId="168" fontId="52" fillId="0" borderId="0" xfId="0" applyNumberFormat="1" applyFont="1" applyFill="1" applyBorder="1" applyAlignment="1">
      <alignment horizontal="right" vertical="center" wrapText="1" readingOrder="1"/>
    </xf>
    <xf numFmtId="0" fontId="52" fillId="11" borderId="0" xfId="0" applyFont="1" applyFill="1" applyBorder="1" applyAlignment="1">
      <alignment horizontal="right" vertical="center" wrapText="1" readingOrder="1"/>
    </xf>
    <xf numFmtId="0" fontId="59" fillId="0" borderId="32" xfId="0" applyFont="1" applyBorder="1"/>
    <xf numFmtId="0" fontId="59" fillId="0" borderId="4" xfId="0" applyFont="1" applyBorder="1"/>
    <xf numFmtId="168" fontId="58" fillId="0" borderId="4" xfId="0" applyNumberFormat="1" applyFont="1" applyFill="1" applyBorder="1" applyAlignment="1">
      <alignment horizontal="right" vertical="center" wrapText="1" readingOrder="1"/>
    </xf>
    <xf numFmtId="0" fontId="0" fillId="0" borderId="3" xfId="0" applyBorder="1" applyAlignment="1">
      <alignment horizontal="left" wrapText="1" indent="1"/>
    </xf>
    <xf numFmtId="9" fontId="6" fillId="0" borderId="0" xfId="0" applyNumberFormat="1" applyFont="1" applyAlignment="1">
      <alignment vertical="center"/>
    </xf>
    <xf numFmtId="9" fontId="6" fillId="0" borderId="0" xfId="0" applyNumberFormat="1" applyFont="1" applyBorder="1" applyAlignment="1">
      <alignment vertical="center"/>
    </xf>
    <xf numFmtId="9" fontId="6" fillId="0" borderId="4" xfId="4" applyFont="1" applyBorder="1" applyAlignment="1">
      <alignment vertical="center"/>
    </xf>
    <xf numFmtId="9" fontId="25" fillId="0" borderId="0" xfId="0" applyNumberFormat="1" applyFont="1" applyFill="1" applyBorder="1" applyAlignment="1">
      <alignment vertical="center" readingOrder="1"/>
    </xf>
    <xf numFmtId="9" fontId="25" fillId="0" borderId="4" xfId="4" applyFont="1" applyFill="1" applyBorder="1" applyAlignment="1">
      <alignment vertical="center" readingOrder="1"/>
    </xf>
    <xf numFmtId="9" fontId="25" fillId="0" borderId="4" xfId="0" applyNumberFormat="1" applyFont="1" applyFill="1" applyBorder="1" applyAlignment="1">
      <alignment vertical="center" readingOrder="1"/>
    </xf>
    <xf numFmtId="9" fontId="25" fillId="0" borderId="0" xfId="0" applyNumberFormat="1" applyFont="1" applyFill="1" applyAlignment="1">
      <alignment vertical="center" readingOrder="1"/>
    </xf>
    <xf numFmtId="0" fontId="0" fillId="0" borderId="4" xfId="0" applyFill="1" applyBorder="1"/>
    <xf numFmtId="0" fontId="0" fillId="0" borderId="4" xfId="0" applyFont="1" applyBorder="1" applyAlignment="1">
      <alignment vertical="center" wrapText="1"/>
    </xf>
    <xf numFmtId="168" fontId="0" fillId="0" borderId="0" xfId="0" applyNumberFormat="1" applyFont="1" applyAlignment="1">
      <alignment vertical="center" wrapText="1"/>
    </xf>
    <xf numFmtId="168" fontId="0" fillId="11" borderId="4" xfId="0" applyNumberFormat="1" applyFont="1" applyFill="1" applyBorder="1" applyAlignment="1">
      <alignment vertical="center"/>
    </xf>
    <xf numFmtId="168" fontId="32" fillId="0" borderId="0" xfId="0" applyNumberFormat="1" applyFont="1" applyFill="1" applyAlignment="1">
      <alignment vertical="center" wrapText="1" readingOrder="1"/>
    </xf>
    <xf numFmtId="168" fontId="32" fillId="0" borderId="4" xfId="0" applyNumberFormat="1" applyFont="1" applyFill="1" applyBorder="1" applyAlignment="1">
      <alignment vertical="center" wrapText="1" readingOrder="1"/>
    </xf>
    <xf numFmtId="6" fontId="0" fillId="0" borderId="0" xfId="0" applyNumberFormat="1" applyBorder="1"/>
    <xf numFmtId="0" fontId="32" fillId="0" borderId="0" xfId="0" applyFont="1" applyFill="1" applyBorder="1" applyAlignment="1">
      <alignment vertical="center" wrapText="1" readingOrder="1"/>
    </xf>
    <xf numFmtId="0" fontId="0" fillId="0" borderId="1" xfId="0" applyBorder="1" applyAlignment="1">
      <alignment wrapText="1"/>
    </xf>
    <xf numFmtId="0" fontId="0" fillId="0" borderId="2" xfId="0" applyBorder="1" applyAlignment="1">
      <alignment wrapText="1"/>
    </xf>
    <xf numFmtId="0" fontId="3" fillId="0" borderId="0" xfId="0" applyFont="1" applyAlignment="1">
      <alignment horizontal="center" wrapText="1"/>
    </xf>
    <xf numFmtId="9" fontId="6" fillId="0" borderId="0" xfId="4" applyFont="1" applyAlignment="1">
      <alignment vertical="center"/>
    </xf>
    <xf numFmtId="9" fontId="0" fillId="0" borderId="0" xfId="4" applyFont="1" applyAlignment="1">
      <alignment vertical="center"/>
    </xf>
    <xf numFmtId="9" fontId="0" fillId="0" borderId="4" xfId="4" applyFont="1" applyBorder="1" applyAlignment="1">
      <alignment vertical="center"/>
    </xf>
    <xf numFmtId="9" fontId="0" fillId="0" borderId="9" xfId="4" applyFont="1" applyBorder="1" applyAlignment="1">
      <alignment vertical="center"/>
    </xf>
    <xf numFmtId="9" fontId="0" fillId="0" borderId="0" xfId="4" applyFont="1" applyBorder="1" applyAlignment="1">
      <alignment vertical="center"/>
    </xf>
    <xf numFmtId="167" fontId="1" fillId="11" borderId="0" xfId="3" applyNumberFormat="1" applyFont="1" applyFill="1" applyAlignment="1">
      <alignment horizontal="right" vertical="center"/>
    </xf>
    <xf numFmtId="9" fontId="1" fillId="0" borderId="4" xfId="4" applyFont="1" applyBorder="1" applyAlignment="1">
      <alignment horizontal="left" vertical="center"/>
    </xf>
    <xf numFmtId="9" fontId="1" fillId="2" borderId="1" xfId="4" applyFont="1" applyFill="1" applyBorder="1" applyAlignment="1">
      <alignment horizontal="center" vertical="center" wrapText="1"/>
    </xf>
    <xf numFmtId="9" fontId="39" fillId="0" borderId="0" xfId="4" applyFont="1" applyBorder="1" applyAlignment="1">
      <alignment horizontal="left" vertical="center"/>
    </xf>
    <xf numFmtId="9" fontId="0" fillId="0" borderId="0" xfId="4" applyFont="1"/>
    <xf numFmtId="9" fontId="0" fillId="13" borderId="0" xfId="4" applyFont="1" applyFill="1"/>
    <xf numFmtId="9" fontId="0" fillId="0" borderId="0" xfId="4" applyFont="1" applyAlignment="1">
      <alignment vertical="center" wrapText="1"/>
    </xf>
    <xf numFmtId="9" fontId="0" fillId="0" borderId="4" xfId="4" applyFont="1" applyBorder="1" applyAlignment="1">
      <alignment vertical="center" wrapText="1"/>
    </xf>
    <xf numFmtId="9" fontId="0" fillId="13" borderId="0" xfId="4" applyFont="1" applyFill="1" applyAlignment="1">
      <alignment vertical="center"/>
    </xf>
    <xf numFmtId="9" fontId="32" fillId="0" borderId="0" xfId="4" applyFont="1" applyFill="1" applyAlignment="1">
      <alignment vertical="center" wrapText="1" readingOrder="1"/>
    </xf>
    <xf numFmtId="9" fontId="32" fillId="0" borderId="4" xfId="4" applyFont="1" applyFill="1" applyBorder="1" applyAlignment="1">
      <alignment vertical="center" wrapText="1" readingOrder="1"/>
    </xf>
    <xf numFmtId="9" fontId="32" fillId="0" borderId="0" xfId="4" applyFont="1" applyFill="1" applyBorder="1" applyAlignment="1">
      <alignment vertical="center" wrapText="1" readingOrder="1"/>
    </xf>
    <xf numFmtId="9" fontId="0" fillId="0" borderId="4" xfId="4" applyFont="1" applyBorder="1"/>
    <xf numFmtId="9" fontId="0" fillId="0" borderId="0" xfId="4" applyFont="1" applyFill="1"/>
    <xf numFmtId="169" fontId="1" fillId="11" borderId="0" xfId="3" applyNumberFormat="1" applyFont="1" applyFill="1" applyAlignment="1">
      <alignment horizontal="right" vertical="center"/>
    </xf>
    <xf numFmtId="167" fontId="0" fillId="0" borderId="4" xfId="0" applyNumberFormat="1" applyFont="1" applyBorder="1" applyAlignment="1">
      <alignment vertical="center"/>
    </xf>
    <xf numFmtId="167" fontId="1" fillId="0" borderId="4" xfId="0" applyNumberFormat="1" applyFont="1" applyBorder="1" applyAlignment="1">
      <alignment horizontal="right" vertical="center"/>
    </xf>
    <xf numFmtId="168" fontId="1" fillId="0" borderId="0" xfId="0" applyNumberFormat="1" applyFont="1" applyAlignment="1">
      <alignment horizontal="right"/>
    </xf>
    <xf numFmtId="9" fontId="32" fillId="0" borderId="0" xfId="0" applyNumberFormat="1" applyFont="1" applyFill="1" applyAlignment="1">
      <alignment vertical="center" wrapText="1" readingOrder="1"/>
    </xf>
    <xf numFmtId="168" fontId="12" fillId="0" borderId="0" xfId="0" applyNumberFormat="1" applyFont="1" applyFill="1" applyAlignment="1">
      <alignment vertical="center" wrapText="1" readingOrder="1"/>
    </xf>
    <xf numFmtId="168" fontId="12" fillId="5" borderId="0" xfId="0" applyNumberFormat="1" applyFont="1" applyFill="1" applyAlignment="1">
      <alignment vertical="center" wrapText="1" readingOrder="1"/>
    </xf>
    <xf numFmtId="2" fontId="8" fillId="2" borderId="24" xfId="0" applyNumberFormat="1" applyFont="1" applyFill="1" applyBorder="1" applyAlignment="1">
      <alignment horizontal="center" vertical="center" wrapText="1"/>
    </xf>
    <xf numFmtId="0" fontId="34" fillId="0" borderId="0" xfId="0" applyFont="1" applyAlignment="1">
      <alignment vertical="center" wrapText="1"/>
    </xf>
    <xf numFmtId="168" fontId="32" fillId="11" borderId="0" xfId="0" applyNumberFormat="1" applyFont="1" applyFill="1" applyAlignment="1">
      <alignment vertical="center" readingOrder="1"/>
    </xf>
    <xf numFmtId="2" fontId="8" fillId="0" borderId="0" xfId="0" applyNumberFormat="1" applyFont="1" applyFill="1" applyBorder="1" applyAlignment="1">
      <alignment horizontal="left" vertical="center"/>
    </xf>
    <xf numFmtId="168" fontId="52" fillId="0" borderId="0" xfId="0" applyNumberFormat="1" applyFont="1" applyAlignment="1">
      <alignment horizontal="center" vertical="center"/>
    </xf>
    <xf numFmtId="168" fontId="12" fillId="0" borderId="0" xfId="0" applyNumberFormat="1" applyFont="1" applyAlignment="1">
      <alignment horizontal="right" vertical="center"/>
    </xf>
    <xf numFmtId="167" fontId="6" fillId="0" borderId="0" xfId="0" applyNumberFormat="1" applyFont="1"/>
    <xf numFmtId="0" fontId="9" fillId="14" borderId="0" xfId="0" applyFont="1" applyFill="1" applyAlignment="1">
      <alignment vertical="center" wrapText="1" readingOrder="1"/>
    </xf>
    <xf numFmtId="0" fontId="1" fillId="14" borderId="0" xfId="0" applyFont="1" applyFill="1" applyAlignment="1">
      <alignment vertical="center" wrapText="1"/>
    </xf>
    <xf numFmtId="0" fontId="9" fillId="0" borderId="32" xfId="0" applyFont="1" applyFill="1" applyBorder="1" applyAlignment="1">
      <alignment vertical="center" wrapText="1" readingOrder="1"/>
    </xf>
    <xf numFmtId="0" fontId="25" fillId="0" borderId="32" xfId="0" applyFont="1" applyFill="1" applyBorder="1" applyAlignment="1">
      <alignment vertical="center" wrapText="1" readingOrder="1"/>
    </xf>
    <xf numFmtId="0" fontId="32" fillId="0" borderId="32" xfId="0" applyFont="1" applyFill="1" applyBorder="1" applyAlignment="1">
      <alignment vertical="center" readingOrder="1"/>
    </xf>
    <xf numFmtId="0" fontId="32" fillId="0" borderId="32" xfId="0" applyFont="1" applyFill="1" applyBorder="1" applyAlignment="1">
      <alignment vertical="center" wrapText="1" readingOrder="1"/>
    </xf>
    <xf numFmtId="0" fontId="1" fillId="0" borderId="33" xfId="0" applyFont="1" applyBorder="1" applyAlignment="1">
      <alignment vertical="center" wrapText="1"/>
    </xf>
    <xf numFmtId="0" fontId="6" fillId="0" borderId="33" xfId="0" applyFont="1" applyBorder="1" applyAlignment="1">
      <alignment vertical="center" wrapText="1"/>
    </xf>
    <xf numFmtId="0" fontId="7" fillId="0" borderId="33" xfId="0" applyFont="1" applyBorder="1" applyAlignment="1">
      <alignment vertical="center"/>
    </xf>
    <xf numFmtId="0" fontId="32" fillId="0" borderId="33" xfId="0" applyFont="1" applyFill="1" applyBorder="1" applyAlignment="1">
      <alignment vertical="center" wrapText="1" readingOrder="1"/>
    </xf>
    <xf numFmtId="0" fontId="32" fillId="0" borderId="33" xfId="0" applyFont="1" applyFill="1" applyBorder="1" applyAlignment="1">
      <alignment vertical="center" readingOrder="1"/>
    </xf>
    <xf numFmtId="0" fontId="25" fillId="0" borderId="33" xfId="0" applyFont="1" applyFill="1" applyBorder="1" applyAlignment="1">
      <alignment vertical="center" wrapText="1" readingOrder="1"/>
    </xf>
    <xf numFmtId="0" fontId="9" fillId="0" borderId="33" xfId="0" applyFont="1" applyFill="1" applyBorder="1" applyAlignment="1">
      <alignment vertical="center" wrapText="1" readingOrder="1"/>
    </xf>
    <xf numFmtId="0" fontId="12" fillId="0" borderId="33" xfId="0" applyFont="1" applyFill="1" applyBorder="1" applyAlignment="1">
      <alignment vertical="center" wrapText="1" readingOrder="1"/>
    </xf>
    <xf numFmtId="0" fontId="52" fillId="0" borderId="33" xfId="0" applyFont="1" applyFill="1" applyBorder="1" applyAlignment="1">
      <alignment vertical="center" wrapText="1" readingOrder="1"/>
    </xf>
    <xf numFmtId="0" fontId="11" fillId="0" borderId="33" xfId="0" applyFont="1" applyFill="1" applyBorder="1" applyAlignment="1">
      <alignment vertical="center" readingOrder="1"/>
    </xf>
    <xf numFmtId="0" fontId="9" fillId="0" borderId="34" xfId="0" applyFont="1" applyFill="1" applyBorder="1" applyAlignment="1">
      <alignment vertical="center" wrapText="1" readingOrder="1"/>
    </xf>
    <xf numFmtId="0" fontId="25" fillId="0" borderId="34" xfId="0" applyFont="1" applyFill="1" applyBorder="1" applyAlignment="1">
      <alignment vertical="center" wrapText="1" readingOrder="1"/>
    </xf>
    <xf numFmtId="0" fontId="32" fillId="0" borderId="34" xfId="0" applyFont="1" applyFill="1" applyBorder="1" applyAlignment="1">
      <alignment vertical="center" readingOrder="1"/>
    </xf>
    <xf numFmtId="0" fontId="32" fillId="0" borderId="34" xfId="0" applyFont="1" applyFill="1" applyBorder="1" applyAlignment="1">
      <alignment vertical="center" wrapText="1" readingOrder="1"/>
    </xf>
    <xf numFmtId="0" fontId="0" fillId="0" borderId="0" xfId="0" applyAlignment="1">
      <alignment vertical="center" wrapText="1"/>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3" xfId="0" applyFont="1" applyBorder="1" applyAlignment="1">
      <alignment vertical="center"/>
    </xf>
    <xf numFmtId="0" fontId="23" fillId="0" borderId="0" xfId="0" applyFont="1" applyAlignment="1">
      <alignment horizontal="right" wrapText="1"/>
    </xf>
    <xf numFmtId="0" fontId="23" fillId="0" borderId="0" xfId="0" applyFont="1" applyAlignment="1">
      <alignment vertical="center"/>
    </xf>
    <xf numFmtId="0" fontId="23" fillId="0" borderId="0" xfId="0" applyFont="1" applyAlignment="1">
      <alignment vertical="center" wrapText="1"/>
    </xf>
    <xf numFmtId="0" fontId="19" fillId="2" borderId="1" xfId="0" applyFont="1" applyFill="1" applyBorder="1" applyAlignment="1">
      <alignment horizontal="center" wrapText="1"/>
    </xf>
    <xf numFmtId="0" fontId="7" fillId="0" borderId="0" xfId="0" applyFont="1" applyBorder="1" applyAlignment="1">
      <alignment horizontal="left" wrapText="1"/>
    </xf>
    <xf numFmtId="0" fontId="1" fillId="0" borderId="4" xfId="0" applyFont="1" applyBorder="1" applyAlignment="1">
      <alignment horizontal="left" vertical="center"/>
    </xf>
    <xf numFmtId="0" fontId="39" fillId="0" borderId="0" xfId="0" applyFont="1" applyBorder="1" applyAlignment="1">
      <alignment horizontal="left"/>
    </xf>
    <xf numFmtId="0" fontId="23" fillId="0" borderId="4" xfId="0" applyFont="1" applyBorder="1" applyAlignment="1">
      <alignment horizontal="left" vertical="center"/>
    </xf>
    <xf numFmtId="0" fontId="23" fillId="0" borderId="4" xfId="0" applyFont="1" applyBorder="1" applyAlignment="1">
      <alignment horizontal="left" vertical="center" wrapText="1"/>
    </xf>
    <xf numFmtId="0" fontId="8" fillId="0" borderId="0" xfId="0" applyFont="1" applyBorder="1" applyAlignment="1">
      <alignment vertical="center" wrapText="1"/>
    </xf>
    <xf numFmtId="0" fontId="8" fillId="0" borderId="0" xfId="0" applyFont="1" applyBorder="1" applyAlignment="1">
      <alignment horizontal="left" vertical="center" wrapText="1"/>
    </xf>
    <xf numFmtId="0" fontId="23" fillId="0" borderId="0" xfId="0" applyFont="1" applyAlignment="1">
      <alignment horizontal="right" wrapText="1"/>
    </xf>
    <xf numFmtId="0" fontId="6" fillId="0" borderId="0" xfId="0" applyFont="1" applyAlignment="1">
      <alignment horizontal="left" vertical="top" wrapText="1"/>
    </xf>
    <xf numFmtId="0" fontId="23" fillId="0" borderId="0" xfId="0" applyFont="1" applyAlignment="1">
      <alignment horizontal="center"/>
    </xf>
    <xf numFmtId="0" fontId="30" fillId="0" borderId="0" xfId="0" applyFont="1" applyAlignment="1">
      <alignment vertical="center"/>
    </xf>
    <xf numFmtId="0" fontId="30" fillId="0" borderId="0" xfId="0" applyFont="1" applyAlignment="1">
      <alignment horizontal="center" vertical="center" wrapText="1"/>
    </xf>
    <xf numFmtId="0" fontId="23" fillId="0" borderId="0" xfId="0" applyFont="1" applyAlignment="1">
      <alignment vertical="center"/>
    </xf>
    <xf numFmtId="0" fontId="23" fillId="0" borderId="0" xfId="0" applyFont="1" applyAlignment="1">
      <alignment vertical="center" wrapText="1"/>
    </xf>
    <xf numFmtId="0" fontId="19" fillId="2" borderId="1" xfId="0" applyFont="1" applyFill="1" applyBorder="1" applyAlignment="1">
      <alignment horizontal="center" wrapText="1"/>
    </xf>
    <xf numFmtId="0" fontId="23" fillId="3" borderId="2" xfId="0" applyFont="1" applyFill="1" applyBorder="1" applyAlignment="1">
      <alignment horizontal="left" vertical="center"/>
    </xf>
    <xf numFmtId="0" fontId="23" fillId="3" borderId="7" xfId="0" applyFont="1" applyFill="1" applyBorder="1" applyAlignment="1">
      <alignment horizontal="left" vertical="center"/>
    </xf>
    <xf numFmtId="0" fontId="23" fillId="3" borderId="3" xfId="0" applyFont="1" applyFill="1" applyBorder="1" applyAlignment="1">
      <alignment horizontal="left" vertical="center"/>
    </xf>
    <xf numFmtId="0" fontId="23" fillId="3" borderId="2" xfId="0" applyFont="1" applyFill="1" applyBorder="1" applyAlignment="1">
      <alignment horizontal="left" vertical="center" wrapText="1"/>
    </xf>
    <xf numFmtId="0" fontId="23" fillId="3" borderId="7"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0" fontId="1" fillId="0" borderId="0" xfId="0" applyFont="1" applyAlignment="1">
      <alignment horizontal="center"/>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4" xfId="0" applyFont="1" applyBorder="1" applyAlignment="1">
      <alignment horizontal="left" wrapText="1"/>
    </xf>
    <xf numFmtId="0" fontId="6" fillId="0" borderId="6" xfId="0" applyFont="1" applyBorder="1" applyAlignment="1">
      <alignment horizontal="left" wrapText="1"/>
    </xf>
    <xf numFmtId="0" fontId="26" fillId="0" borderId="8" xfId="0" applyFont="1" applyBorder="1" applyAlignment="1">
      <alignment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0" fillId="2" borderId="2" xfId="0" applyFont="1" applyFill="1" applyBorder="1" applyAlignment="1">
      <alignment horizontal="center"/>
    </xf>
    <xf numFmtId="0" fontId="0" fillId="2" borderId="7" xfId="0" applyFont="1" applyFill="1" applyBorder="1" applyAlignment="1">
      <alignment horizontal="center"/>
    </xf>
    <xf numFmtId="0" fontId="0" fillId="2" borderId="3" xfId="0" applyFont="1" applyFill="1" applyBorder="1" applyAlignment="1">
      <alignment horizontal="center"/>
    </xf>
    <xf numFmtId="2" fontId="29" fillId="0" borderId="9" xfId="1" applyNumberFormat="1" applyFont="1" applyBorder="1" applyAlignment="1">
      <alignment horizontal="left" wrapText="1"/>
    </xf>
    <xf numFmtId="0" fontId="7" fillId="0" borderId="0" xfId="0" applyFont="1" applyBorder="1" applyAlignment="1">
      <alignment horizontal="left" wrapText="1"/>
    </xf>
    <xf numFmtId="0" fontId="0" fillId="0" borderId="0" xfId="0" applyFont="1" applyAlignment="1">
      <alignment horizontal="left" vertical="top" wrapText="1"/>
    </xf>
    <xf numFmtId="0" fontId="45" fillId="0" borderId="4" xfId="0" applyFont="1" applyBorder="1" applyAlignment="1">
      <alignment horizontal="center" vertical="center" wrapText="1"/>
    </xf>
    <xf numFmtId="0" fontId="45" fillId="0" borderId="4" xfId="0" applyFont="1" applyBorder="1" applyAlignment="1">
      <alignment horizontal="center" vertical="center"/>
    </xf>
    <xf numFmtId="0" fontId="1" fillId="0" borderId="4" xfId="0" applyFont="1" applyBorder="1" applyAlignment="1">
      <alignment horizontal="left" vertical="center"/>
    </xf>
    <xf numFmtId="0" fontId="38" fillId="0" borderId="8" xfId="1" applyFont="1" applyBorder="1" applyAlignment="1">
      <alignment horizontal="left" vertical="top" wrapText="1"/>
    </xf>
    <xf numFmtId="0" fontId="7" fillId="0" borderId="9" xfId="1" applyFont="1" applyBorder="1" applyAlignment="1">
      <alignment horizontal="left" vertical="top" wrapText="1"/>
    </xf>
    <xf numFmtId="0" fontId="7" fillId="0" borderId="0" xfId="0" applyFont="1" applyAlignment="1">
      <alignment horizontal="left" vertical="center" wrapText="1"/>
    </xf>
  </cellXfs>
  <cellStyles count="7">
    <cellStyle name="Comma" xfId="5" builtinId="3"/>
    <cellStyle name="Currency" xfId="3" builtinId="4"/>
    <cellStyle name="Hyperlink" xfId="6" builtinId="8"/>
    <cellStyle name="Normal" xfId="0" builtinId="0"/>
    <cellStyle name="Normal 2" xfId="1" xr:uid="{00000000-0005-0000-0000-000002000000}"/>
    <cellStyle name="Normal 3" xfId="2" xr:uid="{00000000-0005-0000-0000-000003000000}"/>
    <cellStyle name="Percent" xfId="4" builtinId="5"/>
  </cellStyles>
  <dxfs count="186">
    <dxf>
      <font>
        <color theme="6" tint="-0.499984740745262"/>
      </font>
      <fill>
        <patternFill>
          <bgColor theme="6"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alignment vertical="center"/>
    </dxf>
    <dxf>
      <alignment vertical="center"/>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1"/>
      <border diagonalUp="0" diagonalDown="0">
        <left/>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top style="thin">
          <color rgb="FF000000"/>
        </top>
        <bottom style="thin">
          <color rgb="FF000000"/>
        </bottom>
        <horizontal style="thin">
          <color rgb="FF000000"/>
        </horizontal>
      </border>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1"/>
      <border>
        <top style="thin">
          <color rgb="FF000000"/>
        </top>
        <bottom style="thin">
          <color rgb="FF000000"/>
        </bottom>
        <horizontal style="thin">
          <color rgb="FF000000"/>
        </horizontal>
      </border>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top style="thin">
          <color rgb="FF000000"/>
        </top>
        <bottom style="thin">
          <color rgb="FF000000"/>
        </bottom>
        <horizontal style="thin">
          <color rgb="FF000000"/>
        </horizontal>
      </border>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top style="thin">
          <color rgb="FF000000"/>
        </top>
        <bottom style="thin">
          <color rgb="FF000000"/>
        </bottom>
        <horizontal style="thin">
          <color rgb="FF000000"/>
        </horizontal>
      </border>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top style="thin">
          <color rgb="FF000000"/>
        </top>
        <bottom style="thin">
          <color rgb="FF000000"/>
        </bottom>
        <horizontal style="thin">
          <color rgb="FF000000"/>
        </horizontal>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1" indent="0" justifyLastLine="0" shrinkToFit="0" readingOrder="1"/>
      <border>
        <top style="thin">
          <color rgb="FF000000"/>
        </top>
        <bottom style="thin">
          <color rgb="FF000000"/>
        </bottom>
        <horizontal style="thin">
          <color rgb="FF000000"/>
        </horizontal>
      </border>
    </dxf>
    <dxf>
      <font>
        <b/>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1"/>
      <border>
        <top style="thin">
          <color rgb="FF000000"/>
        </top>
        <bottom style="thin">
          <color rgb="FF000000"/>
        </bottom>
        <horizontal style="thin">
          <color rgb="FF000000"/>
        </horizontal>
      </border>
    </dxf>
    <dxf>
      <border outline="0">
        <top style="thin">
          <color indexed="64"/>
        </top>
      </border>
    </dxf>
    <dxf>
      <alignment vertical="center"/>
    </dxf>
    <dxf>
      <border outline="0">
        <bottom style="thin">
          <color indexed="64"/>
        </bottom>
      </border>
    </dxf>
    <dxf>
      <font>
        <b/>
        <i val="0"/>
        <strike val="0"/>
        <condense val="0"/>
        <extend val="0"/>
        <outline val="0"/>
        <shadow val="0"/>
        <u val="none"/>
        <vertAlign val="baseline"/>
        <sz val="9"/>
        <color theme="1"/>
        <name val="Calibri"/>
        <family val="2"/>
        <scheme val="minor"/>
      </font>
      <numFmt numFmtId="2" formatCode="0.00"/>
      <fill>
        <patternFill patternType="solid">
          <fgColor indexed="64"/>
          <bgColor theme="6"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right" vertical="center" textRotation="0" wrapText="1" indent="0" justifyLastLine="0" shrinkToFit="0" readingOrder="1"/>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right" vertical="center" textRotation="0" wrapText="1" indent="0" justifyLastLine="0" shrinkToFit="0" readingOrder="1"/>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right" vertical="center" textRotation="0" wrapText="1" indent="0" justifyLastLine="0" shrinkToFit="0" readingOrder="1"/>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righ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1"/>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0" indent="0" justifyLastLine="0" shrinkToFit="0" readingOrder="1"/>
    </dxf>
    <dxf>
      <font>
        <b val="0"/>
        <i val="0"/>
        <strike val="0"/>
        <condense val="0"/>
        <extend val="0"/>
        <outline val="0"/>
        <shadow val="0"/>
        <u val="none"/>
        <vertAlign val="baseline"/>
        <sz val="11"/>
        <color auto="1"/>
        <name val="Calibri"/>
        <family val="2"/>
        <scheme val="minor"/>
      </font>
      <numFmt numFmtId="168" formatCode="0.0"/>
      <fill>
        <patternFill patternType="none">
          <fgColor indexed="64"/>
          <bgColor indexed="65"/>
        </patternFill>
      </fill>
      <alignment horizontal="right" vertical="center" textRotation="0" wrapText="1" indent="0" justifyLastLine="0" shrinkToFit="0" readingOrder="1"/>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right" vertical="center" textRotation="0" wrapText="1" indent="0" justifyLastLine="0" shrinkToFit="0" readingOrder="1"/>
    </dxf>
    <dxf>
      <font>
        <b/>
        <i val="0"/>
        <strike val="0"/>
        <condense val="0"/>
        <extend val="0"/>
        <outline val="0"/>
        <shadow val="0"/>
        <u val="none"/>
        <vertAlign val="baseline"/>
        <sz val="11"/>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dxf>
    <dxf>
      <font>
        <b val="0"/>
        <i val="0"/>
        <strike val="0"/>
        <condense val="0"/>
        <extend val="0"/>
        <outline val="0"/>
        <shadow val="0"/>
        <u val="none"/>
        <vertAlign val="baseline"/>
        <sz val="11"/>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dxf>
    <dxf>
      <font>
        <b val="0"/>
        <i val="0"/>
        <strike val="0"/>
        <condense val="0"/>
        <extend val="0"/>
        <outline val="0"/>
        <shadow val="0"/>
        <u val="none"/>
        <vertAlign val="baseline"/>
        <sz val="11"/>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dxf>
    <dxf>
      <font>
        <b val="0"/>
        <i val="0"/>
        <strike val="0"/>
        <condense val="0"/>
        <extend val="0"/>
        <outline val="0"/>
        <shadow val="0"/>
        <u val="none"/>
        <vertAlign val="baseline"/>
        <sz val="11"/>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0" indent="0" justifyLastLine="0" shrinkToFit="0" readingOrder="1"/>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0" indent="0" justifyLastLine="0" shrinkToFit="0" readingOrder="1"/>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0" indent="0" justifyLastLine="0" shrinkToFit="0" readingOrder="1"/>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0" indent="0" justifyLastLine="0" shrinkToFit="0" readingOrder="1"/>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1" indent="0" justifyLastLine="0" shrinkToFit="0" readingOrder="1"/>
    </dxf>
    <dxf>
      <font>
        <b/>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1"/>
    </dxf>
    <dxf>
      <font>
        <b/>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1"/>
    </dxf>
    <dxf>
      <border outline="0">
        <top style="thin">
          <color indexed="64"/>
        </top>
      </border>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1"/>
        <name val="Calibri"/>
        <family val="2"/>
        <scheme val="minor"/>
      </font>
      <numFmt numFmtId="2" formatCode="0.0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right"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right"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right" vertical="center" textRotation="0" wrapText="1" indent="0" justifyLastLine="0" shrinkToFit="0" readingOrder="1"/>
      <border diagonalUp="0" diagonalDown="0" outline="0">
        <left/>
        <right/>
        <top/>
        <bottom style="thin">
          <color indexed="64"/>
        </bottom>
      </border>
    </dxf>
    <dxf>
      <font>
        <strike val="0"/>
        <outline val="0"/>
        <shadow val="0"/>
        <u val="none"/>
        <vertAlign val="baseline"/>
        <sz val="9"/>
        <name val="Calibri"/>
        <family val="2"/>
      </font>
    </dxf>
    <dxf>
      <font>
        <b val="0"/>
        <i val="0"/>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border outline="0">
        <top style="thin">
          <color indexed="64"/>
        </top>
      </border>
    </dxf>
    <dxf>
      <font>
        <b val="0"/>
        <i val="0"/>
        <strike val="0"/>
        <condense val="0"/>
        <extend val="0"/>
        <outline val="0"/>
        <shadow val="0"/>
        <u val="none"/>
        <vertAlign val="baseline"/>
        <sz val="9"/>
        <color auto="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1"/>
    </dxf>
    <dxf>
      <border outline="0">
        <bottom style="thin">
          <color indexed="64"/>
        </bottom>
      </border>
    </dxf>
    <dxf>
      <font>
        <b/>
        <i val="0"/>
        <strike val="0"/>
        <condense val="0"/>
        <extend val="0"/>
        <outline val="0"/>
        <shadow val="0"/>
        <u val="none"/>
        <vertAlign val="baseline"/>
        <sz val="9"/>
        <color theme="1"/>
        <name val="Calibri"/>
        <family val="2"/>
        <scheme val="minor"/>
      </font>
      <numFmt numFmtId="2" formatCode="0.0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right"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right" vertical="center" textRotation="0" wrapText="1" indent="0" justifyLastLine="0" shrinkToFit="0" readingOrder="1"/>
      <border diagonalUp="0" diagonalDown="0" outline="0">
        <left/>
        <right/>
        <top/>
        <bottom style="thin">
          <color indexed="64"/>
        </bottom>
      </border>
    </dxf>
    <dxf>
      <font>
        <strike val="0"/>
        <outline val="0"/>
        <shadow val="0"/>
        <u val="none"/>
        <vertAlign val="baseline"/>
        <sz val="9"/>
        <name val="Calibri"/>
        <family val="2"/>
      </font>
    </dxf>
    <dxf>
      <font>
        <strike val="0"/>
        <outline val="0"/>
        <shadow val="0"/>
        <u val="none"/>
        <vertAlign val="baseline"/>
        <sz val="9"/>
        <name val="Calibri"/>
        <family val="2"/>
      </font>
    </dxf>
    <dxf>
      <font>
        <b val="0"/>
        <i val="0"/>
        <strike val="0"/>
        <condense val="0"/>
        <extend val="0"/>
        <outline val="0"/>
        <shadow val="0"/>
        <u val="none"/>
        <vertAlign val="baseline"/>
        <sz val="9"/>
        <color theme="1"/>
        <name val="Calibri"/>
        <family val="2"/>
        <scheme val="minor"/>
      </font>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border outline="0">
        <top style="thin">
          <color indexed="64"/>
        </top>
      </border>
    </dxf>
    <dxf>
      <font>
        <strike val="0"/>
        <outline val="0"/>
        <shadow val="0"/>
        <u val="none"/>
        <vertAlign val="baseline"/>
        <sz val="9"/>
        <name val="Calibri"/>
        <family val="2"/>
      </font>
    </dxf>
    <dxf>
      <border outline="0">
        <bottom style="thin">
          <color indexed="64"/>
        </bottom>
      </border>
    </dxf>
    <dxf>
      <font>
        <b/>
        <i val="0"/>
        <strike val="0"/>
        <condense val="0"/>
        <extend val="0"/>
        <outline val="0"/>
        <shadow val="0"/>
        <u val="none"/>
        <vertAlign val="baseline"/>
        <sz val="9"/>
        <color theme="1"/>
        <name val="Calibri"/>
        <family val="2"/>
        <scheme val="minor"/>
      </font>
      <numFmt numFmtId="2" formatCode="0.0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right"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right"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right"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auto="1"/>
        <name val="Calibri"/>
        <family val="2"/>
        <scheme val="minor"/>
      </font>
      <numFmt numFmtId="168" formatCode="0.0"/>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0" indent="0" justifyLastLine="0" shrinkToFit="0" readingOrder="1"/>
      <border diagonalUp="0" diagonalDown="0" outline="0">
        <left/>
        <right/>
        <top/>
        <bottom style="thin">
          <color indexed="64"/>
        </bottom>
      </border>
    </dxf>
    <dxf>
      <font>
        <b val="0"/>
        <i val="0"/>
        <strike val="0"/>
        <condense val="0"/>
        <extend val="0"/>
        <outline val="0"/>
        <shadow val="0"/>
        <u val="none"/>
        <vertAlign val="baseline"/>
        <sz val="9"/>
        <color rgb="FF000000"/>
        <name val="Calibri"/>
        <family val="2"/>
        <scheme val="minor"/>
      </font>
      <fill>
        <patternFill patternType="none">
          <fgColor indexed="64"/>
          <bgColor indexed="65"/>
        </patternFill>
      </fill>
      <alignment horizontal="general" vertical="center" textRotation="0" wrapText="1" indent="0" justifyLastLine="0" shrinkToFit="0" readingOrder="1"/>
      <border diagonalUp="0" diagonalDown="0" outline="0">
        <left/>
        <right/>
        <top/>
        <bottom style="thin">
          <color indexed="64"/>
        </bottom>
      </border>
    </dxf>
    <dxf>
      <border outline="0">
        <top style="thin">
          <color indexed="64"/>
        </top>
      </border>
    </dxf>
    <dxf>
      <font>
        <b val="0"/>
        <i val="0"/>
        <strike val="0"/>
        <condense val="0"/>
        <extend val="0"/>
        <outline val="0"/>
        <shadow val="0"/>
        <u val="none"/>
        <vertAlign val="baseline"/>
        <sz val="9"/>
        <color auto="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1"/>
    </dxf>
    <dxf>
      <border outline="0">
        <bottom style="thin">
          <color indexed="64"/>
        </bottom>
      </border>
    </dxf>
    <dxf>
      <font>
        <b/>
        <i val="0"/>
        <strike val="0"/>
        <condense val="0"/>
        <extend val="0"/>
        <outline val="0"/>
        <shadow val="0"/>
        <u val="none"/>
        <vertAlign val="baseline"/>
        <sz val="9"/>
        <color theme="1"/>
        <name val="Calibri"/>
        <family val="2"/>
        <scheme val="minor"/>
      </font>
      <numFmt numFmtId="2" formatCode="0.0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outline="0">
        <left/>
        <right/>
        <top/>
        <bottom style="thin">
          <color indexed="64"/>
        </bottom>
      </border>
    </dxf>
    <dxf>
      <border outline="0">
        <top style="thin">
          <color indexed="64"/>
        </top>
      </border>
    </dxf>
    <dxf>
      <font>
        <b val="0"/>
        <i val="0"/>
        <strike val="0"/>
        <condense val="0"/>
        <extend val="0"/>
        <outline val="0"/>
        <shadow val="0"/>
        <u val="none"/>
        <vertAlign val="baseline"/>
        <sz val="9"/>
        <color theme="1"/>
        <name val="Calibri"/>
        <family val="2"/>
        <scheme val="minor"/>
      </font>
      <numFmt numFmtId="2" formatCode="0.00"/>
      <fill>
        <patternFill patternType="solid">
          <fgColor indexed="64"/>
          <bgColor theme="0" tint="-0.1499984740745262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1"/>
        <name val="Calibri"/>
        <family val="2"/>
        <scheme val="minor"/>
      </font>
      <numFmt numFmtId="2" formatCode="0.0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numFmt numFmtId="168" formatCode="0.0"/>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border diagonalUp="0" diagonalDown="0" outline="0">
        <left/>
        <right/>
        <top/>
        <bottom style="thin">
          <color indexed="64"/>
        </bottom>
      </border>
    </dxf>
    <dxf>
      <border outline="0">
        <top style="thin">
          <color indexed="64"/>
        </top>
      </border>
    </dxf>
    <dxf>
      <font>
        <b val="0"/>
        <i val="0"/>
        <strike val="0"/>
        <condense val="0"/>
        <extend val="0"/>
        <outline val="0"/>
        <shadow val="0"/>
        <u val="none"/>
        <vertAlign val="baseline"/>
        <sz val="9"/>
        <color theme="1"/>
        <name val="Calibri"/>
        <family val="2"/>
        <scheme val="minor"/>
      </font>
      <numFmt numFmtId="2" formatCode="0.00"/>
      <fill>
        <patternFill patternType="solid">
          <fgColor indexed="64"/>
          <bgColor theme="0" tint="-0.1499984740745262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1"/>
        <name val="Calibri"/>
        <family val="2"/>
        <scheme val="minor"/>
      </font>
      <numFmt numFmtId="2" formatCode="0.0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9"/>
        <color theme="1"/>
        <name val="Calibri"/>
        <family val="2"/>
        <scheme val="minor"/>
      </font>
      <numFmt numFmtId="168" formatCode="0.0"/>
      <alignment horizontal="center" vertical="center" textRotation="0" wrapText="0" indent="0" justifyLastLine="0" shrinkToFit="0" readingOrder="0"/>
    </dxf>
    <dxf>
      <font>
        <b/>
        <i val="0"/>
        <strike val="0"/>
        <condense val="0"/>
        <extend val="0"/>
        <outline val="0"/>
        <shadow val="0"/>
        <u val="none"/>
        <vertAlign val="baseline"/>
        <sz val="9"/>
        <color theme="1"/>
        <name val="Calibri"/>
        <family val="2"/>
        <scheme val="minor"/>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68" formatCode="0.0"/>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8"/>
        <color auto="1"/>
        <name val="Calibri"/>
        <family val="2"/>
        <scheme val="minor"/>
      </font>
      <alignment horizontal="general"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general" vertical="center" textRotation="0" wrapText="1" indent="0" justifyLastLine="0" shrinkToFit="0" readingOrder="0"/>
    </dxf>
    <dxf>
      <border outline="0">
        <top style="thin">
          <color indexed="64"/>
        </top>
      </border>
    </dxf>
    <dxf>
      <font>
        <strike val="0"/>
        <outline val="0"/>
        <shadow val="0"/>
        <u val="none"/>
        <vertAlign val="baseline"/>
        <sz val="9"/>
        <name val="Calibri"/>
        <family val="2"/>
      </font>
    </dxf>
    <dxf>
      <border outline="0">
        <bottom style="thin">
          <color indexed="64"/>
        </bottom>
      </border>
    </dxf>
    <dxf>
      <font>
        <b/>
        <i val="0"/>
        <strike val="0"/>
        <condense val="0"/>
        <extend val="0"/>
        <outline val="0"/>
        <shadow val="0"/>
        <u val="none"/>
        <vertAlign val="baseline"/>
        <sz val="9"/>
        <color theme="1"/>
        <name val="Calibri"/>
        <family val="2"/>
        <scheme val="minor"/>
      </font>
      <numFmt numFmtId="2" formatCode="0.0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AE615061-D4A3-46FD-9142-E2E4A3C20CD0}"/>
  </tableStyles>
  <colors>
    <mruColors>
      <color rgb="FFF5F5B0"/>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5DF7FE-6BDA-4B6B-B8FA-0CC1BE7B7C08}" name="Time_by_Program_Period" displayName="Time_by_Program_Period" ref="A2:I7" totalsRowShown="0" headerRowDxfId="185" dataDxfId="183" headerRowBorderDxfId="184" tableBorderDxfId="182">
  <autoFilter ref="A2:I7" xr:uid="{905DF7FE-6BDA-4B6B-B8FA-0CC1BE7B7C08}"/>
  <sortState xmlns:xlrd2="http://schemas.microsoft.com/office/spreadsheetml/2017/richdata2" ref="A3:I7">
    <sortCondition ref="A3:A7" customList="DERA Grant,Clean School Bus Grant,Clean Heavy Duty Vehicle Grant,Clean Ports Climate and Air Quality Planning Grant,Clean Ports Zero Emission Technology Deployment Grant"/>
  </sortState>
  <tableColumns count="9">
    <tableColumn id="1" xr3:uid="{6D61EF5C-DB02-4931-8102-AE6C1E618AB6}" name="Funding Program" dataDxfId="181"/>
    <tableColumn id="2" xr3:uid="{817F8AE5-A8D8-4787-A905-58431B09BBAD}" name="List of Instruments for Awardees to Complete*_x000a_Includes all optional instruments and information collection" dataDxfId="180"/>
    <tableColumn id="3" xr3:uid="{416F9157-1070-41A7-84D8-D8ACBC6497AF}" name="Estimated Total Hours Required by Applicantsⁱ" dataDxfId="179"/>
    <tableColumn id="4" xr3:uid="{F6C7106A-1786-46C0-8C0E-8165797F364D}" name="Estimated Total Hours Required by Awardeesⁱ_x000a_Year 1 of Project Period" dataDxfId="178"/>
    <tableColumn id="5" xr3:uid="{8FB0E85E-E129-4D80-8059-6C0396DADF00}" name="Estimated Total Hours Required by Awardeesⁱ_x000a_Year 2 of Project Period" dataDxfId="177"/>
    <tableColumn id="6" xr3:uid="{BF5DA8DF-FDAE-41C7-9794-358AC22AA1B2}" name="Estimated Total Hours Required by Awardeesⁱ_x000a_Year 3 of Project Period" dataDxfId="176"/>
    <tableColumn id="7" xr3:uid="{2E638442-0030-4931-A227-8094C52CB780}" name="Estimated Total Hours Required by Awardeesⁱ_x000a_Year 4 of Project Period*" dataDxfId="175"/>
    <tableColumn id="8" xr3:uid="{877D7298-8A14-4FA3-B6ED-2BE979EB7703}" name="Estimated Total Hours Required by Awardees for application and entire project period" dataDxfId="174">
      <calculatedColumnFormula>SUM(C3:G3)</calculatedColumnFormula>
    </tableColumn>
    <tableColumn id="9" xr3:uid="{46B71D2F-889D-46AD-BAAE-47B1155AF802}" name="Estimated Total Hours Required by Awardees for entire project period" dataDxfId="173">
      <calculatedColumnFormula>SUM(D3:G3)</calculatedColumnFormula>
    </tableColum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86F4F9-92F2-4A22-ADE1-BBED52F68E78}" name="Time_by_Instrument" displayName="Time_by_Instrument" ref="B2:AE26" totalsRowShown="0" headerRowDxfId="73" dataDxfId="71" headerRowBorderDxfId="72" tableBorderDxfId="70">
  <autoFilter ref="B2:AE26" xr:uid="{C486F4F9-92F2-4A22-ADE1-BBED52F68E78}"/>
  <tableColumns count="30">
    <tableColumn id="1" xr3:uid="{A5964325-59E0-4CDF-AC4B-984B359FBFBC}" name="EPA Form Name" dataDxfId="69"/>
    <tableColumn id="30" xr3:uid="{8C44A71F-FA8D-4E9A-9FC9-58972FE7567C}" name="Depreciated Form Name" dataDxfId="68"/>
    <tableColumn id="2" xr3:uid="{564069D8-C7B6-4A30-880D-E80A2C0B06ED}" name="List of Programs Affected" dataDxfId="67"/>
    <tableColumn id="3" xr3:uid="{078D6042-D15B-4D2A-BCAF-6ED77772A4B8}" name="Applicants or Awardees?" dataDxfId="66"/>
    <tableColumn id="4" xr3:uid="{111AEA61-BAB6-4EC8-A6E5-2F75E1D41EF0}" name="EPA Form Number" dataDxfId="65"/>
    <tableColumn id="5" xr3:uid="{7FEAFC7C-04D0-4EAE-A018-E9A3ECD21EDC}" name="Required or Optional" dataDxfId="64"/>
    <tableColumn id="6" xr3:uid="{840D35D2-A776-40AD-82D4-93E00A3606D1}" name="If Optional, share of participants expected to participate" dataDxfId="63"/>
    <tableColumn id="7" xr3:uid="{81AE72FA-73EE-482B-A8A9-09959CD57751}" name="Original Estimated Time to Complete (hours)_x000a_As estimated Dec 2023" dataDxfId="62"/>
    <tableColumn id="20" xr3:uid="{10942DED-93A5-49DA-B1EE-72D4410E20A7}" name="Original Average Estimated Time to Complete (hours)_x000a_As estimated Dec 2023" dataDxfId="61">
      <calculatedColumnFormula>(2.2+6.1)/2</calculatedColumnFormula>
    </tableColumn>
    <tableColumn id="8" xr3:uid="{763E05E6-C0D1-4C51-9076-32C71FA0C6F8}" name="Instrument Changed in NSC in Oct 2024?" dataDxfId="60"/>
    <tableColumn id="9" xr3:uid="{016A1047-C9F3-4C6F-A772-D37606FB9472}" name="Instrument Changed in Revision begun in Nov 2024?" dataDxfId="59"/>
    <tableColumn id="10" xr3:uid="{1C3F510E-22FB-42F4-BAC6-3AA7BFAF418E}" name="Low End Estimate (h)" dataDxfId="58"/>
    <tableColumn id="11" xr3:uid="{F206D748-AD86-40E7-911E-7C49D9697EAB}" name="High End Estimate (h)" dataDxfId="57"/>
    <tableColumn id="12" xr3:uid="{65A7DD3E-A99D-4FDE-B2C3-8582A98E8A37}" name="Average Estimate (h)" dataDxfId="56"/>
    <tableColumn id="29" xr3:uid="{16AE30B0-D7F7-4901-ADA0-2D211122AE41}" name="Weighted Average Time (h)" dataDxfId="55">
      <calculatedColumnFormula>Time_by_Instrument[[#This Row],[Average Estimate (h)]]*Time_by_Instrument[[#This Row],[If Optional, share of participants expected to participate]]</calculatedColumnFormula>
    </tableColumn>
    <tableColumn id="13" xr3:uid="{75C15BC3-67A7-4702-BAE7-0C771900FA81}" name="Range of Time to Complete_x000a_(hours; Nov 2024 Est.)" dataDxfId="54">
      <calculatedColumnFormula>_xlfn.TEXTJOIN(" - ",TRUE,ROUND(M3,1),ROUND(N3,1))</calculatedColumnFormula>
    </tableColumn>
    <tableColumn id="19" xr3:uid="{94D131F0-5CDC-4349-8871-A3220374226D}" name="Difference in Burden from Original Estimate (Dec 2023)" dataDxfId="53">
      <calculatedColumnFormula>Time_by_Instrument[[#This Row],[Average Estimate (h)]]-Time_by_Instrument[[#This Row],[Original Average Estimated Time to Complete (hours)
As estimated Dec 2023]]</calculatedColumnFormula>
    </tableColumn>
    <tableColumn id="14" xr3:uid="{D8B79A47-4780-481C-8D94-47B9C8AC7653}" name="Is this submitted as part of Semi-Annual Reporting?" dataDxfId="52"/>
    <tableColumn id="26" xr3:uid="{1544770E-4EC0-4895-ABB2-46C3112C5824}" name="Incremental Time to Complete for Application" dataDxfId="51">
      <calculatedColumnFormula>IF(Time_by_Instrument[[#This Row],[Applicant?]]=TRUE, Time_by_Instrument[[#This Row],[Weighted Average Time (h)]], 0)</calculatedColumnFormula>
    </tableColumn>
    <tableColumn id="15" xr3:uid="{FA14FD44-71B2-4F1B-BC6D-991756C4BF7A}" name="Incremental Time to Complete in Year 1 _x000a_(Inclusive of Semi-annual reporting and one-time reporting; using weighted averages for optional forms)" dataDxfId="50"/>
    <tableColumn id="16" xr3:uid="{06DC5F39-F45C-4A06-A7D7-471A680F9210}" name="Incremental Time to Complete in Year 2 _x000a_(Inclusive of Semi-annual reporting and one-time reporting; using weighted averages for optional forms)" dataDxfId="49"/>
    <tableColumn id="17" xr3:uid="{E1B7EB92-1BCD-4B22-8A07-FAE6D7D0E3AD}" name="Incremental Time to Complete in Year 3 _x000a_(Inclusive of Semi-annual reporting and one-time reporting; using weighted averages for optional forms)" dataDxfId="48"/>
    <tableColumn id="18" xr3:uid="{3331D7A6-B3BF-4150-99A0-7A54A2444BA8}" name="Incremental Time to Complete in Year 4 _x000a_(Inclusive of Semi-annual reporting and one-time reporting; using weighted averages for optional forms)" dataDxfId="47"/>
    <tableColumn id="21" xr3:uid="{33D9628B-9FC8-48D3-B701-582B23A4EC7F}" name="DERA Grant" dataDxfId="46">
      <calculatedColumnFormula>IF(ISNUMBER(SEARCH(Y$2,$D3)), TRUE, FALSE)</calculatedColumnFormula>
    </tableColumn>
    <tableColumn id="22" xr3:uid="{45B05321-21A5-427A-8A4F-39E1BE8D6C1B}" name="Clean School Bus Grant" dataDxfId="45">
      <calculatedColumnFormula>IF(ISNUMBER(SEARCH(Z$2,$D3)), TRUE, FALSE)</calculatedColumnFormula>
    </tableColumn>
    <tableColumn id="23" xr3:uid="{EC8CDD4A-C2F1-4422-98B4-A4737FF7C019}" name="Clean Heavy-Duty Vehicles Grant" dataDxfId="44">
      <calculatedColumnFormula>IF(ISNUMBER(SEARCH(AA$2,$D3)), TRUE, FALSE)</calculatedColumnFormula>
    </tableColumn>
    <tableColumn id="28" xr3:uid="{45EE7977-70A3-4E17-8C78-6B3964D523DE}" name="Clean Ports Climate and Air Quality Planning Grant" dataDxfId="43">
      <calculatedColumnFormula>IF(ISNUMBER(SEARCH(AB$2,$D3)), TRUE, FALSE)</calculatedColumnFormula>
    </tableColumn>
    <tableColumn id="27" xr3:uid="{9F1B3042-0359-4512-B000-DC8F60DFB2EB}" name="Clean Ports Zero Emission Technology Deployment Grant" dataDxfId="42">
      <calculatedColumnFormula>IF(ISNUMBER(SEARCH(AC$2,$D3)), TRUE, FALSE)</calculatedColumnFormula>
    </tableColumn>
    <tableColumn id="24" xr3:uid="{8ADAD538-723A-4045-95B8-8106FAE48028}" name="Applicant?" dataDxfId="41">
      <calculatedColumnFormula>IF(ISNUMBER(SEARCH(AD$2,$E3)), TRUE, FALSE)</calculatedColumnFormula>
    </tableColumn>
    <tableColumn id="25" xr3:uid="{BEE2FF1C-FD36-49E1-883B-93981B71D5BC}" name="Awardee?" dataDxfId="40">
      <calculatedColumnFormula>IF(ISNUMBER(SEARCH(AE$2,$E3)), TRUE, FALSE)</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9B9360-CFBC-4BAB-92CC-BABE62B4F66D}" name="Table3" displayName="Table3" ref="B2:K22" totalsRowShown="0" headerRowDxfId="39" dataDxfId="37" headerRowBorderDxfId="38" tableBorderDxfId="36">
  <autoFilter ref="B2:K22" xr:uid="{879B9360-CFBC-4BAB-92CC-BABE62B4F66D}"/>
  <sortState xmlns:xlrd2="http://schemas.microsoft.com/office/spreadsheetml/2017/richdata2" ref="B3:K22">
    <sortCondition ref="G2:G22"/>
  </sortState>
  <tableColumns count="10">
    <tableColumn id="1" xr3:uid="{899737B4-ECC4-4F00-BE41-982B6DB7548E}" name="EPA Form Name" dataDxfId="35"/>
    <tableColumn id="2" xr3:uid="{E14DF206-8FD5-4998-BD1C-9A6721E23811}" name="List of Programs Affected" dataDxfId="34"/>
    <tableColumn id="3" xr3:uid="{DD4B1D2A-B42E-4614-873C-731EB8DDDD6A}" name="Applicants or Awardees?" dataDxfId="33"/>
    <tableColumn id="4" xr3:uid="{19B58CBD-7B5F-4218-B9D0-656AAB8DC661}" name="EPA Form Number" dataDxfId="32"/>
    <tableColumn id="5" xr3:uid="{D2266EDD-6B2E-4BA3-BD32-58F0861B0CF8}" name="Required or Optional" dataDxfId="31"/>
    <tableColumn id="6" xr3:uid="{073AD1A8-1A25-48D9-AE61-2D68212AD288}" name="Edits since April 2024 ICR Approval" dataDxfId="30"/>
    <tableColumn id="7" xr3:uid="{DF815869-3811-45D6-8666-77535B27D06B}" name="Appendix Number" dataDxfId="29"/>
    <tableColumn id="13" xr3:uid="{55C5ED0D-0BCA-49C1-95A3-EC085B25D18B}" name="Brief Description" dataDxfId="28"/>
    <tableColumn id="9" xr3:uid="{B2101AE5-5D34-456B-AF24-C3F92732E861}" name="Text for Appendix" dataDxfId="27">
      <calculatedColumnFormula>_xlfn.TEXTJOIN("", TRUE, "Appendix ", H3, ": ", B3, " (EPA Form: ",E3, ")" )</calculatedColumnFormula>
    </tableColumn>
    <tableColumn id="10" xr3:uid="{B05D5EA9-AA6C-40E8-A7C7-217A6C1E32ED}" name="Range of Time for Burden Statement (hrs)" dataDxfId="26">
      <calculatedColumnFormula>_xlfn.XLOOKUP(B3, 'Reporting Burden by Instrument'!$B$3:$B$22, 'Reporting Burden by Instrument'!$Q$3:$Q$22, "not found", 0, 1)</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673136-254D-49EB-8EF7-50382B9C53B5}" name="DERA_Unit_Burden" displayName="DERA_Unit_Burden" ref="A13:N21" totalsRowShown="0" headerRowDxfId="172" dataDxfId="170" headerRowBorderDxfId="171" tableBorderDxfId="169">
  <autoFilter ref="A13:N21" xr:uid="{89673136-254D-49EB-8EF7-50382B9C53B5}"/>
  <tableColumns count="14">
    <tableColumn id="1" xr3:uid="{0D4407A8-E5EC-49DA-88DC-F0AC35200BBA}" name="EPA Form Name" dataDxfId="168"/>
    <tableColumn id="2" xr3:uid="{08A76AAD-A319-480E-BC2F-08576F74B9C6}" name="EPA Form Number" dataDxfId="167"/>
    <tableColumn id="3" xr3:uid="{873D3ABF-9FD6-42DA-B266-FFECA9825A2F}" name="Required or Optional" dataDxfId="166"/>
    <tableColumn id="13" xr3:uid="{3D4A0C76-399A-4983-A317-B1A9B799B3D1}" name="Share of participants completing _x000a_(If required, assume 100% of respondents will complete and submit this form)" dataDxfId="165"/>
    <tableColumn id="4" xr3:uid="{37E74AD1-A9AE-41E0-9596-5661582D263F}" name="Low End Estimate_x000a_(hrs.)" dataDxfId="164"/>
    <tableColumn id="5" xr3:uid="{7F1C434A-C50A-4044-AFAC-38713EA09697}" name="High End Estimate_x000a_(hrs.)" dataDxfId="163"/>
    <tableColumn id="6" xr3:uid="{25014661-6618-439A-8D63-0BC36E106A8F}" name="Average Estimate_x000a_(hrs.)" dataDxfId="162"/>
    <tableColumn id="14" xr3:uid="{D5113834-FC00-438E-8243-DC995F0A8047}" name="Weighted Average (hrs.)_x000a_Accounting for Share of Participants Completing Optional Forms" dataDxfId="161">
      <calculatedColumnFormula>DERA_Unit_Burden[[#This Row],[Share of participants completing 
(If required, assume 100% of respondents will complete and submit this form)]]*DERA_Unit_Burden[[#This Row],[Average Estimate
(hrs.)]]</calculatedColumnFormula>
    </tableColumn>
    <tableColumn id="7" xr3:uid="{90650E29-3063-45DD-A627-695CA4D5D6BC}" name="Range of Time to Complete_x000a_(hrs.)" dataDxfId="160"/>
    <tableColumn id="8" xr3:uid="{B15BFF2E-6E2A-4C25-9E60-185B7FD8D71C}" name="Application" dataDxfId="159"/>
    <tableColumn id="9" xr3:uid="{CA49D124-98EA-49B6-BA17-0C6558F97627}" name=" Year 1" dataDxfId="158"/>
    <tableColumn id="10" xr3:uid="{05B7231E-11B2-44DF-82DA-AF7C0DC9BC82}" name=" Year 2" dataDxfId="157"/>
    <tableColumn id="11" xr3:uid="{0869B322-4622-4BA3-A126-B1842E3E52D1}" name=" Year 3" dataDxfId="156"/>
    <tableColumn id="12" xr3:uid="{CB3A2235-F028-4970-87EA-769ECD9A224D}" name=" Year 4" dataDxfId="15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B4F458A-B660-4C6A-8982-CDA55DC92B1D}" name="CSB_Unit_Burden" displayName="CSB_Unit_Burden" ref="A24:M31" totalsRowShown="0" headerRowDxfId="154" dataDxfId="152" headerRowBorderDxfId="153" tableBorderDxfId="151">
  <autoFilter ref="A24:M31" xr:uid="{FB4F458A-B660-4C6A-8982-CDA55DC92B1D}"/>
  <tableColumns count="13">
    <tableColumn id="1" xr3:uid="{3DB2ABAC-FEEF-4B07-9D4B-50858E715299}" name="EPA Form Name" dataDxfId="150"/>
    <tableColumn id="2" xr3:uid="{722EB36D-54B4-4E49-92CE-19AE8D77F329}" name="EPA Form Number" dataDxfId="149"/>
    <tableColumn id="3" xr3:uid="{9FF60FF6-13D6-45E1-AE52-D7E3CBF79764}" name="Required or Optional" dataDxfId="148"/>
    <tableColumn id="12" xr3:uid="{911ED605-1ECE-4C61-BC98-E4D2D23E5212}" name="Share of participants completing _x000a_(If required, assume 100% of respondents will complete and submit this form)" dataDxfId="147"/>
    <tableColumn id="4" xr3:uid="{EB27B426-5D2A-4515-8640-EA4A73B7FF17}" name="Low End Estimate_x000a_(hrs.)" dataDxfId="146">
      <calculatedColumnFormula>_xlfn.XLOOKUP(CSB_Unit_Burden[[#This Row],[EPA Form Name]], Time_by_Instrument[EPA Form Name],Time_by_Instrument[Low End Estimate (h)], "not found", 0, 1)</calculatedColumnFormula>
    </tableColumn>
    <tableColumn id="5" xr3:uid="{3A24A12E-B087-4756-8A26-C469AA7F9A23}" name="High End Estimate_x000a_(hrs.)" dataDxfId="145">
      <calculatedColumnFormula>_xlfn.XLOOKUP(CSB_Unit_Burden[[#This Row],[EPA Form Name]], Time_by_Instrument[EPA Form Name],Time_by_Instrument[High End Estimate (h)], "not found", 0, 1)</calculatedColumnFormula>
    </tableColumn>
    <tableColumn id="6" xr3:uid="{7D4D5209-93E0-4ECD-B7CC-9A9CEA9A7A14}" name="Average Estimate_x000a_(hrs.)" dataDxfId="144">
      <calculatedColumnFormula>_xlfn.XLOOKUP(CSB_Unit_Burden[[#This Row],[EPA Form Name]], Time_by_Instrument[EPA Form Name],Time_by_Instrument[Average Estimate (h)], "not found", 0, 1)</calculatedColumnFormula>
    </tableColumn>
    <tableColumn id="13" xr3:uid="{C509FCC4-17BE-400B-942D-DDFB2318C8C3}" name="Weighted Average (hrs.)_x000a_Accounting for Share of Participants Completing Optional Forms" dataDxfId="143">
      <calculatedColumnFormula>CSB_Unit_Burden[[#This Row],[Share of participants completing 
(If required, assume 100% of respondents will complete and submit this form)]]*CSB_Unit_Burden[[#This Row],[Average Estimate
(hrs.)]]</calculatedColumnFormula>
    </tableColumn>
    <tableColumn id="7" xr3:uid="{E0221D61-0C49-4BE7-A0EF-9F432EA74B7A}" name="Range of Time to Complete_x000a_(hrs.)" dataDxfId="142"/>
    <tableColumn id="8" xr3:uid="{77651B5C-3E62-41A2-AD47-2C82C519EECC}" name="Application" dataDxfId="141"/>
    <tableColumn id="9" xr3:uid="{15ECA2D2-E385-40FA-9632-E21C9275FF68}" name=" Year 1" dataDxfId="140"/>
    <tableColumn id="10" xr3:uid="{EF1AFA90-49A6-4BEC-B305-B14231279F9D}" name=" Year 2" dataDxfId="139"/>
    <tableColumn id="11" xr3:uid="{2507D361-AD96-4AB8-B267-4FC69303DF01}" name=" Year 3" dataDxfId="13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3259B05-0EC6-4D11-807A-995A0C345CE6}" name="CHDV_Unit_Burden" displayName="CHDV_Unit_Burden" ref="A34:M41" totalsRowShown="0" headerRowDxfId="137" dataDxfId="135" headerRowBorderDxfId="136" tableBorderDxfId="134">
  <autoFilter ref="A34:M41" xr:uid="{33259B05-0EC6-4D11-807A-995A0C345CE6}"/>
  <tableColumns count="13">
    <tableColumn id="1" xr3:uid="{75E94579-AD30-4EFD-B927-4642BC35427F}" name="EPA Form Name" dataDxfId="133"/>
    <tableColumn id="2" xr3:uid="{C53717E2-03E0-4CF8-BC0F-0FF84039D549}" name="EPA Form Number" dataDxfId="132"/>
    <tableColumn id="3" xr3:uid="{B09E98D1-ECD3-49D7-BF6A-659A276E89BD}" name="Required or Optional" dataDxfId="131"/>
    <tableColumn id="12" xr3:uid="{D228AAC2-D191-46C0-A27E-04D7905C5FF7}" name="Share of participants completing _x000a_(If required, assume 100% of respondents will complete and submit this form)" dataDxfId="130"/>
    <tableColumn id="4" xr3:uid="{B68D80F2-1DCB-4161-8214-0607E1DEB941}" name="Low End Estimate_x000a_(hrs.)" dataDxfId="129"/>
    <tableColumn id="5" xr3:uid="{9781D629-2780-402E-92C9-F40F60DFAA1A}" name="High End Estimate_x000a_(hrs.)" dataDxfId="128"/>
    <tableColumn id="6" xr3:uid="{D82AF7D1-44C4-4867-ACFE-E48091916F45}" name="Average Estimate_x000a_(hrs.)" dataDxfId="127"/>
    <tableColumn id="13" xr3:uid="{35FD895E-01D9-4D23-9DAE-E1B8ED8CA081}" name="Weighted Average (hrs.)_x000a_Accounting for Share of Participants Completing Optional Forms" dataDxfId="126">
      <calculatedColumnFormula>CHDV_Unit_Burden[[#This Row],[Share of participants completing 
(If required, assume 100% of respondents will complete and submit this form)]]*CHDV_Unit_Burden[[#This Row],[Average Estimate
(hrs.)]]</calculatedColumnFormula>
    </tableColumn>
    <tableColumn id="7" xr3:uid="{655EDA80-E4AD-4801-88DC-B8A9FF79CA01}" name="Range of Time to Complete_x000a_(hrs.)" dataDxfId="125"/>
    <tableColumn id="8" xr3:uid="{503656FA-08FF-4E5A-ACC4-401AC856C82D}" name="Application" dataDxfId="124"/>
    <tableColumn id="9" xr3:uid="{D50DD1CC-7CA7-46C7-9636-42BEBF46D226}" name=" Year 1" dataDxfId="123"/>
    <tableColumn id="10" xr3:uid="{9BA5ED43-21A1-4B2C-8063-11F6A3E6943C}" name=" Year 2" dataDxfId="122"/>
    <tableColumn id="11" xr3:uid="{F2CF82A0-2DCE-46C4-A360-43B119144693}" name=" Year 3" dataDxfId="12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7A6CC7-B80C-4F28-9AEF-60E1B67A3D62}" name="CP_CAQP_Unit_Burden" displayName="CP_CAQP_Unit_Burden" ref="A44:M48" totalsRowShown="0" headerRowDxfId="120" dataDxfId="118" headerRowBorderDxfId="119" tableBorderDxfId="117">
  <autoFilter ref="A44:M48" xr:uid="{E17A6CC7-B80C-4F28-9AEF-60E1B67A3D62}"/>
  <tableColumns count="13">
    <tableColumn id="1" xr3:uid="{F41F5DF3-4411-4624-AA97-88E07A5F0964}" name="EPA Form Name" dataDxfId="116"/>
    <tableColumn id="2" xr3:uid="{72F06EC3-4A6E-4E96-ACB5-8E683A05E81D}" name="EPA Form Number" dataDxfId="115"/>
    <tableColumn id="3" xr3:uid="{F8EB6E82-E7AE-4AA2-A5B3-EA1CE3EE2FCA}" name="Required or Optional" dataDxfId="114"/>
    <tableColumn id="12" xr3:uid="{E68C5605-25AC-45E9-9A07-7AEF884A2078}" name="Share of participants completing _x000a_(If required, assume 100% of respondents will complete and submit this form)" dataDxfId="113"/>
    <tableColumn id="4" xr3:uid="{895E27D0-E4F2-4B22-821D-F019B062D1B3}" name="Low End Estimate_x000a_(hrs.)" dataDxfId="112"/>
    <tableColumn id="5" xr3:uid="{CFCF5979-2CE5-4B8F-A651-40F3DB0BC2A4}" name="High End Estimate_x000a_(hrs.)" dataDxfId="111"/>
    <tableColumn id="6" xr3:uid="{42FC8AE0-CA7D-4ACD-9AF8-1BBFC0F4E35A}" name="Average Estimate_x000a_(hrs.)" dataDxfId="110"/>
    <tableColumn id="13" xr3:uid="{751BFA2F-6347-44CE-8755-CAFDD4BAFAE8}" name="Weighted Average (hrs.)_x000a_Accounting for Share of Participants Completing Optional Forms" dataDxfId="109">
      <calculatedColumnFormula>CP_CAQP_Unit_Burden[[#This Row],[Share of participants completing 
(If required, assume 100% of respondents will complete and submit this form)]]*CP_CAQP_Unit_Burden[[#This Row],[Average Estimate
(hrs.)]]</calculatedColumnFormula>
    </tableColumn>
    <tableColumn id="7" xr3:uid="{24A198E8-1255-458F-AB0C-1427BAE09ABF}" name="Range of Time to Complete_x000a_(hrs.)" dataDxfId="108"/>
    <tableColumn id="8" xr3:uid="{6273431D-A337-4645-964E-E50780E0E8CB}" name="Application" dataDxfId="107"/>
    <tableColumn id="9" xr3:uid="{17A15973-7F9D-4D03-BA20-AA4E386C1024}" name=" Year 1" dataDxfId="106"/>
    <tableColumn id="10" xr3:uid="{BD7F70FE-C031-481D-8BD2-6F3567F107EC}" name=" Year 2" dataDxfId="105"/>
    <tableColumn id="11" xr3:uid="{C3C42119-9D9A-4132-BCBA-7AEFFD07ECE9}" name=" Year 3" dataDxfId="10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B179274-D8C5-4E8B-8D45-047946BBB2E8}" name="CP_ZE_Unit_Burden" displayName="CP_ZE_Unit_Burden" ref="A51:N60" totalsRowShown="0" headerRowDxfId="103" dataDxfId="101" headerRowBorderDxfId="102" tableBorderDxfId="100">
  <autoFilter ref="A51:N60" xr:uid="{BB179274-D8C5-4E8B-8D45-047946BBB2E8}"/>
  <tableColumns count="14">
    <tableColumn id="1" xr3:uid="{22D98102-B0B8-472F-B046-8F7F9BD5BE64}" name="EPA Form Name" dataDxfId="99"/>
    <tableColumn id="2" xr3:uid="{6FC7C89E-F0E6-475F-8FD7-3496A734B67D}" name="EPA Form Number" dataDxfId="98"/>
    <tableColumn id="3" xr3:uid="{519755A7-63AE-4C7F-8A7C-150AE28BAF15}" name="Required or Optional" dataDxfId="97"/>
    <tableColumn id="13" xr3:uid="{EEC13AFF-BD37-4DC3-98A1-57426A0D2390}" name="Share of participants completing _x000a_(If required, assume 100% of respondents will complete and submit this form)" dataDxfId="96"/>
    <tableColumn id="4" xr3:uid="{B6B71A41-462A-4ECE-8168-3876057FAFB8}" name="Low End Estimate_x000a_(hrs.)" dataDxfId="95"/>
    <tableColumn id="5" xr3:uid="{FFA72F4E-23E1-4520-B2F8-0C57F40EE377}" name="High End Estimate_x000a_(hrs.)" dataDxfId="94"/>
    <tableColumn id="6" xr3:uid="{C9A4413B-D1DE-4EA6-9325-5035C296D1A1}" name="Average Estimate_x000a_(hrs.)" dataDxfId="93"/>
    <tableColumn id="14" xr3:uid="{B246E709-1534-4822-9886-65E8FD275E84}" name="Weighted Average (hrs.)_x000a_Accounting for Share of Participants Completing Optional Forms" dataDxfId="92">
      <calculatedColumnFormula>CP_ZE_Unit_Burden[[#This Row],[Share of participants completing 
(If required, assume 100% of respondents will complete and submit this form)]]*CP_ZE_Unit_Burden[[#This Row],[Average Estimate
(hrs.)]]</calculatedColumnFormula>
    </tableColumn>
    <tableColumn id="7" xr3:uid="{B255F5C0-59AF-4980-83A2-88C7D81A6467}" name="Range of Time to Complete_x000a_(hrs.)" dataDxfId="91"/>
    <tableColumn id="8" xr3:uid="{6479E732-60CF-4C24-8945-BAED37B43A19}" name="Application" dataDxfId="90"/>
    <tableColumn id="9" xr3:uid="{5CBAAD95-6BBE-4C46-B1E8-8A6E49E994A4}" name=" Year 1" dataDxfId="89"/>
    <tableColumn id="10" xr3:uid="{977E288B-96B8-480C-AEE7-80C04007E245}" name=" Year 2" dataDxfId="88"/>
    <tableColumn id="11" xr3:uid="{9DBF6770-093C-4FBC-B2BB-1C1EB88236AC}" name=" Year 3" dataDxfId="87"/>
    <tableColumn id="12" xr3:uid="{2B108899-2C31-4218-8D20-28EC4AAD4083}" name=" Year 4" dataDxfId="8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CD4B902-DF34-4936-A435-5F0E13B79558}" name="Respondents_Recipients" displayName="Respondents_Recipients" ref="B4:F14" totalsRowShown="0" headerRowDxfId="85" headerRowBorderDxfId="84" tableBorderDxfId="83" totalsRowBorderDxfId="82">
  <autoFilter ref="B4:F14" xr:uid="{0CD4B902-DF34-4936-A435-5F0E13B79558}"/>
  <tableColumns count="5">
    <tableColumn id="1" xr3:uid="{609BD011-07EF-4D15-B53E-185A219E777F}" name="Approved Recipient Per Year"/>
    <tableColumn id="2" xr3:uid="{3ECBC723-B4E5-4C4C-AA66-F5450EB6352F}" name="Number of State Recipients"/>
    <tableColumn id="3" xr3:uid="{CC82741D-63B0-42E2-969F-C288DBD4A670}" name="Number of Local Recipients"/>
    <tableColumn id="4" xr3:uid="{6C9FEA54-0BC2-4E86-BDF1-56D0BF5D67CC}" name="Number of Private Recipients"/>
    <tableColumn id="5" xr3:uid="{1AD5DE49-70B1-489F-8B62-F9D6D5A3EE96}" name="Total Recipient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B0763E8-788E-40CE-B989-0890CAC02E16}" name="Respondent_Applicants" displayName="Respondent_Applicants" ref="B17:F27" totalsRowShown="0" headerRowDxfId="81" headerRowBorderDxfId="80" tableBorderDxfId="79" totalsRowBorderDxfId="78">
  <autoFilter ref="B17:F27" xr:uid="{5B0763E8-788E-40CE-B989-0890CAC02E16}"/>
  <tableColumns count="5">
    <tableColumn id="1" xr3:uid="{95975F98-D2A4-450F-8E5E-5C1EB7A7C1B0}" name="Anticipated Applicants Per Year"/>
    <tableColumn id="2" xr3:uid="{36E9BAD5-1FB4-4FD2-86BE-A28975D1DB20}" name="Number of State Applicants"/>
    <tableColumn id="3" xr3:uid="{C1761033-0F35-4DE3-A0B9-B090C53419F0}" name="Number of Local Applicants"/>
    <tableColumn id="4" xr3:uid="{03F8291D-B4E4-4629-A3EE-58F9948B53D5}" name="Number of Private Applicants"/>
    <tableColumn id="5" xr3:uid="{477F0EDC-2ED6-4585-BF87-9077188A8C5F}" name="Total Applicants"/>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8483D56-AC92-4682-B755-6B3173B07E1B}" name="Respondent_Share" displayName="Respondent_Share" ref="B31:F40" totalsRowShown="0" headerRowDxfId="77" headerRowBorderDxfId="76" tableBorderDxfId="75" totalsRowBorderDxfId="74">
  <autoFilter ref="B31:F40" xr:uid="{C8483D56-AC92-4682-B755-6B3173B07E1B}"/>
  <tableColumns count="5">
    <tableColumn id="1" xr3:uid="{CEA4E9FD-2D27-46C8-A22B-3252BD770A49}" name="Anticipated Participants Per Year"/>
    <tableColumn id="2" xr3:uid="{1804BA1B-E1EE-44CD-A7B1-71436A97CE6B}" name="Share of State Participants"/>
    <tableColumn id="3" xr3:uid="{B2081C03-6BBB-4289-911F-C857CF9CD69B}" name="Share of Local Participants"/>
    <tableColumn id="4" xr3:uid="{8143DBDE-C45F-4FE6-8B53-F381285F99C9}" name="Share of Private Participants"/>
    <tableColumn id="5" xr3:uid="{2AE35BF6-CC85-44B2-8274-0F984EA3EE06}" name="Total Participants" dataCellStyle="Percent"/>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2.bin"/><Relationship Id="rId4" Type="http://schemas.openxmlformats.org/officeDocument/2006/relationships/table" Target="../tables/table9.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41BB5-D0C4-4E36-8ED0-5003552C4DCA}">
  <sheetPr>
    <tabColor theme="1"/>
  </sheetPr>
  <dimension ref="A1:B31"/>
  <sheetViews>
    <sheetView workbookViewId="0"/>
  </sheetViews>
  <sheetFormatPr defaultRowHeight="15" x14ac:dyDescent="0.25"/>
  <cols>
    <col min="1" max="1" width="30" customWidth="1"/>
    <col min="2" max="2" width="87.85546875" bestFit="1" customWidth="1"/>
  </cols>
  <sheetData>
    <row r="1" spans="1:2" x14ac:dyDescent="0.25">
      <c r="A1" s="1" t="s">
        <v>0</v>
      </c>
    </row>
    <row r="2" spans="1:2" x14ac:dyDescent="0.25">
      <c r="A2" s="92" t="s">
        <v>1</v>
      </c>
    </row>
    <row r="3" spans="1:2" x14ac:dyDescent="0.25">
      <c r="A3" s="1" t="s">
        <v>2</v>
      </c>
      <c r="B3" s="1" t="s">
        <v>3</v>
      </c>
    </row>
    <row r="4" spans="1:2" x14ac:dyDescent="0.25">
      <c r="A4" t="s">
        <v>4</v>
      </c>
      <c r="B4" s="107" t="s">
        <v>5</v>
      </c>
    </row>
    <row r="5" spans="1:2" x14ac:dyDescent="0.25">
      <c r="A5" t="s">
        <v>6</v>
      </c>
      <c r="B5" s="107" t="s">
        <v>7</v>
      </c>
    </row>
    <row r="6" spans="1:2" x14ac:dyDescent="0.25">
      <c r="A6" t="s">
        <v>8</v>
      </c>
      <c r="B6" s="107" t="s">
        <v>9</v>
      </c>
    </row>
    <row r="7" spans="1:2" x14ac:dyDescent="0.25">
      <c r="A7" t="s">
        <v>10</v>
      </c>
      <c r="B7" s="107" t="s">
        <v>11</v>
      </c>
    </row>
    <row r="8" spans="1:2" x14ac:dyDescent="0.25">
      <c r="A8" t="s">
        <v>12</v>
      </c>
      <c r="B8" s="107" t="s">
        <v>13</v>
      </c>
    </row>
    <row r="9" spans="1:2" x14ac:dyDescent="0.25">
      <c r="A9" t="s">
        <v>14</v>
      </c>
      <c r="B9" s="107" t="s">
        <v>15</v>
      </c>
    </row>
    <row r="10" spans="1:2" x14ac:dyDescent="0.25">
      <c r="A10" t="s">
        <v>16</v>
      </c>
      <c r="B10" s="107" t="s">
        <v>17</v>
      </c>
    </row>
    <row r="11" spans="1:2" x14ac:dyDescent="0.25">
      <c r="A11" t="s">
        <v>18</v>
      </c>
      <c r="B11" s="107" t="s">
        <v>19</v>
      </c>
    </row>
    <row r="12" spans="1:2" x14ac:dyDescent="0.25">
      <c r="A12" t="s">
        <v>20</v>
      </c>
      <c r="B12" s="107" t="s">
        <v>21</v>
      </c>
    </row>
    <row r="13" spans="1:2" x14ac:dyDescent="0.25">
      <c r="A13" t="s">
        <v>22</v>
      </c>
      <c r="B13" s="107" t="s">
        <v>23</v>
      </c>
    </row>
    <row r="14" spans="1:2" x14ac:dyDescent="0.25">
      <c r="A14" t="s">
        <v>24</v>
      </c>
      <c r="B14" s="107" t="s">
        <v>7</v>
      </c>
    </row>
    <row r="15" spans="1:2" x14ac:dyDescent="0.25">
      <c r="A15" t="s">
        <v>25</v>
      </c>
      <c r="B15" s="107" t="s">
        <v>26</v>
      </c>
    </row>
    <row r="16" spans="1:2" x14ac:dyDescent="0.25">
      <c r="A16" t="s">
        <v>27</v>
      </c>
      <c r="B16" s="107" t="s">
        <v>28</v>
      </c>
    </row>
    <row r="17" spans="1:2" x14ac:dyDescent="0.25">
      <c r="A17" t="s">
        <v>29</v>
      </c>
      <c r="B17" s="107" t="s">
        <v>30</v>
      </c>
    </row>
    <row r="18" spans="1:2" x14ac:dyDescent="0.25">
      <c r="A18" t="s">
        <v>31</v>
      </c>
      <c r="B18" s="107" t="s">
        <v>32</v>
      </c>
    </row>
    <row r="19" spans="1:2" x14ac:dyDescent="0.25">
      <c r="A19" t="s">
        <v>33</v>
      </c>
      <c r="B19" s="107" t="s">
        <v>34</v>
      </c>
    </row>
    <row r="20" spans="1:2" x14ac:dyDescent="0.25">
      <c r="A20" t="s">
        <v>35</v>
      </c>
      <c r="B20" s="107" t="s">
        <v>36</v>
      </c>
    </row>
    <row r="21" spans="1:2" x14ac:dyDescent="0.25">
      <c r="A21" t="s">
        <v>37</v>
      </c>
      <c r="B21" s="107" t="s">
        <v>38</v>
      </c>
    </row>
    <row r="22" spans="1:2" x14ac:dyDescent="0.25">
      <c r="A22" t="s">
        <v>39</v>
      </c>
      <c r="B22" s="107" t="s">
        <v>40</v>
      </c>
    </row>
    <row r="23" spans="1:2" x14ac:dyDescent="0.25">
      <c r="A23" t="s">
        <v>41</v>
      </c>
      <c r="B23" s="107" t="s">
        <v>42</v>
      </c>
    </row>
    <row r="24" spans="1:2" x14ac:dyDescent="0.25">
      <c r="A24" t="s">
        <v>43</v>
      </c>
      <c r="B24" s="107" t="s">
        <v>44</v>
      </c>
    </row>
    <row r="25" spans="1:2" x14ac:dyDescent="0.25">
      <c r="A25" t="s">
        <v>45</v>
      </c>
      <c r="B25" s="107" t="s">
        <v>46</v>
      </c>
    </row>
    <row r="26" spans="1:2" x14ac:dyDescent="0.25">
      <c r="A26" t="s">
        <v>47</v>
      </c>
      <c r="B26" s="107" t="s">
        <v>48</v>
      </c>
    </row>
    <row r="27" spans="1:2" x14ac:dyDescent="0.25">
      <c r="A27" t="s">
        <v>49</v>
      </c>
      <c r="B27" s="107" t="s">
        <v>50</v>
      </c>
    </row>
    <row r="28" spans="1:2" x14ac:dyDescent="0.25">
      <c r="A28" t="s">
        <v>51</v>
      </c>
      <c r="B28" s="107" t="s">
        <v>52</v>
      </c>
    </row>
    <row r="29" spans="1:2" x14ac:dyDescent="0.25">
      <c r="A29" t="s">
        <v>53</v>
      </c>
      <c r="B29" s="107" t="s">
        <v>54</v>
      </c>
    </row>
    <row r="30" spans="1:2" x14ac:dyDescent="0.25">
      <c r="A30" t="s">
        <v>55</v>
      </c>
      <c r="B30" s="107" t="s">
        <v>56</v>
      </c>
    </row>
    <row r="31" spans="1:2" x14ac:dyDescent="0.25">
      <c r="A31" t="s">
        <v>57</v>
      </c>
      <c r="B31" s="107" t="s">
        <v>58</v>
      </c>
    </row>
  </sheetData>
  <sheetProtection sheet="1" objects="1" scenarios="1"/>
  <phoneticPr fontId="34" type="noConversion"/>
  <hyperlinks>
    <hyperlink ref="B10" location="Wages!A1" display="State, Local, Private Loaded Wage Rates (2024$)" xr:uid="{EEF7C581-52E0-4969-8E80-4596099505B8}"/>
    <hyperlink ref="B4" location="'Total and Summary'!A2" display="Summary of Burden and Cost" xr:uid="{F49BD5FC-2744-4E9B-999B-419EDF0BB8A3}"/>
    <hyperlink ref="B5" location="'Reporting Burden by Program'!A12" display="DERA Grant Unit Burden" xr:uid="{87E58453-1245-48A4-A4FD-CB52A3D16103}"/>
    <hyperlink ref="B6" location="'Reporting Burden by Program'!A22" display="Clean School Bus Unit Burden" xr:uid="{A32F623B-FC62-4B92-BD69-F8B98990ECDD}"/>
    <hyperlink ref="B7" location="'Reporting Burden by Program'!A31" display="Unit Burden for the Clean Heavy Duty Vehicle Program" xr:uid="{30F3A45E-DFDE-46C3-9820-EA78CED49A48}"/>
    <hyperlink ref="B9" location="'Reporting Burden by Program'!A47" display="Unit Burden for the Clean Ports Zero-Emission Technology Deployment Program" xr:uid="{31979688-1213-4417-8290-444DE38F43AE}"/>
    <hyperlink ref="B8" location="'Reporting Burden by Program'!A40" display="Unit Burden for the Clean Ports Climate and Air Quality Planning Program" xr:uid="{5E4CBABC-D03C-4C56-B70F-36A4020BEEAF}"/>
    <hyperlink ref="B11" location="Respondents!B3" display="Distribution of Grants Recipients to State, Local, and Private Entities by Program" xr:uid="{EE97087B-D282-4915-9706-1D023DE0128E}"/>
    <hyperlink ref="B12" location="Respondents!B16" display="Distribution of Grant Applicants to State, Local, and Private Entities by Program" xr:uid="{D71F7AEB-A1AC-465D-BD39-85EDB3C4727F}"/>
    <hyperlink ref="B13" location="'Grant Cycle Raw Data'!B33" display="Number of Participants in each Reporting Stage in the Middle of ICR (2026)" xr:uid="{4FF829EA-637B-4281-B32D-024F1A6A6DB2}"/>
    <hyperlink ref="B30" location="' EPA burden'!A1" display="Estimated Burden and Cost to Agency" xr:uid="{7606BD7E-0A82-4FC0-BC8D-04EF1827844C}"/>
    <hyperlink ref="B14" location="'Respondent Burden and Costs'!A3" display="Unit Burden for DERA Grant Program (State, National, and Tribal &amp; Territory Programs)" xr:uid="{E978483E-30AD-4A48-8006-7D59FC9540D8}"/>
    <hyperlink ref="B17" location="'Respondent Burden and Costs'!A39" display="Unit Burden for Clean School Bus Grant Program" xr:uid="{B478E484-624C-49C5-BB0B-F95539E88C02}"/>
    <hyperlink ref="B20" location="'Respondent Burden and Costs'!A73" display="Unit Burden for Clean Heavy-Duty Vehicles Grant Program" xr:uid="{6DB04037-31D9-47BC-AABB-373385CB2137}"/>
    <hyperlink ref="B23" location="'Respondent Burden and Costs'!A107" display="Unit Burden for Clean Ports Climate and Air Quality Planning Grant Program" xr:uid="{DEFB50DA-7974-442E-9346-1184BE35C5F5}"/>
    <hyperlink ref="B26" location="'Respondent Burden and Costs'!A135" display="Unit Burden for Clean Ports Zero Emission Technology Deployment Grant Program" xr:uid="{4509BB39-6D52-4770-B6CE-79BCD83C261B}"/>
    <hyperlink ref="B15" location="'Respondent Burden and Costs'!A13" display="Respondent Burden - DERA Grant (State and Local)" xr:uid="{D1CE8D4A-F15B-40C4-A133-8A0C806A5E4C}"/>
    <hyperlink ref="B16" location="'Respondent Burden and Costs'!A26" display="Respondent Burden - DERA Grant (Private)" xr:uid="{F50079D2-5CAA-4C8F-B4B4-1369F620137F}"/>
    <hyperlink ref="B18" location="'Respondent Burden and Costs'!A48" display="Respondent Burden - Clean School Bus Grant (State and Local)" xr:uid="{16FEFC6B-BD36-4F3F-9383-FF2B729F15BF}"/>
    <hyperlink ref="B19" location="'Respondent Burden and Costs'!A60" display="Respondent Burden - Clean School Bus Grant (Private)" xr:uid="{41111DC4-14B5-4DDE-B1B5-6D3D125581A4}"/>
    <hyperlink ref="B21" location="'Respondent Burden and Costs'!A82" display="Respondent Burden - Clean Heavy Duty Vehicles Grant (State and Local)" xr:uid="{BDDDEA21-1798-4B93-B585-2357951F1988}"/>
    <hyperlink ref="B22" location="'Respondent Burden and Costs'!A94" display="Respondent Burden - Clean Heavy Duty Vehicles Grant (Private)" xr:uid="{E50E8DB9-B76E-49BD-80B2-28BC99A50A66}"/>
    <hyperlink ref="B24" location="'Respondent Burden and Costs'!A114" display="Respondent Burden - Clean Ports Climate and Air Quality Planning Grant (State and Local)" xr:uid="{2BC0211E-0533-4521-A0E3-D38C27CBA8A6}"/>
    <hyperlink ref="B25" location="'Respondent Burden and Costs'!A124" display="Respondent Burden - Clean Ports Climate and Air Quality Planning Grant (Private)" xr:uid="{BB8A3B0B-C390-4CF4-A632-CA593306DE00}"/>
    <hyperlink ref="B27" location="'Respondent Burden and Costs'!A145" display="Respondent Burden - Clean Ports Zero Emission Technology Deployment Grant (State and Local)" xr:uid="{4D7D1E64-2FF3-4C41-B7BE-9B3FECB35F16}"/>
    <hyperlink ref="B28" location="'Respondent Burden and Costs'!A158" display="Respondent Burden - Clean Ports Zero Emission Technology Deployment Grant (Private)" xr:uid="{26045432-B300-42F8-8668-4F5404289EA6}"/>
    <hyperlink ref="B29" location="'Grant Cycle Raw Data'!B114" display="Total Reporting Burden and Cost by Grant" xr:uid="{072BEF1D-5871-447B-97CA-016B3382B8C6}"/>
    <hyperlink ref="B31" location="'Total and Summary'!A23" display="Difference in Burden from Original Estimation to Revision" xr:uid="{EA08244E-22E5-4F01-909A-C8AB101E67B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FD72-831A-4DD0-86BD-45B29B5262A9}">
  <sheetPr>
    <tabColor rgb="FFFFC000"/>
  </sheetPr>
  <dimension ref="A1:K24"/>
  <sheetViews>
    <sheetView zoomScale="70" zoomScaleNormal="70" workbookViewId="0">
      <selection activeCell="A16" sqref="A16"/>
    </sheetView>
  </sheetViews>
  <sheetFormatPr defaultRowHeight="15" x14ac:dyDescent="0.25"/>
  <cols>
    <col min="1" max="1" width="4.7109375" style="16" customWidth="1"/>
    <col min="2" max="2" width="37.28515625" style="526" customWidth="1"/>
    <col min="3" max="3" width="32.28515625" style="16" customWidth="1"/>
    <col min="4" max="4" width="32.140625" style="16" hidden="1" customWidth="1"/>
    <col min="5" max="5" width="20.140625" style="16" customWidth="1"/>
    <col min="6" max="6" width="23" style="16" customWidth="1"/>
    <col min="7" max="7" width="37.7109375" style="526" customWidth="1"/>
    <col min="8" max="8" width="19.85546875" style="16" customWidth="1"/>
    <col min="9" max="9" width="54.85546875" style="16" customWidth="1"/>
    <col min="10" max="10" width="111.7109375" style="16" hidden="1" customWidth="1"/>
    <col min="11" max="11" width="42.28515625" style="16" hidden="1" customWidth="1"/>
    <col min="12" max="16384" width="9.140625" style="16"/>
  </cols>
  <sheetData>
    <row r="1" spans="1:11" x14ac:dyDescent="0.25">
      <c r="A1" s="18" t="s">
        <v>434</v>
      </c>
      <c r="I1" s="526"/>
    </row>
    <row r="2" spans="1:11" x14ac:dyDescent="0.25">
      <c r="A2" s="93" t="s">
        <v>378</v>
      </c>
      <c r="B2" s="163" t="s">
        <v>109</v>
      </c>
      <c r="C2" s="163" t="s">
        <v>380</v>
      </c>
      <c r="D2" s="163" t="s">
        <v>381</v>
      </c>
      <c r="E2" s="163" t="s">
        <v>110</v>
      </c>
      <c r="F2" s="163" t="s">
        <v>111</v>
      </c>
      <c r="G2" s="163" t="s">
        <v>435</v>
      </c>
      <c r="H2" s="163" t="s">
        <v>436</v>
      </c>
      <c r="I2" s="163" t="s">
        <v>437</v>
      </c>
      <c r="J2" s="163" t="s">
        <v>438</v>
      </c>
      <c r="K2" s="163" t="s">
        <v>439</v>
      </c>
    </row>
    <row r="3" spans="1:11" ht="105" x14ac:dyDescent="0.25">
      <c r="A3" s="527">
        <v>1</v>
      </c>
      <c r="B3" s="508" t="s">
        <v>135</v>
      </c>
      <c r="C3" s="509" t="s">
        <v>426</v>
      </c>
      <c r="D3" s="510" t="s">
        <v>412</v>
      </c>
      <c r="E3" s="510" t="s">
        <v>136</v>
      </c>
      <c r="F3" s="510" t="s">
        <v>134</v>
      </c>
      <c r="G3" s="511" t="s">
        <v>440</v>
      </c>
      <c r="H3" s="510" t="s">
        <v>441</v>
      </c>
      <c r="I3" s="511" t="s">
        <v>442</v>
      </c>
      <c r="J3" s="16" t="str">
        <f>_xlfn.TEXTJOIN("", TRUE, "Appendix ", H3, ": ", B3, " (EPA Form: ",E3, ")" )</f>
        <v>Appendix W: OTAQ Funding Program Recipient Story Collection Form (EPA Form: TBA)</v>
      </c>
      <c r="K3" s="16" t="str">
        <f>_xlfn.XLOOKUP(B3, 'Reporting Burden by Instrument'!$B$3:$B$22, 'Reporting Burden by Instrument'!$Q$3:$Q$22, "not found", 0, 1)</f>
        <v>1.5 - 3</v>
      </c>
    </row>
    <row r="4" spans="1:11" ht="30" x14ac:dyDescent="0.25">
      <c r="A4" s="528">
        <v>2</v>
      </c>
      <c r="B4" s="512" t="s">
        <v>164</v>
      </c>
      <c r="C4" s="513" t="s">
        <v>415</v>
      </c>
      <c r="D4" s="514" t="s">
        <v>412</v>
      </c>
      <c r="E4" s="530" t="s">
        <v>136</v>
      </c>
      <c r="F4" s="528" t="s">
        <v>125</v>
      </c>
      <c r="G4" s="511" t="s">
        <v>440</v>
      </c>
      <c r="H4" s="516" t="s">
        <v>443</v>
      </c>
      <c r="I4" s="515" t="s">
        <v>444</v>
      </c>
      <c r="J4" s="16" t="str">
        <f>_xlfn.TEXTJOIN("", TRUE, "Appendix ", H4, ": ", B4, " (EPA Form: ",E4, ")" )</f>
        <v>Appendix X: Clean Ports Program Scrappage Eligibility Statement (EPA Form: TBA)</v>
      </c>
      <c r="K4" s="16" t="str">
        <f>_xlfn.XLOOKUP(B4, 'Reporting Burden by Instrument'!$B$3:$B$22, 'Reporting Burden by Instrument'!$Q$3:$Q$22, "not found", 0, 1)</f>
        <v>1.5 - 12</v>
      </c>
    </row>
    <row r="5" spans="1:11" ht="60" x14ac:dyDescent="0.25">
      <c r="A5" s="528">
        <v>3</v>
      </c>
      <c r="B5" s="512" t="s">
        <v>163</v>
      </c>
      <c r="C5" s="517" t="s">
        <v>415</v>
      </c>
      <c r="D5" s="528" t="s">
        <v>412</v>
      </c>
      <c r="E5" s="528" t="s">
        <v>136</v>
      </c>
      <c r="F5" s="528" t="s">
        <v>125</v>
      </c>
      <c r="G5" s="511" t="s">
        <v>440</v>
      </c>
      <c r="H5" s="528" t="s">
        <v>445</v>
      </c>
      <c r="I5" s="515" t="s">
        <v>446</v>
      </c>
      <c r="J5" s="16" t="str">
        <f>_xlfn.TEXTJOIN("", TRUE, "Appendix ", H5, ": ", B5, " (EPA Form: ",E5, ")" )</f>
        <v>Appendix Y: Clean Ports Program Deployment Evidence Form (EPA Form: TBA)</v>
      </c>
      <c r="K5" s="16" t="str">
        <f>_xlfn.XLOOKUP(B5, 'Reporting Burden by Instrument'!$B$3:$B$22, 'Reporting Burden by Instrument'!$Q$3:$Q$22, "not found", 0, 1)</f>
        <v>1.5 - 12</v>
      </c>
    </row>
    <row r="6" spans="1:11" ht="75" x14ac:dyDescent="0.25">
      <c r="A6" s="528">
        <v>4</v>
      </c>
      <c r="B6" s="518" t="s">
        <v>158</v>
      </c>
      <c r="C6" s="517" t="s">
        <v>423</v>
      </c>
      <c r="D6" s="516" t="s">
        <v>412</v>
      </c>
      <c r="E6" s="516" t="s">
        <v>136</v>
      </c>
      <c r="F6" s="516" t="s">
        <v>125</v>
      </c>
      <c r="G6" s="515" t="s">
        <v>447</v>
      </c>
      <c r="H6" s="516" t="s">
        <v>448</v>
      </c>
      <c r="I6" s="515" t="s">
        <v>449</v>
      </c>
      <c r="J6" s="16" t="str">
        <f>_xlfn.TEXTJOIN("", TRUE, "Appendix ", H6, ": ", B6, " (EPA Form: ",E6, ")" )</f>
        <v>Appendix U: Clean Ports Climate and Air Quality Planning Project Reporting Template (EPA Form: TBA)</v>
      </c>
      <c r="K6" s="16" t="str">
        <f>_xlfn.XLOOKUP(B6, 'Reporting Burden by Instrument'!$B$3:$B$22, 'Reporting Burden by Instrument'!$Q$3:$Q$22, "not found", 0, 1)</f>
        <v>13 - 15</v>
      </c>
    </row>
    <row r="7" spans="1:11" ht="75" x14ac:dyDescent="0.25">
      <c r="A7" s="528">
        <v>5</v>
      </c>
      <c r="B7" s="518" t="s">
        <v>162</v>
      </c>
      <c r="C7" s="517" t="s">
        <v>415</v>
      </c>
      <c r="D7" s="516" t="s">
        <v>412</v>
      </c>
      <c r="E7" s="516" t="s">
        <v>136</v>
      </c>
      <c r="F7" s="516" t="s">
        <v>125</v>
      </c>
      <c r="G7" s="515" t="s">
        <v>447</v>
      </c>
      <c r="H7" s="516" t="s">
        <v>450</v>
      </c>
      <c r="I7" s="515" t="s">
        <v>451</v>
      </c>
      <c r="J7" s="16" t="str">
        <f>_xlfn.TEXTJOIN("", TRUE, "Appendix ", H7, ": ", B7, " (EPA Form: ",E7, ")" )</f>
        <v>Appendix V: Clean Ports Zero-Emission Technology Project Reporting Template (EPA Form: TBA)</v>
      </c>
      <c r="K7" s="16" t="str">
        <f>_xlfn.XLOOKUP(B7, 'Reporting Burden by Instrument'!$B$3:$B$22, 'Reporting Burden by Instrument'!$Q$3:$Q$22, "not found", 0, 1)</f>
        <v>22.4 - 29.6</v>
      </c>
    </row>
    <row r="8" spans="1:11" ht="75" x14ac:dyDescent="0.25">
      <c r="A8" s="528">
        <v>6</v>
      </c>
      <c r="B8" s="519" t="s">
        <v>418</v>
      </c>
      <c r="C8" s="520" t="s">
        <v>419</v>
      </c>
      <c r="D8" s="521" t="s">
        <v>412</v>
      </c>
      <c r="E8" s="521" t="s">
        <v>420</v>
      </c>
      <c r="F8" s="516" t="s">
        <v>125</v>
      </c>
      <c r="G8" s="515" t="s">
        <v>452</v>
      </c>
      <c r="H8" s="516" t="s">
        <v>102</v>
      </c>
      <c r="I8" s="515" t="s">
        <v>453</v>
      </c>
      <c r="K8" s="16">
        <f>_xlfn.XLOOKUP(B8, 'Reporting Burden by Instrument'!$B$3:$B$22, 'Reporting Burden by Instrument'!$Q$3:$Q$22, "not found", 0, 1)</f>
        <v>0</v>
      </c>
    </row>
    <row r="9" spans="1:11" ht="105" x14ac:dyDescent="0.25">
      <c r="A9" s="528">
        <v>7</v>
      </c>
      <c r="B9" s="518" t="s">
        <v>160</v>
      </c>
      <c r="C9" s="517" t="s">
        <v>415</v>
      </c>
      <c r="D9" s="516" t="s">
        <v>412</v>
      </c>
      <c r="E9" s="516" t="s">
        <v>161</v>
      </c>
      <c r="F9" s="516" t="s">
        <v>134</v>
      </c>
      <c r="G9" s="515" t="s">
        <v>454</v>
      </c>
      <c r="H9" s="516" t="s">
        <v>455</v>
      </c>
      <c r="I9" s="515" t="s">
        <v>456</v>
      </c>
      <c r="J9" s="16" t="str">
        <f t="shared" ref="J9:J22" si="0">_xlfn.TEXTJOIN("", TRUE, "Appendix ", H9, ": ", B9, " (EPA Form: ",E9, ")" )</f>
        <v>Appendix L: Clean Ports Program Scrappage Evidence Statement (EPA Form: 5900-684)</v>
      </c>
      <c r="K9" s="16" t="str">
        <f>_xlfn.XLOOKUP(B9, 'Reporting Burden by Instrument'!$B$3:$B$22, 'Reporting Burden by Instrument'!$Q$3:$Q$22, "not found", 0, 1)</f>
        <v>1.5 - 12</v>
      </c>
    </row>
    <row r="10" spans="1:11" ht="75" x14ac:dyDescent="0.25">
      <c r="A10" s="528">
        <v>8</v>
      </c>
      <c r="B10" s="518" t="s">
        <v>132</v>
      </c>
      <c r="C10" s="517" t="s">
        <v>417</v>
      </c>
      <c r="D10" s="516" t="s">
        <v>410</v>
      </c>
      <c r="E10" s="516" t="s">
        <v>133</v>
      </c>
      <c r="F10" s="516" t="s">
        <v>134</v>
      </c>
      <c r="G10" s="515" t="s">
        <v>454</v>
      </c>
      <c r="H10" s="516" t="s">
        <v>457</v>
      </c>
      <c r="I10" s="515" t="s">
        <v>458</v>
      </c>
      <c r="J10" s="16" t="str">
        <f t="shared" si="0"/>
        <v>Appendix M: Utility Partnership Agreement (EPA Form: 5900-685)</v>
      </c>
      <c r="K10" s="16" t="str">
        <f>_xlfn.XLOOKUP(B10, 'Reporting Burden by Instrument'!$B$3:$B$22, 'Reporting Burden by Instrument'!$Q$3:$Q$22, "not found", 0, 1)</f>
        <v>1.5 - 6</v>
      </c>
    </row>
    <row r="11" spans="1:11" ht="135" x14ac:dyDescent="0.25">
      <c r="A11" s="528">
        <v>9</v>
      </c>
      <c r="B11" s="518" t="s">
        <v>153</v>
      </c>
      <c r="C11" s="517" t="s">
        <v>68</v>
      </c>
      <c r="D11" s="516" t="s">
        <v>412</v>
      </c>
      <c r="E11" s="516" t="s">
        <v>154</v>
      </c>
      <c r="F11" s="516" t="s">
        <v>125</v>
      </c>
      <c r="G11" s="515" t="s">
        <v>459</v>
      </c>
      <c r="H11" s="516" t="s">
        <v>460</v>
      </c>
      <c r="I11" s="515" t="s">
        <v>461</v>
      </c>
      <c r="J11" s="16" t="str">
        <f t="shared" si="0"/>
        <v>Appendix K: CHDV Project Reporting Template (EPA Form: 5900-683)</v>
      </c>
      <c r="K11" s="16" t="str">
        <f>_xlfn.XLOOKUP(B11, 'Reporting Burden by Instrument'!$B$3:$B$22, 'Reporting Burden by Instrument'!$Q$3:$Q$22, "not found", 0, 1)</f>
        <v>11.3 - 14.1</v>
      </c>
    </row>
    <row r="12" spans="1:11" ht="165" x14ac:dyDescent="0.25">
      <c r="A12" s="528">
        <v>10</v>
      </c>
      <c r="B12" s="518" t="s">
        <v>151</v>
      </c>
      <c r="C12" s="517" t="s">
        <v>68</v>
      </c>
      <c r="D12" s="516" t="s">
        <v>410</v>
      </c>
      <c r="E12" s="516" t="s">
        <v>152</v>
      </c>
      <c r="F12" s="516" t="s">
        <v>125</v>
      </c>
      <c r="G12" s="515" t="s">
        <v>462</v>
      </c>
      <c r="H12" s="516" t="s">
        <v>463</v>
      </c>
      <c r="I12" s="515" t="s">
        <v>464</v>
      </c>
      <c r="J12" s="16" t="str">
        <f t="shared" si="0"/>
        <v>Appendix J: CHDV Eligibility and Scrappage Statement (EPA Form: 5900-682)</v>
      </c>
      <c r="K12" s="16" t="str">
        <f>_xlfn.XLOOKUP(B12, 'Reporting Burden by Instrument'!$B$3:$B$22, 'Reporting Burden by Instrument'!$Q$3:$Q$22, "not found", 0, 1)</f>
        <v>1 - 12</v>
      </c>
    </row>
    <row r="13" spans="1:11" ht="165" x14ac:dyDescent="0.25">
      <c r="A13" s="528">
        <v>11</v>
      </c>
      <c r="B13" s="518" t="s">
        <v>142</v>
      </c>
      <c r="C13" s="517" t="s">
        <v>67</v>
      </c>
      <c r="D13" s="516" t="s">
        <v>410</v>
      </c>
      <c r="E13" s="516" t="s">
        <v>143</v>
      </c>
      <c r="F13" s="516" t="s">
        <v>125</v>
      </c>
      <c r="G13" s="515" t="s">
        <v>462</v>
      </c>
      <c r="H13" s="516" t="s">
        <v>465</v>
      </c>
      <c r="I13" s="515" t="s">
        <v>466</v>
      </c>
      <c r="J13" s="16" t="str">
        <f t="shared" si="0"/>
        <v>Appendix N: CSB Eligibility and Scrap Sell Donate Statement (EPA Form: 5900-686)</v>
      </c>
      <c r="K13" s="16" t="str">
        <f>_xlfn.XLOOKUP(B13, 'Reporting Burden by Instrument'!$B$3:$B$22, 'Reporting Burden by Instrument'!$Q$3:$Q$22, "not found", 0, 1)</f>
        <v>1.5 - 12</v>
      </c>
    </row>
    <row r="14" spans="1:11" ht="75" x14ac:dyDescent="0.25">
      <c r="A14" s="528">
        <v>12</v>
      </c>
      <c r="B14" s="518" t="s">
        <v>126</v>
      </c>
      <c r="C14" s="517" t="s">
        <v>101</v>
      </c>
      <c r="D14" s="516" t="s">
        <v>410</v>
      </c>
      <c r="E14" s="516" t="s">
        <v>127</v>
      </c>
      <c r="F14" s="516" t="s">
        <v>125</v>
      </c>
      <c r="G14" s="515" t="s">
        <v>462</v>
      </c>
      <c r="H14" s="516" t="s">
        <v>467</v>
      </c>
      <c r="I14" s="515" t="s">
        <v>468</v>
      </c>
      <c r="J14" s="16" t="str">
        <f t="shared" si="0"/>
        <v>Appendix O: DERA Eligibility Statement (EPA Form: 5900-687)</v>
      </c>
      <c r="K14" s="16" t="str">
        <f>_xlfn.XLOOKUP(B14, 'Reporting Burden by Instrument'!$B$3:$B$22, 'Reporting Burden by Instrument'!$Q$3:$Q$22, "not found", 0, 1)</f>
        <v>1.5 - 12</v>
      </c>
    </row>
    <row r="15" spans="1:11" ht="135" x14ac:dyDescent="0.25">
      <c r="A15" s="528">
        <v>13</v>
      </c>
      <c r="B15" s="518" t="s">
        <v>128</v>
      </c>
      <c r="C15" s="517" t="s">
        <v>101</v>
      </c>
      <c r="D15" s="516" t="s">
        <v>412</v>
      </c>
      <c r="E15" s="516" t="s">
        <v>129</v>
      </c>
      <c r="F15" s="516" t="s">
        <v>125</v>
      </c>
      <c r="G15" s="515" t="s">
        <v>462</v>
      </c>
      <c r="H15" s="516" t="s">
        <v>469</v>
      </c>
      <c r="I15" s="515" t="s">
        <v>470</v>
      </c>
      <c r="J15" s="16" t="str">
        <f t="shared" si="0"/>
        <v>Appendix P: DERA Scrappage Statement (EPA Form: 5900-688)</v>
      </c>
      <c r="K15" s="16" t="str">
        <f>_xlfn.XLOOKUP(B15, 'Reporting Burden by Instrument'!$B$3:$B$22, 'Reporting Burden by Instrument'!$Q$3:$Q$22, "not found", 0, 1)</f>
        <v>1.5 - 12</v>
      </c>
    </row>
    <row r="16" spans="1:11" ht="180" x14ac:dyDescent="0.25">
      <c r="A16" s="528">
        <v>14</v>
      </c>
      <c r="B16" s="518" t="s">
        <v>130</v>
      </c>
      <c r="C16" s="517" t="s">
        <v>101</v>
      </c>
      <c r="D16" s="516" t="s">
        <v>412</v>
      </c>
      <c r="E16" s="516" t="s">
        <v>131</v>
      </c>
      <c r="F16" s="516" t="s">
        <v>125</v>
      </c>
      <c r="G16" s="515" t="s">
        <v>462</v>
      </c>
      <c r="H16" s="516" t="s">
        <v>471</v>
      </c>
      <c r="I16" s="515" t="s">
        <v>472</v>
      </c>
      <c r="J16" s="16" t="str">
        <f t="shared" si="0"/>
        <v>Appendix R: DERA Project Reporting Template (EPA Form: 5900-691)</v>
      </c>
      <c r="K16" s="16" t="str">
        <f>_xlfn.XLOOKUP(B16, 'Reporting Burden by Instrument'!$B$3:$B$22, 'Reporting Burden by Instrument'!$Q$3:$Q$22, "not found", 0, 1)</f>
        <v>12.4 - 15.7</v>
      </c>
    </row>
    <row r="17" spans="1:11" ht="180" x14ac:dyDescent="0.25">
      <c r="A17" s="528">
        <v>15</v>
      </c>
      <c r="B17" s="518" t="s">
        <v>144</v>
      </c>
      <c r="C17" s="517" t="s">
        <v>67</v>
      </c>
      <c r="D17" s="516" t="s">
        <v>412</v>
      </c>
      <c r="E17" s="516" t="s">
        <v>145</v>
      </c>
      <c r="F17" s="516" t="s">
        <v>125</v>
      </c>
      <c r="G17" s="515" t="s">
        <v>462</v>
      </c>
      <c r="H17" s="516" t="s">
        <v>473</v>
      </c>
      <c r="I17" s="515" t="s">
        <v>472</v>
      </c>
      <c r="J17" s="16" t="str">
        <f t="shared" si="0"/>
        <v>Appendix S: CSB Project Reporting Template (EPA Form: 5900-692)</v>
      </c>
      <c r="K17" s="16" t="str">
        <f>_xlfn.XLOOKUP(B17, 'Reporting Burden by Instrument'!$B$3:$B$22, 'Reporting Burden by Instrument'!$Q$3:$Q$22, "not found", 0, 1)</f>
        <v>12.6 - 14.2</v>
      </c>
    </row>
    <row r="18" spans="1:11" ht="90" x14ac:dyDescent="0.25">
      <c r="A18" s="528">
        <v>16</v>
      </c>
      <c r="B18" s="518" t="s">
        <v>146</v>
      </c>
      <c r="C18" s="517" t="s">
        <v>67</v>
      </c>
      <c r="D18" s="516" t="s">
        <v>410</v>
      </c>
      <c r="E18" s="516" t="s">
        <v>147</v>
      </c>
      <c r="F18" s="516" t="s">
        <v>125</v>
      </c>
      <c r="G18" s="515" t="s">
        <v>462</v>
      </c>
      <c r="H18" s="516" t="s">
        <v>474</v>
      </c>
      <c r="I18" s="515" t="s">
        <v>475</v>
      </c>
      <c r="J18" s="16" t="str">
        <f t="shared" si="0"/>
        <v>Appendix T: CSB Utility Partnership Statement (EPA Form: 5900-693)</v>
      </c>
      <c r="K18" s="16" t="str">
        <f>_xlfn.XLOOKUP(B18, 'Reporting Burden by Instrument'!$B$3:$B$22, 'Reporting Burden by Instrument'!$Q$3:$Q$22, "not found", 0, 1)</f>
        <v>1.5 - 6</v>
      </c>
    </row>
    <row r="19" spans="1:11" ht="30" x14ac:dyDescent="0.25">
      <c r="A19" s="528">
        <v>17</v>
      </c>
      <c r="B19" s="518" t="s">
        <v>140</v>
      </c>
      <c r="C19" s="517" t="s">
        <v>67</v>
      </c>
      <c r="D19" s="516" t="s">
        <v>406</v>
      </c>
      <c r="E19" s="516" t="s">
        <v>141</v>
      </c>
      <c r="F19" s="516" t="s">
        <v>125</v>
      </c>
      <c r="G19" s="515" t="s">
        <v>476</v>
      </c>
      <c r="H19" s="516" t="s">
        <v>477</v>
      </c>
      <c r="I19" s="515" t="s">
        <v>478</v>
      </c>
      <c r="J19" s="16" t="str">
        <f t="shared" si="0"/>
        <v>Appendix H: CSB Supplemental Application Template (EPA Form: 5900-680)</v>
      </c>
      <c r="K19" s="16" t="str">
        <f>_xlfn.XLOOKUP(B19, 'Reporting Burden by Instrument'!$B$3:$B$22, 'Reporting Burden by Instrument'!$Q$3:$Q$22, "not found", 0, 1)</f>
        <v>7.2 - 7.6</v>
      </c>
    </row>
    <row r="20" spans="1:11" ht="30" x14ac:dyDescent="0.25">
      <c r="A20" s="528">
        <v>18</v>
      </c>
      <c r="B20" s="518" t="s">
        <v>123</v>
      </c>
      <c r="C20" s="517" t="s">
        <v>101</v>
      </c>
      <c r="D20" s="516" t="s">
        <v>406</v>
      </c>
      <c r="E20" s="516" t="s">
        <v>124</v>
      </c>
      <c r="F20" s="516" t="s">
        <v>125</v>
      </c>
      <c r="G20" s="515" t="s">
        <v>476</v>
      </c>
      <c r="H20" s="516" t="s">
        <v>479</v>
      </c>
      <c r="I20" s="515" t="s">
        <v>480</v>
      </c>
      <c r="J20" s="16" t="str">
        <f t="shared" si="0"/>
        <v>Appendix I: DERA Supplemental Application Template (EPA Form: 5900-681)</v>
      </c>
      <c r="K20" s="16" t="str">
        <f>_xlfn.XLOOKUP(B20, 'Reporting Burden by Instrument'!$B$3:$B$22, 'Reporting Burden by Instrument'!$Q$3:$Q$22, "not found", 0, 1)</f>
        <v>5.2 - 7.6</v>
      </c>
    </row>
    <row r="21" spans="1:11" ht="48" x14ac:dyDescent="0.25">
      <c r="A21" s="528">
        <v>19</v>
      </c>
      <c r="B21" s="518" t="s">
        <v>156</v>
      </c>
      <c r="C21" s="517" t="s">
        <v>405</v>
      </c>
      <c r="D21" s="516" t="s">
        <v>406</v>
      </c>
      <c r="E21" s="516" t="s">
        <v>157</v>
      </c>
      <c r="F21" s="516" t="s">
        <v>125</v>
      </c>
      <c r="G21" s="515" t="s">
        <v>481</v>
      </c>
      <c r="H21" s="516" t="s">
        <v>482</v>
      </c>
      <c r="I21" s="515" t="s">
        <v>483</v>
      </c>
      <c r="J21" s="16" t="str">
        <f t="shared" si="0"/>
        <v>Appendix G: Clean Ports Supplemental Application Template (EPA Form: 5900-679)</v>
      </c>
      <c r="K21" s="16" t="str">
        <f>_xlfn.XLOOKUP(B21, 'Reporting Burden by Instrument'!$B$3:$B$22, 'Reporting Burden by Instrument'!$Q$3:$Q$22, "not found", 0, 1)</f>
        <v>2.2 - 6.1</v>
      </c>
    </row>
    <row r="22" spans="1:11" ht="30" x14ac:dyDescent="0.25">
      <c r="A22" s="529">
        <v>20</v>
      </c>
      <c r="B22" s="522" t="s">
        <v>149</v>
      </c>
      <c r="C22" s="523" t="s">
        <v>68</v>
      </c>
      <c r="D22" s="524" t="s">
        <v>406</v>
      </c>
      <c r="E22" s="524" t="s">
        <v>150</v>
      </c>
      <c r="F22" s="524" t="s">
        <v>125</v>
      </c>
      <c r="G22" s="469" t="s">
        <v>481</v>
      </c>
      <c r="H22" s="524" t="s">
        <v>484</v>
      </c>
      <c r="I22" s="525" t="s">
        <v>485</v>
      </c>
      <c r="J22" s="16" t="str">
        <f t="shared" si="0"/>
        <v>Appendix Q: CHDV Supplemental Application Template (EPA Form: 5900-689)</v>
      </c>
      <c r="K22" s="16" t="str">
        <f>_xlfn.XLOOKUP(B22, 'Reporting Burden by Instrument'!$B$3:$B$22, 'Reporting Burden by Instrument'!$Q$3:$Q$22, "not found", 0, 1)</f>
        <v>6.8 - 7.6</v>
      </c>
    </row>
    <row r="23" spans="1:11" x14ac:dyDescent="0.25">
      <c r="A23" s="16" t="s">
        <v>486</v>
      </c>
      <c r="I23" s="526"/>
    </row>
    <row r="24" spans="1:11" x14ac:dyDescent="0.25">
      <c r="B24" s="16" t="s">
        <v>487</v>
      </c>
      <c r="I24" s="526"/>
    </row>
  </sheetData>
  <sheetProtection sheet="1" objects="1" scenarios="1"/>
  <sortState xmlns:xlrd2="http://schemas.microsoft.com/office/spreadsheetml/2017/richdata2" ref="B3:J22">
    <sortCondition ref="H3:H22"/>
  </sortState>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4093-23B8-41F6-90B0-E9158EDD92E8}">
  <dimension ref="B2:Q26"/>
  <sheetViews>
    <sheetView workbookViewId="0">
      <selection activeCell="A16" sqref="A16"/>
    </sheetView>
  </sheetViews>
  <sheetFormatPr defaultRowHeight="15" x14ac:dyDescent="0.25"/>
  <cols>
    <col min="1" max="1" width="6.7109375" customWidth="1"/>
    <col min="2" max="2" width="8.140625" customWidth="1"/>
    <col min="3" max="3" width="25" bestFit="1" customWidth="1"/>
    <col min="4" max="4" width="27" customWidth="1"/>
    <col min="5" max="5" width="27.7109375" customWidth="1"/>
    <col min="6" max="6" width="26.42578125" customWidth="1"/>
    <col min="7" max="7" width="15.28515625" bestFit="1" customWidth="1"/>
    <col min="8" max="10" width="15.28515625" customWidth="1"/>
    <col min="11" max="11" width="18.85546875" customWidth="1"/>
    <col min="12" max="12" width="15.140625" bestFit="1" customWidth="1"/>
    <col min="13" max="15" width="15.5703125" bestFit="1" customWidth="1"/>
    <col min="16" max="16" width="19.42578125" customWidth="1"/>
  </cols>
  <sheetData>
    <row r="2" spans="2:17" x14ac:dyDescent="0.25">
      <c r="B2" s="1" t="s">
        <v>488</v>
      </c>
      <c r="H2" s="20"/>
      <c r="I2" s="20"/>
      <c r="J2" s="20"/>
      <c r="K2" s="20"/>
    </row>
    <row r="3" spans="2:17" ht="60" x14ac:dyDescent="0.25">
      <c r="B3" s="74" t="s">
        <v>489</v>
      </c>
      <c r="C3" s="75" t="s">
        <v>490</v>
      </c>
      <c r="D3" s="76" t="s">
        <v>491</v>
      </c>
      <c r="E3" s="77" t="s">
        <v>492</v>
      </c>
      <c r="F3" s="77" t="s">
        <v>493</v>
      </c>
      <c r="G3" s="78" t="s">
        <v>494</v>
      </c>
      <c r="H3" s="78" t="s">
        <v>495</v>
      </c>
      <c r="I3" s="78" t="s">
        <v>496</v>
      </c>
      <c r="J3" s="78" t="s">
        <v>497</v>
      </c>
      <c r="K3" s="79" t="s">
        <v>498</v>
      </c>
    </row>
    <row r="4" spans="2:17" x14ac:dyDescent="0.25">
      <c r="B4" s="14">
        <v>1</v>
      </c>
      <c r="C4" s="13" t="s">
        <v>499</v>
      </c>
      <c r="D4" s="66">
        <f>9/60</f>
        <v>0.15</v>
      </c>
      <c r="E4" s="65">
        <v>0.25</v>
      </c>
      <c r="F4" s="65">
        <f>AVERAGE(D4:E4)</f>
        <v>0.2</v>
      </c>
      <c r="G4" s="59">
        <f>ROUND(AVERAGE(D4, E4), 1)</f>
        <v>0.2</v>
      </c>
      <c r="H4" s="60"/>
      <c r="I4" s="60"/>
      <c r="J4" s="60"/>
      <c r="K4" s="69">
        <f>SUM(G4:J4)</f>
        <v>0.2</v>
      </c>
    </row>
    <row r="5" spans="2:17" x14ac:dyDescent="0.25">
      <c r="B5" s="14">
        <v>2</v>
      </c>
      <c r="C5" s="13" t="s">
        <v>500</v>
      </c>
      <c r="D5" s="66">
        <v>5</v>
      </c>
      <c r="E5" s="65">
        <v>4.3</v>
      </c>
      <c r="F5" s="65">
        <f t="shared" ref="F5:F6" si="0">AVERAGE(D5:E5)</f>
        <v>4.6500000000000004</v>
      </c>
      <c r="G5" s="59">
        <f t="shared" ref="G5:G6" si="1">ROUND(AVERAGE(D5, E5), 1)</f>
        <v>4.7</v>
      </c>
      <c r="H5" s="61"/>
      <c r="I5" s="61"/>
      <c r="J5" s="61"/>
      <c r="K5" s="69">
        <f>SUM(G5:J5)</f>
        <v>4.7</v>
      </c>
    </row>
    <row r="6" spans="2:17" x14ac:dyDescent="0.25">
      <c r="B6" s="14">
        <v>3</v>
      </c>
      <c r="C6" s="13" t="s">
        <v>501</v>
      </c>
      <c r="D6" s="66">
        <v>0</v>
      </c>
      <c r="E6" s="65">
        <v>3</v>
      </c>
      <c r="F6" s="65">
        <f t="shared" si="0"/>
        <v>1.5</v>
      </c>
      <c r="G6" s="59">
        <f t="shared" si="1"/>
        <v>1.5</v>
      </c>
      <c r="H6" s="61"/>
      <c r="I6" s="61"/>
      <c r="J6" s="61"/>
      <c r="K6" s="69">
        <f>SUM(G6:J6)</f>
        <v>1.5</v>
      </c>
    </row>
    <row r="7" spans="2:17" x14ac:dyDescent="0.25">
      <c r="B7" s="14"/>
      <c r="C7" s="70" t="s">
        <v>138</v>
      </c>
      <c r="D7" s="88">
        <f>SUM(D4:D6)</f>
        <v>5.15</v>
      </c>
      <c r="E7" s="89">
        <f>SUM(E4:E6)</f>
        <v>7.55</v>
      </c>
      <c r="F7" s="81">
        <f>AVERAGE(D7:E7)</f>
        <v>6.35</v>
      </c>
      <c r="G7" s="71">
        <f>ROUND(SUM(G4:G6),1)</f>
        <v>6.4</v>
      </c>
      <c r="H7" s="72">
        <f>ROUND(SUM(H4:H6),1)</f>
        <v>0</v>
      </c>
      <c r="I7" s="72">
        <f>ROUND(SUM(I4:I6),1)</f>
        <v>0</v>
      </c>
      <c r="J7" s="72">
        <f t="shared" ref="J7" si="2">ROUND(SUM(J4:J6),1)</f>
        <v>0</v>
      </c>
      <c r="K7" s="73">
        <f>SUM(G7:J7)</f>
        <v>6.4</v>
      </c>
    </row>
    <row r="9" spans="2:17" x14ac:dyDescent="0.25">
      <c r="B9" s="1" t="s">
        <v>502</v>
      </c>
      <c r="H9" s="20"/>
      <c r="I9" s="20"/>
      <c r="J9" s="20"/>
      <c r="K9" s="20"/>
      <c r="L9" s="20"/>
      <c r="M9" s="20"/>
      <c r="N9" s="20"/>
      <c r="O9" s="20"/>
      <c r="P9" s="20"/>
      <c r="Q9" s="20"/>
    </row>
    <row r="10" spans="2:17" ht="60" x14ac:dyDescent="0.25">
      <c r="B10" s="74" t="s">
        <v>489</v>
      </c>
      <c r="C10" s="75" t="s">
        <v>490</v>
      </c>
      <c r="D10" s="76" t="s">
        <v>491</v>
      </c>
      <c r="E10" s="77" t="s">
        <v>492</v>
      </c>
      <c r="F10" s="77" t="s">
        <v>493</v>
      </c>
      <c r="G10" s="78" t="s">
        <v>494</v>
      </c>
      <c r="H10" s="78" t="s">
        <v>495</v>
      </c>
      <c r="I10" s="78" t="s">
        <v>496</v>
      </c>
      <c r="J10" s="78" t="s">
        <v>497</v>
      </c>
      <c r="K10" s="79" t="s">
        <v>498</v>
      </c>
    </row>
    <row r="11" spans="2:17" x14ac:dyDescent="0.25">
      <c r="B11" s="14">
        <v>1</v>
      </c>
      <c r="C11" s="13" t="s">
        <v>499</v>
      </c>
      <c r="D11" s="66">
        <v>0.14000000000000001</v>
      </c>
      <c r="E11" s="65">
        <v>0.16666666666666666</v>
      </c>
      <c r="F11" s="65">
        <f>AVERAGE(D11:E11)</f>
        <v>0.15333333333333332</v>
      </c>
      <c r="G11" s="59">
        <f>ROUND(AVERAGE(D11, E11), 1)</f>
        <v>0.2</v>
      </c>
      <c r="H11" s="60"/>
      <c r="I11" s="60"/>
      <c r="J11" s="60"/>
      <c r="K11" s="69">
        <f t="shared" ref="K11:K23" si="3">SUM(G11:J11)</f>
        <v>0.2</v>
      </c>
      <c r="L11" s="125"/>
    </row>
    <row r="12" spans="2:17" x14ac:dyDescent="0.25">
      <c r="B12" s="14">
        <v>2</v>
      </c>
      <c r="C12" s="13" t="s">
        <v>503</v>
      </c>
      <c r="D12" s="66">
        <f>6/60</f>
        <v>0.1</v>
      </c>
      <c r="E12" s="65">
        <v>0.16666666666666666</v>
      </c>
      <c r="F12" s="65">
        <f t="shared" ref="F12:F22" si="4">AVERAGE(D12:E12)</f>
        <v>0.13333333333333333</v>
      </c>
      <c r="G12" s="59">
        <f t="shared" ref="G12:G19" si="5">ROUND(AVERAGE(D12, E12), 1)</f>
        <v>0.1</v>
      </c>
      <c r="H12" s="61"/>
      <c r="I12" s="61"/>
      <c r="J12" s="61"/>
      <c r="K12" s="69">
        <f t="shared" si="3"/>
        <v>0.1</v>
      </c>
      <c r="L12" s="125"/>
    </row>
    <row r="13" spans="2:17" x14ac:dyDescent="0.25">
      <c r="B13" s="14">
        <v>3</v>
      </c>
      <c r="C13" s="13" t="s">
        <v>504</v>
      </c>
      <c r="D13" s="66">
        <v>1.2</v>
      </c>
      <c r="E13" s="65">
        <v>1.6</v>
      </c>
      <c r="F13" s="65">
        <f t="shared" si="4"/>
        <v>1.4</v>
      </c>
      <c r="G13" s="59">
        <f t="shared" si="5"/>
        <v>1.4</v>
      </c>
      <c r="H13" s="61"/>
      <c r="I13" s="61"/>
      <c r="J13" s="61"/>
      <c r="K13" s="69">
        <f t="shared" si="3"/>
        <v>1.4</v>
      </c>
      <c r="L13" s="125"/>
    </row>
    <row r="14" spans="2:17" x14ac:dyDescent="0.25">
      <c r="B14" s="14">
        <v>4</v>
      </c>
      <c r="C14" s="57" t="s">
        <v>505</v>
      </c>
      <c r="D14" s="66">
        <v>1.2</v>
      </c>
      <c r="E14" s="65">
        <v>1.6</v>
      </c>
      <c r="F14" s="65">
        <f t="shared" si="4"/>
        <v>1.4</v>
      </c>
      <c r="G14" s="61"/>
      <c r="H14" s="83">
        <f>F14</f>
        <v>1.4</v>
      </c>
      <c r="I14" s="61"/>
      <c r="J14" s="61"/>
      <c r="K14" s="69">
        <f t="shared" si="3"/>
        <v>1.4</v>
      </c>
      <c r="L14" s="125"/>
    </row>
    <row r="15" spans="2:17" x14ac:dyDescent="0.25">
      <c r="B15" s="14">
        <v>5</v>
      </c>
      <c r="C15" s="57" t="s">
        <v>506</v>
      </c>
      <c r="D15" s="66">
        <v>1.2</v>
      </c>
      <c r="E15" s="65">
        <v>1.6</v>
      </c>
      <c r="F15" s="65">
        <f t="shared" si="4"/>
        <v>1.4</v>
      </c>
      <c r="G15" s="61"/>
      <c r="H15" s="61"/>
      <c r="I15" s="83">
        <f>F15</f>
        <v>1.4</v>
      </c>
      <c r="J15" s="61"/>
      <c r="K15" s="69">
        <f t="shared" si="3"/>
        <v>1.4</v>
      </c>
      <c r="L15" s="125"/>
    </row>
    <row r="16" spans="2:17" x14ac:dyDescent="0.25">
      <c r="B16" s="14">
        <v>6</v>
      </c>
      <c r="C16" s="57" t="s">
        <v>507</v>
      </c>
      <c r="D16" s="66">
        <v>1.2</v>
      </c>
      <c r="E16" s="65">
        <v>1.6</v>
      </c>
      <c r="F16" s="65">
        <f t="shared" si="4"/>
        <v>1.4</v>
      </c>
      <c r="G16" s="61"/>
      <c r="H16" s="61"/>
      <c r="I16" s="61"/>
      <c r="J16" s="83">
        <f>F16</f>
        <v>1.4</v>
      </c>
      <c r="K16" s="69">
        <f t="shared" si="3"/>
        <v>1.4</v>
      </c>
      <c r="L16" s="125"/>
    </row>
    <row r="17" spans="2:12" x14ac:dyDescent="0.25">
      <c r="B17" s="14">
        <v>7</v>
      </c>
      <c r="C17" s="57" t="s">
        <v>508</v>
      </c>
      <c r="D17" s="66">
        <v>0</v>
      </c>
      <c r="E17" s="65">
        <v>0</v>
      </c>
      <c r="F17" s="65">
        <f t="shared" si="4"/>
        <v>0</v>
      </c>
      <c r="G17" s="61"/>
      <c r="H17" s="61"/>
      <c r="I17" s="61"/>
      <c r="J17" s="61"/>
      <c r="K17" s="69">
        <f t="shared" si="3"/>
        <v>0</v>
      </c>
      <c r="L17" s="125"/>
    </row>
    <row r="18" spans="2:12" x14ac:dyDescent="0.25">
      <c r="B18" s="14">
        <v>8</v>
      </c>
      <c r="C18" s="13" t="s">
        <v>509</v>
      </c>
      <c r="D18" s="66">
        <f>(5/60)*4</f>
        <v>0.33333333333333331</v>
      </c>
      <c r="E18" s="65">
        <f>0.2*4</f>
        <v>0.8</v>
      </c>
      <c r="F18" s="65">
        <f>AVERAGE(D18:E18)</f>
        <v>0.56666666666666665</v>
      </c>
      <c r="G18" s="59">
        <f>ROUND(AVERAGE(D18, E18), 1)/5</f>
        <v>0.12</v>
      </c>
      <c r="H18" s="59">
        <f>ROUND(AVERAGE(D18, E18), 1)/5</f>
        <v>0.12</v>
      </c>
      <c r="I18" s="59">
        <f>ROUND(AVERAGE(D18, E18), 1)/5</f>
        <v>0.12</v>
      </c>
      <c r="J18" s="59">
        <f>ROUND(AVERAGE(D18, E18), 1)/5</f>
        <v>0.12</v>
      </c>
      <c r="K18" s="69">
        <f t="shared" si="3"/>
        <v>0.48</v>
      </c>
      <c r="L18" s="125"/>
    </row>
    <row r="19" spans="2:12" x14ac:dyDescent="0.25">
      <c r="B19" s="14">
        <v>9</v>
      </c>
      <c r="C19" s="57" t="s">
        <v>510</v>
      </c>
      <c r="D19" s="66">
        <v>1.5</v>
      </c>
      <c r="E19" s="65">
        <v>2.5</v>
      </c>
      <c r="F19" s="65">
        <f>AVERAGE(D19:E19)</f>
        <v>2</v>
      </c>
      <c r="G19" s="59">
        <f t="shared" si="5"/>
        <v>2</v>
      </c>
      <c r="H19" s="61"/>
      <c r="I19" s="61"/>
      <c r="J19" s="61"/>
      <c r="K19" s="69">
        <f t="shared" si="3"/>
        <v>2</v>
      </c>
      <c r="L19" s="125"/>
    </row>
    <row r="20" spans="2:12" ht="17.25" x14ac:dyDescent="0.25">
      <c r="B20" s="14">
        <v>10</v>
      </c>
      <c r="C20" s="57" t="s">
        <v>511</v>
      </c>
      <c r="D20" s="66">
        <f>D5/2</f>
        <v>2.5</v>
      </c>
      <c r="E20" s="65">
        <f>E5/2</f>
        <v>2.15</v>
      </c>
      <c r="F20" s="65">
        <f t="shared" si="4"/>
        <v>2.3250000000000002</v>
      </c>
      <c r="G20" s="83">
        <f>ROUND(AVERAGE(D20, E20), 1)/4</f>
        <v>0.57499999999999996</v>
      </c>
      <c r="H20" s="83">
        <f>ROUND(AVERAGE(D20, E20), 1)/4</f>
        <v>0.57499999999999996</v>
      </c>
      <c r="I20" s="83">
        <f>ROUND(AVERAGE(D20, E20), 1)/4</f>
        <v>0.57499999999999996</v>
      </c>
      <c r="J20" s="83">
        <f>ROUND(AVERAGE(D20, E20), 1)/4</f>
        <v>0.57499999999999996</v>
      </c>
      <c r="K20" s="69">
        <f t="shared" si="3"/>
        <v>2.2999999999999998</v>
      </c>
      <c r="L20" s="125"/>
    </row>
    <row r="21" spans="2:12" ht="17.25" x14ac:dyDescent="0.25">
      <c r="B21" s="14">
        <v>11</v>
      </c>
      <c r="C21" s="57" t="s">
        <v>512</v>
      </c>
      <c r="D21" s="66">
        <f>D6/2</f>
        <v>0</v>
      </c>
      <c r="E21" s="65">
        <f>E6/2</f>
        <v>1.5</v>
      </c>
      <c r="F21" s="65">
        <f t="shared" si="4"/>
        <v>0.75</v>
      </c>
      <c r="G21" s="83">
        <f>ROUND(AVERAGE(D21, E21), 1)/4</f>
        <v>0.2</v>
      </c>
      <c r="H21" s="83">
        <f>ROUND(AVERAGE(D21, E21), 1)/4</f>
        <v>0.2</v>
      </c>
      <c r="I21" s="83">
        <f>ROUND(AVERAGE(D21, E21), 1)/4</f>
        <v>0.2</v>
      </c>
      <c r="J21" s="83">
        <f>ROUND(AVERAGE(D21, E21), 1)/4</f>
        <v>0.2</v>
      </c>
      <c r="K21" s="69">
        <f t="shared" si="3"/>
        <v>0.8</v>
      </c>
      <c r="L21" s="125"/>
    </row>
    <row r="22" spans="2:12" ht="17.25" x14ac:dyDescent="0.25">
      <c r="B22" s="14">
        <v>12</v>
      </c>
      <c r="C22" s="57" t="s">
        <v>513</v>
      </c>
      <c r="D22" s="90">
        <v>3</v>
      </c>
      <c r="E22" s="65">
        <v>2</v>
      </c>
      <c r="F22" s="65">
        <f t="shared" si="4"/>
        <v>2.5</v>
      </c>
      <c r="G22" s="61"/>
      <c r="H22" s="61"/>
      <c r="I22" s="62"/>
      <c r="J22" s="59">
        <v>2.5</v>
      </c>
      <c r="K22" s="69">
        <f t="shared" si="3"/>
        <v>2.5</v>
      </c>
      <c r="L22" s="125"/>
    </row>
    <row r="23" spans="2:12" x14ac:dyDescent="0.25">
      <c r="B23" s="14"/>
      <c r="C23" s="70" t="s">
        <v>138</v>
      </c>
      <c r="D23" s="88">
        <f>SUM(D11:D22)</f>
        <v>12.373333333333333</v>
      </c>
      <c r="E23" s="80">
        <f>SUM(E11:E22)</f>
        <v>15.683333333333332</v>
      </c>
      <c r="F23" s="81">
        <f>AVERAGE(D23:E23)</f>
        <v>14.028333333333332</v>
      </c>
      <c r="G23" s="71">
        <f>ROUND(SUM(G11:G22),1)</f>
        <v>4.5999999999999996</v>
      </c>
      <c r="H23" s="72">
        <f>ROUND(SUM(H11:H22),1)</f>
        <v>2.2999999999999998</v>
      </c>
      <c r="I23" s="72">
        <f>ROUND(SUM(I11:I22),1)</f>
        <v>2.2999999999999998</v>
      </c>
      <c r="J23" s="72">
        <f>ROUND(SUM(J11:J22),1)</f>
        <v>4.8</v>
      </c>
      <c r="K23" s="73">
        <f t="shared" si="3"/>
        <v>14</v>
      </c>
    </row>
    <row r="24" spans="2:12" x14ac:dyDescent="0.25">
      <c r="C24" s="91"/>
      <c r="D24" s="12"/>
    </row>
    <row r="25" spans="2:12" ht="17.25" x14ac:dyDescent="0.25">
      <c r="C25" s="92" t="s">
        <v>514</v>
      </c>
    </row>
    <row r="26" spans="2:12" ht="17.25" x14ac:dyDescent="0.25">
      <c r="C26" s="91" t="s">
        <v>515</v>
      </c>
    </row>
  </sheetData>
  <sheetProtection sheet="1" objects="1" scenarios="1"/>
  <phoneticPr fontId="34"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5DBC5-3D6D-48C0-A3A5-59662ABECAF4}">
  <dimension ref="B2:Q58"/>
  <sheetViews>
    <sheetView workbookViewId="0">
      <selection activeCell="A16" sqref="A16"/>
    </sheetView>
  </sheetViews>
  <sheetFormatPr defaultRowHeight="15" x14ac:dyDescent="0.25"/>
  <cols>
    <col min="1" max="1" width="6.7109375" customWidth="1"/>
    <col min="2" max="2" width="8.140625" customWidth="1"/>
    <col min="3" max="3" width="25" bestFit="1" customWidth="1"/>
    <col min="4" max="4" width="44.42578125" bestFit="1" customWidth="1"/>
    <col min="5" max="5" width="27.7109375" customWidth="1"/>
    <col min="6" max="6" width="26.42578125" customWidth="1"/>
    <col min="7" max="7" width="15.28515625" bestFit="1" customWidth="1"/>
    <col min="8" max="10" width="15.28515625" customWidth="1"/>
    <col min="11" max="11" width="18.85546875" customWidth="1"/>
    <col min="12" max="12" width="15.140625" bestFit="1" customWidth="1"/>
    <col min="13" max="15" width="15.5703125" bestFit="1" customWidth="1"/>
    <col min="16" max="16" width="19.42578125" customWidth="1"/>
  </cols>
  <sheetData>
    <row r="2" spans="2:17" x14ac:dyDescent="0.25">
      <c r="B2" s="1" t="s">
        <v>516</v>
      </c>
      <c r="H2" s="20"/>
      <c r="I2" s="20"/>
      <c r="J2" s="20"/>
      <c r="K2" s="20"/>
    </row>
    <row r="3" spans="2:17" ht="60" x14ac:dyDescent="0.25">
      <c r="B3" s="74" t="s">
        <v>489</v>
      </c>
      <c r="C3" s="75" t="s">
        <v>490</v>
      </c>
      <c r="D3" s="76" t="s">
        <v>517</v>
      </c>
      <c r="E3" s="77" t="s">
        <v>518</v>
      </c>
      <c r="F3" s="77" t="s">
        <v>493</v>
      </c>
      <c r="G3" s="78" t="s">
        <v>494</v>
      </c>
      <c r="H3" s="78"/>
      <c r="I3" s="78"/>
      <c r="J3" s="78"/>
      <c r="K3" s="79" t="s">
        <v>498</v>
      </c>
    </row>
    <row r="4" spans="2:17" x14ac:dyDescent="0.25">
      <c r="B4" s="14">
        <v>1</v>
      </c>
      <c r="C4" s="13" t="s">
        <v>499</v>
      </c>
      <c r="D4" s="66">
        <f>9/60</f>
        <v>0.15</v>
      </c>
      <c r="E4" s="65">
        <v>0.1</v>
      </c>
      <c r="F4" s="65">
        <f>AVERAGE(D4:E4)</f>
        <v>0.125</v>
      </c>
      <c r="G4" s="59">
        <f>ROUND(AVERAGE(D4, E4), 1)</f>
        <v>0.1</v>
      </c>
      <c r="H4" s="60"/>
      <c r="I4" s="60"/>
      <c r="J4" s="60"/>
      <c r="K4" s="69">
        <f>SUM(G4:J4)</f>
        <v>0.1</v>
      </c>
    </row>
    <row r="5" spans="2:17" x14ac:dyDescent="0.25">
      <c r="B5" s="14">
        <v>2</v>
      </c>
      <c r="C5" s="13" t="s">
        <v>519</v>
      </c>
      <c r="D5" s="66">
        <v>2</v>
      </c>
      <c r="E5" s="65">
        <v>0</v>
      </c>
      <c r="F5" s="65">
        <f>AVERAGE(D5:E5)</f>
        <v>1</v>
      </c>
      <c r="G5" s="59">
        <f t="shared" ref="G5:G9" si="0">ROUND(AVERAGE(D5, E5), 1)</f>
        <v>1</v>
      </c>
      <c r="H5" s="61"/>
      <c r="I5" s="61"/>
      <c r="J5" s="61"/>
      <c r="K5" s="69">
        <f t="shared" ref="K5:K9" si="1">SUM(G5:J5)</f>
        <v>1</v>
      </c>
    </row>
    <row r="6" spans="2:17" x14ac:dyDescent="0.25">
      <c r="B6" s="14">
        <v>3</v>
      </c>
      <c r="C6" s="13" t="s">
        <v>520</v>
      </c>
      <c r="D6" s="66">
        <v>0</v>
      </c>
      <c r="E6" s="65">
        <v>0.5</v>
      </c>
      <c r="F6" s="65">
        <f t="shared" ref="F6:F9" si="2">AVERAGE(D6:E6)</f>
        <v>0.25</v>
      </c>
      <c r="G6" s="59">
        <f t="shared" si="0"/>
        <v>0.3</v>
      </c>
      <c r="H6" s="61"/>
      <c r="I6" s="61"/>
      <c r="J6" s="61"/>
      <c r="K6" s="69">
        <f t="shared" si="1"/>
        <v>0.3</v>
      </c>
    </row>
    <row r="7" spans="2:17" x14ac:dyDescent="0.25">
      <c r="B7" s="14" t="s">
        <v>521</v>
      </c>
      <c r="C7" s="13" t="s">
        <v>522</v>
      </c>
      <c r="D7" s="66">
        <v>0</v>
      </c>
      <c r="E7" s="65">
        <v>3</v>
      </c>
      <c r="F7" s="65">
        <f t="shared" si="2"/>
        <v>1.5</v>
      </c>
      <c r="G7" s="59">
        <f t="shared" si="0"/>
        <v>1.5</v>
      </c>
      <c r="H7" s="61"/>
      <c r="I7" s="61"/>
      <c r="J7" s="61"/>
      <c r="K7" s="69">
        <f t="shared" si="1"/>
        <v>1.5</v>
      </c>
    </row>
    <row r="8" spans="2:17" x14ac:dyDescent="0.25">
      <c r="B8" s="14" t="s">
        <v>523</v>
      </c>
      <c r="C8" s="13" t="s">
        <v>524</v>
      </c>
      <c r="D8" s="66">
        <v>0</v>
      </c>
      <c r="E8" s="65">
        <v>1</v>
      </c>
      <c r="F8" s="65">
        <f t="shared" si="2"/>
        <v>0.5</v>
      </c>
      <c r="G8" s="59">
        <f t="shared" si="0"/>
        <v>0.5</v>
      </c>
      <c r="H8" s="61"/>
      <c r="I8" s="61"/>
      <c r="J8" s="61"/>
      <c r="K8" s="69">
        <f t="shared" si="1"/>
        <v>0.5</v>
      </c>
    </row>
    <row r="9" spans="2:17" x14ac:dyDescent="0.25">
      <c r="B9" s="14">
        <v>5</v>
      </c>
      <c r="C9" s="13" t="s">
        <v>501</v>
      </c>
      <c r="D9" s="66">
        <v>0</v>
      </c>
      <c r="E9" s="65">
        <v>1.5</v>
      </c>
      <c r="F9" s="65">
        <f t="shared" si="2"/>
        <v>0.75</v>
      </c>
      <c r="G9" s="59">
        <f t="shared" si="0"/>
        <v>0.8</v>
      </c>
      <c r="H9" s="61"/>
      <c r="I9" s="61"/>
      <c r="J9" s="61"/>
      <c r="K9" s="69">
        <f t="shared" si="1"/>
        <v>0.8</v>
      </c>
    </row>
    <row r="10" spans="2:17" x14ac:dyDescent="0.25">
      <c r="B10" s="14"/>
      <c r="C10" s="70" t="s">
        <v>138</v>
      </c>
      <c r="D10" s="88">
        <f>SUM(D4:D9)</f>
        <v>2.15</v>
      </c>
      <c r="E10" s="89">
        <f>SUM(E4:E9)</f>
        <v>6.1</v>
      </c>
      <c r="F10" s="81">
        <f>AVERAGE(D10:E10)</f>
        <v>4.125</v>
      </c>
      <c r="G10" s="71">
        <f>ROUND(SUM(G4:G9),1)</f>
        <v>4.2</v>
      </c>
      <c r="H10" s="72"/>
      <c r="I10" s="72"/>
      <c r="J10" s="72"/>
      <c r="K10" s="73">
        <f t="shared" ref="K10" si="3">SUM(G10:J10)</f>
        <v>4.2</v>
      </c>
    </row>
    <row r="12" spans="2:17" x14ac:dyDescent="0.25">
      <c r="B12" s="1" t="s">
        <v>525</v>
      </c>
      <c r="H12" s="20"/>
      <c r="I12" s="20"/>
      <c r="J12" s="20"/>
      <c r="K12" s="20"/>
      <c r="L12" s="20"/>
      <c r="M12" s="20"/>
      <c r="N12" s="20"/>
      <c r="O12" s="20"/>
      <c r="P12" s="20"/>
      <c r="Q12" s="20"/>
    </row>
    <row r="13" spans="2:17" ht="60" x14ac:dyDescent="0.25">
      <c r="B13" s="74" t="s">
        <v>489</v>
      </c>
      <c r="C13" s="75" t="s">
        <v>490</v>
      </c>
      <c r="D13" s="76" t="s">
        <v>526</v>
      </c>
      <c r="E13" s="77" t="s">
        <v>492</v>
      </c>
      <c r="F13" s="77" t="s">
        <v>493</v>
      </c>
      <c r="G13" s="78" t="s">
        <v>494</v>
      </c>
      <c r="H13" s="78" t="s">
        <v>495</v>
      </c>
      <c r="I13" s="78" t="s">
        <v>496</v>
      </c>
      <c r="J13" s="78" t="s">
        <v>497</v>
      </c>
      <c r="K13" s="79" t="s">
        <v>498</v>
      </c>
    </row>
    <row r="14" spans="2:17" x14ac:dyDescent="0.25">
      <c r="B14" s="14">
        <v>1</v>
      </c>
      <c r="C14" s="13" t="s">
        <v>499</v>
      </c>
      <c r="D14" s="66">
        <f>9/60</f>
        <v>0.15</v>
      </c>
      <c r="E14" s="65">
        <v>0.16666666666666666</v>
      </c>
      <c r="F14" s="65">
        <f t="shared" ref="F14:F37" si="4">AVERAGE(D14:E14)</f>
        <v>0.15833333333333333</v>
      </c>
      <c r="G14" s="59">
        <f t="shared" ref="G14:G23" si="5">ROUND(AVERAGE(D14, E14), 1)</f>
        <v>0.2</v>
      </c>
      <c r="H14" s="60"/>
      <c r="I14" s="60"/>
      <c r="J14" s="60"/>
      <c r="K14" s="69">
        <f t="shared" ref="K14:K37" si="6">SUM(G14:J14)</f>
        <v>0.2</v>
      </c>
      <c r="L14" s="125"/>
      <c r="M14" s="125"/>
    </row>
    <row r="15" spans="2:17" x14ac:dyDescent="0.25">
      <c r="B15" s="14" t="s">
        <v>527</v>
      </c>
      <c r="C15" s="13" t="s">
        <v>528</v>
      </c>
      <c r="D15" s="66">
        <f>6/60</f>
        <v>0.1</v>
      </c>
      <c r="E15" s="65">
        <v>0.16666666666666666</v>
      </c>
      <c r="F15" s="65">
        <f t="shared" si="4"/>
        <v>0.13333333333333333</v>
      </c>
      <c r="G15" s="59">
        <f t="shared" si="5"/>
        <v>0.1</v>
      </c>
      <c r="H15" s="61"/>
      <c r="I15" s="61"/>
      <c r="J15" s="61"/>
      <c r="K15" s="69">
        <f t="shared" si="6"/>
        <v>0.1</v>
      </c>
      <c r="L15" s="125"/>
      <c r="M15" s="125"/>
    </row>
    <row r="16" spans="2:17" x14ac:dyDescent="0.25">
      <c r="B16" s="14" t="s">
        <v>529</v>
      </c>
      <c r="C16" s="13" t="s">
        <v>530</v>
      </c>
      <c r="D16" s="66">
        <f>1/60</f>
        <v>1.6666666666666666E-2</v>
      </c>
      <c r="E16" s="65">
        <v>0.125</v>
      </c>
      <c r="F16" s="65">
        <f t="shared" si="4"/>
        <v>7.0833333333333331E-2</v>
      </c>
      <c r="G16" s="59">
        <f t="shared" si="5"/>
        <v>0.1</v>
      </c>
      <c r="H16" s="61"/>
      <c r="I16" s="61"/>
      <c r="J16" s="61"/>
      <c r="K16" s="69">
        <f t="shared" si="6"/>
        <v>0.1</v>
      </c>
      <c r="L16" s="125"/>
      <c r="M16" s="125"/>
    </row>
    <row r="17" spans="2:13" x14ac:dyDescent="0.25">
      <c r="B17" s="14" t="s">
        <v>531</v>
      </c>
      <c r="C17" s="13" t="s">
        <v>532</v>
      </c>
      <c r="D17" s="66">
        <f>18/60</f>
        <v>0.3</v>
      </c>
      <c r="E17" s="65">
        <v>0.33333333333333331</v>
      </c>
      <c r="F17" s="65">
        <f t="shared" si="4"/>
        <v>0.31666666666666665</v>
      </c>
      <c r="G17" s="59">
        <f t="shared" si="5"/>
        <v>0.3</v>
      </c>
      <c r="H17" s="61"/>
      <c r="I17" s="61"/>
      <c r="J17" s="61"/>
      <c r="K17" s="69">
        <f t="shared" si="6"/>
        <v>0.3</v>
      </c>
      <c r="L17" s="125"/>
      <c r="M17" s="125"/>
    </row>
    <row r="18" spans="2:13" x14ac:dyDescent="0.25">
      <c r="B18" s="14" t="s">
        <v>533</v>
      </c>
      <c r="C18" s="13" t="s">
        <v>534</v>
      </c>
      <c r="D18" s="66">
        <v>0</v>
      </c>
      <c r="E18" s="65">
        <v>0</v>
      </c>
      <c r="F18" s="65">
        <f t="shared" si="4"/>
        <v>0</v>
      </c>
      <c r="G18" s="59">
        <f t="shared" si="5"/>
        <v>0</v>
      </c>
      <c r="H18" s="61"/>
      <c r="I18" s="61"/>
      <c r="J18" s="61"/>
      <c r="K18" s="69">
        <f t="shared" si="6"/>
        <v>0</v>
      </c>
      <c r="L18" s="125"/>
      <c r="M18" s="125"/>
    </row>
    <row r="19" spans="2:13" x14ac:dyDescent="0.25">
      <c r="B19" s="14" t="s">
        <v>535</v>
      </c>
      <c r="C19" s="13" t="s">
        <v>536</v>
      </c>
      <c r="D19" s="66">
        <f>3/60</f>
        <v>0.05</v>
      </c>
      <c r="E19" s="65">
        <v>0.16666666666666666</v>
      </c>
      <c r="F19" s="65">
        <f t="shared" si="4"/>
        <v>0.10833333333333334</v>
      </c>
      <c r="G19" s="59">
        <f t="shared" si="5"/>
        <v>0.1</v>
      </c>
      <c r="H19" s="61"/>
      <c r="I19" s="61"/>
      <c r="J19" s="61"/>
      <c r="K19" s="69">
        <f t="shared" si="6"/>
        <v>0.1</v>
      </c>
      <c r="L19" s="125"/>
      <c r="M19" s="125"/>
    </row>
    <row r="20" spans="2:13" x14ac:dyDescent="0.25">
      <c r="B20" s="14" t="s">
        <v>537</v>
      </c>
      <c r="C20" s="13" t="s">
        <v>538</v>
      </c>
      <c r="D20" s="66">
        <f>3/60</f>
        <v>0.05</v>
      </c>
      <c r="E20" s="65">
        <v>0.16666666666666666</v>
      </c>
      <c r="F20" s="65">
        <f t="shared" si="4"/>
        <v>0.10833333333333334</v>
      </c>
      <c r="G20" s="59">
        <f t="shared" si="5"/>
        <v>0.1</v>
      </c>
      <c r="H20" s="61"/>
      <c r="I20" s="61"/>
      <c r="J20" s="61"/>
      <c r="K20" s="69">
        <f t="shared" si="6"/>
        <v>0.1</v>
      </c>
      <c r="L20" s="125"/>
      <c r="M20" s="125"/>
    </row>
    <row r="21" spans="2:13" x14ac:dyDescent="0.25">
      <c r="B21" s="14">
        <v>4</v>
      </c>
      <c r="C21" s="13" t="s">
        <v>539</v>
      </c>
      <c r="D21" s="66">
        <f>(5/60)*4</f>
        <v>0.33333333333333331</v>
      </c>
      <c r="E21" s="65">
        <v>1.25</v>
      </c>
      <c r="F21" s="65">
        <f t="shared" si="4"/>
        <v>0.79166666666666663</v>
      </c>
      <c r="G21" s="59">
        <f>ROUND(AVERAGE(D21, E21), 1)/4</f>
        <v>0.2</v>
      </c>
      <c r="H21" s="59">
        <f>ROUND(AVERAGE(D21, E21), 1)/4</f>
        <v>0.2</v>
      </c>
      <c r="I21" s="59">
        <f>ROUND(AVERAGE(D21, E21), 1)/4</f>
        <v>0.2</v>
      </c>
      <c r="J21" s="59">
        <f>ROUND(AVERAGE(D21, E21), 1)/4</f>
        <v>0.2</v>
      </c>
      <c r="K21" s="69">
        <f>SUM(G21:J21)</f>
        <v>0.8</v>
      </c>
      <c r="L21" s="125"/>
      <c r="M21" s="125"/>
    </row>
    <row r="22" spans="2:13" x14ac:dyDescent="0.25">
      <c r="B22" s="14">
        <v>5</v>
      </c>
      <c r="C22" s="13" t="s">
        <v>503</v>
      </c>
      <c r="D22" s="66">
        <f>4/60</f>
        <v>6.6666666666666666E-2</v>
      </c>
      <c r="E22" s="65">
        <v>3.3333333333333333E-2</v>
      </c>
      <c r="F22" s="65">
        <f t="shared" si="4"/>
        <v>0.05</v>
      </c>
      <c r="G22" s="59">
        <f t="shared" si="5"/>
        <v>0.1</v>
      </c>
      <c r="H22" s="61"/>
      <c r="I22" s="61"/>
      <c r="J22" s="61"/>
      <c r="K22" s="69">
        <f t="shared" si="6"/>
        <v>0.1</v>
      </c>
      <c r="L22" s="125"/>
      <c r="M22" s="125"/>
    </row>
    <row r="23" spans="2:13" x14ac:dyDescent="0.25">
      <c r="B23" s="14">
        <v>6</v>
      </c>
      <c r="C23" s="13" t="s">
        <v>504</v>
      </c>
      <c r="D23" s="66">
        <v>3</v>
      </c>
      <c r="E23" s="65">
        <v>2</v>
      </c>
      <c r="F23" s="65">
        <f t="shared" si="4"/>
        <v>2.5</v>
      </c>
      <c r="G23" s="59">
        <f t="shared" si="5"/>
        <v>2.5</v>
      </c>
      <c r="H23" s="61"/>
      <c r="I23" s="61"/>
      <c r="J23" s="61"/>
      <c r="K23" s="69">
        <f t="shared" si="6"/>
        <v>2.5</v>
      </c>
      <c r="L23" s="125"/>
      <c r="M23" s="125"/>
    </row>
    <row r="24" spans="2:13" x14ac:dyDescent="0.25">
      <c r="B24" s="14">
        <v>7</v>
      </c>
      <c r="C24" s="57" t="s">
        <v>505</v>
      </c>
      <c r="D24" s="67">
        <v>3</v>
      </c>
      <c r="E24" s="65">
        <v>2</v>
      </c>
      <c r="F24" s="65">
        <f t="shared" si="4"/>
        <v>2.5</v>
      </c>
      <c r="G24" s="61"/>
      <c r="H24" s="59">
        <v>2.5</v>
      </c>
      <c r="I24" s="61"/>
      <c r="J24" s="61"/>
      <c r="K24" s="69">
        <f t="shared" si="6"/>
        <v>2.5</v>
      </c>
      <c r="L24" s="125"/>
      <c r="M24" s="125"/>
    </row>
    <row r="25" spans="2:13" x14ac:dyDescent="0.25">
      <c r="B25" s="14">
        <v>8</v>
      </c>
      <c r="C25" s="57" t="s">
        <v>506</v>
      </c>
      <c r="D25" s="67">
        <v>3</v>
      </c>
      <c r="E25" s="65">
        <v>2</v>
      </c>
      <c r="F25" s="65">
        <f t="shared" si="4"/>
        <v>2.5</v>
      </c>
      <c r="G25" s="61"/>
      <c r="H25" s="61"/>
      <c r="I25" s="59">
        <v>2.5</v>
      </c>
      <c r="J25" s="61"/>
      <c r="K25" s="69">
        <f t="shared" si="6"/>
        <v>2.5</v>
      </c>
      <c r="L25" s="125"/>
      <c r="M25" s="125"/>
    </row>
    <row r="26" spans="2:13" x14ac:dyDescent="0.25">
      <c r="B26" s="14">
        <v>9</v>
      </c>
      <c r="C26" s="57" t="s">
        <v>507</v>
      </c>
      <c r="D26" s="67">
        <v>3</v>
      </c>
      <c r="E26" s="65">
        <v>2</v>
      </c>
      <c r="F26" s="65">
        <f t="shared" si="4"/>
        <v>2.5</v>
      </c>
      <c r="G26" s="61"/>
      <c r="H26" s="61"/>
      <c r="I26" s="61"/>
      <c r="J26" s="59">
        <v>2.5</v>
      </c>
      <c r="K26" s="69">
        <f t="shared" si="6"/>
        <v>2.5</v>
      </c>
      <c r="L26" s="125"/>
      <c r="M26" s="125"/>
    </row>
    <row r="27" spans="2:13" x14ac:dyDescent="0.25">
      <c r="B27" s="14">
        <v>10</v>
      </c>
      <c r="C27" s="57" t="s">
        <v>540</v>
      </c>
      <c r="D27" s="66">
        <v>1.5</v>
      </c>
      <c r="E27" s="65">
        <v>1</v>
      </c>
      <c r="F27" s="65">
        <f t="shared" si="4"/>
        <v>1.25</v>
      </c>
      <c r="G27" s="59">
        <f>ROUND(AVERAGE(1.5, E27), 1)</f>
        <v>1.3</v>
      </c>
      <c r="H27" s="61"/>
      <c r="I27" s="61"/>
      <c r="J27" s="61"/>
      <c r="K27" s="69">
        <f t="shared" si="6"/>
        <v>1.3</v>
      </c>
      <c r="L27" s="125"/>
      <c r="M27" s="125"/>
    </row>
    <row r="28" spans="2:13" x14ac:dyDescent="0.25">
      <c r="B28" s="14">
        <v>11</v>
      </c>
      <c r="C28" s="13" t="s">
        <v>541</v>
      </c>
      <c r="D28" s="66">
        <f>3/60</f>
        <v>0.05</v>
      </c>
      <c r="E28" s="65">
        <v>8.3333333333333329E-2</v>
      </c>
      <c r="F28" s="65">
        <f t="shared" si="4"/>
        <v>6.6666666666666666E-2</v>
      </c>
      <c r="G28" s="59">
        <f>ROUND(AVERAGE(3/60, E28), 1)</f>
        <v>0.1</v>
      </c>
      <c r="H28" s="61"/>
      <c r="I28" s="61"/>
      <c r="J28" s="61"/>
      <c r="K28" s="69">
        <f t="shared" si="6"/>
        <v>0.1</v>
      </c>
      <c r="L28" s="125"/>
      <c r="M28" s="125"/>
    </row>
    <row r="29" spans="2:13" x14ac:dyDescent="0.25">
      <c r="B29" s="14">
        <v>12</v>
      </c>
      <c r="C29" s="13" t="s">
        <v>522</v>
      </c>
      <c r="D29" s="66">
        <v>6</v>
      </c>
      <c r="E29" s="65">
        <v>2.75</v>
      </c>
      <c r="F29" s="65">
        <f t="shared" si="4"/>
        <v>4.375</v>
      </c>
      <c r="G29" s="59">
        <f>ROUND(AVERAGE(D29, E29), 1)/4</f>
        <v>1.1000000000000001</v>
      </c>
      <c r="H29" s="83">
        <f>ROUND(AVERAGE(D29, E29), 1)/4</f>
        <v>1.1000000000000001</v>
      </c>
      <c r="I29" s="83">
        <f>ROUND(AVERAGE(D29, E29), 1)/4</f>
        <v>1.1000000000000001</v>
      </c>
      <c r="J29" s="83">
        <f>ROUND(AVERAGE(D29, E29), 1)/4</f>
        <v>1.1000000000000001</v>
      </c>
      <c r="K29" s="69">
        <f t="shared" si="6"/>
        <v>4.4000000000000004</v>
      </c>
      <c r="L29" s="125"/>
      <c r="M29" s="125"/>
    </row>
    <row r="30" spans="2:13" x14ac:dyDescent="0.25">
      <c r="B30" s="14">
        <v>13</v>
      </c>
      <c r="C30" s="13" t="s">
        <v>524</v>
      </c>
      <c r="D30" s="66">
        <v>3</v>
      </c>
      <c r="E30" s="65">
        <v>0.83333333333333337</v>
      </c>
      <c r="F30" s="65">
        <f t="shared" si="4"/>
        <v>1.9166666666666667</v>
      </c>
      <c r="G30" s="59">
        <f t="shared" ref="G30:G36" si="7">ROUND(AVERAGE(D30, E30), 1)/4</f>
        <v>0.47499999999999998</v>
      </c>
      <c r="H30" s="83">
        <f t="shared" ref="H30:H36" si="8">ROUND(AVERAGE(D30, E30), 1)/4</f>
        <v>0.47499999999999998</v>
      </c>
      <c r="I30" s="83">
        <f t="shared" ref="I30:I36" si="9">ROUND(AVERAGE(D30, E30), 1)/4</f>
        <v>0.47499999999999998</v>
      </c>
      <c r="J30" s="83">
        <f t="shared" ref="J30:J36" si="10">ROUND(AVERAGE(D30, E30), 1)/4</f>
        <v>0.47499999999999998</v>
      </c>
      <c r="K30" s="69">
        <f t="shared" si="6"/>
        <v>1.9</v>
      </c>
      <c r="L30" s="125"/>
      <c r="M30" s="125"/>
    </row>
    <row r="31" spans="2:13" x14ac:dyDescent="0.25">
      <c r="B31" s="14">
        <v>14</v>
      </c>
      <c r="C31" s="13" t="s">
        <v>542</v>
      </c>
      <c r="D31" s="66">
        <v>3</v>
      </c>
      <c r="E31" s="65">
        <v>2.5</v>
      </c>
      <c r="F31" s="65">
        <f>AVERAGE(D31:E31)</f>
        <v>2.75</v>
      </c>
      <c r="G31" s="59">
        <f t="shared" si="7"/>
        <v>0.7</v>
      </c>
      <c r="H31" s="83">
        <f t="shared" si="8"/>
        <v>0.7</v>
      </c>
      <c r="I31" s="83">
        <f t="shared" si="9"/>
        <v>0.7</v>
      </c>
      <c r="J31" s="83">
        <f t="shared" si="10"/>
        <v>0.7</v>
      </c>
      <c r="K31" s="69">
        <f t="shared" si="6"/>
        <v>2.8</v>
      </c>
      <c r="L31" s="125"/>
      <c r="M31" s="125"/>
    </row>
    <row r="32" spans="2:13" x14ac:dyDescent="0.25">
      <c r="B32" s="14">
        <v>15</v>
      </c>
      <c r="C32" s="13" t="s">
        <v>543</v>
      </c>
      <c r="D32" s="66">
        <v>0</v>
      </c>
      <c r="E32" s="65">
        <v>0.5</v>
      </c>
      <c r="F32" s="65">
        <f t="shared" si="4"/>
        <v>0.25</v>
      </c>
      <c r="G32" s="59">
        <f t="shared" si="7"/>
        <v>7.4999999999999997E-2</v>
      </c>
      <c r="H32" s="83">
        <f t="shared" si="8"/>
        <v>7.4999999999999997E-2</v>
      </c>
      <c r="I32" s="83">
        <f t="shared" si="9"/>
        <v>7.4999999999999997E-2</v>
      </c>
      <c r="J32" s="83">
        <f t="shared" si="10"/>
        <v>7.4999999999999997E-2</v>
      </c>
      <c r="K32" s="69">
        <f t="shared" si="6"/>
        <v>0.3</v>
      </c>
      <c r="L32" s="125"/>
      <c r="M32" s="125"/>
    </row>
    <row r="33" spans="2:13" x14ac:dyDescent="0.25">
      <c r="B33" s="14">
        <v>16</v>
      </c>
      <c r="C33" s="13" t="s">
        <v>544</v>
      </c>
      <c r="D33" s="66">
        <v>0</v>
      </c>
      <c r="E33" s="65">
        <v>0.66666666666666663</v>
      </c>
      <c r="F33" s="65">
        <f t="shared" si="4"/>
        <v>0.33333333333333331</v>
      </c>
      <c r="G33" s="59">
        <f t="shared" si="7"/>
        <v>7.4999999999999997E-2</v>
      </c>
      <c r="H33" s="83">
        <f t="shared" si="8"/>
        <v>7.4999999999999997E-2</v>
      </c>
      <c r="I33" s="83">
        <f t="shared" si="9"/>
        <v>7.4999999999999997E-2</v>
      </c>
      <c r="J33" s="83">
        <f t="shared" si="10"/>
        <v>7.4999999999999997E-2</v>
      </c>
      <c r="K33" s="69">
        <f t="shared" si="6"/>
        <v>0.3</v>
      </c>
      <c r="L33" s="125"/>
      <c r="M33" s="125"/>
    </row>
    <row r="34" spans="2:13" x14ac:dyDescent="0.25">
      <c r="B34" s="14">
        <v>17</v>
      </c>
      <c r="C34" s="13" t="s">
        <v>545</v>
      </c>
      <c r="D34" s="66">
        <v>0</v>
      </c>
      <c r="E34" s="65">
        <v>1</v>
      </c>
      <c r="F34" s="65">
        <f t="shared" si="4"/>
        <v>0.5</v>
      </c>
      <c r="G34" s="59">
        <f t="shared" si="7"/>
        <v>0.125</v>
      </c>
      <c r="H34" s="83">
        <f t="shared" si="8"/>
        <v>0.125</v>
      </c>
      <c r="I34" s="83">
        <f t="shared" si="9"/>
        <v>0.125</v>
      </c>
      <c r="J34" s="83">
        <f t="shared" si="10"/>
        <v>0.125</v>
      </c>
      <c r="K34" s="69">
        <f t="shared" si="6"/>
        <v>0.5</v>
      </c>
      <c r="L34" s="125"/>
      <c r="M34" s="125"/>
    </row>
    <row r="35" spans="2:13" x14ac:dyDescent="0.25">
      <c r="B35" s="14">
        <v>18</v>
      </c>
      <c r="C35" s="13" t="s">
        <v>546</v>
      </c>
      <c r="D35" s="66">
        <v>0</v>
      </c>
      <c r="E35" s="65">
        <v>0.66666666666666663</v>
      </c>
      <c r="F35" s="65">
        <f t="shared" si="4"/>
        <v>0.33333333333333331</v>
      </c>
      <c r="G35" s="59">
        <f t="shared" si="7"/>
        <v>7.4999999999999997E-2</v>
      </c>
      <c r="H35" s="83">
        <f t="shared" si="8"/>
        <v>7.4999999999999997E-2</v>
      </c>
      <c r="I35" s="83">
        <f t="shared" si="9"/>
        <v>7.4999999999999997E-2</v>
      </c>
      <c r="J35" s="83">
        <f t="shared" si="10"/>
        <v>7.4999999999999997E-2</v>
      </c>
      <c r="K35" s="69">
        <f t="shared" si="6"/>
        <v>0.3</v>
      </c>
      <c r="L35" s="125"/>
      <c r="M35" s="125"/>
    </row>
    <row r="36" spans="2:13" x14ac:dyDescent="0.25">
      <c r="B36" s="14">
        <v>19</v>
      </c>
      <c r="C36" s="13" t="s">
        <v>547</v>
      </c>
      <c r="D36" s="66">
        <v>0</v>
      </c>
      <c r="E36" s="65">
        <v>3.3333333333333333E-2</v>
      </c>
      <c r="F36" s="65">
        <f t="shared" si="4"/>
        <v>1.6666666666666666E-2</v>
      </c>
      <c r="G36" s="59">
        <f t="shared" si="7"/>
        <v>0</v>
      </c>
      <c r="H36" s="83">
        <f t="shared" si="8"/>
        <v>0</v>
      </c>
      <c r="I36" s="83">
        <f t="shared" si="9"/>
        <v>0</v>
      </c>
      <c r="J36" s="83">
        <f t="shared" si="10"/>
        <v>0</v>
      </c>
      <c r="K36" s="69">
        <f t="shared" si="6"/>
        <v>0</v>
      </c>
      <c r="L36" s="125"/>
      <c r="M36" s="125"/>
    </row>
    <row r="37" spans="2:13" x14ac:dyDescent="0.25">
      <c r="B37" s="14">
        <v>20</v>
      </c>
      <c r="C37" s="57" t="s">
        <v>548</v>
      </c>
      <c r="D37" s="68">
        <v>3</v>
      </c>
      <c r="E37" s="65">
        <v>2</v>
      </c>
      <c r="F37" s="65">
        <f t="shared" si="4"/>
        <v>2.5</v>
      </c>
      <c r="G37" s="61"/>
      <c r="H37" s="61"/>
      <c r="I37" s="61"/>
      <c r="J37" s="59">
        <v>2.5</v>
      </c>
      <c r="K37" s="69">
        <f t="shared" si="6"/>
        <v>2.5</v>
      </c>
      <c r="L37" s="125"/>
      <c r="M37" s="125"/>
    </row>
    <row r="38" spans="2:13" x14ac:dyDescent="0.25">
      <c r="B38" s="14"/>
      <c r="C38" s="70" t="s">
        <v>138</v>
      </c>
      <c r="D38" s="88">
        <f>SUM(D14:D37)</f>
        <v>29.616666666666667</v>
      </c>
      <c r="E38" s="89">
        <f>SUM(E14:E37)</f>
        <v>22.441666666666674</v>
      </c>
      <c r="F38" s="81">
        <f>SUM(F14:F37)</f>
        <v>26.029166666666665</v>
      </c>
      <c r="G38" s="72">
        <f>ROUND(SUM(G14:G37),1)</f>
        <v>7.7</v>
      </c>
      <c r="H38" s="72">
        <f>ROUND(SUM(H14:H37),1)</f>
        <v>5.3</v>
      </c>
      <c r="I38" s="72">
        <f>ROUND(SUM(I14:I37),1)</f>
        <v>5.3</v>
      </c>
      <c r="J38" s="72">
        <f>ROUND(SUM(J14:J37),1)</f>
        <v>7.8</v>
      </c>
      <c r="K38" s="73">
        <f>SUM(G38:J38)</f>
        <v>26.1</v>
      </c>
      <c r="L38" s="125"/>
    </row>
    <row r="39" spans="2:13" x14ac:dyDescent="0.25">
      <c r="D39" s="12"/>
    </row>
    <row r="41" spans="2:13" x14ac:dyDescent="0.25">
      <c r="B41" s="64" t="s">
        <v>549</v>
      </c>
      <c r="F41" s="20"/>
      <c r="G41" s="20"/>
      <c r="H41" s="20"/>
      <c r="I41" s="20"/>
      <c r="J41" s="20"/>
      <c r="K41" s="20"/>
    </row>
    <row r="42" spans="2:13" ht="60" x14ac:dyDescent="0.25">
      <c r="B42" s="74" t="s">
        <v>489</v>
      </c>
      <c r="C42" s="75" t="s">
        <v>490</v>
      </c>
      <c r="D42" s="82" t="s">
        <v>550</v>
      </c>
      <c r="E42" s="82" t="s">
        <v>551</v>
      </c>
      <c r="F42" s="77" t="s">
        <v>493</v>
      </c>
      <c r="G42" s="78" t="s">
        <v>494</v>
      </c>
      <c r="H42" s="78" t="s">
        <v>495</v>
      </c>
      <c r="I42" s="78" t="s">
        <v>496</v>
      </c>
      <c r="J42" s="79" t="s">
        <v>498</v>
      </c>
    </row>
    <row r="43" spans="2:13" x14ac:dyDescent="0.25">
      <c r="B43" s="14">
        <v>1</v>
      </c>
      <c r="C43" s="13" t="s">
        <v>499</v>
      </c>
      <c r="D43" s="19">
        <v>8.3333333333333329E-2</v>
      </c>
      <c r="E43" s="63">
        <f t="shared" ref="E43:E54" si="11">AVERAGE(D14:E14)</f>
        <v>0.15833333333333333</v>
      </c>
      <c r="F43" s="65">
        <f t="shared" ref="F43:F57" si="12">AVERAGE(D43:E43)</f>
        <v>0.12083333333333332</v>
      </c>
      <c r="G43" s="83">
        <f t="shared" ref="G43:G49" si="13">F43</f>
        <v>0.12083333333333332</v>
      </c>
      <c r="H43" s="60"/>
      <c r="I43" s="60"/>
      <c r="J43" s="73">
        <f t="shared" ref="J43:J58" si="14">SUM(G43:I43)</f>
        <v>0.12083333333333332</v>
      </c>
    </row>
    <row r="44" spans="2:13" x14ac:dyDescent="0.25">
      <c r="B44" s="14" t="s">
        <v>527</v>
      </c>
      <c r="C44" s="13" t="s">
        <v>528</v>
      </c>
      <c r="D44" s="19">
        <v>0.16666666666666666</v>
      </c>
      <c r="E44" s="63">
        <f t="shared" si="11"/>
        <v>0.13333333333333333</v>
      </c>
      <c r="F44" s="65">
        <f t="shared" si="12"/>
        <v>0.15</v>
      </c>
      <c r="G44" s="83">
        <f t="shared" si="13"/>
        <v>0.15</v>
      </c>
      <c r="H44" s="60"/>
      <c r="I44" s="60"/>
      <c r="J44" s="69">
        <f t="shared" si="14"/>
        <v>0.15</v>
      </c>
    </row>
    <row r="45" spans="2:13" x14ac:dyDescent="0.25">
      <c r="B45" s="14" t="s">
        <v>529</v>
      </c>
      <c r="C45" s="13" t="s">
        <v>530</v>
      </c>
      <c r="D45" s="19">
        <v>0.16666666666666666</v>
      </c>
      <c r="E45" s="63">
        <f t="shared" si="11"/>
        <v>7.0833333333333331E-2</v>
      </c>
      <c r="F45" s="65">
        <f t="shared" si="12"/>
        <v>0.11874999999999999</v>
      </c>
      <c r="G45" s="83">
        <f t="shared" si="13"/>
        <v>0.11874999999999999</v>
      </c>
      <c r="H45" s="60"/>
      <c r="I45" s="60"/>
      <c r="J45" s="69">
        <f t="shared" si="14"/>
        <v>0.11874999999999999</v>
      </c>
    </row>
    <row r="46" spans="2:13" x14ac:dyDescent="0.25">
      <c r="B46" s="14" t="s">
        <v>531</v>
      </c>
      <c r="C46" s="13" t="s">
        <v>532</v>
      </c>
      <c r="D46" s="19">
        <v>0.33333333333333331</v>
      </c>
      <c r="E46" s="63">
        <f t="shared" si="11"/>
        <v>0.31666666666666665</v>
      </c>
      <c r="F46" s="65">
        <f t="shared" si="12"/>
        <v>0.32499999999999996</v>
      </c>
      <c r="G46" s="83">
        <f t="shared" si="13"/>
        <v>0.32499999999999996</v>
      </c>
      <c r="H46" s="60"/>
      <c r="I46" s="60"/>
      <c r="J46" s="69">
        <f t="shared" si="14"/>
        <v>0.32499999999999996</v>
      </c>
    </row>
    <row r="47" spans="2:13" x14ac:dyDescent="0.25">
      <c r="B47" s="14" t="s">
        <v>533</v>
      </c>
      <c r="C47" s="13" t="s">
        <v>534</v>
      </c>
      <c r="D47" s="19">
        <v>0.16666666666666666</v>
      </c>
      <c r="E47" s="63">
        <f t="shared" si="11"/>
        <v>0</v>
      </c>
      <c r="F47" s="65">
        <f t="shared" si="12"/>
        <v>8.3333333333333329E-2</v>
      </c>
      <c r="G47" s="83">
        <f t="shared" si="13"/>
        <v>8.3333333333333329E-2</v>
      </c>
      <c r="H47" s="60"/>
      <c r="I47" s="60"/>
      <c r="J47" s="69">
        <f t="shared" si="14"/>
        <v>8.3333333333333329E-2</v>
      </c>
    </row>
    <row r="48" spans="2:13" x14ac:dyDescent="0.25">
      <c r="B48" s="14" t="s">
        <v>535</v>
      </c>
      <c r="C48" s="13" t="s">
        <v>536</v>
      </c>
      <c r="D48" s="19">
        <v>0.16666666666666666</v>
      </c>
      <c r="E48" s="63">
        <f t="shared" si="11"/>
        <v>0.10833333333333334</v>
      </c>
      <c r="F48" s="65">
        <f t="shared" si="12"/>
        <v>0.13750000000000001</v>
      </c>
      <c r="G48" s="83">
        <f t="shared" si="13"/>
        <v>0.13750000000000001</v>
      </c>
      <c r="H48" s="60"/>
      <c r="I48" s="60"/>
      <c r="J48" s="69">
        <f t="shared" si="14"/>
        <v>0.13750000000000001</v>
      </c>
    </row>
    <row r="49" spans="2:10" x14ac:dyDescent="0.25">
      <c r="B49" s="14" t="s">
        <v>537</v>
      </c>
      <c r="C49" s="13" t="s">
        <v>538</v>
      </c>
      <c r="D49" s="19">
        <v>0.16666666666666666</v>
      </c>
      <c r="E49" s="63">
        <f t="shared" si="11"/>
        <v>0.10833333333333334</v>
      </c>
      <c r="F49" s="65">
        <f t="shared" si="12"/>
        <v>0.13750000000000001</v>
      </c>
      <c r="G49" s="83">
        <f t="shared" si="13"/>
        <v>0.13750000000000001</v>
      </c>
      <c r="H49" s="60"/>
      <c r="I49" s="60"/>
      <c r="J49" s="69">
        <f t="shared" si="14"/>
        <v>0.13750000000000001</v>
      </c>
    </row>
    <row r="50" spans="2:10" x14ac:dyDescent="0.25">
      <c r="B50" s="14">
        <v>4</v>
      </c>
      <c r="C50" s="13" t="s">
        <v>552</v>
      </c>
      <c r="D50" s="19">
        <f>0.25*3</f>
        <v>0.75</v>
      </c>
      <c r="E50" s="63">
        <f>AVERAGE(D21:E21)</f>
        <v>0.79166666666666663</v>
      </c>
      <c r="F50" s="65">
        <f t="shared" si="12"/>
        <v>0.77083333333333326</v>
      </c>
      <c r="G50" s="59">
        <f>AVERAGE(D50:E50)/3</f>
        <v>0.25694444444444442</v>
      </c>
      <c r="H50" s="59">
        <f>AVERAGE(D50:E50)/3</f>
        <v>0.25694444444444442</v>
      </c>
      <c r="I50" s="59">
        <f>AVERAGE(E50:F50)/3</f>
        <v>0.26041666666666669</v>
      </c>
      <c r="J50" s="69">
        <f t="shared" si="14"/>
        <v>0.77430555555555558</v>
      </c>
    </row>
    <row r="51" spans="2:10" x14ac:dyDescent="0.25">
      <c r="B51" s="14">
        <v>5</v>
      </c>
      <c r="C51" s="13" t="s">
        <v>503</v>
      </c>
      <c r="D51" s="19">
        <v>3.3333333333333333E-2</v>
      </c>
      <c r="E51" s="63">
        <f t="shared" si="11"/>
        <v>0.05</v>
      </c>
      <c r="F51" s="65">
        <f t="shared" si="12"/>
        <v>4.1666666666666671E-2</v>
      </c>
      <c r="G51" s="59">
        <f>AVERAGE(D51:E51)</f>
        <v>4.1666666666666671E-2</v>
      </c>
      <c r="H51" s="60"/>
      <c r="I51" s="60"/>
      <c r="J51" s="69">
        <f t="shared" si="14"/>
        <v>4.1666666666666671E-2</v>
      </c>
    </row>
    <row r="52" spans="2:10" x14ac:dyDescent="0.25">
      <c r="B52" s="14">
        <v>6</v>
      </c>
      <c r="C52" s="13" t="s">
        <v>504</v>
      </c>
      <c r="D52" s="19">
        <v>2</v>
      </c>
      <c r="E52" s="63">
        <f t="shared" si="11"/>
        <v>2.5</v>
      </c>
      <c r="F52" s="65">
        <f t="shared" si="12"/>
        <v>2.25</v>
      </c>
      <c r="G52" s="59">
        <f>AVERAGE(D52:E52)</f>
        <v>2.25</v>
      </c>
      <c r="H52" s="60"/>
      <c r="I52" s="60"/>
      <c r="J52" s="69">
        <f t="shared" si="14"/>
        <v>2.25</v>
      </c>
    </row>
    <row r="53" spans="2:10" x14ac:dyDescent="0.25">
      <c r="B53" s="14">
        <v>7</v>
      </c>
      <c r="C53" s="57" t="s">
        <v>505</v>
      </c>
      <c r="D53" s="58">
        <v>2</v>
      </c>
      <c r="E53" s="63">
        <f t="shared" si="11"/>
        <v>2.5</v>
      </c>
      <c r="F53" s="65">
        <f t="shared" si="12"/>
        <v>2.25</v>
      </c>
      <c r="G53" s="62"/>
      <c r="H53" s="59">
        <f>AVERAGE(D53:E53)</f>
        <v>2.25</v>
      </c>
      <c r="I53" s="60"/>
      <c r="J53" s="69">
        <f t="shared" si="14"/>
        <v>2.25</v>
      </c>
    </row>
    <row r="54" spans="2:10" x14ac:dyDescent="0.25">
      <c r="B54" s="14">
        <v>8</v>
      </c>
      <c r="C54" s="57" t="s">
        <v>506</v>
      </c>
      <c r="D54" s="58">
        <v>2</v>
      </c>
      <c r="E54" s="63">
        <f t="shared" si="11"/>
        <v>2.5</v>
      </c>
      <c r="F54" s="65">
        <f t="shared" si="12"/>
        <v>2.25</v>
      </c>
      <c r="G54" s="60"/>
      <c r="H54" s="62"/>
      <c r="I54" s="59">
        <f>AVERAGE(D54:E54)</f>
        <v>2.25</v>
      </c>
      <c r="J54" s="69">
        <f t="shared" si="14"/>
        <v>2.25</v>
      </c>
    </row>
    <row r="55" spans="2:10" x14ac:dyDescent="0.25">
      <c r="B55" s="14">
        <v>9</v>
      </c>
      <c r="C55" s="57" t="s">
        <v>540</v>
      </c>
      <c r="D55" s="58">
        <v>1</v>
      </c>
      <c r="E55" s="63">
        <f>AVERAGE(D27:E27)</f>
        <v>1.25</v>
      </c>
      <c r="F55" s="65">
        <f t="shared" si="12"/>
        <v>1.125</v>
      </c>
      <c r="G55" s="83">
        <f>F55</f>
        <v>1.125</v>
      </c>
      <c r="H55" s="60"/>
      <c r="I55" s="60"/>
      <c r="J55" s="69">
        <f t="shared" si="14"/>
        <v>1.125</v>
      </c>
    </row>
    <row r="56" spans="2:10" x14ac:dyDescent="0.25">
      <c r="B56" s="14">
        <v>10</v>
      </c>
      <c r="C56" s="57" t="s">
        <v>553</v>
      </c>
      <c r="D56" s="58">
        <v>1</v>
      </c>
      <c r="E56" s="63">
        <v>2</v>
      </c>
      <c r="F56" s="65">
        <f t="shared" si="12"/>
        <v>1.5</v>
      </c>
      <c r="G56" s="83">
        <f>F56</f>
        <v>1.5</v>
      </c>
      <c r="H56" s="60"/>
      <c r="I56" s="60"/>
      <c r="J56" s="69">
        <f t="shared" si="14"/>
        <v>1.5</v>
      </c>
    </row>
    <row r="57" spans="2:10" x14ac:dyDescent="0.25">
      <c r="B57" s="14">
        <v>11</v>
      </c>
      <c r="C57" s="57" t="s">
        <v>548</v>
      </c>
      <c r="D57" s="58">
        <v>3</v>
      </c>
      <c r="E57" s="63">
        <f>AVERAGE(D37:E37)</f>
        <v>2.5</v>
      </c>
      <c r="F57" s="65">
        <f t="shared" si="12"/>
        <v>2.75</v>
      </c>
      <c r="G57" s="60"/>
      <c r="H57" s="60"/>
      <c r="I57" s="85">
        <f>SUM(F57)</f>
        <v>2.75</v>
      </c>
      <c r="J57" s="86">
        <f t="shared" si="14"/>
        <v>2.75</v>
      </c>
    </row>
    <row r="58" spans="2:10" x14ac:dyDescent="0.25">
      <c r="B58" s="14"/>
      <c r="C58" s="70" t="s">
        <v>138</v>
      </c>
      <c r="D58" s="84">
        <f>SUM(D43:D57)</f>
        <v>13.033333333333333</v>
      </c>
      <c r="E58" s="84">
        <f>SUM(E43:E57)</f>
        <v>14.987500000000001</v>
      </c>
      <c r="F58" s="71">
        <f>ROUND(SUM(F43:F57),1)</f>
        <v>14</v>
      </c>
      <c r="G58" s="87">
        <f>ROUND(SUM(G43:G57),1)</f>
        <v>6.2</v>
      </c>
      <c r="H58" s="71">
        <f>ROUND(SUM(H43:H57),1)</f>
        <v>2.5</v>
      </c>
      <c r="I58" s="72">
        <f>ROUND(SUM(I43:I57),1)</f>
        <v>5.3</v>
      </c>
      <c r="J58" s="73">
        <f t="shared" si="14"/>
        <v>14</v>
      </c>
    </row>
  </sheetData>
  <sheetProtection sheet="1" objects="1" scenarios="1"/>
  <phoneticPr fontId="34" type="noConversion"/>
  <pageMargins left="0.7" right="0.7" top="0.75" bottom="0.75" header="0.3" footer="0.3"/>
  <ignoredErrors>
    <ignoredError sqref="E55"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35ADA-9F59-4A9A-8300-310B63F20818}">
  <dimension ref="B2:J23"/>
  <sheetViews>
    <sheetView workbookViewId="0">
      <selection activeCell="A16" sqref="A16"/>
    </sheetView>
  </sheetViews>
  <sheetFormatPr defaultRowHeight="15" x14ac:dyDescent="0.25"/>
  <cols>
    <col min="3" max="3" width="38.5703125" customWidth="1"/>
    <col min="4" max="4" width="21.42578125" customWidth="1"/>
    <col min="5" max="5" width="20" customWidth="1"/>
    <col min="6" max="6" width="16.42578125" customWidth="1"/>
    <col min="7" max="7" width="18.42578125" customWidth="1"/>
    <col min="8" max="8" width="17.5703125" customWidth="1"/>
    <col min="9" max="9" width="15" customWidth="1"/>
    <col min="10" max="10" width="20.85546875" customWidth="1"/>
  </cols>
  <sheetData>
    <row r="2" spans="2:10" x14ac:dyDescent="0.25">
      <c r="B2" s="1" t="s">
        <v>554</v>
      </c>
      <c r="H2" s="20"/>
      <c r="I2" s="20"/>
      <c r="J2" s="20"/>
    </row>
    <row r="3" spans="2:10" ht="60" x14ac:dyDescent="0.25">
      <c r="B3" s="74" t="s">
        <v>489</v>
      </c>
      <c r="C3" s="75" t="s">
        <v>490</v>
      </c>
      <c r="D3" s="76" t="s">
        <v>491</v>
      </c>
      <c r="E3" s="77" t="s">
        <v>492</v>
      </c>
      <c r="F3" s="77" t="s">
        <v>493</v>
      </c>
      <c r="G3" s="78" t="s">
        <v>494</v>
      </c>
      <c r="H3" s="78" t="s">
        <v>495</v>
      </c>
      <c r="I3" s="78" t="s">
        <v>496</v>
      </c>
      <c r="J3" s="79" t="s">
        <v>498</v>
      </c>
    </row>
    <row r="4" spans="2:10" x14ac:dyDescent="0.25">
      <c r="B4" s="14">
        <v>1</v>
      </c>
      <c r="C4" s="13" t="s">
        <v>499</v>
      </c>
      <c r="D4" s="66">
        <f>9/60</f>
        <v>0.15</v>
      </c>
      <c r="E4" s="65">
        <v>0.25</v>
      </c>
      <c r="F4" s="65">
        <f>AVERAGE(D4:E4)</f>
        <v>0.2</v>
      </c>
      <c r="G4" s="59">
        <f>ROUND(AVERAGE(D4, E4), 1)</f>
        <v>0.2</v>
      </c>
      <c r="H4" s="60"/>
      <c r="I4" s="60"/>
      <c r="J4" s="69">
        <f>SUM(G4:I4)</f>
        <v>0.2</v>
      </c>
    </row>
    <row r="5" spans="2:10" x14ac:dyDescent="0.25">
      <c r="B5" s="14">
        <v>2</v>
      </c>
      <c r="C5" s="13" t="s">
        <v>500</v>
      </c>
      <c r="D5" s="66">
        <v>4</v>
      </c>
      <c r="E5" s="65">
        <v>4.3</v>
      </c>
      <c r="F5" s="65">
        <f t="shared" ref="F5:F6" si="0">AVERAGE(D5:E5)</f>
        <v>4.1500000000000004</v>
      </c>
      <c r="G5" s="59">
        <f t="shared" ref="G5:G6" si="1">ROUND(AVERAGE(D5, E5), 1)</f>
        <v>4.2</v>
      </c>
      <c r="H5" s="61"/>
      <c r="I5" s="61"/>
      <c r="J5" s="69">
        <f>SUM(G5:I5)</f>
        <v>4.2</v>
      </c>
    </row>
    <row r="6" spans="2:10" x14ac:dyDescent="0.25">
      <c r="B6" s="14">
        <v>3</v>
      </c>
      <c r="C6" s="13" t="s">
        <v>501</v>
      </c>
      <c r="D6" s="66">
        <v>2.6</v>
      </c>
      <c r="E6" s="65">
        <v>3</v>
      </c>
      <c r="F6" s="65">
        <f t="shared" si="0"/>
        <v>2.8</v>
      </c>
      <c r="G6" s="59">
        <f t="shared" si="1"/>
        <v>2.8</v>
      </c>
      <c r="H6" s="61"/>
      <c r="I6" s="61"/>
      <c r="J6" s="69">
        <f>SUM(G6:I6)</f>
        <v>2.8</v>
      </c>
    </row>
    <row r="7" spans="2:10" x14ac:dyDescent="0.25">
      <c r="B7" s="14"/>
      <c r="C7" s="70" t="s">
        <v>138</v>
      </c>
      <c r="D7" s="88">
        <f>SUM(D4:D6)</f>
        <v>6.75</v>
      </c>
      <c r="E7" s="89">
        <f>SUM(E4:E6)</f>
        <v>7.55</v>
      </c>
      <c r="F7" s="81">
        <f>AVERAGE(D7:E7)</f>
        <v>7.15</v>
      </c>
      <c r="G7" s="71">
        <f>ROUND(SUM(G4:G6),1)</f>
        <v>7.2</v>
      </c>
      <c r="H7" s="72">
        <f>ROUND(SUM(H4:H6),1)</f>
        <v>0</v>
      </c>
      <c r="I7" s="72">
        <f>ROUND(SUM(I4:I6),1)</f>
        <v>0</v>
      </c>
      <c r="J7" s="73">
        <f>SUM(G7:I7)</f>
        <v>7.2</v>
      </c>
    </row>
    <row r="10" spans="2:10" x14ac:dyDescent="0.25">
      <c r="B10" s="1" t="s">
        <v>555</v>
      </c>
      <c r="H10" s="20"/>
      <c r="I10" s="20"/>
      <c r="J10" s="20"/>
    </row>
    <row r="11" spans="2:10" ht="60" x14ac:dyDescent="0.25">
      <c r="B11" s="74" t="s">
        <v>489</v>
      </c>
      <c r="C11" s="75" t="s">
        <v>490</v>
      </c>
      <c r="D11" s="76" t="s">
        <v>491</v>
      </c>
      <c r="E11" s="77" t="s">
        <v>492</v>
      </c>
      <c r="F11" s="77" t="s">
        <v>493</v>
      </c>
      <c r="G11" s="78" t="s">
        <v>494</v>
      </c>
      <c r="H11" s="78" t="s">
        <v>495</v>
      </c>
      <c r="I11" s="78" t="s">
        <v>496</v>
      </c>
      <c r="J11" s="79" t="s">
        <v>498</v>
      </c>
    </row>
    <row r="12" spans="2:10" x14ac:dyDescent="0.25">
      <c r="B12" s="14">
        <v>1</v>
      </c>
      <c r="C12" s="13" t="s">
        <v>499</v>
      </c>
      <c r="D12" s="66">
        <f>9/60</f>
        <v>0.15</v>
      </c>
      <c r="E12" s="65">
        <v>0.1</v>
      </c>
      <c r="F12" s="65">
        <f>AVERAGE(D12:E12)</f>
        <v>0.125</v>
      </c>
      <c r="G12" s="59">
        <f>ROUND(AVERAGE(D12, E12), 1)</f>
        <v>0.1</v>
      </c>
      <c r="H12" s="60"/>
      <c r="I12" s="60"/>
      <c r="J12" s="69">
        <f t="shared" ref="J12:J22" si="2">SUM(G12:I12)</f>
        <v>0.1</v>
      </c>
    </row>
    <row r="13" spans="2:10" x14ac:dyDescent="0.25">
      <c r="B13" s="14">
        <v>2</v>
      </c>
      <c r="C13" s="13" t="s">
        <v>556</v>
      </c>
      <c r="D13" s="66">
        <v>2</v>
      </c>
      <c r="E13" s="65">
        <v>1.5</v>
      </c>
      <c r="F13" s="65">
        <f t="shared" ref="F13:F22" si="3">AVERAGE(D13:E13)</f>
        <v>1.75</v>
      </c>
      <c r="G13" s="59">
        <f t="shared" ref="G13:G19" si="4">ROUND(AVERAGE(D13, E13), 1)</f>
        <v>1.8</v>
      </c>
      <c r="H13" s="61"/>
      <c r="I13" s="61"/>
      <c r="J13" s="69">
        <f t="shared" si="2"/>
        <v>1.8</v>
      </c>
    </row>
    <row r="14" spans="2:10" x14ac:dyDescent="0.25">
      <c r="B14" s="14">
        <v>3</v>
      </c>
      <c r="C14" s="13" t="s">
        <v>552</v>
      </c>
      <c r="D14" s="66">
        <f>0.2*3</f>
        <v>0.60000000000000009</v>
      </c>
      <c r="E14" s="65">
        <f>0.125*3</f>
        <v>0.375</v>
      </c>
      <c r="F14" s="65">
        <f>AVERAGE(D14:E14)</f>
        <v>0.48750000000000004</v>
      </c>
      <c r="G14" s="59">
        <f>(ROUND(AVERAGE(D14, E14), 1))/3</f>
        <v>0.16666666666666666</v>
      </c>
      <c r="H14" s="59">
        <f>ROUND(AVERAGE(D14, E14), 1)/3</f>
        <v>0.16666666666666666</v>
      </c>
      <c r="I14" s="59">
        <f>ROUND(AVERAGE(D14, E14), 1)/3</f>
        <v>0.16666666666666666</v>
      </c>
      <c r="J14" s="69">
        <f t="shared" si="2"/>
        <v>0.5</v>
      </c>
    </row>
    <row r="15" spans="2:10" x14ac:dyDescent="0.25">
      <c r="B15" s="14">
        <v>4</v>
      </c>
      <c r="C15" s="13" t="s">
        <v>503</v>
      </c>
      <c r="D15" s="66">
        <f>18/60</f>
        <v>0.3</v>
      </c>
      <c r="E15" s="65">
        <v>0.33333333333333331</v>
      </c>
      <c r="F15" s="65">
        <f t="shared" si="3"/>
        <v>0.31666666666666665</v>
      </c>
      <c r="G15" s="59">
        <f t="shared" si="4"/>
        <v>0.3</v>
      </c>
      <c r="H15" s="61"/>
      <c r="I15" s="61"/>
      <c r="J15" s="69">
        <f t="shared" si="2"/>
        <v>0.3</v>
      </c>
    </row>
    <row r="16" spans="2:10" x14ac:dyDescent="0.25">
      <c r="B16" s="14">
        <v>5</v>
      </c>
      <c r="C16" s="13" t="s">
        <v>504</v>
      </c>
      <c r="D16" s="66">
        <v>1</v>
      </c>
      <c r="E16" s="65">
        <v>1.5</v>
      </c>
      <c r="F16" s="65">
        <f t="shared" si="3"/>
        <v>1.25</v>
      </c>
      <c r="G16" s="59">
        <f t="shared" si="4"/>
        <v>1.3</v>
      </c>
      <c r="H16" s="61"/>
      <c r="I16" s="61"/>
      <c r="J16" s="69">
        <f t="shared" si="2"/>
        <v>1.3</v>
      </c>
    </row>
    <row r="17" spans="2:10" x14ac:dyDescent="0.25">
      <c r="B17" s="14">
        <v>6</v>
      </c>
      <c r="C17" s="57" t="s">
        <v>505</v>
      </c>
      <c r="D17" s="66">
        <v>1</v>
      </c>
      <c r="E17" s="65">
        <v>1.5</v>
      </c>
      <c r="F17" s="65">
        <f t="shared" si="3"/>
        <v>1.25</v>
      </c>
      <c r="G17" s="61"/>
      <c r="H17" s="83">
        <f>F17</f>
        <v>1.25</v>
      </c>
      <c r="I17" s="61"/>
      <c r="J17" s="69">
        <f t="shared" si="2"/>
        <v>1.25</v>
      </c>
    </row>
    <row r="18" spans="2:10" x14ac:dyDescent="0.25">
      <c r="B18" s="14">
        <v>7</v>
      </c>
      <c r="C18" s="57" t="s">
        <v>506</v>
      </c>
      <c r="D18" s="66">
        <v>1</v>
      </c>
      <c r="E18" s="65">
        <v>1.5</v>
      </c>
      <c r="F18" s="65">
        <f t="shared" si="3"/>
        <v>1.25</v>
      </c>
      <c r="G18" s="61"/>
      <c r="H18" s="61"/>
      <c r="I18" s="83">
        <f>F18</f>
        <v>1.25</v>
      </c>
      <c r="J18" s="69">
        <f t="shared" si="2"/>
        <v>1.25</v>
      </c>
    </row>
    <row r="19" spans="2:10" x14ac:dyDescent="0.25">
      <c r="B19" s="14">
        <v>8</v>
      </c>
      <c r="C19" s="57" t="s">
        <v>557</v>
      </c>
      <c r="D19" s="66">
        <v>1</v>
      </c>
      <c r="E19" s="65">
        <v>1.25</v>
      </c>
      <c r="F19" s="65">
        <f t="shared" si="3"/>
        <v>1.125</v>
      </c>
      <c r="G19" s="59">
        <f t="shared" si="4"/>
        <v>1.1000000000000001</v>
      </c>
      <c r="H19" s="61"/>
      <c r="I19" s="61"/>
      <c r="J19" s="69">
        <f t="shared" si="2"/>
        <v>1.1000000000000001</v>
      </c>
    </row>
    <row r="20" spans="2:10" x14ac:dyDescent="0.25">
      <c r="B20" s="14">
        <v>9</v>
      </c>
      <c r="C20" s="57" t="s">
        <v>500</v>
      </c>
      <c r="D20" s="66">
        <v>2.5</v>
      </c>
      <c r="E20" s="65">
        <v>1.75</v>
      </c>
      <c r="F20" s="65">
        <f t="shared" si="3"/>
        <v>2.125</v>
      </c>
      <c r="G20" s="83">
        <f>ROUND(AVERAGE(D20, E20), 1)/3</f>
        <v>0.70000000000000007</v>
      </c>
      <c r="H20" s="83">
        <f>ROUND(AVERAGE(D20, E20), 1)/3</f>
        <v>0.70000000000000007</v>
      </c>
      <c r="I20" s="83">
        <f>ROUND(AVERAGE(D20, E20), 1)/3</f>
        <v>0.70000000000000007</v>
      </c>
      <c r="J20" s="69">
        <f t="shared" si="2"/>
        <v>2.1</v>
      </c>
    </row>
    <row r="21" spans="2:10" x14ac:dyDescent="0.25">
      <c r="B21" s="14">
        <v>10</v>
      </c>
      <c r="C21" s="57" t="s">
        <v>501</v>
      </c>
      <c r="D21" s="66">
        <v>2.5</v>
      </c>
      <c r="E21" s="65">
        <v>0.5</v>
      </c>
      <c r="F21" s="65">
        <f t="shared" si="3"/>
        <v>1.5</v>
      </c>
      <c r="G21" s="83">
        <f>ROUND(AVERAGE(D21, E21), 1)/3</f>
        <v>0.5</v>
      </c>
      <c r="H21" s="83">
        <f>ROUND(AVERAGE(D21, E21), 1)/3</f>
        <v>0.5</v>
      </c>
      <c r="I21" s="83">
        <f>ROUND(AVERAGE(D21, E21), 1)/3</f>
        <v>0.5</v>
      </c>
      <c r="J21" s="69">
        <f t="shared" si="2"/>
        <v>1.5</v>
      </c>
    </row>
    <row r="22" spans="2:10" x14ac:dyDescent="0.25">
      <c r="B22" s="14">
        <v>11</v>
      </c>
      <c r="C22" s="57" t="s">
        <v>548</v>
      </c>
      <c r="D22" s="90">
        <v>2</v>
      </c>
      <c r="E22" s="65">
        <v>1</v>
      </c>
      <c r="F22" s="65">
        <f t="shared" si="3"/>
        <v>1.5</v>
      </c>
      <c r="G22" s="61"/>
      <c r="H22" s="61"/>
      <c r="I22" s="83">
        <f>AVERAGE(D22:E22)</f>
        <v>1.5</v>
      </c>
      <c r="J22" s="69">
        <f t="shared" si="2"/>
        <v>1.5</v>
      </c>
    </row>
    <row r="23" spans="2:10" x14ac:dyDescent="0.25">
      <c r="B23" s="14"/>
      <c r="C23" s="70" t="s">
        <v>138</v>
      </c>
      <c r="D23" s="88">
        <f>SUM(D12:D22)</f>
        <v>14.05</v>
      </c>
      <c r="E23" s="88">
        <f>SUM(E12:E22)</f>
        <v>11.308333333333334</v>
      </c>
      <c r="F23" s="81">
        <f>AVERAGE(D23:E23)</f>
        <v>12.679166666666667</v>
      </c>
      <c r="G23" s="71">
        <f>ROUND(SUM(G12:G22),1)</f>
        <v>6</v>
      </c>
      <c r="H23" s="72">
        <f>ROUND(SUM(H12:H22),1)</f>
        <v>2.6</v>
      </c>
      <c r="I23" s="72">
        <f>ROUND(SUM(I12:I22),1)</f>
        <v>4.0999999999999996</v>
      </c>
      <c r="J23" s="73">
        <f>SUM(G23:I23)</f>
        <v>12.7</v>
      </c>
    </row>
  </sheetData>
  <sheetProtection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B788-D509-49D9-94B1-65B9834407FD}">
  <dimension ref="B2:K23"/>
  <sheetViews>
    <sheetView workbookViewId="0">
      <selection activeCell="A16" sqref="A16"/>
    </sheetView>
  </sheetViews>
  <sheetFormatPr defaultRowHeight="15" x14ac:dyDescent="0.25"/>
  <cols>
    <col min="3" max="3" width="38.5703125" customWidth="1"/>
    <col min="4" max="4" width="21.42578125" customWidth="1"/>
    <col min="5" max="5" width="20" customWidth="1"/>
    <col min="6" max="6" width="16.42578125" customWidth="1"/>
    <col min="7" max="7" width="18.42578125" customWidth="1"/>
    <col min="8" max="8" width="17.5703125" customWidth="1"/>
    <col min="9" max="9" width="15" customWidth="1"/>
    <col min="10" max="10" width="16.85546875" hidden="1" customWidth="1"/>
    <col min="11" max="11" width="20.85546875" customWidth="1"/>
  </cols>
  <sheetData>
    <row r="2" spans="2:11" x14ac:dyDescent="0.25">
      <c r="B2" s="1" t="s">
        <v>558</v>
      </c>
      <c r="H2" s="20"/>
      <c r="I2" s="20"/>
      <c r="J2" s="20"/>
      <c r="K2" s="20"/>
    </row>
    <row r="3" spans="2:11" ht="60" x14ac:dyDescent="0.25">
      <c r="B3" s="74" t="s">
        <v>489</v>
      </c>
      <c r="C3" s="75" t="s">
        <v>490</v>
      </c>
      <c r="D3" s="76" t="s">
        <v>491</v>
      </c>
      <c r="E3" s="77" t="s">
        <v>492</v>
      </c>
      <c r="F3" s="77" t="s">
        <v>493</v>
      </c>
      <c r="G3" s="78" t="s">
        <v>494</v>
      </c>
      <c r="H3" s="78" t="s">
        <v>495</v>
      </c>
      <c r="I3" s="78" t="s">
        <v>496</v>
      </c>
      <c r="J3" s="78"/>
      <c r="K3" s="79" t="s">
        <v>498</v>
      </c>
    </row>
    <row r="4" spans="2:11" x14ac:dyDescent="0.25">
      <c r="B4" s="14">
        <v>1</v>
      </c>
      <c r="C4" s="13" t="s">
        <v>499</v>
      </c>
      <c r="D4" s="66">
        <f>9/60</f>
        <v>0.15</v>
      </c>
      <c r="E4" s="65">
        <v>0.25</v>
      </c>
      <c r="F4" s="65">
        <f>AVERAGE(D4:E4)</f>
        <v>0.2</v>
      </c>
      <c r="G4" s="59">
        <f>ROUND(AVERAGE(D4, E4), 1)</f>
        <v>0.2</v>
      </c>
      <c r="H4" s="60"/>
      <c r="I4" s="60"/>
      <c r="J4" s="60"/>
      <c r="K4" s="69">
        <f>SUM(G4:J4)</f>
        <v>0.2</v>
      </c>
    </row>
    <row r="5" spans="2:11" x14ac:dyDescent="0.25">
      <c r="B5" s="14">
        <v>2</v>
      </c>
      <c r="C5" s="13" t="s">
        <v>500</v>
      </c>
      <c r="D5" s="66">
        <v>4</v>
      </c>
      <c r="E5" s="65">
        <v>4.3</v>
      </c>
      <c r="F5" s="65">
        <f t="shared" ref="F5:F6" si="0">AVERAGE(D5:E5)</f>
        <v>4.1500000000000004</v>
      </c>
      <c r="G5" s="59">
        <f t="shared" ref="G5:G6" si="1">ROUND(AVERAGE(D5, E5), 1)</f>
        <v>4.2</v>
      </c>
      <c r="H5" s="61"/>
      <c r="I5" s="61"/>
      <c r="J5" s="61"/>
      <c r="K5" s="69">
        <f t="shared" ref="K5:K7" si="2">SUM(G5:J5)</f>
        <v>4.2</v>
      </c>
    </row>
    <row r="6" spans="2:11" x14ac:dyDescent="0.25">
      <c r="B6" s="14">
        <v>3</v>
      </c>
      <c r="C6" s="13" t="s">
        <v>559</v>
      </c>
      <c r="D6" s="66">
        <v>3</v>
      </c>
      <c r="E6" s="65">
        <v>3</v>
      </c>
      <c r="F6" s="65">
        <f t="shared" si="0"/>
        <v>3</v>
      </c>
      <c r="G6" s="59">
        <f t="shared" si="1"/>
        <v>3</v>
      </c>
      <c r="H6" s="61"/>
      <c r="I6" s="61"/>
      <c r="J6" s="61"/>
      <c r="K6" s="69">
        <f t="shared" si="2"/>
        <v>3</v>
      </c>
    </row>
    <row r="7" spans="2:11" x14ac:dyDescent="0.25">
      <c r="B7" s="14"/>
      <c r="C7" s="70" t="s">
        <v>138</v>
      </c>
      <c r="D7" s="88">
        <f>SUM(D4:D6)</f>
        <v>7.15</v>
      </c>
      <c r="E7" s="89">
        <f>SUM(E4:E6)</f>
        <v>7.55</v>
      </c>
      <c r="F7" s="81">
        <f>AVERAGE(D7:E7)</f>
        <v>7.35</v>
      </c>
      <c r="G7" s="71">
        <f>ROUND(SUM(G4:G6),1)</f>
        <v>7.4</v>
      </c>
      <c r="H7" s="72">
        <f>ROUND(SUM(H4:H6),1)</f>
        <v>0</v>
      </c>
      <c r="I7" s="72">
        <f>ROUND(SUM(I4:I6),1)</f>
        <v>0</v>
      </c>
      <c r="J7" s="72"/>
      <c r="K7" s="73">
        <f t="shared" si="2"/>
        <v>7.4</v>
      </c>
    </row>
    <row r="10" spans="2:11" x14ac:dyDescent="0.25">
      <c r="B10" s="1" t="s">
        <v>560</v>
      </c>
      <c r="H10" s="20"/>
      <c r="I10" s="20"/>
      <c r="J10" s="20"/>
      <c r="K10" s="20"/>
    </row>
    <row r="11" spans="2:11" ht="60" x14ac:dyDescent="0.25">
      <c r="B11" s="74" t="s">
        <v>489</v>
      </c>
      <c r="C11" s="75" t="s">
        <v>490</v>
      </c>
      <c r="D11" s="76" t="s">
        <v>491</v>
      </c>
      <c r="E11" s="77" t="s">
        <v>492</v>
      </c>
      <c r="F11" s="77" t="s">
        <v>493</v>
      </c>
      <c r="G11" s="78" t="s">
        <v>494</v>
      </c>
      <c r="H11" s="78" t="s">
        <v>495</v>
      </c>
      <c r="I11" s="78" t="s">
        <v>496</v>
      </c>
      <c r="J11" s="78"/>
      <c r="K11" s="79" t="s">
        <v>498</v>
      </c>
    </row>
    <row r="12" spans="2:11" x14ac:dyDescent="0.25">
      <c r="B12" s="14">
        <v>1</v>
      </c>
      <c r="C12" s="13" t="s">
        <v>499</v>
      </c>
      <c r="D12" s="66">
        <f>9/60</f>
        <v>0.15</v>
      </c>
      <c r="E12" s="65">
        <v>0.1</v>
      </c>
      <c r="F12" s="65">
        <f>AVERAGE(D12:E12)</f>
        <v>0.125</v>
      </c>
      <c r="G12" s="59">
        <f>ROUND(AVERAGE(D12, E12), 1)</f>
        <v>0.1</v>
      </c>
      <c r="H12" s="60"/>
      <c r="I12" s="60"/>
      <c r="J12" s="60"/>
      <c r="K12" s="69">
        <f>SUM(G12:J12)</f>
        <v>0.1</v>
      </c>
    </row>
    <row r="13" spans="2:11" x14ac:dyDescent="0.25">
      <c r="B13" s="14">
        <v>2</v>
      </c>
      <c r="C13" s="13" t="s">
        <v>556</v>
      </c>
      <c r="D13" s="66">
        <v>2</v>
      </c>
      <c r="E13" s="65">
        <v>1.5</v>
      </c>
      <c r="F13" s="65">
        <f t="shared" ref="F13:F22" si="3">AVERAGE(D13:E13)</f>
        <v>1.75</v>
      </c>
      <c r="G13" s="59">
        <f t="shared" ref="G13:G19" si="4">ROUND(AVERAGE(D13, E13), 1)</f>
        <v>1.8</v>
      </c>
      <c r="H13" s="61"/>
      <c r="I13" s="61"/>
      <c r="J13" s="61"/>
      <c r="K13" s="69">
        <f t="shared" ref="K13:K23" si="5">SUM(G13:J13)</f>
        <v>1.8</v>
      </c>
    </row>
    <row r="14" spans="2:11" x14ac:dyDescent="0.25">
      <c r="B14" s="14">
        <v>3</v>
      </c>
      <c r="C14" s="13" t="s">
        <v>539</v>
      </c>
      <c r="D14" s="66">
        <f>0.25*3</f>
        <v>0.75</v>
      </c>
      <c r="E14" s="65">
        <f>0.125*3</f>
        <v>0.375</v>
      </c>
      <c r="F14" s="65">
        <f t="shared" si="3"/>
        <v>0.5625</v>
      </c>
      <c r="G14" s="59">
        <f>ROUND(AVERAGE(D14, E14), 1)/3</f>
        <v>0.19999999999999998</v>
      </c>
      <c r="H14" s="83">
        <f>F14/3</f>
        <v>0.1875</v>
      </c>
      <c r="I14" s="83">
        <f>F14/3</f>
        <v>0.1875</v>
      </c>
      <c r="J14" s="61"/>
      <c r="K14" s="69">
        <f t="shared" si="5"/>
        <v>0.57499999999999996</v>
      </c>
    </row>
    <row r="15" spans="2:11" x14ac:dyDescent="0.25">
      <c r="B15" s="14">
        <v>4</v>
      </c>
      <c r="C15" s="13" t="s">
        <v>503</v>
      </c>
      <c r="D15" s="66">
        <f>18/60</f>
        <v>0.3</v>
      </c>
      <c r="E15" s="65">
        <v>0.33333333333333331</v>
      </c>
      <c r="F15" s="65">
        <f t="shared" si="3"/>
        <v>0.31666666666666665</v>
      </c>
      <c r="G15" s="59">
        <f t="shared" si="4"/>
        <v>0.3</v>
      </c>
      <c r="H15" s="61"/>
      <c r="I15" s="61"/>
      <c r="J15" s="61"/>
      <c r="K15" s="69">
        <f t="shared" si="5"/>
        <v>0.3</v>
      </c>
    </row>
    <row r="16" spans="2:11" x14ac:dyDescent="0.25">
      <c r="B16" s="14">
        <v>5</v>
      </c>
      <c r="C16" s="13" t="s">
        <v>504</v>
      </c>
      <c r="D16" s="66">
        <v>1</v>
      </c>
      <c r="E16" s="65">
        <v>1.5</v>
      </c>
      <c r="F16" s="65">
        <f t="shared" si="3"/>
        <v>1.25</v>
      </c>
      <c r="G16" s="59">
        <f t="shared" si="4"/>
        <v>1.3</v>
      </c>
      <c r="H16" s="61"/>
      <c r="I16" s="61"/>
      <c r="J16" s="61"/>
      <c r="K16" s="69">
        <f t="shared" si="5"/>
        <v>1.3</v>
      </c>
    </row>
    <row r="17" spans="2:11" x14ac:dyDescent="0.25">
      <c r="B17" s="14">
        <v>6</v>
      </c>
      <c r="C17" s="57" t="s">
        <v>505</v>
      </c>
      <c r="D17" s="66">
        <v>1</v>
      </c>
      <c r="E17" s="65">
        <v>1.5</v>
      </c>
      <c r="F17" s="65">
        <f t="shared" si="3"/>
        <v>1.25</v>
      </c>
      <c r="G17" s="61"/>
      <c r="H17" s="83">
        <f>F17</f>
        <v>1.25</v>
      </c>
      <c r="I17" s="61"/>
      <c r="J17" s="61"/>
      <c r="K17" s="69">
        <f t="shared" si="5"/>
        <v>1.25</v>
      </c>
    </row>
    <row r="18" spans="2:11" x14ac:dyDescent="0.25">
      <c r="B18" s="14">
        <v>7</v>
      </c>
      <c r="C18" s="57" t="s">
        <v>506</v>
      </c>
      <c r="D18" s="66">
        <v>1</v>
      </c>
      <c r="E18" s="65">
        <v>1.5</v>
      </c>
      <c r="F18" s="65">
        <f t="shared" si="3"/>
        <v>1.25</v>
      </c>
      <c r="G18" s="61"/>
      <c r="H18" s="61"/>
      <c r="I18" s="83">
        <f>F18</f>
        <v>1.25</v>
      </c>
      <c r="J18" s="61"/>
      <c r="K18" s="69">
        <f t="shared" si="5"/>
        <v>1.25</v>
      </c>
    </row>
    <row r="19" spans="2:11" x14ac:dyDescent="0.25">
      <c r="B19" s="14">
        <v>8</v>
      </c>
      <c r="C19" s="57" t="s">
        <v>561</v>
      </c>
      <c r="D19" s="66">
        <v>1</v>
      </c>
      <c r="E19" s="65">
        <v>1.3</v>
      </c>
      <c r="F19" s="65">
        <f t="shared" si="3"/>
        <v>1.1499999999999999</v>
      </c>
      <c r="G19" s="59">
        <f t="shared" si="4"/>
        <v>1.2</v>
      </c>
      <c r="H19" s="61"/>
      <c r="I19" s="61"/>
      <c r="J19" s="61"/>
      <c r="K19" s="69">
        <f t="shared" si="5"/>
        <v>1.2</v>
      </c>
    </row>
    <row r="20" spans="2:11" x14ac:dyDescent="0.25">
      <c r="B20" s="14">
        <v>9</v>
      </c>
      <c r="C20" s="57" t="s">
        <v>500</v>
      </c>
      <c r="D20" s="66">
        <v>2.5</v>
      </c>
      <c r="E20" s="65">
        <v>1.75</v>
      </c>
      <c r="F20" s="65">
        <f t="shared" si="3"/>
        <v>2.125</v>
      </c>
      <c r="G20" s="59">
        <f>ROUND(AVERAGE(D20, E20), 1)/3</f>
        <v>0.70000000000000007</v>
      </c>
      <c r="H20" s="59">
        <f>ROUND(AVERAGE(D20, E20), 1)/3</f>
        <v>0.70000000000000007</v>
      </c>
      <c r="I20" s="59">
        <f>ROUND(AVERAGE(D20, E20), 1)/3</f>
        <v>0.70000000000000007</v>
      </c>
      <c r="J20" s="61"/>
      <c r="K20" s="69">
        <f t="shared" si="5"/>
        <v>2.1</v>
      </c>
    </row>
    <row r="21" spans="2:11" x14ac:dyDescent="0.25">
      <c r="B21" s="14">
        <v>10</v>
      </c>
      <c r="C21" s="57" t="s">
        <v>559</v>
      </c>
      <c r="D21" s="66">
        <v>2.5</v>
      </c>
      <c r="E21" s="65">
        <v>1.75</v>
      </c>
      <c r="F21" s="65">
        <f t="shared" si="3"/>
        <v>2.125</v>
      </c>
      <c r="G21" s="59">
        <f>ROUND(AVERAGE(D21, E21), 1)/3</f>
        <v>0.70000000000000007</v>
      </c>
      <c r="H21" s="59">
        <f>ROUND(AVERAGE(D21, E21), 1)/3</f>
        <v>0.70000000000000007</v>
      </c>
      <c r="I21" s="59">
        <f>ROUND(AVERAGE(D21, E21), 1)/3</f>
        <v>0.70000000000000007</v>
      </c>
      <c r="J21" s="61"/>
      <c r="K21" s="69">
        <f t="shared" si="5"/>
        <v>2.1</v>
      </c>
    </row>
    <row r="22" spans="2:11" x14ac:dyDescent="0.25">
      <c r="B22" s="14">
        <v>11</v>
      </c>
      <c r="C22" s="57" t="s">
        <v>548</v>
      </c>
      <c r="D22" s="90">
        <v>2</v>
      </c>
      <c r="E22" s="65">
        <v>1</v>
      </c>
      <c r="F22" s="65">
        <f t="shared" si="3"/>
        <v>1.5</v>
      </c>
      <c r="G22" s="61"/>
      <c r="H22" s="61"/>
      <c r="I22" s="83">
        <f>AVERAGE(D22:E22)</f>
        <v>1.5</v>
      </c>
      <c r="J22" s="61"/>
      <c r="K22" s="69">
        <f t="shared" si="5"/>
        <v>1.5</v>
      </c>
    </row>
    <row r="23" spans="2:11" x14ac:dyDescent="0.25">
      <c r="B23" s="14"/>
      <c r="C23" s="70" t="s">
        <v>138</v>
      </c>
      <c r="D23" s="88">
        <f>SUM(D12:D22)</f>
        <v>14.2</v>
      </c>
      <c r="E23" s="88">
        <f>SUM(E12:E22)</f>
        <v>12.608333333333334</v>
      </c>
      <c r="F23" s="81">
        <f>AVERAGE(D23:E23)</f>
        <v>13.404166666666667</v>
      </c>
      <c r="G23" s="71">
        <f>ROUND(SUM(G12:G22),1)</f>
        <v>6.3</v>
      </c>
      <c r="H23" s="72">
        <f>ROUND(SUM(H12:H22),1)</f>
        <v>2.8</v>
      </c>
      <c r="I23" s="72">
        <f>ROUND(SUM(I12:I22),1)</f>
        <v>4.3</v>
      </c>
      <c r="J23" s="72"/>
      <c r="K23" s="73">
        <f t="shared" si="5"/>
        <v>13.399999999999999</v>
      </c>
    </row>
  </sheetData>
  <sheetProtection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12BBD-E099-4113-AE89-7615882C8D76}">
  <dimension ref="A1:K32"/>
  <sheetViews>
    <sheetView workbookViewId="0">
      <selection activeCell="A16" sqref="A16"/>
    </sheetView>
  </sheetViews>
  <sheetFormatPr defaultRowHeight="15" x14ac:dyDescent="0.25"/>
  <cols>
    <col min="1" max="1" width="45.85546875" style="24" customWidth="1"/>
    <col min="2" max="2" width="12.85546875" style="24" customWidth="1"/>
    <col min="3" max="3" width="26.5703125" style="24" customWidth="1"/>
    <col min="4" max="4" width="20.140625" style="24" customWidth="1"/>
    <col min="5" max="5" width="12" style="24" customWidth="1"/>
    <col min="6" max="7" width="20.140625" style="24" customWidth="1"/>
    <col min="8" max="8" width="11.28515625" style="24" customWidth="1"/>
    <col min="9" max="9" width="11.140625" style="24" customWidth="1"/>
    <col min="10" max="10" width="9.140625" style="24" customWidth="1"/>
    <col min="11" max="11" width="13.42578125" style="24" customWidth="1"/>
    <col min="12" max="16384" width="9.140625" style="24"/>
  </cols>
  <sheetData>
    <row r="1" spans="1:11" ht="36" x14ac:dyDescent="0.25">
      <c r="A1" s="93" t="s">
        <v>109</v>
      </c>
      <c r="B1" s="93" t="s">
        <v>110</v>
      </c>
      <c r="C1" s="93" t="s">
        <v>380</v>
      </c>
      <c r="D1" s="93" t="s">
        <v>383</v>
      </c>
      <c r="E1" s="93" t="s">
        <v>385</v>
      </c>
      <c r="F1" s="93" t="s">
        <v>386</v>
      </c>
      <c r="G1" s="93" t="s">
        <v>562</v>
      </c>
      <c r="H1" s="93" t="s">
        <v>387</v>
      </c>
      <c r="I1" s="93" t="s">
        <v>388</v>
      </c>
      <c r="J1" s="93" t="s">
        <v>389</v>
      </c>
      <c r="K1" s="93" t="s">
        <v>563</v>
      </c>
    </row>
    <row r="2" spans="1:11" x14ac:dyDescent="0.25">
      <c r="A2" s="94" t="s">
        <v>151</v>
      </c>
      <c r="B2" s="96" t="s">
        <v>152</v>
      </c>
      <c r="C2" s="95" t="s">
        <v>564</v>
      </c>
      <c r="D2" s="97">
        <v>2</v>
      </c>
      <c r="E2" s="97" t="s">
        <v>411</v>
      </c>
      <c r="F2" s="97" t="s">
        <v>408</v>
      </c>
      <c r="G2" s="97" t="s">
        <v>411</v>
      </c>
      <c r="H2" s="97">
        <v>1.5</v>
      </c>
      <c r="I2" s="97">
        <v>4</v>
      </c>
      <c r="J2" s="97">
        <f>AVERAGE(H2,I2)</f>
        <v>2.75</v>
      </c>
      <c r="K2" s="97" t="str">
        <f>_xlfn.TEXTJOIN(" - ",TRUE,ROUND(H2,1),ROUND(I2,1))</f>
        <v>1.5 - 4</v>
      </c>
    </row>
    <row r="3" spans="1:11" ht="38.25" x14ac:dyDescent="0.25">
      <c r="A3" s="94" t="s">
        <v>573</v>
      </c>
      <c r="B3" s="96" t="s">
        <v>161</v>
      </c>
      <c r="C3" s="95" t="s">
        <v>565</v>
      </c>
      <c r="D3" s="97">
        <v>2</v>
      </c>
      <c r="E3" s="97" t="s">
        <v>408</v>
      </c>
      <c r="F3" s="97" t="s">
        <v>408</v>
      </c>
      <c r="G3" s="97" t="s">
        <v>411</v>
      </c>
      <c r="H3" s="97">
        <v>1.5</v>
      </c>
      <c r="I3" s="97">
        <v>4</v>
      </c>
      <c r="J3" s="97">
        <f t="shared" ref="J3:J10" si="0">AVERAGE(H3,I3)</f>
        <v>2.75</v>
      </c>
      <c r="K3" s="97" t="str">
        <f t="shared" ref="K3:K10" si="1">_xlfn.TEXTJOIN(" - ",TRUE,ROUND(H3,1),ROUND(I3,1))</f>
        <v>1.5 - 4</v>
      </c>
    </row>
    <row r="4" spans="1:11" ht="51" x14ac:dyDescent="0.25">
      <c r="A4" s="94" t="s">
        <v>132</v>
      </c>
      <c r="B4" s="96" t="s">
        <v>133</v>
      </c>
      <c r="C4" s="95" t="s">
        <v>566</v>
      </c>
      <c r="D4" s="97">
        <v>2</v>
      </c>
      <c r="E4" s="97" t="s">
        <v>408</v>
      </c>
      <c r="F4" s="97" t="s">
        <v>408</v>
      </c>
      <c r="G4" s="97" t="s">
        <v>411</v>
      </c>
      <c r="H4" s="97">
        <v>1.5</v>
      </c>
      <c r="I4" s="97">
        <v>4</v>
      </c>
      <c r="J4" s="97">
        <f t="shared" si="0"/>
        <v>2.75</v>
      </c>
      <c r="K4" s="97" t="str">
        <f t="shared" si="1"/>
        <v>1.5 - 4</v>
      </c>
    </row>
    <row r="5" spans="1:11" x14ac:dyDescent="0.25">
      <c r="A5" s="94" t="s">
        <v>142</v>
      </c>
      <c r="B5" s="96" t="s">
        <v>143</v>
      </c>
      <c r="C5" s="95" t="s">
        <v>400</v>
      </c>
      <c r="D5" s="97">
        <v>2.25</v>
      </c>
      <c r="E5" s="97" t="s">
        <v>408</v>
      </c>
      <c r="F5" s="97" t="s">
        <v>408</v>
      </c>
      <c r="G5" s="97" t="s">
        <v>411</v>
      </c>
      <c r="H5" s="97">
        <v>1.5</v>
      </c>
      <c r="I5" s="97">
        <v>4</v>
      </c>
      <c r="J5" s="97">
        <f t="shared" si="0"/>
        <v>2.75</v>
      </c>
      <c r="K5" s="97" t="str">
        <f t="shared" si="1"/>
        <v>1.5 - 4</v>
      </c>
    </row>
    <row r="6" spans="1:11" x14ac:dyDescent="0.25">
      <c r="A6" s="94" t="s">
        <v>126</v>
      </c>
      <c r="B6" s="96" t="s">
        <v>127</v>
      </c>
      <c r="C6" s="95" t="s">
        <v>399</v>
      </c>
      <c r="D6" s="97">
        <v>2</v>
      </c>
      <c r="E6" s="97" t="s">
        <v>411</v>
      </c>
      <c r="F6" s="97" t="s">
        <v>408</v>
      </c>
      <c r="G6" s="97" t="s">
        <v>411</v>
      </c>
      <c r="H6" s="97">
        <v>1.5</v>
      </c>
      <c r="I6" s="97">
        <v>4</v>
      </c>
      <c r="J6" s="97">
        <f t="shared" si="0"/>
        <v>2.75</v>
      </c>
      <c r="K6" s="97" t="str">
        <f t="shared" si="1"/>
        <v>1.5 - 4</v>
      </c>
    </row>
    <row r="7" spans="1:11" x14ac:dyDescent="0.25">
      <c r="A7" s="94" t="s">
        <v>128</v>
      </c>
      <c r="B7" s="96" t="s">
        <v>129</v>
      </c>
      <c r="C7" s="95" t="s">
        <v>399</v>
      </c>
      <c r="D7" s="97">
        <v>2</v>
      </c>
      <c r="E7" s="97" t="s">
        <v>408</v>
      </c>
      <c r="F7" s="97" t="s">
        <v>408</v>
      </c>
      <c r="G7" s="97" t="s">
        <v>411</v>
      </c>
      <c r="H7" s="97">
        <v>1.5</v>
      </c>
      <c r="I7" s="97">
        <v>4</v>
      </c>
      <c r="J7" s="97">
        <f t="shared" si="0"/>
        <v>2.75</v>
      </c>
      <c r="K7" s="97" t="str">
        <f t="shared" si="1"/>
        <v>1.5 - 4</v>
      </c>
    </row>
    <row r="8" spans="1:11" x14ac:dyDescent="0.25">
      <c r="A8" s="94" t="s">
        <v>146</v>
      </c>
      <c r="B8" s="96" t="s">
        <v>147</v>
      </c>
      <c r="C8" s="95" t="s">
        <v>400</v>
      </c>
      <c r="D8" s="97">
        <v>2</v>
      </c>
      <c r="E8" s="97" t="s">
        <v>408</v>
      </c>
      <c r="F8" s="97" t="s">
        <v>408</v>
      </c>
      <c r="G8" s="97" t="s">
        <v>411</v>
      </c>
      <c r="H8" s="97">
        <v>1.5</v>
      </c>
      <c r="I8" s="97">
        <v>4</v>
      </c>
      <c r="J8" s="97">
        <f t="shared" si="0"/>
        <v>2.75</v>
      </c>
      <c r="K8" s="97" t="str">
        <f t="shared" si="1"/>
        <v>1.5 - 4</v>
      </c>
    </row>
    <row r="9" spans="1:11" ht="30" x14ac:dyDescent="0.25">
      <c r="A9" s="94" t="s">
        <v>567</v>
      </c>
      <c r="B9" s="96" t="s">
        <v>136</v>
      </c>
      <c r="C9" s="95" t="s">
        <v>136</v>
      </c>
      <c r="D9" s="97" t="s">
        <v>102</v>
      </c>
      <c r="E9" s="97" t="s">
        <v>102</v>
      </c>
      <c r="F9" s="100" t="s">
        <v>425</v>
      </c>
      <c r="G9" s="100" t="s">
        <v>408</v>
      </c>
      <c r="H9" s="97">
        <v>1.5</v>
      </c>
      <c r="I9" s="97">
        <v>3</v>
      </c>
      <c r="J9" s="97">
        <f t="shared" si="0"/>
        <v>2.25</v>
      </c>
      <c r="K9" s="97" t="str">
        <f t="shared" si="1"/>
        <v>1.5 - 3</v>
      </c>
    </row>
    <row r="10" spans="1:11" ht="30" x14ac:dyDescent="0.25">
      <c r="A10" s="17" t="s">
        <v>427</v>
      </c>
      <c r="B10" s="96" t="s">
        <v>136</v>
      </c>
      <c r="C10" s="95" t="s">
        <v>402</v>
      </c>
      <c r="D10" s="24" t="s">
        <v>102</v>
      </c>
      <c r="E10" s="97" t="s">
        <v>102</v>
      </c>
      <c r="F10" s="97" t="s">
        <v>425</v>
      </c>
      <c r="G10" s="97" t="s">
        <v>411</v>
      </c>
      <c r="H10" s="97">
        <v>1.5</v>
      </c>
      <c r="I10" s="97">
        <v>4</v>
      </c>
      <c r="J10" s="97">
        <f t="shared" si="0"/>
        <v>2.75</v>
      </c>
      <c r="K10" s="97" t="str">
        <f t="shared" si="1"/>
        <v>1.5 - 4</v>
      </c>
    </row>
    <row r="13" spans="1:11" x14ac:dyDescent="0.25">
      <c r="A13" s="5"/>
    </row>
    <row r="17" spans="1:4" x14ac:dyDescent="0.25">
      <c r="A17" s="94"/>
      <c r="B17" s="94"/>
      <c r="C17" s="96"/>
      <c r="D17" s="96"/>
    </row>
    <row r="18" spans="1:4" x14ac:dyDescent="0.25">
      <c r="D18" s="96"/>
    </row>
    <row r="19" spans="1:4" x14ac:dyDescent="0.25">
      <c r="D19" s="96"/>
    </row>
    <row r="20" spans="1:4" x14ac:dyDescent="0.25">
      <c r="D20" s="96"/>
    </row>
    <row r="21" spans="1:4" x14ac:dyDescent="0.25">
      <c r="D21" s="96"/>
    </row>
    <row r="22" spans="1:4" x14ac:dyDescent="0.25">
      <c r="D22" s="96"/>
    </row>
    <row r="23" spans="1:4" x14ac:dyDescent="0.25">
      <c r="D23" s="96"/>
    </row>
    <row r="24" spans="1:4" x14ac:dyDescent="0.25">
      <c r="D24" s="96"/>
    </row>
    <row r="25" spans="1:4" x14ac:dyDescent="0.25">
      <c r="D25" s="96"/>
    </row>
    <row r="26" spans="1:4" x14ac:dyDescent="0.25">
      <c r="D26" s="101"/>
    </row>
    <row r="27" spans="1:4" x14ac:dyDescent="0.25">
      <c r="A27" s="94"/>
      <c r="B27" s="94"/>
      <c r="C27" s="96"/>
      <c r="D27" s="96"/>
    </row>
    <row r="28" spans="1:4" x14ac:dyDescent="0.25">
      <c r="A28" s="94"/>
      <c r="B28" s="94"/>
      <c r="C28" s="96"/>
      <c r="D28" s="96"/>
    </row>
    <row r="29" spans="1:4" x14ac:dyDescent="0.25">
      <c r="D29" s="96"/>
    </row>
    <row r="30" spans="1:4" x14ac:dyDescent="0.25">
      <c r="D30" s="96"/>
    </row>
    <row r="31" spans="1:4" x14ac:dyDescent="0.25">
      <c r="A31" s="94"/>
      <c r="B31" s="94"/>
      <c r="C31" s="96"/>
      <c r="D31" s="96"/>
    </row>
    <row r="32" spans="1:4" x14ac:dyDescent="0.25">
      <c r="D32" s="96"/>
    </row>
  </sheetData>
  <sheetProtection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D8AB-466D-4D88-A8C6-84D66C1EADE2}">
  <sheetPr>
    <tabColor theme="1" tint="0.499984740745262"/>
  </sheetPr>
  <dimension ref="B1:C8"/>
  <sheetViews>
    <sheetView workbookViewId="0"/>
  </sheetViews>
  <sheetFormatPr defaultRowHeight="15" x14ac:dyDescent="0.25"/>
  <cols>
    <col min="1" max="1" width="2" customWidth="1"/>
    <col min="2" max="2" width="3.85546875" customWidth="1"/>
  </cols>
  <sheetData>
    <row r="1" spans="2:3" x14ac:dyDescent="0.25">
      <c r="C1" s="1" t="s">
        <v>568</v>
      </c>
    </row>
    <row r="2" spans="2:3" x14ac:dyDescent="0.25">
      <c r="B2">
        <v>1</v>
      </c>
      <c r="C2" t="s">
        <v>569</v>
      </c>
    </row>
    <row r="4" spans="2:3" x14ac:dyDescent="0.25">
      <c r="B4">
        <v>2</v>
      </c>
      <c r="C4" t="s">
        <v>570</v>
      </c>
    </row>
    <row r="6" spans="2:3" x14ac:dyDescent="0.25">
      <c r="B6">
        <v>3</v>
      </c>
      <c r="C6" t="s">
        <v>571</v>
      </c>
    </row>
    <row r="8" spans="2:3" x14ac:dyDescent="0.25">
      <c r="B8">
        <v>4</v>
      </c>
      <c r="C8" t="s">
        <v>572</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9CF09-B5B8-471A-88A3-C2DDB543A5B8}">
  <dimension ref="A1:G32"/>
  <sheetViews>
    <sheetView tabSelected="1" workbookViewId="0">
      <selection activeCell="B4" sqref="B4"/>
    </sheetView>
  </sheetViews>
  <sheetFormatPr defaultRowHeight="12" x14ac:dyDescent="0.2"/>
  <cols>
    <col min="1" max="1" width="52" style="309" customWidth="1"/>
    <col min="2" max="2" width="17.5703125" style="309" customWidth="1"/>
    <col min="3" max="3" width="21.7109375" style="309" customWidth="1"/>
    <col min="4" max="4" width="18.5703125" style="309" customWidth="1"/>
    <col min="5" max="5" width="16.28515625" style="309" customWidth="1"/>
    <col min="6" max="8" width="17.42578125" style="309" customWidth="1"/>
    <col min="9" max="9" width="17.7109375" style="309" customWidth="1"/>
    <col min="10" max="12" width="14.7109375" style="309" customWidth="1"/>
    <col min="13" max="13" width="12.5703125" style="309" bestFit="1" customWidth="1"/>
    <col min="14" max="16384" width="9.140625" style="309"/>
  </cols>
  <sheetData>
    <row r="1" spans="1:7" x14ac:dyDescent="0.2">
      <c r="A1" s="532"/>
      <c r="B1" s="338"/>
      <c r="C1" s="338"/>
      <c r="D1" s="338"/>
      <c r="E1" s="338"/>
    </row>
    <row r="2" spans="1:7" x14ac:dyDescent="0.2">
      <c r="A2" s="339" t="s">
        <v>59</v>
      </c>
      <c r="B2" s="340"/>
      <c r="C2" s="340"/>
      <c r="D2" s="340"/>
      <c r="E2" s="340"/>
      <c r="F2" s="340"/>
    </row>
    <row r="3" spans="1:7" ht="36" x14ac:dyDescent="0.2">
      <c r="A3" s="341" t="s">
        <v>60</v>
      </c>
      <c r="B3" s="342" t="s">
        <v>61</v>
      </c>
      <c r="C3" s="342" t="s">
        <v>62</v>
      </c>
      <c r="D3" s="342" t="s">
        <v>63</v>
      </c>
      <c r="E3" s="342" t="s">
        <v>64</v>
      </c>
      <c r="F3" s="342" t="s">
        <v>65</v>
      </c>
    </row>
    <row r="4" spans="1:7" x14ac:dyDescent="0.2">
      <c r="A4" s="343" t="s">
        <v>66</v>
      </c>
      <c r="B4" s="344">
        <f>SUM('Grant Cycle Raw Data'!F78:F80)</f>
        <v>623</v>
      </c>
      <c r="C4" s="345">
        <f>SUM('Grant Cycle Raw Data'!F91:F93)</f>
        <v>4587.7733333333335</v>
      </c>
      <c r="D4" s="346">
        <f>SUM('Grant Cycle Raw Data'!F104:F106)</f>
        <v>283137.71945946768</v>
      </c>
      <c r="E4" s="345">
        <f>SUM('Grant Cycle Raw Data'!G91:G93)</f>
        <v>13763.32</v>
      </c>
      <c r="F4" s="346">
        <f>SUM('Grant Cycle Raw Data'!G104:G106)</f>
        <v>849413.15837840317</v>
      </c>
    </row>
    <row r="5" spans="1:7" x14ac:dyDescent="0.2">
      <c r="A5" s="343" t="s">
        <v>67</v>
      </c>
      <c r="B5" s="344">
        <f>'Grant Cycle Raw Data'!F81</f>
        <v>266.66666666666669</v>
      </c>
      <c r="C5" s="345">
        <f>'Grant Cycle Raw Data'!F94</f>
        <v>2580.4166666666665</v>
      </c>
      <c r="D5" s="346">
        <f>'Grant Cycle Raw Data'!F107</f>
        <v>148365.76902135063</v>
      </c>
      <c r="E5" s="345">
        <f>'Grant Cycle Raw Data'!G94</f>
        <v>7741.25</v>
      </c>
      <c r="F5" s="346">
        <f>'Grant Cycle Raw Data'!G107</f>
        <v>445097.30706405186</v>
      </c>
    </row>
    <row r="6" spans="1:7" x14ac:dyDescent="0.2">
      <c r="A6" s="343" t="s">
        <v>68</v>
      </c>
      <c r="B6" s="344">
        <f>'Grant Cycle Raw Data'!F82</f>
        <v>70</v>
      </c>
      <c r="C6" s="345">
        <f>'Grant Cycle Raw Data'!F95</f>
        <v>526.04166666666663</v>
      </c>
      <c r="D6" s="346">
        <f>'Grant Cycle Raw Data'!F108</f>
        <v>33144.935435539133</v>
      </c>
      <c r="E6" s="345">
        <f>'Grant Cycle Raw Data'!G95</f>
        <v>1578.125</v>
      </c>
      <c r="F6" s="346">
        <f>'Grant Cycle Raw Data'!G108</f>
        <v>99434.806306617393</v>
      </c>
    </row>
    <row r="7" spans="1:7" x14ac:dyDescent="0.2">
      <c r="A7" s="343" t="s">
        <v>69</v>
      </c>
      <c r="B7" s="344">
        <f>SUM(B8:B9)</f>
        <v>55</v>
      </c>
      <c r="C7" s="345">
        <f t="shared" ref="C7:F7" si="0">SUM(C8:C9)</f>
        <v>454.93055555555554</v>
      </c>
      <c r="D7" s="346">
        <f t="shared" si="0"/>
        <v>28430.862569579214</v>
      </c>
      <c r="E7" s="345">
        <f t="shared" si="0"/>
        <v>1364.7916666666665</v>
      </c>
      <c r="F7" s="346">
        <f t="shared" si="0"/>
        <v>85292.587708737643</v>
      </c>
    </row>
    <row r="8" spans="1:7" x14ac:dyDescent="0.2">
      <c r="A8" s="442" t="s">
        <v>70</v>
      </c>
      <c r="B8" s="347">
        <f>'Grant Cycle Raw Data'!F84</f>
        <v>30</v>
      </c>
      <c r="C8" s="348">
        <f>'Grant Cycle Raw Data'!F97</f>
        <v>138.125</v>
      </c>
      <c r="D8" s="349">
        <f>'Grant Cycle Raw Data'!F110</f>
        <v>8777.6399141512575</v>
      </c>
      <c r="E8" s="348">
        <f>'Grant Cycle Raw Data'!G97</f>
        <v>414.375</v>
      </c>
      <c r="F8" s="349">
        <f>'Grant Cycle Raw Data'!G110</f>
        <v>26332.919742453771</v>
      </c>
    </row>
    <row r="9" spans="1:7" x14ac:dyDescent="0.2">
      <c r="A9" s="443" t="s">
        <v>71</v>
      </c>
      <c r="B9" s="350">
        <f>'Grant Cycle Raw Data'!F85</f>
        <v>25</v>
      </c>
      <c r="C9" s="351">
        <f>'Grant Cycle Raw Data'!F98</f>
        <v>316.80555555555554</v>
      </c>
      <c r="D9" s="352">
        <f>'Grant Cycle Raw Data'!F111</f>
        <v>19653.222655427955</v>
      </c>
      <c r="E9" s="351">
        <f>'Grant Cycle Raw Data'!G98</f>
        <v>950.41666666666663</v>
      </c>
      <c r="F9" s="352">
        <f>'Grant Cycle Raw Data'!G111</f>
        <v>58959.667966283865</v>
      </c>
    </row>
    <row r="10" spans="1:7" x14ac:dyDescent="0.2">
      <c r="A10" s="353" t="s">
        <v>72</v>
      </c>
      <c r="B10" s="354">
        <f>SUM(B4:B7)</f>
        <v>1014.6666666666667</v>
      </c>
      <c r="C10" s="354">
        <f>SUM(C4:C7)</f>
        <v>8149.1622222222231</v>
      </c>
      <c r="D10" s="355">
        <f t="shared" ref="D10:F10" si="1">SUM(D4:D7)</f>
        <v>493079.28648593667</v>
      </c>
      <c r="E10" s="354">
        <f t="shared" si="1"/>
        <v>24447.486666666668</v>
      </c>
      <c r="F10" s="355">
        <f t="shared" si="1"/>
        <v>1479237.8594578099</v>
      </c>
      <c r="G10" s="505"/>
    </row>
    <row r="12" spans="1:7" x14ac:dyDescent="0.2">
      <c r="A12" s="356" t="s">
        <v>73</v>
      </c>
    </row>
    <row r="13" spans="1:7" ht="36" x14ac:dyDescent="0.2">
      <c r="A13" s="341" t="s">
        <v>60</v>
      </c>
      <c r="B13" s="342" t="s">
        <v>61</v>
      </c>
      <c r="C13" s="342" t="s">
        <v>74</v>
      </c>
      <c r="D13" s="342" t="s">
        <v>75</v>
      </c>
      <c r="E13" s="342" t="s">
        <v>64</v>
      </c>
      <c r="F13" s="342" t="s">
        <v>65</v>
      </c>
    </row>
    <row r="14" spans="1:7" x14ac:dyDescent="0.2">
      <c r="A14" s="357" t="s">
        <v>76</v>
      </c>
      <c r="B14" s="358">
        <v>112</v>
      </c>
      <c r="C14" s="359">
        <v>11220</v>
      </c>
      <c r="D14" s="360">
        <v>641648</v>
      </c>
      <c r="E14" s="359">
        <v>33660</v>
      </c>
      <c r="F14" s="360">
        <v>1924944</v>
      </c>
    </row>
    <row r="15" spans="1:7" x14ac:dyDescent="0.2">
      <c r="A15" s="357" t="s">
        <v>77</v>
      </c>
      <c r="B15" s="358">
        <v>50</v>
      </c>
      <c r="C15" s="359">
        <v>1784</v>
      </c>
      <c r="D15" s="360">
        <v>93795</v>
      </c>
      <c r="E15" s="359">
        <v>5353</v>
      </c>
      <c r="F15" s="360">
        <v>281386</v>
      </c>
    </row>
    <row r="16" spans="1:7" x14ac:dyDescent="0.2">
      <c r="A16" s="357" t="s">
        <v>78</v>
      </c>
      <c r="B16" s="358">
        <v>50</v>
      </c>
      <c r="C16" s="359">
        <v>576</v>
      </c>
      <c r="D16" s="360">
        <v>30281</v>
      </c>
      <c r="E16" s="359">
        <v>1728</v>
      </c>
      <c r="F16" s="360">
        <v>90842</v>
      </c>
    </row>
    <row r="17" spans="1:6" x14ac:dyDescent="0.2">
      <c r="A17" s="343" t="s">
        <v>79</v>
      </c>
      <c r="B17" s="358">
        <f>SUM(B18:B20)</f>
        <v>100</v>
      </c>
      <c r="C17" s="359">
        <f t="shared" ref="C17:F17" si="2">SUM(C18:C20)</f>
        <v>1008</v>
      </c>
      <c r="D17" s="360">
        <f t="shared" si="2"/>
        <v>56784</v>
      </c>
      <c r="E17" s="359">
        <f t="shared" si="2"/>
        <v>3025</v>
      </c>
      <c r="F17" s="360">
        <f t="shared" si="2"/>
        <v>170353</v>
      </c>
    </row>
    <row r="18" spans="1:6" x14ac:dyDescent="0.2">
      <c r="A18" s="440" t="s">
        <v>80</v>
      </c>
      <c r="B18" s="361">
        <v>20</v>
      </c>
      <c r="C18" s="362">
        <v>113</v>
      </c>
      <c r="D18" s="363">
        <v>6346</v>
      </c>
      <c r="E18" s="362">
        <v>338</v>
      </c>
      <c r="F18" s="363">
        <v>19037</v>
      </c>
    </row>
    <row r="19" spans="1:6" x14ac:dyDescent="0.2">
      <c r="A19" s="440" t="s">
        <v>81</v>
      </c>
      <c r="B19" s="361">
        <v>40</v>
      </c>
      <c r="C19" s="362">
        <v>431</v>
      </c>
      <c r="D19" s="363">
        <v>24290</v>
      </c>
      <c r="E19" s="362">
        <v>1294</v>
      </c>
      <c r="F19" s="363">
        <v>72871</v>
      </c>
    </row>
    <row r="20" spans="1:6" ht="17.25" customHeight="1" x14ac:dyDescent="0.2">
      <c r="A20" s="441" t="s">
        <v>82</v>
      </c>
      <c r="B20" s="364">
        <v>40</v>
      </c>
      <c r="C20" s="365">
        <v>464</v>
      </c>
      <c r="D20" s="366">
        <v>26148</v>
      </c>
      <c r="E20" s="365">
        <v>1393</v>
      </c>
      <c r="F20" s="366">
        <v>78445</v>
      </c>
    </row>
    <row r="21" spans="1:6" x14ac:dyDescent="0.2">
      <c r="A21" s="353" t="s">
        <v>72</v>
      </c>
      <c r="B21" s="367">
        <v>312</v>
      </c>
      <c r="C21" s="368">
        <v>14589</v>
      </c>
      <c r="D21" s="369">
        <v>822508</v>
      </c>
      <c r="E21" s="368">
        <v>43766</v>
      </c>
      <c r="F21" s="369">
        <v>2467525</v>
      </c>
    </row>
    <row r="23" spans="1:6" x14ac:dyDescent="0.2">
      <c r="A23" s="370" t="s">
        <v>83</v>
      </c>
    </row>
    <row r="24" spans="1:6" ht="48" x14ac:dyDescent="0.2">
      <c r="A24" s="371" t="s">
        <v>60</v>
      </c>
      <c r="B24" s="372" t="s">
        <v>84</v>
      </c>
      <c r="C24" s="372" t="s">
        <v>85</v>
      </c>
      <c r="D24" s="372" t="s">
        <v>86</v>
      </c>
      <c r="E24" s="372" t="s">
        <v>87</v>
      </c>
      <c r="F24" s="372" t="s">
        <v>88</v>
      </c>
    </row>
    <row r="25" spans="1:6" x14ac:dyDescent="0.2">
      <c r="A25" s="373" t="s">
        <v>66</v>
      </c>
      <c r="B25" s="374">
        <f t="shared" ref="B25:F29" si="3">B4-B14</f>
        <v>511</v>
      </c>
      <c r="C25" s="432">
        <f t="shared" si="3"/>
        <v>-6632.2266666666665</v>
      </c>
      <c r="D25" s="375">
        <f t="shared" si="3"/>
        <v>-358510.28054053232</v>
      </c>
      <c r="E25" s="432">
        <f t="shared" si="3"/>
        <v>-19896.68</v>
      </c>
      <c r="F25" s="375">
        <f t="shared" si="3"/>
        <v>-1075530.8416215968</v>
      </c>
    </row>
    <row r="26" spans="1:6" x14ac:dyDescent="0.2">
      <c r="A26" s="373" t="s">
        <v>67</v>
      </c>
      <c r="B26" s="374">
        <f t="shared" si="3"/>
        <v>216.66666666666669</v>
      </c>
      <c r="C26" s="432">
        <f t="shared" si="3"/>
        <v>796.41666666666652</v>
      </c>
      <c r="D26" s="375">
        <f t="shared" si="3"/>
        <v>54570.769021350628</v>
      </c>
      <c r="E26" s="432">
        <f t="shared" si="3"/>
        <v>2388.25</v>
      </c>
      <c r="F26" s="375">
        <f t="shared" si="3"/>
        <v>163711.30706405186</v>
      </c>
    </row>
    <row r="27" spans="1:6" x14ac:dyDescent="0.2">
      <c r="A27" s="376" t="s">
        <v>68</v>
      </c>
      <c r="B27" s="377">
        <f t="shared" si="3"/>
        <v>20</v>
      </c>
      <c r="C27" s="433">
        <f t="shared" si="3"/>
        <v>-49.958333333333371</v>
      </c>
      <c r="D27" s="378">
        <f t="shared" si="3"/>
        <v>2863.9354355391333</v>
      </c>
      <c r="E27" s="433">
        <f t="shared" si="3"/>
        <v>-149.875</v>
      </c>
      <c r="F27" s="378">
        <f t="shared" si="3"/>
        <v>8592.8063066173927</v>
      </c>
    </row>
    <row r="28" spans="1:6" ht="21" customHeight="1" x14ac:dyDescent="0.2">
      <c r="A28" s="373" t="s">
        <v>69</v>
      </c>
      <c r="B28" s="374">
        <f>B7-B17</f>
        <v>-45</v>
      </c>
      <c r="C28" s="437">
        <f t="shared" si="3"/>
        <v>-553.06944444444446</v>
      </c>
      <c r="D28" s="375">
        <f t="shared" si="3"/>
        <v>-28353.137430420786</v>
      </c>
      <c r="E28" s="432">
        <f t="shared" si="3"/>
        <v>-1660.2083333333335</v>
      </c>
      <c r="F28" s="375">
        <f t="shared" si="3"/>
        <v>-85060.412291262357</v>
      </c>
    </row>
    <row r="29" spans="1:6" x14ac:dyDescent="0.2">
      <c r="A29" s="442" t="s">
        <v>70</v>
      </c>
      <c r="B29" s="379">
        <f>B8-B18</f>
        <v>10</v>
      </c>
      <c r="C29" s="434">
        <f t="shared" si="3"/>
        <v>25.125</v>
      </c>
      <c r="D29" s="380">
        <f t="shared" si="3"/>
        <v>2431.6399141512575</v>
      </c>
      <c r="E29" s="434">
        <f t="shared" si="3"/>
        <v>76.375</v>
      </c>
      <c r="F29" s="380">
        <f t="shared" si="3"/>
        <v>7295.9197424537706</v>
      </c>
    </row>
    <row r="30" spans="1:6" x14ac:dyDescent="0.2">
      <c r="A30" s="443" t="s">
        <v>71</v>
      </c>
      <c r="B30" s="381">
        <f>B9-SUM(B19:B20)</f>
        <v>-55</v>
      </c>
      <c r="C30" s="438">
        <f>C9-SUM(C19:C20)</f>
        <v>-578.19444444444446</v>
      </c>
      <c r="D30" s="382">
        <f>D9-SUM(D19:D20)</f>
        <v>-30784.777344572045</v>
      </c>
      <c r="E30" s="435">
        <f>E9-SUM(E19:E20)</f>
        <v>-1736.5833333333335</v>
      </c>
      <c r="F30" s="382">
        <f>F9-SUM(F19:F20)</f>
        <v>-92356.332033716142</v>
      </c>
    </row>
    <row r="31" spans="1:6" x14ac:dyDescent="0.2">
      <c r="A31" s="353" t="s">
        <v>89</v>
      </c>
      <c r="B31" s="367">
        <f>B10-B21</f>
        <v>702.66666666666674</v>
      </c>
      <c r="C31" s="436">
        <f>C10-C21</f>
        <v>-6439.8377777777769</v>
      </c>
      <c r="D31" s="369">
        <f>D10-D21</f>
        <v>-329428.71351406333</v>
      </c>
      <c r="E31" s="436">
        <f>E10-E21</f>
        <v>-19318.513333333332</v>
      </c>
      <c r="F31" s="369">
        <f>F10-F21</f>
        <v>-988287.14054219006</v>
      </c>
    </row>
    <row r="32" spans="1:6" ht="24" x14ac:dyDescent="0.2">
      <c r="A32" s="383" t="s">
        <v>90</v>
      </c>
      <c r="B32" s="384">
        <f>B31/B21</f>
        <v>2.2521367521367526</v>
      </c>
      <c r="C32" s="384">
        <f t="shared" ref="C32:F32" si="4">C31/C21</f>
        <v>-0.44141735401862892</v>
      </c>
      <c r="D32" s="384">
        <f t="shared" si="4"/>
        <v>-0.40051733662659006</v>
      </c>
      <c r="E32" s="384">
        <f t="shared" si="4"/>
        <v>-0.44140459108288016</v>
      </c>
      <c r="F32" s="384">
        <f t="shared" si="4"/>
        <v>-0.40051757957556255</v>
      </c>
    </row>
  </sheetData>
  <sheetProtection sheet="1" objects="1" scenarios="1"/>
  <conditionalFormatting sqref="B25:F31">
    <cfRule type="iconSet" priority="2">
      <iconSet iconSet="3Arrows">
        <cfvo type="percent" val="0"/>
        <cfvo type="num" val="0"/>
        <cfvo type="num" val="1"/>
      </iconSet>
    </cfRule>
  </conditionalFormatting>
  <conditionalFormatting sqref="B32:F32">
    <cfRule type="iconSet" priority="1">
      <iconSet iconSet="3Arrows">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4F9B-DCD4-4174-8822-33FD195234F2}">
  <dimension ref="A1:N60"/>
  <sheetViews>
    <sheetView topLeftCell="A45" zoomScaleNormal="100" workbookViewId="0">
      <selection activeCell="E57" sqref="E57"/>
    </sheetView>
  </sheetViews>
  <sheetFormatPr defaultRowHeight="12" x14ac:dyDescent="0.2"/>
  <cols>
    <col min="1" max="1" width="32.7109375" style="309" customWidth="1"/>
    <col min="2" max="2" width="49.140625" style="309" customWidth="1"/>
    <col min="3" max="3" width="16.140625" style="309" hidden="1" customWidth="1"/>
    <col min="4" max="4" width="14.5703125" style="309" customWidth="1"/>
    <col min="5" max="5" width="16.5703125" style="309" customWidth="1"/>
    <col min="6" max="6" width="17.42578125" style="309" customWidth="1"/>
    <col min="7" max="7" width="17.85546875" style="309" customWidth="1"/>
    <col min="8" max="8" width="16.140625" style="309" customWidth="1"/>
    <col min="9" max="9" width="17.7109375" style="309" customWidth="1"/>
    <col min="10" max="16384" width="9.140625" style="309"/>
  </cols>
  <sheetData>
    <row r="1" spans="1:14" x14ac:dyDescent="0.2">
      <c r="A1" s="308" t="s">
        <v>91</v>
      </c>
    </row>
    <row r="2" spans="1:14" ht="60" x14ac:dyDescent="0.2">
      <c r="A2" s="163" t="s">
        <v>92</v>
      </c>
      <c r="B2" s="163" t="s">
        <v>93</v>
      </c>
      <c r="C2" s="163" t="s">
        <v>94</v>
      </c>
      <c r="D2" s="163" t="s">
        <v>95</v>
      </c>
      <c r="E2" s="163" t="s">
        <v>96</v>
      </c>
      <c r="F2" s="163" t="s">
        <v>97</v>
      </c>
      <c r="G2" s="163" t="s">
        <v>98</v>
      </c>
      <c r="H2" s="163" t="s">
        <v>99</v>
      </c>
      <c r="I2" s="163" t="s">
        <v>100</v>
      </c>
    </row>
    <row r="3" spans="1:14" ht="56.25" x14ac:dyDescent="0.2">
      <c r="A3" s="533" t="s">
        <v>101</v>
      </c>
      <c r="B3" s="500" t="str">
        <f>_xlfn.TEXTJOIN("; ", TRUE, A14:A20)</f>
        <v>DERA Supplemental Application Template; DERA Eligibility Statement; DERA Scrappage Statement; DERA Project Reporting Template; Utility Partnership Agreement; OTAQ Funding Program Recipient Story Collection Form; BABA Waiver Request (non-form information collection)</v>
      </c>
      <c r="C3" s="310">
        <f>'Respondent Burden and Costs'!J14</f>
        <v>8</v>
      </c>
      <c r="D3" s="310">
        <f>'Respondent Burden and Costs'!K14</f>
        <v>21.349761904761905</v>
      </c>
      <c r="E3" s="310">
        <f>'Respondent Burden and Costs'!L14</f>
        <v>1.5</v>
      </c>
      <c r="F3" s="310">
        <f>'Respondent Burden and Costs'!M14</f>
        <v>1.5</v>
      </c>
      <c r="G3" s="310">
        <f>'Respondent Burden and Costs'!N14</f>
        <v>4.1124999999999998</v>
      </c>
      <c r="H3" s="311">
        <f>SUM(C3:G3)</f>
        <v>36.462261904761903</v>
      </c>
      <c r="I3" s="311">
        <f>SUM(D3:G3)</f>
        <v>28.462261904761906</v>
      </c>
    </row>
    <row r="4" spans="1:14" ht="56.25" x14ac:dyDescent="0.2">
      <c r="A4" s="533" t="s">
        <v>67</v>
      </c>
      <c r="B4" s="500" t="str">
        <f>_xlfn.TEXTJOIN("; ", TRUE, A25:A30)</f>
        <v>CSB Supplemental Application Template; CSB Eligibility and Scrap Sell Donate Statement; CSB Project Reporting Template; CSB Utility Partnership Statement; OTAQ Funding Program Recipient Story Collection Form; BABA Waiver Request (non-form information collection)</v>
      </c>
      <c r="C4" s="503">
        <f>'Respondent Burden and Costs'!J58</f>
        <v>10.35</v>
      </c>
      <c r="D4" s="503">
        <f>'Respondent Burden and Costs'!K58</f>
        <v>20.6</v>
      </c>
      <c r="E4" s="503">
        <f>'Respondent Burden and Costs'!L58</f>
        <v>1.4</v>
      </c>
      <c r="F4" s="503">
        <f>'Respondent Burden and Costs'!M58</f>
        <v>3.0124999999999997</v>
      </c>
      <c r="G4" s="312" t="s">
        <v>102</v>
      </c>
      <c r="H4" s="311">
        <f>SUM(C4:G4)</f>
        <v>35.362500000000004</v>
      </c>
      <c r="I4" s="311">
        <f>SUM(D4:G4)</f>
        <v>25.012499999999999</v>
      </c>
    </row>
    <row r="5" spans="1:14" ht="56.25" x14ac:dyDescent="0.2">
      <c r="A5" s="533" t="s">
        <v>68</v>
      </c>
      <c r="B5" s="500" t="str">
        <f>_xlfn.TEXTJOIN("; ", TRUE, A35:A40)</f>
        <v>CHDV Supplemental Application Template; CHDV Eligibility and Scrappage Statement; CHDV Project Reporting Template; Utility Partnership Agreement; OTAQ Funding Program Recipient Story Collection Form; BABA Waiver Request (non-form information collection)</v>
      </c>
      <c r="C5" s="503">
        <f>'Respondent Burden and Costs'!J100</f>
        <v>8.3000000000000007</v>
      </c>
      <c r="D5" s="503">
        <f>'Respondent Burden and Costs'!K100</f>
        <v>18.132142857142856</v>
      </c>
      <c r="E5" s="503">
        <f>'Respondent Burden and Costs'!L100</f>
        <v>1.4</v>
      </c>
      <c r="F5" s="503">
        <f>'Respondent Burden and Costs'!M100</f>
        <v>3.0124999999999997</v>
      </c>
      <c r="G5" s="312" t="s">
        <v>102</v>
      </c>
      <c r="H5" s="311">
        <f>SUM(C5:G5)</f>
        <v>30.844642857142855</v>
      </c>
      <c r="I5" s="311">
        <f>SUM(D5:G5)</f>
        <v>22.544642857142854</v>
      </c>
    </row>
    <row r="6" spans="1:14" ht="33.75" x14ac:dyDescent="0.2">
      <c r="A6" s="533" t="s">
        <v>103</v>
      </c>
      <c r="B6" s="500" t="str">
        <f>_xlfn.TEXTJOIN("; ", TRUE, A45:A47)</f>
        <v>Clean Ports Supplemental Application Template; Clean Ports Climate and Air Quality Planning Project Reporting Template; OTAQ Funding Program Recipient Story Collection Form</v>
      </c>
      <c r="C6" s="503">
        <f>'Respondent Burden and Costs'!J139</f>
        <v>4.2</v>
      </c>
      <c r="D6" s="503">
        <f>'Respondent Burden and Costs'!K139</f>
        <v>6.3125</v>
      </c>
      <c r="E6" s="503">
        <f>'Respondent Burden and Costs'!L139</f>
        <v>2.5</v>
      </c>
      <c r="F6" s="503">
        <f>'Respondent Burden and Costs'!M139</f>
        <v>5</v>
      </c>
      <c r="G6" s="312" t="s">
        <v>102</v>
      </c>
      <c r="H6" s="311">
        <f>SUM(C6:G6)</f>
        <v>18.012499999999999</v>
      </c>
      <c r="I6" s="311">
        <f>SUM(D6:G6)</f>
        <v>13.8125</v>
      </c>
    </row>
    <row r="7" spans="1:14" ht="78.75" x14ac:dyDescent="0.2">
      <c r="A7" s="533" t="s">
        <v>104</v>
      </c>
      <c r="B7" s="500" t="str">
        <f>_xlfn.TEXTJOIN("; ", TRUE, A52:A59)</f>
        <v>Clean Ports Supplemental Application Template; Clean Ports Program Scrappage Evidence Statement; Utility Partnership Agreement; Clean Ports Zero-Emission Technology Project Reporting Template; Clean Ports Program Deployment Evidence Form; Clean Ports Program Scrappage Eligibility Statement; OTAQ Funding Program Recipient Story Collection Form; BABA Waiver Request (non-form information collection)</v>
      </c>
      <c r="C7" s="503">
        <f>'Respondent Burden and Costs'!J177</f>
        <v>4.95</v>
      </c>
      <c r="D7" s="503">
        <f>'Respondent Burden and Costs'!K177</f>
        <v>29.241666666666664</v>
      </c>
      <c r="E7" s="503">
        <f>'Respondent Burden and Costs'!L177</f>
        <v>4.3875000000000002</v>
      </c>
      <c r="F7" s="503">
        <f>'Respondent Burden and Costs'!M177</f>
        <v>4.3875000000000002</v>
      </c>
      <c r="G7" s="503">
        <f>'Respondent Burden and Costs'!N177</f>
        <v>13.25</v>
      </c>
      <c r="H7" s="311">
        <f>SUM(C7:G7)</f>
        <v>56.216666666666669</v>
      </c>
      <c r="I7" s="311">
        <f>SUM(D7:G7)</f>
        <v>51.266666666666666</v>
      </c>
    </row>
    <row r="8" spans="1:14" x14ac:dyDescent="0.2">
      <c r="A8" s="105" t="s">
        <v>105</v>
      </c>
    </row>
    <row r="9" spans="1:14" x14ac:dyDescent="0.2">
      <c r="A9" s="502" t="s">
        <v>106</v>
      </c>
    </row>
    <row r="12" spans="1:14" x14ac:dyDescent="0.2">
      <c r="A12" s="538" t="s">
        <v>107</v>
      </c>
      <c r="B12" s="538"/>
      <c r="C12" s="538"/>
      <c r="D12" s="538"/>
      <c r="E12" s="538"/>
      <c r="F12" s="538"/>
      <c r="G12" s="313"/>
      <c r="J12" s="540" t="s">
        <v>108</v>
      </c>
      <c r="K12" s="540"/>
      <c r="L12" s="540"/>
      <c r="M12" s="540"/>
      <c r="N12" s="540"/>
    </row>
    <row r="13" spans="1:14" ht="92.25" x14ac:dyDescent="0.2">
      <c r="A13" s="163" t="s">
        <v>109</v>
      </c>
      <c r="B13" s="163" t="s">
        <v>110</v>
      </c>
      <c r="C13" s="163" t="s">
        <v>111</v>
      </c>
      <c r="D13" s="163" t="s">
        <v>112</v>
      </c>
      <c r="E13" s="163" t="s">
        <v>113</v>
      </c>
      <c r="F13" s="163" t="s">
        <v>114</v>
      </c>
      <c r="G13" s="163" t="s">
        <v>115</v>
      </c>
      <c r="H13" s="163" t="s">
        <v>116</v>
      </c>
      <c r="I13" s="163" t="s">
        <v>117</v>
      </c>
      <c r="J13" s="163" t="s">
        <v>118</v>
      </c>
      <c r="K13" s="163" t="s">
        <v>119</v>
      </c>
      <c r="L13" s="163" t="s">
        <v>120</v>
      </c>
      <c r="M13" s="163" t="s">
        <v>121</v>
      </c>
      <c r="N13" s="163" t="s">
        <v>122</v>
      </c>
    </row>
    <row r="14" spans="1:14" x14ac:dyDescent="0.2">
      <c r="A14" s="313" t="s">
        <v>123</v>
      </c>
      <c r="B14" s="313" t="s">
        <v>124</v>
      </c>
      <c r="C14" s="313" t="s">
        <v>125</v>
      </c>
      <c r="D14" s="473">
        <v>1</v>
      </c>
      <c r="E14" s="314">
        <f>_xlfn.XLOOKUP(DERA_Unit_Burden[[#This Row],[EPA Form Name]], Time_by_Instrument[EPA Form Name],Time_by_Instrument[Low End Estimate (h)], "not found", 0, 1)</f>
        <v>5.15</v>
      </c>
      <c r="F14" s="314">
        <f>_xlfn.XLOOKUP(DERA_Unit_Burden[[#This Row],[EPA Form Name]], Time_by_Instrument[EPA Form Name],Time_by_Instrument[High End Estimate (h)], "not found", 0, 1)</f>
        <v>7.55</v>
      </c>
      <c r="G14" s="314">
        <f>_xlfn.XLOOKUP(DERA_Unit_Burden[[#This Row],[EPA Form Name]], Time_by_Instrument[EPA Form Name],Time_by_Instrument[Average Estimate (h)], "not found", 0, 1)</f>
        <v>6.35</v>
      </c>
      <c r="H14" s="314">
        <f>DERA_Unit_Burden[[#This Row],[Share of participants completing 
(If required, assume 100% of respondents will complete and submit this form)]]*DERA_Unit_Burden[[#This Row],[Average Estimate
(hrs.)]]</f>
        <v>6.35</v>
      </c>
      <c r="I14" s="315" t="str">
        <f t="shared" ref="I14:I20" si="0">_xlfn.TEXTJOIN(" - ",TRUE,ROUND(E14,1),ROUND(F14,1))</f>
        <v>5.2 - 7.6</v>
      </c>
      <c r="J14" s="316">
        <f>G14</f>
        <v>6.35</v>
      </c>
      <c r="K14" s="317"/>
      <c r="L14" s="317"/>
      <c r="M14" s="317"/>
      <c r="N14" s="317"/>
    </row>
    <row r="15" spans="1:14" x14ac:dyDescent="0.2">
      <c r="A15" s="313" t="s">
        <v>126</v>
      </c>
      <c r="B15" s="313" t="s">
        <v>127</v>
      </c>
      <c r="C15" s="313" t="s">
        <v>125</v>
      </c>
      <c r="D15" s="473">
        <v>1</v>
      </c>
      <c r="E15" s="314">
        <f>_xlfn.XLOOKUP(DERA_Unit_Burden[[#This Row],[EPA Form Name]], Time_by_Instrument[EPA Form Name],Time_by_Instrument[Low End Estimate (h)], "not found", 0, 1)</f>
        <v>1.5</v>
      </c>
      <c r="F15" s="314">
        <f>_xlfn.XLOOKUP(DERA_Unit_Burden[[#This Row],[EPA Form Name]], Time_by_Instrument[EPA Form Name],Time_by_Instrument[High End Estimate (h)], "not found", 0, 1)</f>
        <v>12</v>
      </c>
      <c r="G15" s="314">
        <f>_xlfn.XLOOKUP(DERA_Unit_Burden[[#This Row],[EPA Form Name]], Time_by_Instrument[EPA Form Name],Time_by_Instrument[Average Estimate (h)], "not found", 0, 1)</f>
        <v>6.75</v>
      </c>
      <c r="H15" s="314">
        <f>DERA_Unit_Burden[[#This Row],[Share of participants completing 
(If required, assume 100% of respondents will complete and submit this form)]]*DERA_Unit_Burden[[#This Row],[Average Estimate
(hrs.)]]</f>
        <v>6.75</v>
      </c>
      <c r="I15" s="315" t="str">
        <f t="shared" si="0"/>
        <v>1.5 - 12</v>
      </c>
      <c r="J15" s="316">
        <f>DERA_Unit_Burden[[#This Row],[Low End Estimate
(hrs.)]]</f>
        <v>1.5</v>
      </c>
      <c r="K15" s="316">
        <f>G15</f>
        <v>6.75</v>
      </c>
      <c r="L15" s="317"/>
      <c r="M15" s="317"/>
      <c r="N15" s="317"/>
    </row>
    <row r="16" spans="1:14" x14ac:dyDescent="0.2">
      <c r="A16" s="313" t="s">
        <v>128</v>
      </c>
      <c r="B16" s="313" t="s">
        <v>129</v>
      </c>
      <c r="C16" s="313" t="s">
        <v>125</v>
      </c>
      <c r="D16" s="473">
        <v>1</v>
      </c>
      <c r="E16" s="314">
        <f>_xlfn.XLOOKUP(DERA_Unit_Burden[[#This Row],[EPA Form Name]], Time_by_Instrument[EPA Form Name],Time_by_Instrument[Low End Estimate (h)], "not found", 0, 1)</f>
        <v>1.5</v>
      </c>
      <c r="F16" s="314">
        <f>_xlfn.XLOOKUP(DERA_Unit_Burden[[#This Row],[EPA Form Name]], Time_by_Instrument[EPA Form Name],Time_by_Instrument[High End Estimate (h)], "not found", 0, 1)</f>
        <v>12</v>
      </c>
      <c r="G16" s="314">
        <f>_xlfn.XLOOKUP(DERA_Unit_Burden[[#This Row],[EPA Form Name]], Time_by_Instrument[EPA Form Name],Time_by_Instrument[Average Estimate (h)], "not found", 0, 1)</f>
        <v>6.75</v>
      </c>
      <c r="H16" s="314">
        <f>DERA_Unit_Burden[[#This Row],[Share of participants completing 
(If required, assume 100% of respondents will complete and submit this form)]]*DERA_Unit_Burden[[#This Row],[Average Estimate
(hrs.)]]</f>
        <v>6.75</v>
      </c>
      <c r="I16" s="315" t="str">
        <f t="shared" si="0"/>
        <v>1.5 - 12</v>
      </c>
      <c r="J16" s="317"/>
      <c r="K16" s="316">
        <f>G16</f>
        <v>6.75</v>
      </c>
      <c r="L16" s="317"/>
      <c r="M16" s="317"/>
      <c r="N16" s="317"/>
    </row>
    <row r="17" spans="1:14" x14ac:dyDescent="0.2">
      <c r="A17" s="318" t="s">
        <v>130</v>
      </c>
      <c r="B17" s="318" t="s">
        <v>131</v>
      </c>
      <c r="C17" s="318" t="s">
        <v>125</v>
      </c>
      <c r="D17" s="473">
        <v>1</v>
      </c>
      <c r="E17" s="314">
        <f>_xlfn.XLOOKUP(DERA_Unit_Burden[[#This Row],[EPA Form Name]], Time_by_Instrument[EPA Form Name],Time_by_Instrument[Low End Estimate (h)], "not found", 0, 1)</f>
        <v>12.373333333333333</v>
      </c>
      <c r="F17" s="314">
        <f>_xlfn.XLOOKUP(DERA_Unit_Burden[[#This Row],[EPA Form Name]], Time_by_Instrument[EPA Form Name],Time_by_Instrument[High End Estimate (h)], "not found", 0, 1)</f>
        <v>15.683333333333332</v>
      </c>
      <c r="G17" s="314">
        <f>_xlfn.XLOOKUP(DERA_Unit_Burden[[#This Row],[EPA Form Name]], Time_by_Instrument[EPA Form Name],Time_by_Instrument[Average Estimate (h)], "not found", 0, 1)</f>
        <v>14.028333333333332</v>
      </c>
      <c r="H17" s="314">
        <f>DERA_Unit_Burden[[#This Row],[Share of participants completing 
(If required, assume 100% of respondents will complete and submit this form)]]*DERA_Unit_Burden[[#This Row],[Average Estimate
(hrs.)]]</f>
        <v>14.028333333333332</v>
      </c>
      <c r="I17" s="315" t="str">
        <f t="shared" si="0"/>
        <v>12.4 - 15.7</v>
      </c>
      <c r="J17" s="317"/>
      <c r="K17" s="314">
        <f>DERA_Unit_Burden[[#This Row],[Average Estimate
(hrs.)]]-(SUM(DERA_Unit_Burden[[#This Row],[ Year 2]:[ Year 4]]))</f>
        <v>7.0283333333333324</v>
      </c>
      <c r="L17" s="313">
        <v>1.5</v>
      </c>
      <c r="M17" s="313">
        <v>1.5</v>
      </c>
      <c r="N17" s="313">
        <v>4</v>
      </c>
    </row>
    <row r="18" spans="1:14" x14ac:dyDescent="0.2">
      <c r="A18" s="313" t="s">
        <v>132</v>
      </c>
      <c r="B18" s="313" t="s">
        <v>133</v>
      </c>
      <c r="C18" s="313" t="s">
        <v>134</v>
      </c>
      <c r="D18" s="455">
        <v>0.1</v>
      </c>
      <c r="E18" s="314">
        <f>_xlfn.XLOOKUP(DERA_Unit_Burden[[#This Row],[EPA Form Name]], Time_by_Instrument[EPA Form Name],Time_by_Instrument[Low End Estimate (h)], "not found", 0, 1)</f>
        <v>1.5</v>
      </c>
      <c r="F18" s="314">
        <f>_xlfn.XLOOKUP(DERA_Unit_Burden[[#This Row],[EPA Form Name]], Time_by_Instrument[EPA Form Name],Time_by_Instrument[High End Estimate (h)], "not found", 0, 1)</f>
        <v>6</v>
      </c>
      <c r="G18" s="314">
        <f>_xlfn.XLOOKUP(DERA_Unit_Burden[[#This Row],[EPA Form Name]], Time_by_Instrument[EPA Form Name],Time_by_Instrument[Average Estimate (h)], "not found", 0, 1)</f>
        <v>3.75</v>
      </c>
      <c r="H18" s="314">
        <f>DERA_Unit_Burden[[#This Row],[Share of participants completing 
(If required, assume 100% of respondents will complete and submit this form)]]*DERA_Unit_Burden[[#This Row],[Average Estimate
(hrs.)]]</f>
        <v>0.375</v>
      </c>
      <c r="I18" s="315" t="str">
        <f t="shared" si="0"/>
        <v>1.5 - 6</v>
      </c>
      <c r="J18" s="316">
        <f>DERA_Unit_Burden[[#This Row],[Low End Estimate
(hrs.)]]</f>
        <v>1.5</v>
      </c>
      <c r="K18" s="316">
        <f>G18</f>
        <v>3.75</v>
      </c>
      <c r="L18" s="317"/>
      <c r="M18" s="317"/>
      <c r="N18" s="317"/>
    </row>
    <row r="19" spans="1:14" s="446" customFormat="1" x14ac:dyDescent="0.2">
      <c r="A19" s="318" t="s">
        <v>135</v>
      </c>
      <c r="B19" s="318" t="s">
        <v>136</v>
      </c>
      <c r="C19" s="318" t="s">
        <v>134</v>
      </c>
      <c r="D19" s="456">
        <v>0.05</v>
      </c>
      <c r="E19" s="330">
        <f>_xlfn.XLOOKUP(DERA_Unit_Burden[[#This Row],[EPA Form Name]], Time_by_Instrument[EPA Form Name],Time_by_Instrument[Low End Estimate (h)], "not found", 0, 1)</f>
        <v>1.5</v>
      </c>
      <c r="F19" s="330">
        <f>_xlfn.XLOOKUP(DERA_Unit_Burden[[#This Row],[EPA Form Name]], Time_by_Instrument[EPA Form Name],Time_by_Instrument[High End Estimate (h)], "not found", 0, 1)</f>
        <v>3</v>
      </c>
      <c r="G19" s="330">
        <f>_xlfn.XLOOKUP(DERA_Unit_Burden[[#This Row],[EPA Form Name]], Time_by_Instrument[EPA Form Name],Time_by_Instrument[Average Estimate (h)], "not found", 0, 1)</f>
        <v>2.25</v>
      </c>
      <c r="H19" s="330">
        <f>DERA_Unit_Burden[[#This Row],[Share of participants completing 
(If required, assume 100% of respondents will complete and submit this form)]]*DERA_Unit_Burden[[#This Row],[Average Estimate
(hrs.)]]</f>
        <v>0.1125</v>
      </c>
      <c r="I19" s="327" t="str">
        <f t="shared" si="0"/>
        <v>1.5 - 3</v>
      </c>
      <c r="J19" s="329"/>
      <c r="K19" s="329"/>
      <c r="L19" s="329"/>
      <c r="M19" s="329"/>
      <c r="N19" s="328">
        <f>DERA_Unit_Burden[[#This Row],[Average Estimate
(hrs.)]]</f>
        <v>2.25</v>
      </c>
    </row>
    <row r="20" spans="1:14" x14ac:dyDescent="0.2">
      <c r="A20" s="451" t="s">
        <v>137</v>
      </c>
      <c r="B20" s="319" t="s">
        <v>102</v>
      </c>
      <c r="C20" s="319" t="s">
        <v>134</v>
      </c>
      <c r="D20" s="457">
        <f>10/Respondents!F5</f>
        <v>8.9285714285714288E-2</v>
      </c>
      <c r="E20" s="320">
        <f>_xlfn.XLOOKUP(DERA_Unit_Burden[[#This Row],[EPA Form Name]], Time_by_Instrument[EPA Form Name],Time_by_Instrument[Low End Estimate (h)], "not found", 0, 1)</f>
        <v>4</v>
      </c>
      <c r="F20" s="320">
        <f>_xlfn.XLOOKUP(DERA_Unit_Burden[[#This Row],[EPA Form Name]], Time_by_Instrument[EPA Form Name],Time_by_Instrument[High End Estimate (h)], "not found", 0, 1)</f>
        <v>6</v>
      </c>
      <c r="G20" s="320">
        <f>_xlfn.XLOOKUP(DERA_Unit_Burden[[#This Row],[EPA Form Name]], Time_by_Instrument[EPA Form Name],Time_by_Instrument[Average Estimate (h)], "not found", 0, 1)</f>
        <v>5</v>
      </c>
      <c r="H20" s="320">
        <f>DERA_Unit_Burden[[#This Row],[Share of participants completing 
(If required, assume 100% of respondents will complete and submit this form)]]*DERA_Unit_Burden[[#This Row],[Average Estimate
(hrs.)]]</f>
        <v>0.44642857142857145</v>
      </c>
      <c r="I20" s="321" t="str">
        <f t="shared" si="0"/>
        <v>4 - 6</v>
      </c>
      <c r="J20" s="322"/>
      <c r="K20" s="323">
        <f>DERA_Unit_Burden[[#This Row],[Average Estimate
(hrs.)]]</f>
        <v>5</v>
      </c>
      <c r="L20" s="322"/>
      <c r="M20" s="322"/>
      <c r="N20" s="322"/>
    </row>
    <row r="21" spans="1:14" x14ac:dyDescent="0.2">
      <c r="A21" s="532" t="s">
        <v>138</v>
      </c>
      <c r="B21" s="313"/>
      <c r="C21" s="313"/>
      <c r="D21" s="313"/>
      <c r="E21" s="313"/>
      <c r="F21" s="313"/>
      <c r="G21" s="324">
        <f>SUM(DERA_Unit_Burden[[#This Row],[Application]:[ Year 4]])</f>
        <v>47.87833333333333</v>
      </c>
      <c r="H21" s="324">
        <f>SUM(H14:H20)</f>
        <v>34.812261904761897</v>
      </c>
      <c r="I21" s="325" t="str">
        <f>_xlfn.TEXTJOIN("", TRUE, ROUND(SUM(E14:E19), 1), " - ", ROUND(SUM(F14:F19),1))</f>
        <v>23.5 - 56.2</v>
      </c>
      <c r="J21" s="324">
        <f>SUM(J14:J20)</f>
        <v>9.35</v>
      </c>
      <c r="K21" s="324">
        <f>SUM(K14:K20)</f>
        <v>29.278333333333332</v>
      </c>
      <c r="L21" s="324">
        <f t="shared" ref="L21:N21" si="1">SUM(L14:L20)</f>
        <v>1.5</v>
      </c>
      <c r="M21" s="324">
        <f t="shared" si="1"/>
        <v>1.5</v>
      </c>
      <c r="N21" s="324">
        <f t="shared" si="1"/>
        <v>6.25</v>
      </c>
    </row>
    <row r="22" spans="1:14" x14ac:dyDescent="0.2">
      <c r="A22" s="226"/>
      <c r="B22" s="313"/>
      <c r="C22" s="313"/>
      <c r="D22" s="313"/>
      <c r="E22" s="313"/>
      <c r="F22" s="313"/>
      <c r="G22" s="313"/>
      <c r="H22" s="313"/>
      <c r="I22" s="313"/>
      <c r="J22" s="313"/>
      <c r="K22" s="313"/>
      <c r="L22" s="313"/>
    </row>
    <row r="23" spans="1:14" x14ac:dyDescent="0.2">
      <c r="A23" s="539" t="s">
        <v>139</v>
      </c>
      <c r="B23" s="539"/>
      <c r="C23" s="539"/>
      <c r="D23" s="539"/>
      <c r="E23" s="539"/>
      <c r="F23" s="539"/>
      <c r="G23" s="313"/>
      <c r="J23" s="541" t="s">
        <v>108</v>
      </c>
      <c r="K23" s="541"/>
      <c r="L23" s="541"/>
      <c r="M23" s="541"/>
    </row>
    <row r="24" spans="1:14" ht="92.25" x14ac:dyDescent="0.2">
      <c r="A24" s="163" t="s">
        <v>109</v>
      </c>
      <c r="B24" s="163" t="s">
        <v>110</v>
      </c>
      <c r="C24" s="163" t="s">
        <v>111</v>
      </c>
      <c r="D24" s="163" t="s">
        <v>112</v>
      </c>
      <c r="E24" s="163" t="s">
        <v>113</v>
      </c>
      <c r="F24" s="163" t="s">
        <v>114</v>
      </c>
      <c r="G24" s="163" t="s">
        <v>115</v>
      </c>
      <c r="H24" s="163" t="s">
        <v>116</v>
      </c>
      <c r="I24" s="163" t="s">
        <v>117</v>
      </c>
      <c r="J24" s="163" t="s">
        <v>118</v>
      </c>
      <c r="K24" s="163" t="s">
        <v>119</v>
      </c>
      <c r="L24" s="163" t="s">
        <v>120</v>
      </c>
      <c r="M24" s="163" t="s">
        <v>121</v>
      </c>
    </row>
    <row r="25" spans="1:14" ht="24" x14ac:dyDescent="0.2">
      <c r="A25" s="226" t="s">
        <v>140</v>
      </c>
      <c r="B25" s="313" t="s">
        <v>141</v>
      </c>
      <c r="C25" s="313" t="s">
        <v>125</v>
      </c>
      <c r="D25" s="455">
        <v>1</v>
      </c>
      <c r="E25" s="314">
        <f>_xlfn.XLOOKUP(CSB_Unit_Burden[[#This Row],[EPA Form Name]], Time_by_Instrument[EPA Form Name],Time_by_Instrument[Low End Estimate (h)], "not found", 0, 1)</f>
        <v>7.15</v>
      </c>
      <c r="F25" s="314">
        <f>_xlfn.XLOOKUP(CSB_Unit_Burden[[#This Row],[EPA Form Name]], Time_by_Instrument[EPA Form Name],Time_by_Instrument[High End Estimate (h)], "not found", 0, 1)</f>
        <v>7.55</v>
      </c>
      <c r="G25" s="314">
        <f>_xlfn.XLOOKUP(CSB_Unit_Burden[[#This Row],[EPA Form Name]], Time_by_Instrument[EPA Form Name],Time_by_Instrument[Average Estimate (h)], "not found", 0, 1)</f>
        <v>7.35</v>
      </c>
      <c r="H25" s="314">
        <f>CSB_Unit_Burden[[#This Row],[Share of participants completing 
(If required, assume 100% of respondents will complete and submit this form)]]*CSB_Unit_Burden[[#This Row],[Average Estimate
(hrs.)]]</f>
        <v>7.35</v>
      </c>
      <c r="I25" s="315" t="str">
        <f t="shared" ref="I25:I30" si="2">_xlfn.TEXTJOIN(" - ",TRUE,ROUND(E25,1),ROUND(F25,1))</f>
        <v>7.2 - 7.6</v>
      </c>
      <c r="J25" s="316">
        <f>G25</f>
        <v>7.35</v>
      </c>
      <c r="K25" s="317"/>
      <c r="L25" s="317"/>
      <c r="M25" s="317"/>
    </row>
    <row r="26" spans="1:14" x14ac:dyDescent="0.2">
      <c r="A26" s="313" t="s">
        <v>142</v>
      </c>
      <c r="B26" s="313" t="s">
        <v>143</v>
      </c>
      <c r="C26" s="313" t="s">
        <v>125</v>
      </c>
      <c r="D26" s="455">
        <v>1</v>
      </c>
      <c r="E26" s="314">
        <f>_xlfn.XLOOKUP(CSB_Unit_Burden[[#This Row],[EPA Form Name]], Time_by_Instrument[EPA Form Name],Time_by_Instrument[Low End Estimate (h)], "not found", 0, 1)</f>
        <v>1.5</v>
      </c>
      <c r="F26" s="314">
        <f>_xlfn.XLOOKUP(CSB_Unit_Burden[[#This Row],[EPA Form Name]], Time_by_Instrument[EPA Form Name],Time_by_Instrument[High End Estimate (h)], "not found", 0, 1)</f>
        <v>12</v>
      </c>
      <c r="G26" s="314">
        <f>_xlfn.XLOOKUP(CSB_Unit_Burden[[#This Row],[EPA Form Name]], Time_by_Instrument[EPA Form Name],Time_by_Instrument[Average Estimate (h)], "not found", 0, 1)</f>
        <v>6.75</v>
      </c>
      <c r="H26" s="314">
        <f>CSB_Unit_Burden[[#This Row],[Share of participants completing 
(If required, assume 100% of respondents will complete and submit this form)]]*CSB_Unit_Burden[[#This Row],[Average Estimate
(hrs.)]]</f>
        <v>6.75</v>
      </c>
      <c r="I26" s="315" t="str">
        <f t="shared" si="2"/>
        <v>1.5 - 12</v>
      </c>
      <c r="J26" s="316">
        <f>CSB_Unit_Burden[[#This Row],[Low End Estimate
(hrs.)]]</f>
        <v>1.5</v>
      </c>
      <c r="K26" s="316">
        <f>G26</f>
        <v>6.75</v>
      </c>
      <c r="L26" s="317"/>
      <c r="M26" s="317"/>
    </row>
    <row r="27" spans="1:14" x14ac:dyDescent="0.2">
      <c r="A27" s="313" t="s">
        <v>144</v>
      </c>
      <c r="B27" s="313" t="s">
        <v>145</v>
      </c>
      <c r="C27" s="313" t="s">
        <v>125</v>
      </c>
      <c r="D27" s="455">
        <v>1</v>
      </c>
      <c r="E27" s="314">
        <f>_xlfn.XLOOKUP(CSB_Unit_Burden[[#This Row],[EPA Form Name]], Time_by_Instrument[EPA Form Name],Time_by_Instrument[Low End Estimate (h)], "not found", 0, 1)</f>
        <v>12.608333333333334</v>
      </c>
      <c r="F27" s="314">
        <f>_xlfn.XLOOKUP(CSB_Unit_Burden[[#This Row],[EPA Form Name]], Time_by_Instrument[EPA Form Name],Time_by_Instrument[High End Estimate (h)], "not found", 0, 1)</f>
        <v>14.2</v>
      </c>
      <c r="G27" s="314">
        <f>_xlfn.XLOOKUP(CSB_Unit_Burden[[#This Row],[EPA Form Name]], Time_by_Instrument[EPA Form Name],Time_by_Instrument[Average Estimate (h)], "not found", 0, 1)</f>
        <v>13.404166666666667</v>
      </c>
      <c r="H27" s="314">
        <f>CSB_Unit_Burden[[#This Row],[Share of participants completing 
(If required, assume 100% of respondents will complete and submit this form)]]*CSB_Unit_Burden[[#This Row],[Average Estimate
(hrs.)]]</f>
        <v>13.404166666666667</v>
      </c>
      <c r="I27" s="315" t="str">
        <f t="shared" si="2"/>
        <v>12.6 - 14.2</v>
      </c>
      <c r="J27" s="317"/>
      <c r="K27" s="326">
        <v>9.1</v>
      </c>
      <c r="L27" s="313">
        <v>1.4</v>
      </c>
      <c r="M27" s="313">
        <v>2.9</v>
      </c>
    </row>
    <row r="28" spans="1:14" x14ac:dyDescent="0.2">
      <c r="A28" s="313" t="s">
        <v>146</v>
      </c>
      <c r="B28" s="313" t="s">
        <v>147</v>
      </c>
      <c r="C28" s="313" t="s">
        <v>125</v>
      </c>
      <c r="D28" s="455">
        <v>1</v>
      </c>
      <c r="E28" s="314">
        <f>_xlfn.XLOOKUP(CSB_Unit_Burden[[#This Row],[EPA Form Name]], Time_by_Instrument[EPA Form Name],Time_by_Instrument[Low End Estimate (h)], "not found", 0, 1)</f>
        <v>1.5</v>
      </c>
      <c r="F28" s="314">
        <f>_xlfn.XLOOKUP(CSB_Unit_Burden[[#This Row],[EPA Form Name]], Time_by_Instrument[EPA Form Name],Time_by_Instrument[High End Estimate (h)], "not found", 0, 1)</f>
        <v>6</v>
      </c>
      <c r="G28" s="314">
        <f>_xlfn.XLOOKUP(CSB_Unit_Burden[[#This Row],[EPA Form Name]], Time_by_Instrument[EPA Form Name],Time_by_Instrument[Average Estimate (h)], "not found", 0, 1)</f>
        <v>3.75</v>
      </c>
      <c r="H28" s="314">
        <f>CSB_Unit_Burden[[#This Row],[Share of participants completing 
(If required, assume 100% of respondents will complete and submit this form)]]*CSB_Unit_Burden[[#This Row],[Average Estimate
(hrs.)]]</f>
        <v>3.75</v>
      </c>
      <c r="I28" s="327" t="str">
        <f t="shared" si="2"/>
        <v>1.5 - 6</v>
      </c>
      <c r="J28" s="328">
        <f>CSB_Unit_Burden[[#This Row],[Low End Estimate
(hrs.)]]</f>
        <v>1.5</v>
      </c>
      <c r="K28" s="328">
        <f>G28</f>
        <v>3.75</v>
      </c>
      <c r="L28" s="329"/>
      <c r="M28" s="329"/>
    </row>
    <row r="29" spans="1:14" s="446" customFormat="1" x14ac:dyDescent="0.2">
      <c r="A29" s="318" t="s">
        <v>135</v>
      </c>
      <c r="B29" s="318" t="s">
        <v>136</v>
      </c>
      <c r="C29" s="318" t="s">
        <v>134</v>
      </c>
      <c r="D29" s="456">
        <v>0.05</v>
      </c>
      <c r="E29" s="330">
        <f>_xlfn.XLOOKUP(CSB_Unit_Burden[[#This Row],[EPA Form Name]], Time_by_Instrument[EPA Form Name],Time_by_Instrument[Low End Estimate (h)], "not found", 0, 1)</f>
        <v>1.5</v>
      </c>
      <c r="F29" s="330">
        <f>_xlfn.XLOOKUP(CSB_Unit_Burden[[#This Row],[EPA Form Name]], Time_by_Instrument[EPA Form Name],Time_by_Instrument[High End Estimate (h)], "not found", 0, 1)</f>
        <v>3</v>
      </c>
      <c r="G29" s="330">
        <f>_xlfn.XLOOKUP(CSB_Unit_Burden[[#This Row],[EPA Form Name]], Time_by_Instrument[EPA Form Name],Time_by_Instrument[Average Estimate (h)], "not found", 0, 1)</f>
        <v>2.25</v>
      </c>
      <c r="H29" s="330">
        <f>CSB_Unit_Burden[[#This Row],[Share of participants completing 
(If required, assume 100% of respondents will complete and submit this form)]]*CSB_Unit_Burden[[#This Row],[Average Estimate
(hrs.)]]</f>
        <v>0.1125</v>
      </c>
      <c r="I29" s="327" t="str">
        <f t="shared" si="2"/>
        <v>1.5 - 3</v>
      </c>
      <c r="J29" s="329"/>
      <c r="K29" s="450"/>
      <c r="L29" s="450"/>
      <c r="M29" s="449">
        <f>CSB_Unit_Burden[[#This Row],[Average Estimate
(hrs.)]]</f>
        <v>2.25</v>
      </c>
    </row>
    <row r="30" spans="1:14" x14ac:dyDescent="0.2">
      <c r="A30" s="451" t="s">
        <v>137</v>
      </c>
      <c r="B30" s="319" t="s">
        <v>102</v>
      </c>
      <c r="C30" s="319" t="s">
        <v>134</v>
      </c>
      <c r="D30" s="457">
        <f>10/Respondents!F9</f>
        <v>0.2</v>
      </c>
      <c r="E30" s="320">
        <f>_xlfn.XLOOKUP(CSB_Unit_Burden[[#This Row],[EPA Form Name]], Time_by_Instrument[EPA Form Name],Time_by_Instrument[Low End Estimate (h)], "not found", 0, 1)</f>
        <v>4</v>
      </c>
      <c r="F30" s="320">
        <f>_xlfn.XLOOKUP(CSB_Unit_Burden[[#This Row],[EPA Form Name]], Time_by_Instrument[EPA Form Name],Time_by_Instrument[High End Estimate (h)], "not found", 0, 1)</f>
        <v>6</v>
      </c>
      <c r="G30" s="320">
        <f>_xlfn.XLOOKUP(CSB_Unit_Burden[[#This Row],[EPA Form Name]], Time_by_Instrument[EPA Form Name],Time_by_Instrument[Average Estimate (h)], "not found", 0, 1)</f>
        <v>5</v>
      </c>
      <c r="H30" s="320">
        <f>CSB_Unit_Burden[[#This Row],[Share of participants completing 
(If required, assume 100% of respondents will complete and submit this form)]]*CSB_Unit_Burden[[#This Row],[Average Estimate
(hrs.)]]</f>
        <v>1</v>
      </c>
      <c r="I30" s="321" t="str">
        <f t="shared" si="2"/>
        <v>4 - 6</v>
      </c>
      <c r="J30" s="322"/>
      <c r="K30" s="323">
        <f>CSB_Unit_Burden[[#This Row],[Average Estimate
(hrs.)]]</f>
        <v>5</v>
      </c>
      <c r="L30" s="322"/>
      <c r="M30" s="322"/>
    </row>
    <row r="31" spans="1:14" x14ac:dyDescent="0.2">
      <c r="A31" s="532" t="s">
        <v>138</v>
      </c>
      <c r="B31" s="313"/>
      <c r="C31" s="313"/>
      <c r="D31" s="313"/>
      <c r="E31" s="330"/>
      <c r="F31" s="330"/>
      <c r="G31" s="324">
        <f>SUM(CSB_Unit_Burden[[#This Row],[Application]:[ Year 3]])</f>
        <v>41.5</v>
      </c>
      <c r="H31" s="324">
        <f>SUM(H25:H30)</f>
        <v>32.366666666666667</v>
      </c>
      <c r="I31" s="325" t="str">
        <f>_xlfn.TEXTJOIN("", TRUE, ROUND(SUM(E25:E29), 1), " - ", ROUND(SUM(F25:F29),1))</f>
        <v>24.3 - 42.8</v>
      </c>
      <c r="J31" s="324">
        <f>SUM(J25:J30)</f>
        <v>10.35</v>
      </c>
      <c r="K31" s="324">
        <f t="shared" ref="K31:L31" si="3">SUM(K25:K30)</f>
        <v>24.6</v>
      </c>
      <c r="L31" s="324">
        <f t="shared" si="3"/>
        <v>1.4</v>
      </c>
      <c r="M31" s="324">
        <f>SUM(M25:M30)</f>
        <v>5.15</v>
      </c>
    </row>
    <row r="32" spans="1:14" x14ac:dyDescent="0.2">
      <c r="A32" s="313"/>
      <c r="B32" s="313"/>
      <c r="C32" s="313"/>
      <c r="D32" s="318"/>
      <c r="E32" s="318"/>
      <c r="F32" s="318"/>
      <c r="G32" s="313"/>
      <c r="H32" s="313"/>
      <c r="I32" s="313"/>
      <c r="J32" s="313"/>
      <c r="K32" s="313"/>
      <c r="L32" s="313"/>
    </row>
    <row r="33" spans="1:14" x14ac:dyDescent="0.2">
      <c r="A33" s="539" t="s">
        <v>148</v>
      </c>
      <c r="B33" s="539"/>
      <c r="C33" s="539"/>
      <c r="D33" s="539"/>
      <c r="E33" s="539"/>
      <c r="F33" s="539"/>
      <c r="G33" s="313"/>
      <c r="J33" s="541" t="s">
        <v>108</v>
      </c>
      <c r="K33" s="541"/>
      <c r="L33" s="541"/>
      <c r="M33" s="541"/>
    </row>
    <row r="34" spans="1:14" ht="92.25" x14ac:dyDescent="0.2">
      <c r="A34" s="163" t="s">
        <v>109</v>
      </c>
      <c r="B34" s="163" t="s">
        <v>110</v>
      </c>
      <c r="C34" s="163" t="s">
        <v>111</v>
      </c>
      <c r="D34" s="163" t="s">
        <v>112</v>
      </c>
      <c r="E34" s="163" t="s">
        <v>113</v>
      </c>
      <c r="F34" s="163" t="s">
        <v>114</v>
      </c>
      <c r="G34" s="163" t="s">
        <v>115</v>
      </c>
      <c r="H34" s="163" t="s">
        <v>116</v>
      </c>
      <c r="I34" s="163" t="s">
        <v>117</v>
      </c>
      <c r="J34" s="163" t="s">
        <v>118</v>
      </c>
      <c r="K34" s="163" t="s">
        <v>119</v>
      </c>
      <c r="L34" s="163" t="s">
        <v>120</v>
      </c>
      <c r="M34" s="163" t="s">
        <v>121</v>
      </c>
    </row>
    <row r="35" spans="1:14" ht="24" x14ac:dyDescent="0.2">
      <c r="A35" s="224" t="s">
        <v>149</v>
      </c>
      <c r="B35" s="331" t="s">
        <v>150</v>
      </c>
      <c r="C35" s="331" t="s">
        <v>125</v>
      </c>
      <c r="D35" s="455">
        <v>1</v>
      </c>
      <c r="E35" s="314">
        <f>_xlfn.XLOOKUP(CHDV_Unit_Burden[[#This Row],[EPA Form Name]], Time_by_Instrument[EPA Form Name],Time_by_Instrument[Low End Estimate (h)], "not found", 0, 1)</f>
        <v>6.75</v>
      </c>
      <c r="F35" s="314">
        <f>_xlfn.XLOOKUP(CHDV_Unit_Burden[[#This Row],[EPA Form Name]], Time_by_Instrument[EPA Form Name],Time_by_Instrument[High End Estimate (h)], "not found", 0, 1)</f>
        <v>7.55</v>
      </c>
      <c r="G35" s="314">
        <f>_xlfn.XLOOKUP(CHDV_Unit_Burden[[#This Row],[EPA Form Name]], Time_by_Instrument[EPA Form Name],Time_by_Instrument[Average Estimate (h)], "not found", 0, 1)</f>
        <v>7.15</v>
      </c>
      <c r="H35" s="314">
        <f>CHDV_Unit_Burden[[#This Row],[Share of participants completing 
(If required, assume 100% of respondents will complete and submit this form)]]*CHDV_Unit_Burden[[#This Row],[Average Estimate
(hrs.)]]</f>
        <v>7.15</v>
      </c>
      <c r="I35" s="315" t="str">
        <f t="shared" ref="I35:I40" si="4">_xlfn.TEXTJOIN(" - ",TRUE,ROUND(E35,1),ROUND(F35,1))</f>
        <v>6.8 - 7.6</v>
      </c>
      <c r="J35" s="316">
        <f>G35</f>
        <v>7.15</v>
      </c>
      <c r="K35" s="421"/>
      <c r="L35" s="421"/>
      <c r="M35" s="421"/>
    </row>
    <row r="36" spans="1:14" ht="24" x14ac:dyDescent="0.2">
      <c r="A36" s="224" t="s">
        <v>151</v>
      </c>
      <c r="B36" s="331" t="s">
        <v>152</v>
      </c>
      <c r="C36" s="331" t="s">
        <v>125</v>
      </c>
      <c r="D36" s="455">
        <v>1</v>
      </c>
      <c r="E36" s="314">
        <f>_xlfn.XLOOKUP(CHDV_Unit_Burden[[#This Row],[EPA Form Name]], Time_by_Instrument[EPA Form Name],Time_by_Instrument[Low End Estimate (h)], "not found", 0, 1)</f>
        <v>1</v>
      </c>
      <c r="F36" s="314">
        <f>_xlfn.XLOOKUP(CHDV_Unit_Burden[[#This Row],[EPA Form Name]], Time_by_Instrument[EPA Form Name],Time_by_Instrument[High End Estimate (h)], "not found", 0, 1)</f>
        <v>12</v>
      </c>
      <c r="G36" s="314">
        <f>_xlfn.XLOOKUP(CHDV_Unit_Burden[[#This Row],[EPA Form Name]], Time_by_Instrument[EPA Form Name],Time_by_Instrument[Average Estimate (h)], "not found", 0, 1)</f>
        <v>6.5</v>
      </c>
      <c r="H36" s="314">
        <f>CHDV_Unit_Burden[[#This Row],[Share of participants completing 
(If required, assume 100% of respondents will complete and submit this form)]]*CHDV_Unit_Burden[[#This Row],[Average Estimate
(hrs.)]]</f>
        <v>6.5</v>
      </c>
      <c r="I36" s="315" t="str">
        <f t="shared" si="4"/>
        <v>1 - 12</v>
      </c>
      <c r="J36" s="316">
        <f>CHDV_Unit_Burden[[#This Row],[Low End Estimate
(hrs.)]]</f>
        <v>1</v>
      </c>
      <c r="K36" s="333">
        <f>G36</f>
        <v>6.5</v>
      </c>
      <c r="L36" s="421"/>
      <c r="M36" s="421"/>
    </row>
    <row r="37" spans="1:14" x14ac:dyDescent="0.2">
      <c r="A37" s="224" t="s">
        <v>153</v>
      </c>
      <c r="B37" s="331" t="s">
        <v>154</v>
      </c>
      <c r="C37" s="331" t="s">
        <v>125</v>
      </c>
      <c r="D37" s="455">
        <v>1</v>
      </c>
      <c r="E37" s="314">
        <f>_xlfn.XLOOKUP(CHDV_Unit_Burden[[#This Row],[EPA Form Name]], Time_by_Instrument[EPA Form Name],Time_by_Instrument[Low End Estimate (h)], "not found", 0, 1)</f>
        <v>11.308333333333334</v>
      </c>
      <c r="F37" s="314">
        <f>_xlfn.XLOOKUP(CHDV_Unit_Burden[[#This Row],[EPA Form Name]], Time_by_Instrument[EPA Form Name],Time_by_Instrument[High End Estimate (h)], "not found", 0, 1)</f>
        <v>14.05</v>
      </c>
      <c r="G37" s="314">
        <f>_xlfn.XLOOKUP(CHDV_Unit_Burden[[#This Row],[EPA Form Name]], Time_by_Instrument[EPA Form Name],Time_by_Instrument[Average Estimate (h)], "not found", 0, 1)</f>
        <v>12.679166666666667</v>
      </c>
      <c r="H37" s="314">
        <f>CHDV_Unit_Burden[[#This Row],[Share of participants completing 
(If required, assume 100% of respondents will complete and submit this form)]]*CHDV_Unit_Burden[[#This Row],[Average Estimate
(hrs.)]]</f>
        <v>12.679166666666667</v>
      </c>
      <c r="I37" s="315" t="str">
        <f t="shared" si="4"/>
        <v>11.3 - 14.1</v>
      </c>
      <c r="J37" s="317"/>
      <c r="K37" s="332">
        <v>8.4</v>
      </c>
      <c r="L37" s="332">
        <v>1.4</v>
      </c>
      <c r="M37" s="332">
        <v>2.9</v>
      </c>
    </row>
    <row r="38" spans="1:14" x14ac:dyDescent="0.2">
      <c r="A38" s="224" t="s">
        <v>132</v>
      </c>
      <c r="B38" s="331" t="s">
        <v>133</v>
      </c>
      <c r="C38" s="331" t="s">
        <v>134</v>
      </c>
      <c r="D38" s="455">
        <v>0.1</v>
      </c>
      <c r="E38" s="314">
        <f>_xlfn.XLOOKUP(CHDV_Unit_Burden[[#This Row],[EPA Form Name]], Time_by_Instrument[EPA Form Name],Time_by_Instrument[Low End Estimate (h)], "not found", 0, 1)</f>
        <v>1.5</v>
      </c>
      <c r="F38" s="314">
        <f>_xlfn.XLOOKUP(CHDV_Unit_Burden[[#This Row],[EPA Form Name]], Time_by_Instrument[EPA Form Name],Time_by_Instrument[High End Estimate (h)], "not found", 0, 1)</f>
        <v>6</v>
      </c>
      <c r="G38" s="314">
        <f>_xlfn.XLOOKUP(CHDV_Unit_Burden[[#This Row],[EPA Form Name]], Time_by_Instrument[EPA Form Name],Time_by_Instrument[Average Estimate (h)], "not found", 0, 1)</f>
        <v>3.75</v>
      </c>
      <c r="H38" s="314">
        <f>CHDV_Unit_Burden[[#This Row],[Share of participants completing 
(If required, assume 100% of respondents will complete and submit this form)]]*CHDV_Unit_Burden[[#This Row],[Average Estimate
(hrs.)]]</f>
        <v>0.375</v>
      </c>
      <c r="I38" s="315" t="str">
        <f t="shared" si="4"/>
        <v>1.5 - 6</v>
      </c>
      <c r="J38" s="316">
        <f>CHDV_Unit_Burden[[#This Row],[Low End Estimate
(hrs.)]]</f>
        <v>1.5</v>
      </c>
      <c r="K38" s="333">
        <f>G38</f>
        <v>3.75</v>
      </c>
      <c r="L38" s="421"/>
      <c r="M38" s="421"/>
    </row>
    <row r="39" spans="1:14" s="446" customFormat="1" ht="24" x14ac:dyDescent="0.2">
      <c r="A39" s="447" t="s">
        <v>135</v>
      </c>
      <c r="B39" s="448" t="s">
        <v>136</v>
      </c>
      <c r="C39" s="448" t="s">
        <v>134</v>
      </c>
      <c r="D39" s="458">
        <v>0.05</v>
      </c>
      <c r="E39" s="330">
        <f>_xlfn.XLOOKUP(CHDV_Unit_Burden[[#This Row],[EPA Form Name]], Time_by_Instrument[EPA Form Name],Time_by_Instrument[Low End Estimate (h)], "not found", 0, 1)</f>
        <v>1.5</v>
      </c>
      <c r="F39" s="330">
        <f>_xlfn.XLOOKUP(CHDV_Unit_Burden[[#This Row],[EPA Form Name]], Time_by_Instrument[EPA Form Name],Time_by_Instrument[High End Estimate (h)], "not found", 0, 1)</f>
        <v>3</v>
      </c>
      <c r="G39" s="330">
        <f>_xlfn.XLOOKUP(CHDV_Unit_Burden[[#This Row],[EPA Form Name]], Time_by_Instrument[EPA Form Name],Time_by_Instrument[Average Estimate (h)], "not found", 0, 1)</f>
        <v>2.25</v>
      </c>
      <c r="H39" s="330">
        <f>CHDV_Unit_Burden[[#This Row],[Share of participants completing 
(If required, assume 100% of respondents will complete and submit this form)]]*CHDV_Unit_Burden[[#This Row],[Average Estimate
(hrs.)]]</f>
        <v>0.1125</v>
      </c>
      <c r="I39" s="327" t="str">
        <f t="shared" si="4"/>
        <v>1.5 - 3</v>
      </c>
      <c r="J39" s="329"/>
      <c r="K39" s="450"/>
      <c r="L39" s="450"/>
      <c r="M39" s="449">
        <f>CHDV_Unit_Burden[[#This Row],[Average Estimate
(hrs.)]]</f>
        <v>2.25</v>
      </c>
    </row>
    <row r="40" spans="1:14" x14ac:dyDescent="0.2">
      <c r="A40" s="451" t="s">
        <v>137</v>
      </c>
      <c r="B40" s="319" t="s">
        <v>102</v>
      </c>
      <c r="C40" s="319" t="s">
        <v>134</v>
      </c>
      <c r="D40" s="459">
        <f>40/Respondents!F10</f>
        <v>0.5714285714285714</v>
      </c>
      <c r="E40" s="320">
        <f>_xlfn.XLOOKUP(CHDV_Unit_Burden[[#This Row],[EPA Form Name]], Time_by_Instrument[EPA Form Name],Time_by_Instrument[Low End Estimate (h)], "not found", 0, 1)</f>
        <v>4</v>
      </c>
      <c r="F40" s="320">
        <f>_xlfn.XLOOKUP(CHDV_Unit_Burden[[#This Row],[EPA Form Name]], Time_by_Instrument[EPA Form Name],Time_by_Instrument[High End Estimate (h)], "not found", 0, 1)</f>
        <v>6</v>
      </c>
      <c r="G40" s="320">
        <f>_xlfn.XLOOKUP(CHDV_Unit_Burden[[#This Row],[EPA Form Name]], Time_by_Instrument[EPA Form Name],Time_by_Instrument[Average Estimate (h)], "not found", 0, 1)</f>
        <v>5</v>
      </c>
      <c r="H40" s="320">
        <f>CHDV_Unit_Burden[[#This Row],[Share of participants completing 
(If required, assume 100% of respondents will complete and submit this form)]]*CHDV_Unit_Burden[[#This Row],[Average Estimate
(hrs.)]]</f>
        <v>2.8571428571428568</v>
      </c>
      <c r="I40" s="321" t="str">
        <f t="shared" si="4"/>
        <v>4 - 6</v>
      </c>
      <c r="J40" s="322"/>
      <c r="K40" s="336">
        <f>CHDV_Unit_Burden[[#This Row],[Average Estimate
(hrs.)]]</f>
        <v>5</v>
      </c>
      <c r="L40" s="420"/>
      <c r="M40" s="420"/>
    </row>
    <row r="41" spans="1:14" x14ac:dyDescent="0.2">
      <c r="A41" s="532" t="s">
        <v>138</v>
      </c>
      <c r="B41" s="313"/>
      <c r="C41" s="313"/>
      <c r="D41" s="313"/>
      <c r="E41" s="313"/>
      <c r="F41" s="313"/>
      <c r="G41" s="324">
        <f>SUM(CHDV_Unit_Burden[[#This Row],[Application]:[ Year 3]])</f>
        <v>39.849999999999994</v>
      </c>
      <c r="H41" s="324">
        <f>SUM(H35:H40)</f>
        <v>29.673809523809524</v>
      </c>
      <c r="I41" s="325" t="str">
        <f>_xlfn.TEXTJOIN("", TRUE, ROUND(SUM(E36:E39), 1), " - ", ROUND(SUM(F36:F39),1))</f>
        <v>15.3 - 35.1</v>
      </c>
      <c r="J41" s="324">
        <f>SUM(J35:J40)</f>
        <v>9.65</v>
      </c>
      <c r="K41" s="324">
        <f t="shared" ref="K41:M41" si="5">SUM(K35:K40)</f>
        <v>23.65</v>
      </c>
      <c r="L41" s="324">
        <f t="shared" si="5"/>
        <v>1.4</v>
      </c>
      <c r="M41" s="324">
        <f t="shared" si="5"/>
        <v>5.15</v>
      </c>
    </row>
    <row r="42" spans="1:14" x14ac:dyDescent="0.2">
      <c r="A42" s="226"/>
      <c r="B42" s="313"/>
      <c r="C42" s="313"/>
      <c r="D42" s="313"/>
      <c r="E42" s="313"/>
      <c r="F42" s="313"/>
      <c r="G42" s="313"/>
      <c r="H42" s="313"/>
      <c r="I42" s="313"/>
      <c r="J42" s="313"/>
      <c r="K42" s="313"/>
      <c r="L42" s="313"/>
    </row>
    <row r="43" spans="1:14" x14ac:dyDescent="0.2">
      <c r="A43" s="538" t="s">
        <v>155</v>
      </c>
      <c r="B43" s="538"/>
      <c r="C43" s="538"/>
      <c r="D43" s="538"/>
      <c r="E43" s="538"/>
      <c r="F43" s="538"/>
      <c r="G43" s="313"/>
      <c r="J43" s="541" t="s">
        <v>108</v>
      </c>
      <c r="K43" s="541"/>
      <c r="L43" s="541"/>
      <c r="M43" s="541"/>
    </row>
    <row r="44" spans="1:14" ht="92.25" x14ac:dyDescent="0.2">
      <c r="A44" s="163" t="s">
        <v>109</v>
      </c>
      <c r="B44" s="163" t="s">
        <v>110</v>
      </c>
      <c r="C44" s="163" t="s">
        <v>111</v>
      </c>
      <c r="D44" s="163" t="s">
        <v>112</v>
      </c>
      <c r="E44" s="163" t="s">
        <v>113</v>
      </c>
      <c r="F44" s="163" t="s">
        <v>114</v>
      </c>
      <c r="G44" s="163" t="s">
        <v>115</v>
      </c>
      <c r="H44" s="163" t="s">
        <v>116</v>
      </c>
      <c r="I44" s="163" t="s">
        <v>117</v>
      </c>
      <c r="J44" s="163" t="s">
        <v>118</v>
      </c>
      <c r="K44" s="163" t="s">
        <v>119</v>
      </c>
      <c r="L44" s="163" t="s">
        <v>120</v>
      </c>
      <c r="M44" s="163" t="s">
        <v>121</v>
      </c>
      <c r="N44" s="313"/>
    </row>
    <row r="45" spans="1:14" ht="24" x14ac:dyDescent="0.2">
      <c r="A45" s="224" t="s">
        <v>156</v>
      </c>
      <c r="B45" s="331" t="s">
        <v>157</v>
      </c>
      <c r="C45" s="331" t="s">
        <v>125</v>
      </c>
      <c r="D45" s="455">
        <v>1</v>
      </c>
      <c r="E45" s="314">
        <f>_xlfn.XLOOKUP(CP_CAQP_Unit_Burden[[#This Row],[EPA Form Name]], Time_by_Instrument[EPA Form Name],Time_by_Instrument[Low End Estimate (h)], "not found", 0, 1)</f>
        <v>2.15</v>
      </c>
      <c r="F45" s="314">
        <f>_xlfn.XLOOKUP(CP_CAQP_Unit_Burden[[#This Row],[EPA Form Name]], Time_by_Instrument[EPA Form Name],Time_by_Instrument[High End Estimate (h)], "not found", 0, 1)</f>
        <v>6.1</v>
      </c>
      <c r="G45" s="314">
        <f>_xlfn.XLOOKUP(CP_CAQP_Unit_Burden[[#This Row],[EPA Form Name]], Time_by_Instrument[EPA Form Name],Time_by_Instrument[Average Estimate (h)], "not found", 0, 1)</f>
        <v>4.2</v>
      </c>
      <c r="H45" s="314">
        <f>CP_CAQP_Unit_Burden[[#This Row],[Share of participants completing 
(If required, assume 100% of respondents will complete and submit this form)]]*CP_CAQP_Unit_Burden[[#This Row],[Average Estimate
(hrs.)]]</f>
        <v>4.2</v>
      </c>
      <c r="I45" s="315" t="str">
        <f>_xlfn.TEXTJOIN(" - ",TRUE,ROUND(E45,1),ROUND(F45,1))</f>
        <v>2.2 - 6.1</v>
      </c>
      <c r="J45" s="314">
        <f>G45</f>
        <v>4.2</v>
      </c>
      <c r="K45" s="421"/>
      <c r="L45" s="421"/>
      <c r="M45" s="421"/>
      <c r="N45" s="313"/>
    </row>
    <row r="46" spans="1:14" ht="24" x14ac:dyDescent="0.2">
      <c r="A46" s="224" t="s">
        <v>158</v>
      </c>
      <c r="B46" s="331" t="s">
        <v>136</v>
      </c>
      <c r="C46" s="331" t="s">
        <v>125</v>
      </c>
      <c r="D46" s="455">
        <v>1</v>
      </c>
      <c r="E46" s="314">
        <f>_xlfn.XLOOKUP(CP_CAQP_Unit_Burden[[#This Row],[EPA Form Name]], Time_by_Instrument[EPA Form Name],Time_by_Instrument[Low End Estimate (h)], "not found", 0, 1)</f>
        <v>13.033333333333333</v>
      </c>
      <c r="F46" s="314">
        <f>_xlfn.XLOOKUP(CP_CAQP_Unit_Burden[[#This Row],[EPA Form Name]], Time_by_Instrument[EPA Form Name],Time_by_Instrument[High End Estimate (h)], "not found", 0, 1)</f>
        <v>14.987500000000001</v>
      </c>
      <c r="G46" s="314">
        <f>_xlfn.XLOOKUP(CP_CAQP_Unit_Burden[[#This Row],[EPA Form Name]], Time_by_Instrument[EPA Form Name],Time_by_Instrument[Average Estimate (h)], "not found", 0, 1)</f>
        <v>14</v>
      </c>
      <c r="H46" s="314">
        <f>CP_CAQP_Unit_Burden[[#This Row],[Share of participants completing 
(If required, assume 100% of respondents will complete and submit this form)]]*CP_CAQP_Unit_Burden[[#This Row],[Average Estimate
(hrs.)]]</f>
        <v>14</v>
      </c>
      <c r="I46" s="315" t="str">
        <f>_xlfn.TEXTJOIN(" - ",TRUE,ROUND(E46,1),ROUND(F46,1))</f>
        <v>13 - 15</v>
      </c>
      <c r="J46" s="317"/>
      <c r="K46" s="332">
        <v>6.2</v>
      </c>
      <c r="L46" s="332">
        <v>2.5</v>
      </c>
      <c r="M46" s="332">
        <v>5</v>
      </c>
      <c r="N46" s="313"/>
    </row>
    <row r="47" spans="1:14" ht="24" x14ac:dyDescent="0.2">
      <c r="A47" s="334" t="s">
        <v>135</v>
      </c>
      <c r="B47" s="335" t="s">
        <v>136</v>
      </c>
      <c r="C47" s="335" t="s">
        <v>134</v>
      </c>
      <c r="D47" s="460">
        <v>0.05</v>
      </c>
      <c r="E47" s="320">
        <f>_xlfn.XLOOKUP(CP_CAQP_Unit_Burden[[#This Row],[EPA Form Name]], Time_by_Instrument[EPA Form Name],Time_by_Instrument[Low End Estimate (h)], "not found", 0, 1)</f>
        <v>1.5</v>
      </c>
      <c r="F47" s="320">
        <f>_xlfn.XLOOKUP(CP_CAQP_Unit_Burden[[#This Row],[EPA Form Name]], Time_by_Instrument[EPA Form Name],Time_by_Instrument[High End Estimate (h)], "not found", 0, 1)</f>
        <v>3</v>
      </c>
      <c r="G47" s="320">
        <f>_xlfn.XLOOKUP(CP_CAQP_Unit_Burden[[#This Row],[EPA Form Name]], Time_by_Instrument[EPA Form Name],Time_by_Instrument[Average Estimate (h)], "not found", 0, 1)</f>
        <v>2.25</v>
      </c>
      <c r="H47" s="320">
        <f>CP_CAQP_Unit_Burden[[#This Row],[Share of participants completing 
(If required, assume 100% of respondents will complete and submit this form)]]*CP_CAQP_Unit_Burden[[#This Row],[Average Estimate
(hrs.)]]</f>
        <v>0.1125</v>
      </c>
      <c r="I47" s="321" t="str">
        <f>_xlfn.TEXTJOIN(" - ",TRUE,ROUND(E47,1),ROUND(F47,1))</f>
        <v>1.5 - 3</v>
      </c>
      <c r="J47" s="322"/>
      <c r="K47" s="336">
        <f>G47</f>
        <v>2.25</v>
      </c>
      <c r="L47" s="420"/>
      <c r="M47" s="420"/>
      <c r="N47" s="313"/>
    </row>
    <row r="48" spans="1:14" x14ac:dyDescent="0.2">
      <c r="A48" s="532" t="s">
        <v>138</v>
      </c>
      <c r="B48" s="331"/>
      <c r="C48" s="331"/>
      <c r="D48" s="331"/>
      <c r="E48" s="337"/>
      <c r="F48" s="337"/>
      <c r="G48" s="324">
        <f>SUM(G45:G47)</f>
        <v>20.45</v>
      </c>
      <c r="H48" s="324">
        <f>SUM(H45:H47)</f>
        <v>18.3125</v>
      </c>
      <c r="I48" s="325" t="str">
        <f>_xlfn.TEXTJOIN("", TRUE, ROUND(SUM(E45:E47), 1), " - ", ROUND(SUM(F45:F47),1))</f>
        <v>16.7 - 24.1</v>
      </c>
      <c r="J48" s="324">
        <f>SUM(J45:J47)</f>
        <v>4.2</v>
      </c>
      <c r="K48" s="324">
        <f>SUM(K45:K47)</f>
        <v>8.4499999999999993</v>
      </c>
      <c r="L48" s="324">
        <f t="shared" ref="L48:M48" si="6">SUM(L45:L47)</f>
        <v>2.5</v>
      </c>
      <c r="M48" s="324">
        <f t="shared" si="6"/>
        <v>5</v>
      </c>
      <c r="N48" s="313"/>
    </row>
    <row r="49" spans="1:14" x14ac:dyDescent="0.2">
      <c r="A49" s="224"/>
      <c r="B49" s="331"/>
      <c r="C49" s="331"/>
      <c r="D49" s="337"/>
      <c r="E49" s="337"/>
      <c r="F49" s="337"/>
      <c r="G49" s="332"/>
      <c r="H49" s="313"/>
      <c r="I49" s="332"/>
      <c r="J49" s="332"/>
      <c r="K49" s="332"/>
      <c r="L49" s="332"/>
    </row>
    <row r="50" spans="1:14" x14ac:dyDescent="0.2">
      <c r="A50" s="538" t="s">
        <v>159</v>
      </c>
      <c r="B50" s="538"/>
      <c r="C50" s="538"/>
      <c r="D50" s="538"/>
      <c r="E50" s="538"/>
      <c r="F50" s="538"/>
      <c r="G50" s="313"/>
      <c r="J50" s="540" t="s">
        <v>108</v>
      </c>
      <c r="K50" s="540"/>
      <c r="L50" s="540"/>
      <c r="M50" s="540"/>
      <c r="N50" s="540"/>
    </row>
    <row r="51" spans="1:14" ht="92.25" x14ac:dyDescent="0.2">
      <c r="A51" s="163" t="s">
        <v>109</v>
      </c>
      <c r="B51" s="163" t="s">
        <v>110</v>
      </c>
      <c r="C51" s="163" t="s">
        <v>111</v>
      </c>
      <c r="D51" s="163" t="s">
        <v>112</v>
      </c>
      <c r="E51" s="163" t="s">
        <v>113</v>
      </c>
      <c r="F51" s="163" t="s">
        <v>114</v>
      </c>
      <c r="G51" s="163" t="s">
        <v>115</v>
      </c>
      <c r="H51" s="163" t="s">
        <v>116</v>
      </c>
      <c r="I51" s="163" t="s">
        <v>117</v>
      </c>
      <c r="J51" s="163" t="s">
        <v>118</v>
      </c>
      <c r="K51" s="163" t="s">
        <v>119</v>
      </c>
      <c r="L51" s="163" t="s">
        <v>120</v>
      </c>
      <c r="M51" s="163" t="s">
        <v>121</v>
      </c>
      <c r="N51" s="163" t="s">
        <v>122</v>
      </c>
    </row>
    <row r="52" spans="1:14" ht="24" x14ac:dyDescent="0.2">
      <c r="A52" s="224" t="s">
        <v>156</v>
      </c>
      <c r="B52" s="331" t="s">
        <v>157</v>
      </c>
      <c r="C52" s="331" t="s">
        <v>125</v>
      </c>
      <c r="D52" s="455">
        <v>1</v>
      </c>
      <c r="E52" s="314">
        <f>_xlfn.XLOOKUP(CP_ZE_Unit_Burden[[#This Row],[EPA Form Name]], Time_by_Instrument[EPA Form Name],Time_by_Instrument[Low End Estimate (h)], "not found", 0, 1)</f>
        <v>2.15</v>
      </c>
      <c r="F52" s="314">
        <f>_xlfn.XLOOKUP(CP_ZE_Unit_Burden[[#This Row],[EPA Form Name]], Time_by_Instrument[EPA Form Name],Time_by_Instrument[High End Estimate (h)], "not found", 0, 1)</f>
        <v>6.1</v>
      </c>
      <c r="G52" s="314">
        <f>_xlfn.XLOOKUP(CP_ZE_Unit_Burden[[#This Row],[EPA Form Name]], Time_by_Instrument[EPA Form Name],Time_by_Instrument[Average Estimate (h)], "not found", 0, 1)</f>
        <v>4.2</v>
      </c>
      <c r="H52" s="314">
        <f>CP_ZE_Unit_Burden[[#This Row],[Share of participants completing 
(If required, assume 100% of respondents will complete and submit this form)]]*CP_ZE_Unit_Burden[[#This Row],[Average Estimate
(hrs.)]]</f>
        <v>4.2</v>
      </c>
      <c r="I52" s="315" t="str">
        <f t="shared" ref="I52:I59" si="7">_xlfn.TEXTJOIN(" - ",TRUE,ROUND(E52,1),ROUND(F52,1))</f>
        <v>2.2 - 6.1</v>
      </c>
      <c r="J52" s="314">
        <f>G52</f>
        <v>4.2</v>
      </c>
      <c r="K52" s="421"/>
      <c r="L52" s="421"/>
      <c r="M52" s="421"/>
      <c r="N52" s="421"/>
    </row>
    <row r="53" spans="1:14" ht="24" x14ac:dyDescent="0.2">
      <c r="A53" s="224" t="s">
        <v>160</v>
      </c>
      <c r="B53" s="331" t="s">
        <v>161</v>
      </c>
      <c r="C53" s="331" t="s">
        <v>125</v>
      </c>
      <c r="D53" s="455">
        <v>1</v>
      </c>
      <c r="E53" s="314">
        <f>_xlfn.XLOOKUP(CP_ZE_Unit_Burden[[#This Row],[EPA Form Name]], Time_by_Instrument[EPA Form Name],Time_by_Instrument[Low End Estimate (h)], "not found", 0, 1)</f>
        <v>1.5</v>
      </c>
      <c r="F53" s="314">
        <f>_xlfn.XLOOKUP(CP_ZE_Unit_Burden[[#This Row],[EPA Form Name]], Time_by_Instrument[EPA Form Name],Time_by_Instrument[High End Estimate (h)], "not found", 0, 1)</f>
        <v>12</v>
      </c>
      <c r="G53" s="314">
        <f>_xlfn.XLOOKUP(CP_ZE_Unit_Burden[[#This Row],[EPA Form Name]], Time_by_Instrument[EPA Form Name],Time_by_Instrument[Average Estimate (h)], "not found", 0, 1)</f>
        <v>6.75</v>
      </c>
      <c r="H53" s="314">
        <f>CP_ZE_Unit_Burden[[#This Row],[Share of participants completing 
(If required, assume 100% of respondents will complete and submit this form)]]*CP_ZE_Unit_Burden[[#This Row],[Average Estimate
(hrs.)]]</f>
        <v>6.75</v>
      </c>
      <c r="I53" s="315" t="str">
        <f t="shared" si="7"/>
        <v>1.5 - 12</v>
      </c>
      <c r="J53" s="317"/>
      <c r="K53" s="333">
        <f>G53</f>
        <v>6.75</v>
      </c>
      <c r="L53" s="421"/>
      <c r="M53" s="421"/>
      <c r="N53" s="421"/>
    </row>
    <row r="54" spans="1:14" x14ac:dyDescent="0.2">
      <c r="A54" s="224" t="s">
        <v>132</v>
      </c>
      <c r="B54" s="331" t="s">
        <v>133</v>
      </c>
      <c r="C54" s="331" t="s">
        <v>134</v>
      </c>
      <c r="D54" s="461">
        <v>0.5</v>
      </c>
      <c r="E54" s="314">
        <f>_xlfn.XLOOKUP(CP_ZE_Unit_Burden[[#This Row],[EPA Form Name]], Time_by_Instrument[EPA Form Name],Time_by_Instrument[Low End Estimate (h)], "not found", 0, 1)</f>
        <v>1.5</v>
      </c>
      <c r="F54" s="314">
        <f>_xlfn.XLOOKUP(CP_ZE_Unit_Burden[[#This Row],[EPA Form Name]], Time_by_Instrument[EPA Form Name],Time_by_Instrument[High End Estimate (h)], "not found", 0, 1)</f>
        <v>6</v>
      </c>
      <c r="G54" s="314">
        <f>_xlfn.XLOOKUP(CP_ZE_Unit_Burden[[#This Row],[EPA Form Name]], Time_by_Instrument[EPA Form Name],Time_by_Instrument[Average Estimate (h)], "not found", 0, 1)</f>
        <v>3.75</v>
      </c>
      <c r="H54" s="314">
        <f>CP_ZE_Unit_Burden[[#This Row],[Share of participants completing 
(If required, assume 100% of respondents will complete and submit this form)]]*CP_ZE_Unit_Burden[[#This Row],[Average Estimate
(hrs.)]]</f>
        <v>1.875</v>
      </c>
      <c r="I54" s="315" t="str">
        <f t="shared" si="7"/>
        <v>1.5 - 6</v>
      </c>
      <c r="J54" s="316">
        <f>CP_ZE_Unit_Burden[[#This Row],[Low End Estimate
(hrs.)]]</f>
        <v>1.5</v>
      </c>
      <c r="K54" s="333">
        <f>G54</f>
        <v>3.75</v>
      </c>
      <c r="L54" s="421"/>
      <c r="M54" s="421"/>
      <c r="N54" s="421"/>
    </row>
    <row r="55" spans="1:14" ht="24" x14ac:dyDescent="0.2">
      <c r="A55" s="224" t="s">
        <v>162</v>
      </c>
      <c r="B55" s="331" t="s">
        <v>136</v>
      </c>
      <c r="C55" s="331" t="s">
        <v>125</v>
      </c>
      <c r="D55" s="455">
        <v>1</v>
      </c>
      <c r="E55" s="314">
        <f>_xlfn.XLOOKUP(CP_ZE_Unit_Burden[[#This Row],[EPA Form Name]], Time_by_Instrument[EPA Form Name],Time_by_Instrument[Low End Estimate (h)], "not found", 0, 1)</f>
        <v>22.441666666666674</v>
      </c>
      <c r="F55" s="314">
        <f>_xlfn.XLOOKUP(CP_ZE_Unit_Burden[[#This Row],[EPA Form Name]], Time_by_Instrument[EPA Form Name],Time_by_Instrument[High End Estimate (h)], "not found", 0, 1)</f>
        <v>29.616666666666667</v>
      </c>
      <c r="G55" s="314">
        <f>_xlfn.XLOOKUP(CP_ZE_Unit_Burden[[#This Row],[EPA Form Name]], Time_by_Instrument[EPA Form Name],Time_by_Instrument[Average Estimate (h)], "not found", 0, 1)</f>
        <v>26.029166666666665</v>
      </c>
      <c r="H55" s="314">
        <f>CP_ZE_Unit_Burden[[#This Row],[Share of participants completing 
(If required, assume 100% of respondents will complete and submit this form)]]*CP_ZE_Unit_Burden[[#This Row],[Average Estimate
(hrs.)]]</f>
        <v>26.029166666666665</v>
      </c>
      <c r="I55" s="315" t="str">
        <f t="shared" si="7"/>
        <v>22.4 - 29.6</v>
      </c>
      <c r="J55" s="317"/>
      <c r="K55" s="333">
        <f>CP_ZE_Unit_Burden[[#This Row],[Average Estimate
(hrs.)]]-(SUM(CP_ZE_Unit_Burden[[#This Row],[ Year 2]:[ Year 4]]))</f>
        <v>15.929166666666664</v>
      </c>
      <c r="L55" s="332">
        <v>2.7</v>
      </c>
      <c r="M55" s="332">
        <v>2.7</v>
      </c>
      <c r="N55" s="332">
        <v>4.7</v>
      </c>
    </row>
    <row r="56" spans="1:14" s="446" customFormat="1" ht="24" x14ac:dyDescent="0.2">
      <c r="A56" s="447" t="s">
        <v>163</v>
      </c>
      <c r="B56" s="448" t="s">
        <v>136</v>
      </c>
      <c r="C56" s="448" t="s">
        <v>125</v>
      </c>
      <c r="D56" s="455">
        <v>1</v>
      </c>
      <c r="E56" s="314">
        <f>_xlfn.XLOOKUP(CP_ZE_Unit_Burden[[#This Row],[EPA Form Name]], Time_by_Instrument[EPA Form Name],Time_by_Instrument[Low End Estimate (h)], "not found", 0, 1)</f>
        <v>1.5</v>
      </c>
      <c r="F56" s="314">
        <f>_xlfn.XLOOKUP(CP_ZE_Unit_Burden[[#This Row],[EPA Form Name]], Time_by_Instrument[EPA Form Name],Time_by_Instrument[High End Estimate (h)], "not found", 0, 1)</f>
        <v>12</v>
      </c>
      <c r="G56" s="314">
        <f>_xlfn.XLOOKUP(CP_ZE_Unit_Burden[[#This Row],[EPA Form Name]], Time_by_Instrument[EPA Form Name],Time_by_Instrument[Average Estimate (h)], "not found", 0, 1)</f>
        <v>6.75</v>
      </c>
      <c r="H56" s="314">
        <f>CP_ZE_Unit_Burden[[#This Row],[Share of participants completing 
(If required, assume 100% of respondents will complete and submit this form)]]*CP_ZE_Unit_Burden[[#This Row],[Average Estimate
(hrs.)]]</f>
        <v>6.75</v>
      </c>
      <c r="I56" s="315" t="str">
        <f t="shared" si="7"/>
        <v>1.5 - 12</v>
      </c>
      <c r="J56" s="329"/>
      <c r="K56" s="421"/>
      <c r="L56" s="421"/>
      <c r="M56" s="421"/>
      <c r="N56" s="449">
        <f>CP_ZE_Unit_Burden[[#This Row],[Average Estimate
(hrs.)]]</f>
        <v>6.75</v>
      </c>
    </row>
    <row r="57" spans="1:14" ht="24" x14ac:dyDescent="0.2">
      <c r="A57" s="224" t="s">
        <v>164</v>
      </c>
      <c r="B57" s="331" t="s">
        <v>136</v>
      </c>
      <c r="C57" s="331" t="s">
        <v>125</v>
      </c>
      <c r="D57" s="455">
        <v>1</v>
      </c>
      <c r="E57" s="314">
        <f>_xlfn.XLOOKUP(CP_ZE_Unit_Burden[[#This Row],[EPA Form Name]], Time_by_Instrument[EPA Form Name],Time_by_Instrument[Low End Estimate (h)], "not found", 0, 1)</f>
        <v>1.5</v>
      </c>
      <c r="F57" s="314">
        <f>_xlfn.XLOOKUP(CP_ZE_Unit_Burden[[#This Row],[EPA Form Name]], Time_by_Instrument[EPA Form Name],Time_by_Instrument[High End Estimate (h)], "not found", 0, 1)</f>
        <v>12</v>
      </c>
      <c r="G57" s="314">
        <f>_xlfn.XLOOKUP(CP_ZE_Unit_Burden[[#This Row],[EPA Form Name]], Time_by_Instrument[EPA Form Name],Time_by_Instrument[Average Estimate (h)], "not found", 0, 1)</f>
        <v>6.75</v>
      </c>
      <c r="H57" s="314">
        <f>CP_ZE_Unit_Burden[[#This Row],[Share of participants completing 
(If required, assume 100% of respondents will complete and submit this form)]]*CP_ZE_Unit_Burden[[#This Row],[Average Estimate
(hrs.)]]</f>
        <v>6.75</v>
      </c>
      <c r="I57" s="315" t="str">
        <f t="shared" si="7"/>
        <v>1.5 - 12</v>
      </c>
      <c r="J57" s="317"/>
      <c r="K57" s="333">
        <f>$G57/4</f>
        <v>1.6875</v>
      </c>
      <c r="L57" s="333">
        <f t="shared" ref="L57:N57" si="8">$G57/4</f>
        <v>1.6875</v>
      </c>
      <c r="M57" s="333">
        <f t="shared" si="8"/>
        <v>1.6875</v>
      </c>
      <c r="N57" s="333">
        <f t="shared" si="8"/>
        <v>1.6875</v>
      </c>
    </row>
    <row r="58" spans="1:14" ht="24" x14ac:dyDescent="0.2">
      <c r="A58" s="447" t="s">
        <v>135</v>
      </c>
      <c r="B58" s="448" t="s">
        <v>136</v>
      </c>
      <c r="C58" s="448" t="s">
        <v>134</v>
      </c>
      <c r="D58" s="458">
        <v>0.05</v>
      </c>
      <c r="E58" s="330">
        <f>_xlfn.XLOOKUP(CP_ZE_Unit_Burden[[#This Row],[EPA Form Name]], Time_by_Instrument[EPA Form Name],Time_by_Instrument[Low End Estimate (h)], "not found", 0, 1)</f>
        <v>1.5</v>
      </c>
      <c r="F58" s="330">
        <f>_xlfn.XLOOKUP(CP_ZE_Unit_Burden[[#This Row],[EPA Form Name]], Time_by_Instrument[EPA Form Name],Time_by_Instrument[High End Estimate (h)], "not found", 0, 1)</f>
        <v>3</v>
      </c>
      <c r="G58" s="330">
        <f>_xlfn.XLOOKUP(CP_ZE_Unit_Burden[[#This Row],[EPA Form Name]], Time_by_Instrument[EPA Form Name],Time_by_Instrument[Average Estimate (h)], "not found", 0, 1)</f>
        <v>2.25</v>
      </c>
      <c r="H58" s="330">
        <f>CP_ZE_Unit_Burden[[#This Row],[Share of participants completing 
(If required, assume 100% of respondents will complete and submit this form)]]*CP_ZE_Unit_Burden[[#This Row],[Average Estimate
(hrs.)]]</f>
        <v>0.1125</v>
      </c>
      <c r="I58" s="327" t="str">
        <f t="shared" si="7"/>
        <v>1.5 - 3</v>
      </c>
      <c r="J58" s="329"/>
      <c r="K58" s="450"/>
      <c r="L58" s="450"/>
      <c r="M58" s="450"/>
      <c r="N58" s="449">
        <f>CP_ZE_Unit_Burden[[#This Row],[Average Estimate
(hrs.)]]</f>
        <v>2.25</v>
      </c>
    </row>
    <row r="59" spans="1:14" x14ac:dyDescent="0.2">
      <c r="A59" s="452" t="s">
        <v>137</v>
      </c>
      <c r="B59" s="319" t="s">
        <v>102</v>
      </c>
      <c r="C59" s="319" t="s">
        <v>134</v>
      </c>
      <c r="D59" s="459">
        <f>15/Respondents!F13</f>
        <v>0.6</v>
      </c>
      <c r="E59" s="320">
        <f>_xlfn.XLOOKUP(CP_ZE_Unit_Burden[[#This Row],[EPA Form Name]], Time_by_Instrument[EPA Form Name],Time_by_Instrument[Low End Estimate (h)], "not found", 0, 1)</f>
        <v>4</v>
      </c>
      <c r="F59" s="320">
        <f>_xlfn.XLOOKUP(CP_ZE_Unit_Burden[[#This Row],[EPA Form Name]], Time_by_Instrument[EPA Form Name],Time_by_Instrument[High End Estimate (h)], "not found", 0, 1)</f>
        <v>6</v>
      </c>
      <c r="G59" s="320">
        <f>_xlfn.XLOOKUP(CP_ZE_Unit_Burden[[#This Row],[EPA Form Name]], Time_by_Instrument[EPA Form Name],Time_by_Instrument[Average Estimate (h)], "not found", 0, 1)</f>
        <v>5</v>
      </c>
      <c r="H59" s="320">
        <f>CP_ZE_Unit_Burden[[#This Row],[Share of participants completing 
(If required, assume 100% of respondents will complete and submit this form)]]*CP_ZE_Unit_Burden[[#This Row],[Average Estimate
(hrs.)]]</f>
        <v>3</v>
      </c>
      <c r="I59" s="321" t="str">
        <f t="shared" si="7"/>
        <v>4 - 6</v>
      </c>
      <c r="J59" s="322"/>
      <c r="K59" s="453">
        <f>CP_ZE_Unit_Burden[[#This Row],[Average Estimate
(hrs.)]]</f>
        <v>5</v>
      </c>
      <c r="L59" s="420"/>
      <c r="M59" s="420"/>
      <c r="N59" s="420"/>
    </row>
    <row r="60" spans="1:14" x14ac:dyDescent="0.2">
      <c r="A60" s="532" t="s">
        <v>138</v>
      </c>
      <c r="B60" s="313"/>
      <c r="C60" s="313"/>
      <c r="D60" s="313"/>
      <c r="E60" s="313"/>
      <c r="F60" s="313"/>
      <c r="G60" s="324">
        <f>SUM(CP_ZE_Unit_Burden[[#This Row],[Application]:[ Year 4]])</f>
        <v>62.979166666666671</v>
      </c>
      <c r="H60" s="324">
        <f>SUM(H52:H59)</f>
        <v>55.466666666666661</v>
      </c>
      <c r="I60" s="325" t="str">
        <f>_xlfn.TEXTJOIN("", TRUE, ROUND(SUM(E52:E59), 1), " - ", ROUND(SUM(F52:F59),1))</f>
        <v>36.1 - 86.7</v>
      </c>
      <c r="J60" s="324">
        <f>SUM(J52:J59)</f>
        <v>5.7</v>
      </c>
      <c r="K60" s="324">
        <f t="shared" ref="K60:M60" si="9">SUM(K52:K59)</f>
        <v>33.11666666666666</v>
      </c>
      <c r="L60" s="324">
        <f t="shared" si="9"/>
        <v>4.3875000000000002</v>
      </c>
      <c r="M60" s="324">
        <f t="shared" si="9"/>
        <v>4.3875000000000002</v>
      </c>
      <c r="N60" s="324">
        <f>SUM(N52:N59)</f>
        <v>15.387499999999999</v>
      </c>
    </row>
  </sheetData>
  <sheetProtection sheet="1" objects="1" scenarios="1"/>
  <mergeCells count="10">
    <mergeCell ref="J12:N12"/>
    <mergeCell ref="J50:N50"/>
    <mergeCell ref="J23:M23"/>
    <mergeCell ref="J33:M33"/>
    <mergeCell ref="J43:M43"/>
    <mergeCell ref="A12:F12"/>
    <mergeCell ref="A23:F23"/>
    <mergeCell ref="A33:F33"/>
    <mergeCell ref="A43:F43"/>
    <mergeCell ref="A50:F50"/>
  </mergeCells>
  <pageMargins left="0.7" right="0.7" top="0.75" bottom="0.75" header="0.3" footer="0.3"/>
  <tableParts count="6">
    <tablePart r:id="rId1"/>
    <tablePart r:id="rId2"/>
    <tablePart r:id="rId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3AB7DBAD-ECEA-4B48-8D61-8A1FE15D18D9}">
            <xm:f>NOT(ISERROR(SEARCH("-",K29)))</xm:f>
            <xm:f>"-"</xm:f>
            <x14:dxf>
              <fill>
                <patternFill>
                  <bgColor theme="0" tint="-0.14996795556505021"/>
                </patternFill>
              </fill>
            </x14:dxf>
          </x14:cfRule>
          <xm:sqref>K29:M29</xm:sqref>
        </x14:conditionalFormatting>
        <x14:conditionalFormatting xmlns:xm="http://schemas.microsoft.com/office/excel/2006/main">
          <x14:cfRule type="containsText" priority="4" operator="containsText" id="{27B0350F-82C2-4949-B21A-31BE515CF66C}">
            <xm:f>NOT(ISERROR(SEARCH("-",K35)))</xm:f>
            <xm:f>"-"</xm:f>
            <x14:dxf>
              <fill>
                <patternFill>
                  <bgColor theme="0" tint="-0.14996795556505021"/>
                </patternFill>
              </fill>
            </x14:dxf>
          </x14:cfRule>
          <xm:sqref>K35:M40</xm:sqref>
        </x14:conditionalFormatting>
        <x14:conditionalFormatting xmlns:xm="http://schemas.microsoft.com/office/excel/2006/main">
          <x14:cfRule type="containsText" priority="3" operator="containsText" id="{7C884205-FF1F-48E8-A972-4FC787CB6A97}">
            <xm:f>NOT(ISERROR(SEARCH("-",I45)))</xm:f>
            <xm:f>"-"</xm:f>
            <x14:dxf>
              <fill>
                <patternFill>
                  <bgColor theme="0" tint="-0.14996795556505021"/>
                </patternFill>
              </fill>
            </x14:dxf>
          </x14:cfRule>
          <xm:sqref>K45:M47 I49:L49</xm:sqref>
        </x14:conditionalFormatting>
        <x14:conditionalFormatting xmlns:xm="http://schemas.microsoft.com/office/excel/2006/main">
          <x14:cfRule type="containsText" priority="2" operator="containsText" id="{99EB3C34-2FE0-47D5-8822-97D2F045A8E5}">
            <xm:f>NOT(ISERROR(SEARCH("-",K52)))</xm:f>
            <xm:f>"-"</xm:f>
            <x14:dxf>
              <fill>
                <patternFill>
                  <bgColor theme="0" tint="-0.14996795556505021"/>
                </patternFill>
              </fill>
            </x14:dxf>
          </x14:cfRule>
          <xm:sqref>K52:N59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39"/>
  <sheetViews>
    <sheetView workbookViewId="0">
      <selection activeCell="B22" sqref="B22:F22"/>
    </sheetView>
  </sheetViews>
  <sheetFormatPr defaultRowHeight="15" x14ac:dyDescent="0.25"/>
  <cols>
    <col min="1" max="1" width="4.28515625" style="24" customWidth="1"/>
    <col min="2" max="2" width="13.140625" style="24" customWidth="1"/>
    <col min="3" max="3" width="7.28515625" style="24" customWidth="1"/>
    <col min="4" max="4" width="8.7109375" style="24" customWidth="1"/>
    <col min="5" max="5" width="13.28515625" style="24" customWidth="1"/>
    <col min="6" max="6" width="9.140625" style="24" customWidth="1"/>
    <col min="7" max="7" width="9" style="24" customWidth="1"/>
    <col min="8" max="8" width="13.42578125" style="24" customWidth="1"/>
    <col min="9" max="9" width="34.85546875" style="24" customWidth="1"/>
    <col min="10" max="10" width="3.7109375" style="24" customWidth="1"/>
    <col min="11" max="11" width="14.28515625" style="24" customWidth="1"/>
    <col min="12" max="12" width="17" style="24" customWidth="1"/>
    <col min="13" max="15" width="9.140625" style="24"/>
    <col min="16" max="16" width="11.5703125" style="24" customWidth="1"/>
    <col min="17" max="17" width="15.5703125" style="24" customWidth="1"/>
    <col min="18" max="18" width="9.140625" style="24" customWidth="1"/>
    <col min="19" max="16384" width="9.140625" style="24"/>
  </cols>
  <sheetData>
    <row r="1" spans="2:19" x14ac:dyDescent="0.25">
      <c r="B1" s="1" t="s">
        <v>165</v>
      </c>
    </row>
    <row r="2" spans="2:19" x14ac:dyDescent="0.25">
      <c r="B2" s="1" t="s">
        <v>17</v>
      </c>
      <c r="K2" s="2" t="s">
        <v>166</v>
      </c>
      <c r="L2" s="25"/>
      <c r="M2" s="25"/>
      <c r="N2" s="25"/>
      <c r="O2" s="25"/>
      <c r="P2" s="25"/>
      <c r="Q2" s="25"/>
      <c r="R2" s="25"/>
      <c r="S2" s="25"/>
    </row>
    <row r="3" spans="2:19" ht="27" x14ac:dyDescent="0.25">
      <c r="B3" s="549" t="s">
        <v>167</v>
      </c>
      <c r="C3" s="534" t="s">
        <v>168</v>
      </c>
      <c r="D3" s="534" t="s">
        <v>169</v>
      </c>
      <c r="E3" s="534" t="s">
        <v>170</v>
      </c>
      <c r="F3" s="534" t="s">
        <v>171</v>
      </c>
      <c r="G3" s="534" t="s">
        <v>172</v>
      </c>
      <c r="H3" s="534" t="s">
        <v>173</v>
      </c>
      <c r="I3" s="549" t="s">
        <v>174</v>
      </c>
      <c r="K3" s="549" t="s">
        <v>167</v>
      </c>
      <c r="L3" s="549" t="s">
        <v>175</v>
      </c>
      <c r="M3" s="549" t="s">
        <v>176</v>
      </c>
      <c r="N3" s="549" t="s">
        <v>177</v>
      </c>
      <c r="O3" s="549" t="s">
        <v>178</v>
      </c>
      <c r="P3" s="549" t="s">
        <v>170</v>
      </c>
      <c r="Q3" s="549" t="s">
        <v>179</v>
      </c>
      <c r="R3" s="549" t="s">
        <v>172</v>
      </c>
      <c r="S3" s="549" t="s">
        <v>180</v>
      </c>
    </row>
    <row r="4" spans="2:19" ht="24.75" x14ac:dyDescent="0.25">
      <c r="B4" s="549"/>
      <c r="C4" s="26" t="s">
        <v>181</v>
      </c>
      <c r="D4" s="26" t="s">
        <v>182</v>
      </c>
      <c r="E4" s="26" t="s">
        <v>183</v>
      </c>
      <c r="F4" s="26" t="s">
        <v>184</v>
      </c>
      <c r="G4" s="26" t="s">
        <v>185</v>
      </c>
      <c r="H4" s="26" t="s">
        <v>186</v>
      </c>
      <c r="I4" s="549"/>
      <c r="K4" s="549"/>
      <c r="L4" s="549"/>
      <c r="M4" s="549" t="s">
        <v>181</v>
      </c>
      <c r="N4" s="549" t="s">
        <v>182</v>
      </c>
      <c r="O4" s="549" t="s">
        <v>187</v>
      </c>
      <c r="P4" s="549" t="s">
        <v>188</v>
      </c>
      <c r="Q4" s="549" t="s">
        <v>189</v>
      </c>
      <c r="R4" s="549" t="s">
        <v>190</v>
      </c>
      <c r="S4" s="549" t="s">
        <v>191</v>
      </c>
    </row>
    <row r="5" spans="2:19" ht="26.25" x14ac:dyDescent="0.25">
      <c r="B5" s="550" t="s">
        <v>192</v>
      </c>
      <c r="C5" s="551"/>
      <c r="D5" s="551"/>
      <c r="E5" s="551"/>
      <c r="F5" s="551"/>
      <c r="G5" s="551"/>
      <c r="H5" s="551"/>
      <c r="I5" s="552"/>
      <c r="K5" s="27" t="s">
        <v>193</v>
      </c>
      <c r="L5" s="27" t="s">
        <v>194</v>
      </c>
      <c r="M5" s="28">
        <f>153354/2080</f>
        <v>73.72788461538461</v>
      </c>
      <c r="N5" s="29">
        <v>0.63900000000000001</v>
      </c>
      <c r="O5" s="28">
        <f>M5*N5</f>
        <v>47.11211826923077</v>
      </c>
      <c r="P5" s="28">
        <f>M5+O5</f>
        <v>120.84000288461539</v>
      </c>
      <c r="Q5" s="30">
        <v>0.2</v>
      </c>
      <c r="R5" s="28">
        <f>P5*Q5</f>
        <v>24.168000576923077</v>
      </c>
      <c r="S5" s="28">
        <f>P5+R5</f>
        <v>145.00800346153846</v>
      </c>
    </row>
    <row r="6" spans="2:19" ht="24.75" x14ac:dyDescent="0.25">
      <c r="B6" s="31" t="s">
        <v>195</v>
      </c>
      <c r="C6" s="32">
        <v>46.48</v>
      </c>
      <c r="D6" s="32">
        <f>E6-C6</f>
        <v>26.479999999999997</v>
      </c>
      <c r="E6" s="32">
        <v>72.959999999999994</v>
      </c>
      <c r="F6" s="33">
        <v>0.2</v>
      </c>
      <c r="G6" s="34">
        <f>E6*F6</f>
        <v>14.591999999999999</v>
      </c>
      <c r="H6" s="32">
        <f>E6+G6</f>
        <v>87.551999999999992</v>
      </c>
      <c r="I6" s="35" t="s">
        <v>196</v>
      </c>
      <c r="K6" s="36"/>
      <c r="L6" s="37"/>
      <c r="M6" s="37"/>
      <c r="N6" s="37"/>
      <c r="O6" s="37"/>
      <c r="P6" s="37"/>
      <c r="Q6" s="37"/>
      <c r="R6" s="37"/>
      <c r="S6" s="38"/>
    </row>
    <row r="7" spans="2:19" ht="24.75" x14ac:dyDescent="0.25">
      <c r="B7" s="31" t="s">
        <v>197</v>
      </c>
      <c r="C7" s="32">
        <v>34.880000000000003</v>
      </c>
      <c r="D7" s="32">
        <f>E7-C7</f>
        <v>25.57</v>
      </c>
      <c r="E7" s="32">
        <v>60.45</v>
      </c>
      <c r="F7" s="33">
        <v>0.2</v>
      </c>
      <c r="G7" s="34">
        <f t="shared" ref="G7:G8" si="0">E7*F7</f>
        <v>12.090000000000002</v>
      </c>
      <c r="H7" s="32">
        <f t="shared" ref="H7:H8" si="1">E7+G7</f>
        <v>72.540000000000006</v>
      </c>
      <c r="I7" s="35" t="s">
        <v>198</v>
      </c>
      <c r="K7" s="567" t="s">
        <v>199</v>
      </c>
      <c r="L7" s="568"/>
      <c r="M7" s="568"/>
      <c r="N7" s="568"/>
      <c r="O7" s="568"/>
      <c r="P7" s="568"/>
      <c r="Q7" s="568"/>
      <c r="R7" s="568"/>
      <c r="S7" s="569"/>
    </row>
    <row r="8" spans="2:19" ht="24.75" x14ac:dyDescent="0.25">
      <c r="B8" s="31" t="s">
        <v>200</v>
      </c>
      <c r="C8" s="32">
        <v>24.98</v>
      </c>
      <c r="D8" s="32">
        <f>E8-C8</f>
        <v>18.559999999999999</v>
      </c>
      <c r="E8" s="32">
        <v>43.54</v>
      </c>
      <c r="F8" s="33">
        <v>0.2</v>
      </c>
      <c r="G8" s="34">
        <f t="shared" si="0"/>
        <v>8.7080000000000002</v>
      </c>
      <c r="H8" s="32">
        <f t="shared" si="1"/>
        <v>52.247999999999998</v>
      </c>
      <c r="I8" s="35" t="s">
        <v>201</v>
      </c>
      <c r="K8" s="39">
        <v>1</v>
      </c>
      <c r="L8" s="543" t="s">
        <v>202</v>
      </c>
      <c r="M8" s="543"/>
      <c r="N8" s="543"/>
      <c r="O8" s="543"/>
      <c r="P8" s="543"/>
      <c r="Q8" s="543"/>
      <c r="R8" s="543"/>
      <c r="S8" s="557"/>
    </row>
    <row r="9" spans="2:19" ht="17.25" x14ac:dyDescent="0.25">
      <c r="B9" s="40"/>
      <c r="C9" s="41"/>
      <c r="D9" s="41"/>
      <c r="E9" s="41"/>
      <c r="F9" s="42"/>
      <c r="G9" s="43"/>
      <c r="H9" s="44"/>
      <c r="I9" s="45"/>
      <c r="K9" s="46">
        <v>2</v>
      </c>
      <c r="L9" s="543" t="s">
        <v>203</v>
      </c>
      <c r="M9" s="543"/>
      <c r="N9" s="543"/>
      <c r="O9" s="543"/>
      <c r="P9" s="543"/>
      <c r="Q9" s="543"/>
      <c r="R9" s="543"/>
      <c r="S9" s="557"/>
    </row>
    <row r="10" spans="2:19" ht="18" x14ac:dyDescent="0.25">
      <c r="B10" s="553" t="s">
        <v>204</v>
      </c>
      <c r="C10" s="554"/>
      <c r="D10" s="554"/>
      <c r="E10" s="554"/>
      <c r="F10" s="554"/>
      <c r="G10" s="554"/>
      <c r="H10" s="554"/>
      <c r="I10" s="555"/>
      <c r="K10" s="47">
        <v>3</v>
      </c>
      <c r="L10" s="565" t="s">
        <v>205</v>
      </c>
      <c r="M10" s="565"/>
      <c r="N10" s="565"/>
      <c r="O10" s="565"/>
      <c r="P10" s="565"/>
      <c r="Q10" s="565"/>
      <c r="R10" s="565"/>
      <c r="S10" s="566"/>
    </row>
    <row r="11" spans="2:19" ht="24.75" x14ac:dyDescent="0.25">
      <c r="B11" s="31" t="s">
        <v>195</v>
      </c>
      <c r="C11" s="32">
        <v>50.7</v>
      </c>
      <c r="D11" s="32">
        <f>E11-C11</f>
        <v>22.909999999999997</v>
      </c>
      <c r="E11" s="32">
        <v>73.61</v>
      </c>
      <c r="F11" s="33">
        <v>0.2</v>
      </c>
      <c r="G11" s="34">
        <f>E11*F11</f>
        <v>14.722000000000001</v>
      </c>
      <c r="H11" s="32">
        <f>E11+G11</f>
        <v>88.331999999999994</v>
      </c>
      <c r="I11" s="35" t="s">
        <v>206</v>
      </c>
    </row>
    <row r="12" spans="2:19" ht="36.75" x14ac:dyDescent="0.25">
      <c r="B12" s="31" t="s">
        <v>197</v>
      </c>
      <c r="C12" s="32">
        <v>24.8</v>
      </c>
      <c r="D12" s="32">
        <f>E12-C12</f>
        <v>11.029999999999998</v>
      </c>
      <c r="E12" s="32">
        <v>35.83</v>
      </c>
      <c r="F12" s="33">
        <v>0.2</v>
      </c>
      <c r="G12" s="34">
        <f t="shared" ref="G12" si="2">E12*F12</f>
        <v>7.1660000000000004</v>
      </c>
      <c r="H12" s="32">
        <f t="shared" ref="H12" si="3">E12+G12</f>
        <v>42.995999999999995</v>
      </c>
      <c r="I12" s="35" t="s">
        <v>207</v>
      </c>
    </row>
    <row r="13" spans="2:19" ht="24.75" x14ac:dyDescent="0.25">
      <c r="B13" s="31" t="s">
        <v>200</v>
      </c>
      <c r="C13" s="32">
        <v>25.32</v>
      </c>
      <c r="D13" s="32">
        <f>E13-C13</f>
        <v>10.240000000000002</v>
      </c>
      <c r="E13" s="32">
        <v>35.56</v>
      </c>
      <c r="F13" s="33">
        <v>0.2</v>
      </c>
      <c r="G13" s="34">
        <f>E13*F13</f>
        <v>7.112000000000001</v>
      </c>
      <c r="H13" s="32">
        <f>E13+G13</f>
        <v>42.672000000000004</v>
      </c>
      <c r="I13" s="35" t="s">
        <v>208</v>
      </c>
      <c r="K13" s="570" t="s">
        <v>209</v>
      </c>
      <c r="L13" s="571"/>
      <c r="M13" s="572"/>
    </row>
    <row r="14" spans="2:19" x14ac:dyDescent="0.25">
      <c r="B14" s="562" t="s">
        <v>199</v>
      </c>
      <c r="C14" s="563"/>
      <c r="D14" s="563"/>
      <c r="E14" s="563"/>
      <c r="F14" s="563"/>
      <c r="G14" s="563"/>
      <c r="H14" s="563"/>
      <c r="I14" s="564"/>
      <c r="K14" s="48" t="s">
        <v>210</v>
      </c>
      <c r="L14" s="48" t="s">
        <v>193</v>
      </c>
      <c r="M14" s="48" t="s">
        <v>200</v>
      </c>
    </row>
    <row r="15" spans="2:19" ht="25.5" customHeight="1" x14ac:dyDescent="0.25">
      <c r="B15" s="556" t="s">
        <v>211</v>
      </c>
      <c r="C15" s="543"/>
      <c r="D15" s="543"/>
      <c r="E15" s="543"/>
      <c r="F15" s="543"/>
      <c r="G15" s="543"/>
      <c r="H15" s="543"/>
      <c r="I15" s="557"/>
      <c r="K15" s="49">
        <v>0.17935806751147038</v>
      </c>
      <c r="L15" s="49">
        <v>0.2448485634695215</v>
      </c>
      <c r="M15" s="11">
        <v>0.57579336901900802</v>
      </c>
    </row>
    <row r="16" spans="2:19" ht="27" customHeight="1" x14ac:dyDescent="0.25">
      <c r="B16" s="556" t="s">
        <v>212</v>
      </c>
      <c r="C16" s="543"/>
      <c r="D16" s="543"/>
      <c r="E16" s="543"/>
      <c r="F16" s="543"/>
      <c r="G16" s="543"/>
      <c r="H16" s="543"/>
      <c r="I16" s="557"/>
      <c r="K16" s="573" t="s">
        <v>213</v>
      </c>
      <c r="L16" s="573"/>
      <c r="M16" s="573"/>
    </row>
    <row r="17" spans="2:12" x14ac:dyDescent="0.25">
      <c r="B17" s="558" t="s">
        <v>214</v>
      </c>
      <c r="C17" s="559"/>
      <c r="D17" s="559"/>
      <c r="E17" s="559"/>
      <c r="F17" s="559"/>
      <c r="G17" s="559"/>
      <c r="H17" s="559"/>
      <c r="I17" s="560"/>
      <c r="K17" s="50" t="s">
        <v>215</v>
      </c>
      <c r="L17" s="50"/>
    </row>
    <row r="18" spans="2:12" x14ac:dyDescent="0.25">
      <c r="K18" s="50" t="s">
        <v>216</v>
      </c>
      <c r="L18" s="8">
        <f>(H6*K15)+(H7*L15)+(H8*M15)</f>
        <v>63.548524265348476</v>
      </c>
    </row>
    <row r="19" spans="2:12" x14ac:dyDescent="0.25">
      <c r="K19" s="50" t="s">
        <v>217</v>
      </c>
      <c r="L19" s="8">
        <f>(H11*K15)+(H12*L15)+(H13*M15)</f>
        <v>50.940820297137861</v>
      </c>
    </row>
    <row r="21" spans="2:12" x14ac:dyDescent="0.25">
      <c r="C21" s="561"/>
      <c r="D21" s="561"/>
    </row>
    <row r="22" spans="2:12" x14ac:dyDescent="0.25">
      <c r="B22" s="544"/>
      <c r="C22" s="544"/>
      <c r="D22" s="544"/>
      <c r="E22" s="544"/>
      <c r="F22" s="544"/>
      <c r="H22" s="544"/>
      <c r="I22" s="544"/>
      <c r="J22" s="544"/>
      <c r="K22" s="544"/>
      <c r="L22" s="544"/>
    </row>
    <row r="23" spans="2:12" x14ac:dyDescent="0.25">
      <c r="H23" s="1"/>
      <c r="I23" s="1"/>
    </row>
    <row r="24" spans="2:12" x14ac:dyDescent="0.25">
      <c r="B24" s="546"/>
      <c r="C24" s="546"/>
      <c r="D24" s="546"/>
      <c r="E24" s="546"/>
      <c r="F24" s="545"/>
      <c r="H24" s="51"/>
      <c r="I24" s="52"/>
      <c r="J24" s="52"/>
    </row>
    <row r="25" spans="2:12" x14ac:dyDescent="0.25">
      <c r="B25" s="546"/>
      <c r="C25" s="546"/>
      <c r="D25" s="546"/>
      <c r="E25" s="546"/>
      <c r="F25" s="545"/>
      <c r="H25" s="53"/>
      <c r="I25" s="52"/>
      <c r="J25" s="52"/>
      <c r="L25" s="54"/>
    </row>
    <row r="26" spans="2:12" x14ac:dyDescent="0.25">
      <c r="B26" s="547"/>
      <c r="C26" s="547"/>
      <c r="D26" s="547"/>
      <c r="E26" s="547"/>
      <c r="F26" s="547"/>
      <c r="H26" s="547"/>
      <c r="I26" s="547"/>
      <c r="J26" s="547"/>
      <c r="K26" s="547"/>
      <c r="L26" s="547"/>
    </row>
    <row r="27" spans="2:12" x14ac:dyDescent="0.25">
      <c r="B27" s="531"/>
      <c r="C27" s="55"/>
      <c r="D27" s="55"/>
      <c r="E27" s="55"/>
      <c r="F27" s="56"/>
      <c r="H27" s="531"/>
      <c r="I27" s="55"/>
      <c r="J27" s="55"/>
      <c r="K27" s="55"/>
      <c r="L27" s="56"/>
    </row>
    <row r="28" spans="2:12" x14ac:dyDescent="0.25">
      <c r="B28" s="531"/>
      <c r="C28" s="55"/>
      <c r="D28" s="55"/>
      <c r="E28" s="55"/>
      <c r="F28" s="56"/>
      <c r="H28" s="531"/>
      <c r="I28" s="55"/>
      <c r="J28" s="55"/>
      <c r="K28" s="55"/>
      <c r="L28" s="56"/>
    </row>
    <row r="29" spans="2:12" x14ac:dyDescent="0.25">
      <c r="B29" s="531"/>
      <c r="C29" s="55"/>
      <c r="D29" s="55"/>
      <c r="E29" s="55"/>
      <c r="F29" s="56"/>
      <c r="H29" s="531"/>
      <c r="I29" s="55"/>
      <c r="J29" s="55"/>
      <c r="K29" s="55"/>
      <c r="L29" s="56"/>
    </row>
    <row r="30" spans="2:12" x14ac:dyDescent="0.25">
      <c r="B30" s="543"/>
      <c r="C30" s="543"/>
      <c r="D30" s="543"/>
      <c r="E30" s="543"/>
      <c r="F30" s="543"/>
      <c r="H30" s="543"/>
      <c r="I30" s="543"/>
      <c r="J30" s="543"/>
      <c r="K30" s="543"/>
      <c r="L30" s="543"/>
    </row>
    <row r="31" spans="2:12" x14ac:dyDescent="0.25">
      <c r="B31" s="543"/>
      <c r="C31" s="543"/>
      <c r="D31" s="543"/>
      <c r="E31" s="543"/>
      <c r="F31" s="543"/>
      <c r="H31" s="543"/>
      <c r="I31" s="543"/>
      <c r="J31" s="543"/>
      <c r="K31" s="543"/>
      <c r="L31" s="543"/>
    </row>
    <row r="32" spans="2:12" x14ac:dyDescent="0.25">
      <c r="B32" s="542"/>
      <c r="C32" s="542"/>
      <c r="D32" s="542"/>
      <c r="E32" s="542"/>
      <c r="F32" s="542"/>
      <c r="H32" s="542"/>
      <c r="I32" s="542"/>
      <c r="J32" s="542"/>
      <c r="K32" s="542"/>
      <c r="L32" s="542"/>
    </row>
    <row r="33" spans="2:12" x14ac:dyDescent="0.25">
      <c r="B33" s="548"/>
      <c r="C33" s="548"/>
      <c r="D33" s="548"/>
      <c r="E33" s="548"/>
      <c r="F33" s="548"/>
      <c r="H33" s="548"/>
      <c r="I33" s="548"/>
      <c r="J33" s="548"/>
      <c r="K33" s="548"/>
      <c r="L33" s="548"/>
    </row>
    <row r="34" spans="2:12" x14ac:dyDescent="0.25">
      <c r="B34" s="531"/>
      <c r="C34" s="55"/>
      <c r="D34" s="55"/>
      <c r="E34" s="55"/>
      <c r="F34" s="56"/>
      <c r="H34" s="531"/>
      <c r="I34" s="55"/>
      <c r="J34" s="55"/>
      <c r="K34" s="55"/>
      <c r="L34" s="56"/>
    </row>
    <row r="35" spans="2:12" x14ac:dyDescent="0.25">
      <c r="B35" s="531"/>
      <c r="C35" s="55"/>
      <c r="D35" s="55"/>
      <c r="E35" s="55"/>
      <c r="F35" s="56"/>
      <c r="H35" s="531"/>
      <c r="I35" s="55"/>
      <c r="J35" s="55"/>
      <c r="K35" s="55"/>
      <c r="L35" s="56"/>
    </row>
    <row r="36" spans="2:12" x14ac:dyDescent="0.25">
      <c r="B36" s="531"/>
      <c r="C36" s="55"/>
      <c r="D36" s="55"/>
      <c r="E36" s="55"/>
      <c r="F36" s="56"/>
      <c r="H36" s="531"/>
      <c r="I36" s="55"/>
      <c r="J36" s="55"/>
      <c r="K36" s="55"/>
      <c r="L36" s="56"/>
    </row>
    <row r="37" spans="2:12" x14ac:dyDescent="0.25">
      <c r="B37" s="543"/>
      <c r="C37" s="543"/>
      <c r="D37" s="543"/>
      <c r="E37" s="543"/>
      <c r="F37" s="543"/>
      <c r="H37" s="543"/>
      <c r="I37" s="543"/>
      <c r="J37" s="543"/>
      <c r="K37" s="543"/>
      <c r="L37" s="543"/>
    </row>
    <row r="38" spans="2:12" x14ac:dyDescent="0.25">
      <c r="B38" s="543"/>
      <c r="C38" s="543"/>
      <c r="D38" s="543"/>
      <c r="E38" s="543"/>
      <c r="F38" s="543"/>
      <c r="H38" s="543"/>
      <c r="I38" s="543"/>
      <c r="J38" s="543"/>
      <c r="K38" s="543"/>
      <c r="L38" s="543"/>
    </row>
    <row r="39" spans="2:12" x14ac:dyDescent="0.25">
      <c r="B39" s="542"/>
      <c r="C39" s="542"/>
      <c r="D39" s="542"/>
      <c r="E39" s="542"/>
      <c r="F39" s="542"/>
      <c r="H39" s="542"/>
      <c r="I39" s="542"/>
      <c r="J39" s="542"/>
      <c r="K39" s="542"/>
      <c r="L39" s="542"/>
    </row>
  </sheetData>
  <sheetProtection sheet="1" objects="1" scenarios="1"/>
  <mergeCells count="43">
    <mergeCell ref="K13:M13"/>
    <mergeCell ref="K16:M16"/>
    <mergeCell ref="S3:S4"/>
    <mergeCell ref="B3:B4"/>
    <mergeCell ref="N3:N4"/>
    <mergeCell ref="O3:O4"/>
    <mergeCell ref="P3:P4"/>
    <mergeCell ref="Q3:Q4"/>
    <mergeCell ref="R3:R4"/>
    <mergeCell ref="H39:L39"/>
    <mergeCell ref="H26:L26"/>
    <mergeCell ref="H30:L31"/>
    <mergeCell ref="H32:L32"/>
    <mergeCell ref="H33:L33"/>
    <mergeCell ref="H37:L38"/>
    <mergeCell ref="H22:L22"/>
    <mergeCell ref="I3:I4"/>
    <mergeCell ref="B5:I5"/>
    <mergeCell ref="B10:I10"/>
    <mergeCell ref="B15:I15"/>
    <mergeCell ref="B16:I16"/>
    <mergeCell ref="B17:I17"/>
    <mergeCell ref="C21:D21"/>
    <mergeCell ref="B14:I14"/>
    <mergeCell ref="L10:S10"/>
    <mergeCell ref="K3:K4"/>
    <mergeCell ref="L3:L4"/>
    <mergeCell ref="K7:S7"/>
    <mergeCell ref="L8:S8"/>
    <mergeCell ref="L9:S9"/>
    <mergeCell ref="M3:M4"/>
    <mergeCell ref="B39:F39"/>
    <mergeCell ref="B32:F32"/>
    <mergeCell ref="B37:F38"/>
    <mergeCell ref="B30:F31"/>
    <mergeCell ref="B22:F22"/>
    <mergeCell ref="F24:F25"/>
    <mergeCell ref="D24:D25"/>
    <mergeCell ref="B26:F26"/>
    <mergeCell ref="E24:E25"/>
    <mergeCell ref="B24:B25"/>
    <mergeCell ref="C24:C25"/>
    <mergeCell ref="B33:F33"/>
  </mergeCells>
  <pageMargins left="0.7" right="0.7" top="0.75" bottom="0.75" header="0.3" footer="0.3"/>
  <pageSetup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5892F-4EAD-4AD8-BDBD-790916A9BF68}">
  <dimension ref="B2:K41"/>
  <sheetViews>
    <sheetView workbookViewId="0">
      <selection activeCell="B22" sqref="B22:F22"/>
    </sheetView>
  </sheetViews>
  <sheetFormatPr defaultRowHeight="15" x14ac:dyDescent="0.25"/>
  <cols>
    <col min="1" max="1" width="3.5703125" customWidth="1"/>
    <col min="2" max="2" width="49.42578125" customWidth="1"/>
    <col min="3" max="6" width="13.85546875" customWidth="1"/>
    <col min="7" max="12" width="16.28515625" customWidth="1"/>
    <col min="13" max="13" width="12.85546875" customWidth="1"/>
  </cols>
  <sheetData>
    <row r="2" spans="2:11" ht="23.25" customHeight="1" x14ac:dyDescent="0.25">
      <c r="B2" s="537" t="s">
        <v>218</v>
      </c>
      <c r="C2" s="535"/>
      <c r="D2" s="535"/>
      <c r="E2" s="535"/>
      <c r="F2" s="535"/>
      <c r="G2" s="535"/>
      <c r="H2" s="535"/>
      <c r="I2" s="535"/>
      <c r="J2" s="535"/>
      <c r="K2" s="6"/>
    </row>
    <row r="3" spans="2:11" ht="23.25" customHeight="1" x14ac:dyDescent="0.25">
      <c r="B3" s="1" t="s">
        <v>219</v>
      </c>
      <c r="H3" s="7"/>
      <c r="I3" s="7"/>
      <c r="J3" s="7"/>
      <c r="K3" s="7"/>
    </row>
    <row r="4" spans="2:11" ht="45" customHeight="1" x14ac:dyDescent="0.25">
      <c r="B4" s="167" t="s">
        <v>220</v>
      </c>
      <c r="C4" s="168" t="s">
        <v>221</v>
      </c>
      <c r="D4" s="168" t="s">
        <v>222</v>
      </c>
      <c r="E4" s="168" t="s">
        <v>223</v>
      </c>
      <c r="F4" s="169" t="s">
        <v>224</v>
      </c>
    </row>
    <row r="5" spans="2:11" x14ac:dyDescent="0.25">
      <c r="B5" s="170" t="s">
        <v>101</v>
      </c>
      <c r="C5" s="171">
        <v>55</v>
      </c>
      <c r="D5" s="171">
        <v>42</v>
      </c>
      <c r="E5" s="171">
        <v>15</v>
      </c>
      <c r="F5" s="172">
        <f>SUM(C5:E5)</f>
        <v>112</v>
      </c>
    </row>
    <row r="6" spans="2:11" x14ac:dyDescent="0.25">
      <c r="B6" s="165" t="s">
        <v>225</v>
      </c>
      <c r="C6" s="4">
        <v>5</v>
      </c>
      <c r="D6" s="4">
        <v>30</v>
      </c>
      <c r="E6" s="4">
        <v>15</v>
      </c>
      <c r="F6" s="166">
        <f>SUM(C6:E6)</f>
        <v>50</v>
      </c>
    </row>
    <row r="7" spans="2:11" x14ac:dyDescent="0.25">
      <c r="B7" s="165" t="s">
        <v>226</v>
      </c>
      <c r="C7" s="4">
        <v>0</v>
      </c>
      <c r="D7" s="4">
        <v>12</v>
      </c>
      <c r="E7" s="4">
        <v>0</v>
      </c>
      <c r="F7" s="166">
        <f t="shared" ref="F7:F8" si="0">SUM(C7:E7)</f>
        <v>12</v>
      </c>
    </row>
    <row r="8" spans="2:11" x14ac:dyDescent="0.25">
      <c r="B8" s="165" t="s">
        <v>227</v>
      </c>
      <c r="C8" s="4">
        <v>50</v>
      </c>
      <c r="D8" s="4">
        <v>0</v>
      </c>
      <c r="E8" s="4">
        <v>0</v>
      </c>
      <c r="F8" s="166">
        <f t="shared" si="0"/>
        <v>50</v>
      </c>
    </row>
    <row r="9" spans="2:11" x14ac:dyDescent="0.25">
      <c r="B9" s="170" t="s">
        <v>67</v>
      </c>
      <c r="C9" s="171">
        <v>1</v>
      </c>
      <c r="D9" s="171">
        <v>25</v>
      </c>
      <c r="E9" s="171">
        <v>24</v>
      </c>
      <c r="F9" s="172">
        <f>SUM(C9:E9)</f>
        <v>50</v>
      </c>
    </row>
    <row r="10" spans="2:11" x14ac:dyDescent="0.25">
      <c r="B10" s="170" t="s">
        <v>68</v>
      </c>
      <c r="C10" s="171">
        <v>13</v>
      </c>
      <c r="D10" s="171">
        <v>54</v>
      </c>
      <c r="E10" s="171">
        <v>3</v>
      </c>
      <c r="F10" s="172">
        <f t="shared" ref="F10:F11" si="1">SUM(C10:E10)</f>
        <v>70</v>
      </c>
    </row>
    <row r="11" spans="2:11" x14ac:dyDescent="0.25">
      <c r="B11" s="170" t="s">
        <v>228</v>
      </c>
      <c r="C11" s="171">
        <v>17</v>
      </c>
      <c r="D11" s="171">
        <v>35</v>
      </c>
      <c r="E11" s="171">
        <v>3</v>
      </c>
      <c r="F11" s="172">
        <f t="shared" si="1"/>
        <v>55</v>
      </c>
    </row>
    <row r="12" spans="2:11" s="439" customFormat="1" x14ac:dyDescent="0.25">
      <c r="B12" s="454" t="s">
        <v>229</v>
      </c>
      <c r="C12" s="470">
        <v>10</v>
      </c>
      <c r="D12" s="470">
        <v>20</v>
      </c>
      <c r="E12" s="470">
        <v>0</v>
      </c>
      <c r="F12" s="471">
        <f>SUM(C12:E12)</f>
        <v>30</v>
      </c>
    </row>
    <row r="13" spans="2:11" s="439" customFormat="1" x14ac:dyDescent="0.25">
      <c r="B13" s="454" t="s">
        <v>230</v>
      </c>
      <c r="C13" s="470">
        <v>7</v>
      </c>
      <c r="D13" s="470">
        <v>15</v>
      </c>
      <c r="E13" s="470">
        <v>3</v>
      </c>
      <c r="F13" s="471">
        <f>SUM(C13:E13)</f>
        <v>25</v>
      </c>
    </row>
    <row r="14" spans="2:11" ht="15.75" x14ac:dyDescent="0.25">
      <c r="B14" s="176" t="s">
        <v>138</v>
      </c>
      <c r="C14" s="173">
        <f>SUM(C5,C9:C11)</f>
        <v>86</v>
      </c>
      <c r="D14" s="173">
        <f>SUM(D5,D9:D11)</f>
        <v>156</v>
      </c>
      <c r="E14" s="173">
        <f>SUM(E5,E9:E11)</f>
        <v>45</v>
      </c>
      <c r="F14" s="177">
        <f t="shared" ref="F14" si="2">SUM(F5,F9:F11)</f>
        <v>287</v>
      </c>
    </row>
    <row r="15" spans="2:11" x14ac:dyDescent="0.25">
      <c r="C15" s="174"/>
      <c r="D15" s="174"/>
      <c r="E15" s="174"/>
      <c r="F15" s="174"/>
      <c r="G15" s="174"/>
      <c r="H15" s="174"/>
      <c r="I15" s="174"/>
      <c r="J15" s="174"/>
      <c r="K15" s="6"/>
    </row>
    <row r="16" spans="2:11" x14ac:dyDescent="0.25">
      <c r="B16" s="1" t="s">
        <v>231</v>
      </c>
      <c r="F16" s="174"/>
      <c r="G16" s="174"/>
      <c r="H16" s="174"/>
      <c r="I16" s="174"/>
      <c r="J16" s="174"/>
      <c r="K16" s="6"/>
    </row>
    <row r="17" spans="2:11" ht="45" x14ac:dyDescent="0.25">
      <c r="B17" s="167" t="s">
        <v>232</v>
      </c>
      <c r="C17" s="168" t="s">
        <v>233</v>
      </c>
      <c r="D17" s="168" t="s">
        <v>234</v>
      </c>
      <c r="E17" s="168" t="s">
        <v>235</v>
      </c>
      <c r="F17" s="169" t="s">
        <v>236</v>
      </c>
      <c r="G17" s="174"/>
      <c r="H17" s="174"/>
      <c r="I17" s="174"/>
      <c r="J17" s="174"/>
      <c r="K17" s="6"/>
    </row>
    <row r="18" spans="2:11" x14ac:dyDescent="0.25">
      <c r="B18" s="170" t="s">
        <v>101</v>
      </c>
      <c r="C18" s="171">
        <v>60</v>
      </c>
      <c r="D18" s="171">
        <v>85</v>
      </c>
      <c r="E18" s="171">
        <v>30</v>
      </c>
      <c r="F18" s="172">
        <f>SUM(C18:E18)</f>
        <v>175</v>
      </c>
      <c r="G18" s="174"/>
      <c r="H18" s="174"/>
      <c r="I18" s="174"/>
      <c r="J18" s="174"/>
      <c r="K18" s="6"/>
    </row>
    <row r="19" spans="2:11" x14ac:dyDescent="0.25">
      <c r="B19" s="165" t="s">
        <v>225</v>
      </c>
      <c r="C19" s="4">
        <v>10</v>
      </c>
      <c r="D19" s="4">
        <v>60</v>
      </c>
      <c r="E19" s="4">
        <v>30</v>
      </c>
      <c r="F19" s="166">
        <f>SUM(C19:E19)</f>
        <v>100</v>
      </c>
      <c r="G19" s="174"/>
      <c r="H19" s="174"/>
      <c r="I19" s="174"/>
      <c r="J19" s="174"/>
      <c r="K19" s="6"/>
    </row>
    <row r="20" spans="2:11" x14ac:dyDescent="0.25">
      <c r="B20" s="165" t="s">
        <v>226</v>
      </c>
      <c r="C20" s="4">
        <v>0</v>
      </c>
      <c r="D20" s="4">
        <v>25</v>
      </c>
      <c r="E20" s="4">
        <v>0</v>
      </c>
      <c r="F20" s="166">
        <f t="shared" ref="F20:F21" si="3">SUM(C20:E20)</f>
        <v>25</v>
      </c>
      <c r="G20" s="174"/>
      <c r="H20" s="174"/>
      <c r="I20" s="174"/>
      <c r="J20" s="174"/>
      <c r="K20" s="6"/>
    </row>
    <row r="21" spans="2:11" x14ac:dyDescent="0.25">
      <c r="B21" s="165" t="s">
        <v>227</v>
      </c>
      <c r="C21" s="4">
        <v>50</v>
      </c>
      <c r="D21" s="4">
        <v>0</v>
      </c>
      <c r="E21" s="4">
        <v>0</v>
      </c>
      <c r="F21" s="166">
        <f t="shared" si="3"/>
        <v>50</v>
      </c>
      <c r="G21" s="174"/>
      <c r="H21" s="174"/>
      <c r="I21" s="174"/>
      <c r="J21" s="174"/>
      <c r="K21" s="6"/>
    </row>
    <row r="22" spans="2:11" x14ac:dyDescent="0.25">
      <c r="B22" s="170" t="s">
        <v>67</v>
      </c>
      <c r="C22" s="171">
        <v>4</v>
      </c>
      <c r="D22" s="171">
        <v>100</v>
      </c>
      <c r="E22" s="171">
        <v>96</v>
      </c>
      <c r="F22" s="172">
        <f>SUM(C22:E22)</f>
        <v>200</v>
      </c>
      <c r="G22" s="174"/>
      <c r="H22" s="174"/>
      <c r="I22" s="174"/>
      <c r="J22" s="174"/>
      <c r="K22" s="6"/>
    </row>
    <row r="23" spans="2:11" x14ac:dyDescent="0.25">
      <c r="B23" s="170" t="s">
        <v>68</v>
      </c>
      <c r="C23" s="175">
        <v>18.571428571428573</v>
      </c>
      <c r="D23" s="175">
        <v>77.142857142857153</v>
      </c>
      <c r="E23" s="175">
        <v>4.2857142857142856</v>
      </c>
      <c r="F23" s="172">
        <f t="shared" ref="F23:F24" si="4">SUM(C23:E23)</f>
        <v>100.00000000000001</v>
      </c>
      <c r="G23" s="174"/>
      <c r="H23" s="174"/>
      <c r="I23" s="174"/>
      <c r="J23" s="174"/>
      <c r="K23" s="6"/>
    </row>
    <row r="24" spans="2:11" x14ac:dyDescent="0.25">
      <c r="B24" s="170" t="s">
        <v>228</v>
      </c>
      <c r="C24" s="175">
        <v>34</v>
      </c>
      <c r="D24" s="175">
        <v>70</v>
      </c>
      <c r="E24" s="175">
        <v>6</v>
      </c>
      <c r="F24" s="172">
        <f t="shared" si="4"/>
        <v>110</v>
      </c>
      <c r="G24" s="174"/>
      <c r="H24" s="174"/>
      <c r="I24" s="174"/>
      <c r="J24" s="174"/>
      <c r="K24" s="6"/>
    </row>
    <row r="25" spans="2:11" s="439" customFormat="1" x14ac:dyDescent="0.25">
      <c r="B25" s="454" t="s">
        <v>229</v>
      </c>
      <c r="C25" s="470">
        <v>20</v>
      </c>
      <c r="D25" s="470">
        <v>40</v>
      </c>
      <c r="E25" s="470">
        <v>0</v>
      </c>
      <c r="F25" s="471">
        <f>SUM(C25:E25)</f>
        <v>60</v>
      </c>
      <c r="G25" s="174"/>
      <c r="H25" s="174"/>
      <c r="I25" s="174"/>
      <c r="J25" s="174"/>
      <c r="K25" s="472"/>
    </row>
    <row r="26" spans="2:11" s="439" customFormat="1" x14ac:dyDescent="0.25">
      <c r="B26" s="454" t="s">
        <v>230</v>
      </c>
      <c r="C26" s="470">
        <v>14.000000000000002</v>
      </c>
      <c r="D26" s="470">
        <v>30</v>
      </c>
      <c r="E26" s="470">
        <v>6</v>
      </c>
      <c r="F26" s="471">
        <f>SUM(C26:E26)</f>
        <v>50</v>
      </c>
      <c r="G26" s="174"/>
      <c r="H26" s="174"/>
      <c r="I26" s="174"/>
      <c r="J26" s="174"/>
      <c r="K26" s="472"/>
    </row>
    <row r="27" spans="2:11" ht="15.75" x14ac:dyDescent="0.25">
      <c r="B27" s="176" t="s">
        <v>138</v>
      </c>
      <c r="C27" s="178">
        <f>SUM(C18,C22:C24)</f>
        <v>116.57142857142857</v>
      </c>
      <c r="D27" s="178">
        <f>SUM(D18,D22:D24)</f>
        <v>332.14285714285717</v>
      </c>
      <c r="E27" s="178">
        <f>SUM(E18,E22:E24)</f>
        <v>136.28571428571428</v>
      </c>
      <c r="F27" s="179">
        <f t="shared" ref="F27" si="5">SUM(F18,F22:F24)</f>
        <v>585</v>
      </c>
      <c r="G27" s="174"/>
      <c r="H27" s="174"/>
      <c r="I27" s="174"/>
      <c r="J27" s="174"/>
      <c r="K27" s="6"/>
    </row>
    <row r="28" spans="2:11" s="187" customFormat="1" ht="45.75" customHeight="1" x14ac:dyDescent="0.25">
      <c r="B28" s="574" t="s">
        <v>237</v>
      </c>
      <c r="C28" s="574"/>
      <c r="D28" s="574"/>
      <c r="E28" s="574"/>
      <c r="F28" s="574"/>
      <c r="G28" s="185"/>
      <c r="H28" s="185"/>
      <c r="I28" s="185"/>
      <c r="J28" s="185"/>
      <c r="K28" s="186"/>
    </row>
    <row r="29" spans="2:11" s="187" customFormat="1" ht="15.75" x14ac:dyDescent="0.25">
      <c r="B29" s="174"/>
      <c r="C29" s="183"/>
      <c r="D29" s="183"/>
      <c r="E29" s="183"/>
      <c r="F29" s="184"/>
      <c r="G29" s="185"/>
      <c r="H29" s="185"/>
      <c r="I29" s="185"/>
      <c r="J29" s="185"/>
      <c r="K29" s="186"/>
    </row>
    <row r="30" spans="2:11" s="187" customFormat="1" x14ac:dyDescent="0.25">
      <c r="B30" s="1" t="s">
        <v>238</v>
      </c>
      <c r="C30"/>
      <c r="D30"/>
      <c r="E30"/>
      <c r="F30" s="174"/>
      <c r="G30" s="185"/>
      <c r="H30" s="185"/>
      <c r="I30" s="185"/>
      <c r="J30" s="185"/>
      <c r="K30" s="186"/>
    </row>
    <row r="31" spans="2:11" s="209" customFormat="1" ht="45" x14ac:dyDescent="0.25">
      <c r="B31" s="207" t="s">
        <v>239</v>
      </c>
      <c r="C31" s="168" t="s">
        <v>240</v>
      </c>
      <c r="D31" s="168" t="s">
        <v>241</v>
      </c>
      <c r="E31" s="168" t="s">
        <v>242</v>
      </c>
      <c r="F31" s="169" t="s">
        <v>243</v>
      </c>
      <c r="G31" s="185"/>
      <c r="H31" s="185"/>
      <c r="I31" s="185"/>
      <c r="J31" s="185"/>
      <c r="K31" s="208"/>
    </row>
    <row r="32" spans="2:11" s="187" customFormat="1" x14ac:dyDescent="0.25">
      <c r="B32" s="170" t="s">
        <v>101</v>
      </c>
      <c r="C32" s="188">
        <f t="shared" ref="C32:E40" si="6">C18/$F18</f>
        <v>0.34285714285714286</v>
      </c>
      <c r="D32" s="188">
        <f t="shared" si="6"/>
        <v>0.48571428571428571</v>
      </c>
      <c r="E32" s="188">
        <f t="shared" si="6"/>
        <v>0.17142857142857143</v>
      </c>
      <c r="F32" s="189">
        <f>SUM(C32:E32)</f>
        <v>1</v>
      </c>
      <c r="G32" s="185"/>
      <c r="H32" s="185"/>
      <c r="I32" s="185"/>
      <c r="J32" s="185"/>
      <c r="K32" s="186"/>
    </row>
    <row r="33" spans="2:11" s="187" customFormat="1" x14ac:dyDescent="0.25">
      <c r="B33" s="165" t="s">
        <v>225</v>
      </c>
      <c r="C33" s="188">
        <f t="shared" si="6"/>
        <v>0.1</v>
      </c>
      <c r="D33" s="188">
        <f t="shared" si="6"/>
        <v>0.6</v>
      </c>
      <c r="E33" s="188">
        <f t="shared" si="6"/>
        <v>0.3</v>
      </c>
      <c r="F33" s="190">
        <f>SUM(C33:E33)</f>
        <v>1</v>
      </c>
      <c r="G33" s="185"/>
      <c r="H33" s="185"/>
      <c r="I33" s="185"/>
      <c r="J33" s="185"/>
      <c r="K33" s="186"/>
    </row>
    <row r="34" spans="2:11" s="187" customFormat="1" x14ac:dyDescent="0.25">
      <c r="B34" s="165" t="s">
        <v>226</v>
      </c>
      <c r="C34" s="188">
        <f t="shared" si="6"/>
        <v>0</v>
      </c>
      <c r="D34" s="188">
        <f t="shared" si="6"/>
        <v>1</v>
      </c>
      <c r="E34" s="188">
        <f t="shared" si="6"/>
        <v>0</v>
      </c>
      <c r="F34" s="190">
        <f t="shared" ref="F34:F35" si="7">SUM(C34:E34)</f>
        <v>1</v>
      </c>
      <c r="G34" s="185"/>
      <c r="H34" s="185"/>
      <c r="I34" s="185"/>
      <c r="J34" s="185"/>
      <c r="K34" s="186"/>
    </row>
    <row r="35" spans="2:11" s="187" customFormat="1" x14ac:dyDescent="0.25">
      <c r="B35" s="165" t="s">
        <v>227</v>
      </c>
      <c r="C35" s="188">
        <f t="shared" si="6"/>
        <v>1</v>
      </c>
      <c r="D35" s="188">
        <f t="shared" si="6"/>
        <v>0</v>
      </c>
      <c r="E35" s="188">
        <f t="shared" si="6"/>
        <v>0</v>
      </c>
      <c r="F35" s="190">
        <f t="shared" si="7"/>
        <v>1</v>
      </c>
      <c r="G35" s="185"/>
      <c r="H35" s="185"/>
      <c r="I35" s="185"/>
      <c r="J35" s="185"/>
      <c r="K35" s="186"/>
    </row>
    <row r="36" spans="2:11" s="187" customFormat="1" x14ac:dyDescent="0.25">
      <c r="B36" s="170" t="s">
        <v>67</v>
      </c>
      <c r="C36" s="188">
        <f t="shared" si="6"/>
        <v>0.02</v>
      </c>
      <c r="D36" s="188">
        <f t="shared" si="6"/>
        <v>0.5</v>
      </c>
      <c r="E36" s="188">
        <f t="shared" si="6"/>
        <v>0.48</v>
      </c>
      <c r="F36" s="189">
        <f>SUM(C36:E36)</f>
        <v>1</v>
      </c>
      <c r="G36" s="185"/>
      <c r="H36" s="185"/>
      <c r="I36" s="185"/>
      <c r="J36" s="185"/>
      <c r="K36" s="186"/>
    </row>
    <row r="37" spans="2:11" s="187" customFormat="1" x14ac:dyDescent="0.25">
      <c r="B37" s="170" t="s">
        <v>68</v>
      </c>
      <c r="C37" s="188">
        <f t="shared" si="6"/>
        <v>0.18571428571428569</v>
      </c>
      <c r="D37" s="188">
        <f t="shared" si="6"/>
        <v>0.77142857142857146</v>
      </c>
      <c r="E37" s="188">
        <f t="shared" si="6"/>
        <v>4.2857142857142851E-2</v>
      </c>
      <c r="F37" s="189">
        <f t="shared" ref="F37:F38" si="8">SUM(C37:E37)</f>
        <v>1</v>
      </c>
      <c r="G37" s="185"/>
      <c r="H37" s="185"/>
      <c r="I37" s="185"/>
      <c r="J37" s="185"/>
      <c r="K37" s="186"/>
    </row>
    <row r="38" spans="2:11" s="187" customFormat="1" x14ac:dyDescent="0.25">
      <c r="B38" s="170" t="s">
        <v>228</v>
      </c>
      <c r="C38" s="188">
        <f t="shared" si="6"/>
        <v>0.30909090909090908</v>
      </c>
      <c r="D38" s="188">
        <f t="shared" si="6"/>
        <v>0.63636363636363635</v>
      </c>
      <c r="E38" s="188">
        <f t="shared" si="6"/>
        <v>5.4545454545454543E-2</v>
      </c>
      <c r="F38" s="189">
        <f t="shared" si="8"/>
        <v>1</v>
      </c>
      <c r="G38" s="185"/>
      <c r="H38" s="185"/>
      <c r="I38" s="185"/>
      <c r="J38" s="185"/>
      <c r="K38" s="186"/>
    </row>
    <row r="39" spans="2:11" s="187" customFormat="1" x14ac:dyDescent="0.25">
      <c r="B39" s="454" t="s">
        <v>229</v>
      </c>
      <c r="C39" s="188">
        <f t="shared" si="6"/>
        <v>0.33333333333333331</v>
      </c>
      <c r="D39" s="188">
        <f t="shared" si="6"/>
        <v>0.66666666666666663</v>
      </c>
      <c r="E39" s="188">
        <f t="shared" si="6"/>
        <v>0</v>
      </c>
      <c r="F39" s="190">
        <f>SUM(C39:E39)</f>
        <v>1</v>
      </c>
      <c r="G39" s="185"/>
      <c r="H39" s="185"/>
      <c r="I39" s="185"/>
      <c r="J39" s="185"/>
      <c r="K39" s="186"/>
    </row>
    <row r="40" spans="2:11" x14ac:dyDescent="0.25">
      <c r="B40" s="454" t="s">
        <v>230</v>
      </c>
      <c r="C40" s="188">
        <f t="shared" si="6"/>
        <v>0.28000000000000003</v>
      </c>
      <c r="D40" s="188">
        <f t="shared" si="6"/>
        <v>0.6</v>
      </c>
      <c r="E40" s="188">
        <f t="shared" si="6"/>
        <v>0.12</v>
      </c>
      <c r="F40" s="190">
        <f>SUM(C40:E40)</f>
        <v>1</v>
      </c>
      <c r="G40" s="174"/>
      <c r="H40" s="174"/>
      <c r="I40" s="174"/>
      <c r="J40" s="174"/>
      <c r="K40" s="6"/>
    </row>
    <row r="41" spans="2:11" ht="17.25" customHeight="1" x14ac:dyDescent="0.25">
      <c r="B41" s="180"/>
      <c r="C41" s="181"/>
      <c r="D41" s="181"/>
      <c r="E41" s="181"/>
      <c r="F41" s="182"/>
      <c r="G41" s="9"/>
      <c r="H41" s="9"/>
      <c r="I41" s="9"/>
      <c r="J41" s="9"/>
      <c r="K41" s="6"/>
    </row>
  </sheetData>
  <sheetProtection sheet="1" objects="1" scenarios="1"/>
  <mergeCells count="1">
    <mergeCell ref="B28:F28"/>
  </mergeCells>
  <pageMargins left="0.7" right="0.7" top="0.75" bottom="0.75" header="0.3" footer="0.3"/>
  <pageSetup orientation="portrait" horizontalDpi="360" verticalDpi="360" r:id="rId1"/>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13B4-657D-4031-9889-02EE9E3DC7EF}">
  <dimension ref="A1:I125"/>
  <sheetViews>
    <sheetView workbookViewId="0">
      <selection activeCell="B22" sqref="B22:F22"/>
    </sheetView>
  </sheetViews>
  <sheetFormatPr defaultRowHeight="15" x14ac:dyDescent="0.25"/>
  <cols>
    <col min="1" max="1" width="4.42578125" style="3" customWidth="1"/>
    <col min="2" max="2" width="64.5703125" style="3" customWidth="1"/>
    <col min="3" max="3" width="22.140625" style="3" customWidth="1"/>
    <col min="4" max="4" width="26.5703125" style="3" customWidth="1"/>
    <col min="5" max="5" width="23.42578125" style="3" customWidth="1"/>
    <col min="6" max="6" width="25.42578125" style="3" customWidth="1"/>
    <col min="7" max="7" width="22.42578125" style="3" customWidth="1"/>
    <col min="8" max="8" width="16.5703125" style="3" customWidth="1"/>
    <col min="9" max="9" width="18.140625" style="3" customWidth="1"/>
    <col min="10" max="16384" width="9.140625" style="3"/>
  </cols>
  <sheetData>
    <row r="1" spans="2:8" ht="15.75" x14ac:dyDescent="0.25">
      <c r="B1" s="124" t="s">
        <v>244</v>
      </c>
    </row>
    <row r="2" spans="2:8" ht="48" customHeight="1" x14ac:dyDescent="0.25">
      <c r="B2" s="575" t="s">
        <v>245</v>
      </c>
      <c r="C2" s="575"/>
      <c r="D2" s="575"/>
      <c r="E2" s="575"/>
      <c r="F2" s="575"/>
      <c r="G2" s="575"/>
    </row>
    <row r="4" spans="2:8" ht="15.75" x14ac:dyDescent="0.25">
      <c r="B4" s="194" t="s">
        <v>246</v>
      </c>
      <c r="C4" s="10"/>
      <c r="D4" s="10"/>
      <c r="E4" s="10"/>
      <c r="F4" s="10"/>
      <c r="G4" s="10"/>
    </row>
    <row r="5" spans="2:8" ht="75" x14ac:dyDescent="0.25">
      <c r="B5" s="192" t="s">
        <v>60</v>
      </c>
      <c r="C5" s="193" t="s">
        <v>247</v>
      </c>
      <c r="D5" s="193" t="s">
        <v>248</v>
      </c>
      <c r="E5" s="193" t="s">
        <v>249</v>
      </c>
      <c r="F5" s="193" t="s">
        <v>250</v>
      </c>
      <c r="G5" s="193" t="s">
        <v>251</v>
      </c>
      <c r="H5" s="220" t="s">
        <v>252</v>
      </c>
    </row>
    <row r="6" spans="2:8" x14ac:dyDescent="0.25">
      <c r="B6" s="15" t="s">
        <v>101</v>
      </c>
      <c r="C6" s="15"/>
      <c r="D6" s="15"/>
      <c r="E6" s="15"/>
      <c r="F6" s="15"/>
      <c r="G6" s="15"/>
      <c r="H6" s="221"/>
    </row>
    <row r="7" spans="2:8" x14ac:dyDescent="0.25">
      <c r="B7" s="15" t="s">
        <v>253</v>
      </c>
      <c r="C7" s="15" cm="1">
        <f t="array" ref="C7:C9">Respondents!F19:F21</f>
        <v>100</v>
      </c>
      <c r="D7" s="21">
        <v>50</v>
      </c>
      <c r="E7" s="21">
        <v>50</v>
      </c>
      <c r="F7" s="21">
        <v>50</v>
      </c>
      <c r="G7" s="21">
        <v>50</v>
      </c>
      <c r="H7" s="221">
        <f>SUM(C7:G7)</f>
        <v>300</v>
      </c>
    </row>
    <row r="8" spans="2:8" x14ac:dyDescent="0.25">
      <c r="B8" s="15" t="s">
        <v>254</v>
      </c>
      <c r="C8" s="15">
        <v>25</v>
      </c>
      <c r="D8" s="21">
        <v>12</v>
      </c>
      <c r="E8" s="21">
        <v>12</v>
      </c>
      <c r="F8" s="21">
        <v>12</v>
      </c>
      <c r="G8" s="21">
        <v>12</v>
      </c>
      <c r="H8" s="221">
        <f t="shared" ref="H8:H15" si="0">SUM(C8:G8)</f>
        <v>73</v>
      </c>
    </row>
    <row r="9" spans="2:8" x14ac:dyDescent="0.25">
      <c r="B9" s="15" t="s">
        <v>255</v>
      </c>
      <c r="C9" s="15">
        <v>50</v>
      </c>
      <c r="D9" s="21">
        <v>50</v>
      </c>
      <c r="E9" s="21">
        <v>50</v>
      </c>
      <c r="F9" s="21">
        <v>50</v>
      </c>
      <c r="G9" s="21">
        <v>50</v>
      </c>
      <c r="H9" s="221">
        <f t="shared" si="0"/>
        <v>250</v>
      </c>
    </row>
    <row r="10" spans="2:8" x14ac:dyDescent="0.25">
      <c r="B10" s="15" t="s">
        <v>67</v>
      </c>
      <c r="C10" s="15">
        <f>Respondents!F22</f>
        <v>200</v>
      </c>
      <c r="D10" s="21">
        <f>Respondents!F9</f>
        <v>50</v>
      </c>
      <c r="E10" s="21">
        <v>0</v>
      </c>
      <c r="F10" s="21">
        <v>0</v>
      </c>
      <c r="G10" s="21" t="s">
        <v>102</v>
      </c>
      <c r="H10" s="221">
        <f t="shared" si="0"/>
        <v>250</v>
      </c>
    </row>
    <row r="11" spans="2:8" x14ac:dyDescent="0.25">
      <c r="B11" s="15" t="s">
        <v>256</v>
      </c>
      <c r="C11" s="15">
        <f>Respondents!F23</f>
        <v>100.00000000000001</v>
      </c>
      <c r="D11" s="21">
        <v>0</v>
      </c>
      <c r="E11" s="21">
        <v>0</v>
      </c>
      <c r="F11" s="21">
        <v>0</v>
      </c>
      <c r="G11" s="21" t="s">
        <v>102</v>
      </c>
      <c r="H11" s="221">
        <f t="shared" si="0"/>
        <v>100.00000000000001</v>
      </c>
    </row>
    <row r="12" spans="2:8" x14ac:dyDescent="0.25">
      <c r="B12" s="15" t="s">
        <v>228</v>
      </c>
      <c r="C12" s="15"/>
      <c r="D12" s="15"/>
      <c r="E12" s="15"/>
      <c r="F12" s="15"/>
      <c r="G12" s="15"/>
      <c r="H12" s="221">
        <f t="shared" si="0"/>
        <v>0</v>
      </c>
    </row>
    <row r="13" spans="2:8" x14ac:dyDescent="0.25">
      <c r="B13" s="22" t="s">
        <v>257</v>
      </c>
      <c r="C13" s="21" cm="1">
        <f t="array" ref="C13:C14">Respondents!F25:F26</f>
        <v>60</v>
      </c>
      <c r="D13" s="21">
        <v>0</v>
      </c>
      <c r="E13" s="21">
        <v>0</v>
      </c>
      <c r="F13" s="21">
        <v>0</v>
      </c>
      <c r="G13" s="21" t="s">
        <v>102</v>
      </c>
      <c r="H13" s="221">
        <f t="shared" si="0"/>
        <v>60</v>
      </c>
    </row>
    <row r="14" spans="2:8" x14ac:dyDescent="0.25">
      <c r="B14" s="22" t="s">
        <v>258</v>
      </c>
      <c r="C14" s="21">
        <v>50</v>
      </c>
      <c r="D14" s="21">
        <v>0</v>
      </c>
      <c r="E14" s="21">
        <v>0</v>
      </c>
      <c r="F14" s="21">
        <v>0</v>
      </c>
      <c r="G14" s="21">
        <v>0</v>
      </c>
      <c r="H14" s="221">
        <f t="shared" si="0"/>
        <v>50</v>
      </c>
    </row>
    <row r="15" spans="2:8" x14ac:dyDescent="0.25">
      <c r="B15" s="200" t="s">
        <v>138</v>
      </c>
      <c r="C15" s="200">
        <f>SUM(C7:C14)</f>
        <v>585</v>
      </c>
      <c r="D15" s="200">
        <f>SUM(D6:D14)</f>
        <v>162</v>
      </c>
      <c r="E15" s="200">
        <f>SUM(E6:E14)</f>
        <v>112</v>
      </c>
      <c r="F15" s="200">
        <f>SUM(F6:F14)</f>
        <v>112</v>
      </c>
      <c r="G15" s="200">
        <f>SUM(G6:G14)</f>
        <v>112</v>
      </c>
      <c r="H15" s="222">
        <f t="shared" si="0"/>
        <v>1083</v>
      </c>
    </row>
    <row r="16" spans="2:8" x14ac:dyDescent="0.25">
      <c r="B16" s="23"/>
      <c r="C16" s="23"/>
      <c r="D16" s="23"/>
      <c r="E16" s="23"/>
      <c r="F16" s="23"/>
      <c r="G16" s="23"/>
    </row>
    <row r="17" spans="2:8" ht="15.75" x14ac:dyDescent="0.25">
      <c r="B17" s="195" t="s">
        <v>259</v>
      </c>
      <c r="C17" s="23"/>
      <c r="D17" s="23"/>
      <c r="E17" s="23"/>
      <c r="F17" s="23"/>
      <c r="G17" s="23"/>
    </row>
    <row r="19" spans="2:8" ht="75" x14ac:dyDescent="0.25">
      <c r="B19" s="192" t="s">
        <v>60</v>
      </c>
      <c r="C19" s="193" t="s">
        <v>247</v>
      </c>
      <c r="D19" s="193" t="s">
        <v>248</v>
      </c>
      <c r="E19" s="193" t="s">
        <v>249</v>
      </c>
      <c r="F19" s="193" t="s">
        <v>250</v>
      </c>
      <c r="G19" s="193" t="s">
        <v>251</v>
      </c>
      <c r="H19" s="220" t="s">
        <v>260</v>
      </c>
    </row>
    <row r="20" spans="2:8" x14ac:dyDescent="0.25">
      <c r="B20" s="15" t="s">
        <v>101</v>
      </c>
      <c r="C20" s="15"/>
      <c r="D20" s="15"/>
      <c r="E20" s="15"/>
      <c r="F20" s="15"/>
      <c r="G20" s="15"/>
      <c r="H20" s="221"/>
    </row>
    <row r="21" spans="2:8" x14ac:dyDescent="0.25">
      <c r="B21" s="15" t="s">
        <v>253</v>
      </c>
      <c r="C21" s="15" cm="1">
        <f t="array" ref="C21:C23">Respondents!F19:F21</f>
        <v>100</v>
      </c>
      <c r="D21" s="21">
        <v>50</v>
      </c>
      <c r="E21" s="21">
        <v>50</v>
      </c>
      <c r="F21" s="21">
        <v>50</v>
      </c>
      <c r="G21" s="21">
        <v>50</v>
      </c>
      <c r="H21" s="221">
        <f>SUM(C21:G21)</f>
        <v>300</v>
      </c>
    </row>
    <row r="22" spans="2:8" x14ac:dyDescent="0.25">
      <c r="B22" s="15" t="s">
        <v>254</v>
      </c>
      <c r="C22" s="15">
        <v>25</v>
      </c>
      <c r="D22" s="21">
        <v>12</v>
      </c>
      <c r="E22" s="21">
        <v>12</v>
      </c>
      <c r="F22" s="21">
        <v>12</v>
      </c>
      <c r="G22" s="21">
        <v>12</v>
      </c>
      <c r="H22" s="221">
        <f t="shared" ref="H22:H29" si="1">SUM(C22:G22)</f>
        <v>73</v>
      </c>
    </row>
    <row r="23" spans="2:8" x14ac:dyDescent="0.25">
      <c r="B23" s="15" t="s">
        <v>255</v>
      </c>
      <c r="C23" s="15">
        <v>50</v>
      </c>
      <c r="D23" s="21">
        <v>50</v>
      </c>
      <c r="E23" s="21">
        <v>50</v>
      </c>
      <c r="F23" s="21">
        <v>50</v>
      </c>
      <c r="G23" s="21">
        <v>50</v>
      </c>
      <c r="H23" s="221">
        <f t="shared" si="1"/>
        <v>250</v>
      </c>
    </row>
    <row r="24" spans="2:8" x14ac:dyDescent="0.25">
      <c r="B24" s="15" t="s">
        <v>67</v>
      </c>
      <c r="C24" s="15">
        <f>Respondents!F22</f>
        <v>200</v>
      </c>
      <c r="D24" s="21">
        <v>50</v>
      </c>
      <c r="E24" s="21">
        <v>50</v>
      </c>
      <c r="F24" s="21">
        <v>0</v>
      </c>
      <c r="G24" s="21" t="s">
        <v>102</v>
      </c>
      <c r="H24" s="221">
        <f t="shared" si="1"/>
        <v>300</v>
      </c>
    </row>
    <row r="25" spans="2:8" x14ac:dyDescent="0.25">
      <c r="B25" s="15" t="s">
        <v>256</v>
      </c>
      <c r="C25" s="15">
        <v>0</v>
      </c>
      <c r="D25" s="21">
        <v>70</v>
      </c>
      <c r="E25" s="21">
        <v>0</v>
      </c>
      <c r="F25" s="21">
        <v>0</v>
      </c>
      <c r="G25" s="21" t="s">
        <v>102</v>
      </c>
      <c r="H25" s="221">
        <f t="shared" si="1"/>
        <v>70</v>
      </c>
    </row>
    <row r="26" spans="2:8" x14ac:dyDescent="0.25">
      <c r="B26" s="15" t="s">
        <v>228</v>
      </c>
      <c r="C26" s="15"/>
      <c r="D26" s="15"/>
      <c r="E26" s="15"/>
      <c r="F26" s="15"/>
      <c r="G26" s="15"/>
      <c r="H26" s="221">
        <f t="shared" si="1"/>
        <v>0</v>
      </c>
    </row>
    <row r="27" spans="2:8" x14ac:dyDescent="0.25">
      <c r="B27" s="22" t="s">
        <v>257</v>
      </c>
      <c r="C27" s="21">
        <v>0</v>
      </c>
      <c r="D27" s="21">
        <v>30</v>
      </c>
      <c r="E27" s="21">
        <v>0</v>
      </c>
      <c r="F27" s="21">
        <v>0</v>
      </c>
      <c r="G27" s="21" t="s">
        <v>102</v>
      </c>
      <c r="H27" s="221">
        <f t="shared" si="1"/>
        <v>30</v>
      </c>
    </row>
    <row r="28" spans="2:8" x14ac:dyDescent="0.25">
      <c r="B28" s="22" t="s">
        <v>258</v>
      </c>
      <c r="C28" s="21">
        <v>0</v>
      </c>
      <c r="D28" s="21">
        <v>25</v>
      </c>
      <c r="E28" s="21">
        <v>0</v>
      </c>
      <c r="F28" s="21">
        <v>0</v>
      </c>
      <c r="G28" s="21">
        <v>0</v>
      </c>
      <c r="H28" s="221">
        <f t="shared" si="1"/>
        <v>25</v>
      </c>
    </row>
    <row r="29" spans="2:8" x14ac:dyDescent="0.25">
      <c r="B29" s="200" t="s">
        <v>138</v>
      </c>
      <c r="C29" s="200">
        <f>SUM(C21:C28)</f>
        <v>375</v>
      </c>
      <c r="D29" s="200">
        <f>SUM(D20:D28)</f>
        <v>287</v>
      </c>
      <c r="E29" s="200">
        <f>SUM(E20:E28)</f>
        <v>162</v>
      </c>
      <c r="F29" s="200">
        <f>SUM(F20:F28)</f>
        <v>112</v>
      </c>
      <c r="G29" s="200">
        <f>SUM(G20:G28)</f>
        <v>112</v>
      </c>
      <c r="H29" s="222">
        <f t="shared" si="1"/>
        <v>1048</v>
      </c>
    </row>
    <row r="30" spans="2:8" x14ac:dyDescent="0.25">
      <c r="B30" s="23"/>
      <c r="C30" s="23"/>
      <c r="D30" s="23"/>
      <c r="E30" s="23"/>
      <c r="F30" s="23"/>
      <c r="G30" s="23"/>
    </row>
    <row r="31" spans="2:8" x14ac:dyDescent="0.25">
      <c r="B31" s="23"/>
      <c r="C31" s="23"/>
      <c r="D31" s="23"/>
      <c r="E31" s="23"/>
      <c r="F31" s="23"/>
      <c r="G31" s="23"/>
    </row>
    <row r="32" spans="2:8" ht="15.75" x14ac:dyDescent="0.25">
      <c r="B32" s="199" t="s">
        <v>261</v>
      </c>
      <c r="C32" s="196"/>
      <c r="D32" s="197"/>
      <c r="E32" s="197"/>
      <c r="F32" s="197"/>
      <c r="G32" s="197"/>
    </row>
    <row r="33" spans="2:8" x14ac:dyDescent="0.25">
      <c r="B33" s="2" t="s">
        <v>262</v>
      </c>
      <c r="C33" s="15"/>
      <c r="D33" s="23"/>
      <c r="E33" s="23"/>
      <c r="F33" s="23"/>
      <c r="G33" s="23"/>
    </row>
    <row r="34" spans="2:8" s="16" customFormat="1" ht="75" x14ac:dyDescent="0.25">
      <c r="B34" s="192" t="s">
        <v>60</v>
      </c>
      <c r="C34" s="193" t="s">
        <v>247</v>
      </c>
      <c r="D34" s="193" t="s">
        <v>248</v>
      </c>
      <c r="E34" s="193" t="s">
        <v>249</v>
      </c>
      <c r="F34" s="193" t="s">
        <v>250</v>
      </c>
      <c r="G34" s="193" t="s">
        <v>251</v>
      </c>
      <c r="H34" s="220" t="s">
        <v>263</v>
      </c>
    </row>
    <row r="35" spans="2:8" x14ac:dyDescent="0.25">
      <c r="B35" s="15" t="s">
        <v>101</v>
      </c>
      <c r="C35" s="15"/>
      <c r="D35" s="15"/>
      <c r="E35" s="15"/>
      <c r="F35" s="15"/>
      <c r="G35" s="15"/>
      <c r="H35" s="221"/>
    </row>
    <row r="36" spans="2:8" x14ac:dyDescent="0.25">
      <c r="B36" s="15" t="s">
        <v>253</v>
      </c>
      <c r="C36" s="15" cm="1">
        <f t="array" ref="C36:C38">Respondents!F19:F21</f>
        <v>100</v>
      </c>
      <c r="D36" s="21">
        <v>50</v>
      </c>
      <c r="E36" s="21">
        <v>50</v>
      </c>
      <c r="F36" s="21">
        <v>50</v>
      </c>
      <c r="G36" s="21">
        <v>50</v>
      </c>
      <c r="H36" s="221">
        <f>SUM(C36:G36)</f>
        <v>300</v>
      </c>
    </row>
    <row r="37" spans="2:8" x14ac:dyDescent="0.25">
      <c r="B37" s="15" t="s">
        <v>254</v>
      </c>
      <c r="C37" s="15">
        <v>25</v>
      </c>
      <c r="D37" s="21">
        <v>12</v>
      </c>
      <c r="E37" s="21">
        <v>12</v>
      </c>
      <c r="F37" s="21">
        <v>12</v>
      </c>
      <c r="G37" s="21">
        <v>12</v>
      </c>
      <c r="H37" s="221">
        <f t="shared" ref="H37:H44" si="2">SUM(C37:G37)</f>
        <v>73</v>
      </c>
    </row>
    <row r="38" spans="2:8" x14ac:dyDescent="0.25">
      <c r="B38" s="15" t="s">
        <v>255</v>
      </c>
      <c r="C38" s="15">
        <v>50</v>
      </c>
      <c r="D38" s="21">
        <v>50</v>
      </c>
      <c r="E38" s="21">
        <v>50</v>
      </c>
      <c r="F38" s="21">
        <v>50</v>
      </c>
      <c r="G38" s="21">
        <v>50</v>
      </c>
      <c r="H38" s="221">
        <f t="shared" si="2"/>
        <v>250</v>
      </c>
    </row>
    <row r="39" spans="2:8" x14ac:dyDescent="0.25">
      <c r="B39" s="15" t="s">
        <v>67</v>
      </c>
      <c r="C39" s="15">
        <f>Respondents!F22</f>
        <v>200</v>
      </c>
      <c r="D39" s="21">
        <v>50</v>
      </c>
      <c r="E39" s="21">
        <v>50</v>
      </c>
      <c r="F39" s="21">
        <v>50</v>
      </c>
      <c r="G39" s="21" t="s">
        <v>102</v>
      </c>
      <c r="H39" s="221">
        <f t="shared" si="2"/>
        <v>350</v>
      </c>
    </row>
    <row r="40" spans="2:8" x14ac:dyDescent="0.25">
      <c r="B40" s="15" t="s">
        <v>256</v>
      </c>
      <c r="C40" s="15">
        <v>0</v>
      </c>
      <c r="D40" s="21">
        <v>0</v>
      </c>
      <c r="E40" s="21">
        <v>70</v>
      </c>
      <c r="F40" s="21">
        <v>0</v>
      </c>
      <c r="G40" s="21" t="s">
        <v>102</v>
      </c>
      <c r="H40" s="221">
        <f t="shared" si="2"/>
        <v>70</v>
      </c>
    </row>
    <row r="41" spans="2:8" x14ac:dyDescent="0.25">
      <c r="B41" s="15" t="s">
        <v>228</v>
      </c>
      <c r="C41" s="15"/>
      <c r="D41" s="15"/>
      <c r="E41" s="15"/>
      <c r="F41" s="15"/>
      <c r="G41" s="15"/>
      <c r="H41" s="221">
        <f t="shared" si="2"/>
        <v>0</v>
      </c>
    </row>
    <row r="42" spans="2:8" x14ac:dyDescent="0.25">
      <c r="B42" s="22" t="s">
        <v>257</v>
      </c>
      <c r="C42" s="21">
        <v>0</v>
      </c>
      <c r="D42" s="21">
        <v>0</v>
      </c>
      <c r="E42" s="21">
        <v>30</v>
      </c>
      <c r="F42" s="21">
        <v>0</v>
      </c>
      <c r="G42" s="21" t="s">
        <v>102</v>
      </c>
      <c r="H42" s="221">
        <f t="shared" si="2"/>
        <v>30</v>
      </c>
    </row>
    <row r="43" spans="2:8" x14ac:dyDescent="0.25">
      <c r="B43" s="22" t="s">
        <v>258</v>
      </c>
      <c r="C43" s="21">
        <v>0</v>
      </c>
      <c r="D43" s="21">
        <v>0</v>
      </c>
      <c r="E43" s="21">
        <v>25</v>
      </c>
      <c r="F43" s="21">
        <v>0</v>
      </c>
      <c r="G43" s="21">
        <v>0</v>
      </c>
      <c r="H43" s="221">
        <f t="shared" si="2"/>
        <v>25</v>
      </c>
    </row>
    <row r="44" spans="2:8" x14ac:dyDescent="0.25">
      <c r="B44" s="200" t="s">
        <v>138</v>
      </c>
      <c r="C44" s="200">
        <f>SUM(C36:C43)</f>
        <v>375</v>
      </c>
      <c r="D44" s="200">
        <f>SUM(D35:D43)</f>
        <v>162</v>
      </c>
      <c r="E44" s="200">
        <f>SUM(E35:E43)</f>
        <v>287</v>
      </c>
      <c r="F44" s="200">
        <f>SUM(F35:F43)</f>
        <v>162</v>
      </c>
      <c r="G44" s="200">
        <f>SUM(G35:G43)</f>
        <v>112</v>
      </c>
      <c r="H44" s="222">
        <f t="shared" si="2"/>
        <v>1098</v>
      </c>
    </row>
    <row r="45" spans="2:8" x14ac:dyDescent="0.25">
      <c r="B45" s="23"/>
      <c r="C45" s="23"/>
      <c r="D45" s="23"/>
      <c r="E45" s="23"/>
      <c r="F45" s="23"/>
      <c r="G45" s="23"/>
    </row>
    <row r="46" spans="2:8" x14ac:dyDescent="0.25">
      <c r="B46" s="23"/>
      <c r="C46" s="23"/>
      <c r="D46" s="23"/>
      <c r="E46" s="23"/>
      <c r="F46" s="23"/>
      <c r="G46" s="23"/>
    </row>
    <row r="47" spans="2:8" ht="15.75" x14ac:dyDescent="0.25">
      <c r="B47" s="260" t="s">
        <v>264</v>
      </c>
      <c r="C47" s="15"/>
      <c r="D47" s="23"/>
      <c r="E47" s="23"/>
      <c r="F47" s="23"/>
      <c r="G47" s="23"/>
    </row>
    <row r="48" spans="2:8" ht="75" x14ac:dyDescent="0.25">
      <c r="B48" s="192" t="s">
        <v>60</v>
      </c>
      <c r="C48" s="193" t="s">
        <v>247</v>
      </c>
      <c r="D48" s="193" t="s">
        <v>248</v>
      </c>
      <c r="E48" s="193" t="s">
        <v>249</v>
      </c>
      <c r="F48" s="193" t="s">
        <v>250</v>
      </c>
      <c r="G48" s="193" t="s">
        <v>251</v>
      </c>
      <c r="H48" s="220" t="s">
        <v>265</v>
      </c>
    </row>
    <row r="49" spans="2:8" x14ac:dyDescent="0.25">
      <c r="B49" s="15" t="s">
        <v>101</v>
      </c>
      <c r="C49" s="15"/>
      <c r="D49" s="15"/>
      <c r="E49" s="15"/>
      <c r="F49" s="15"/>
      <c r="G49" s="15"/>
      <c r="H49" s="221"/>
    </row>
    <row r="50" spans="2:8" x14ac:dyDescent="0.25">
      <c r="B50" s="15" t="s">
        <v>253</v>
      </c>
      <c r="C50" s="15" cm="1">
        <f t="array" ref="C50:C52">Respondents!F19:F21</f>
        <v>100</v>
      </c>
      <c r="D50" s="21">
        <v>50</v>
      </c>
      <c r="E50" s="21">
        <v>50</v>
      </c>
      <c r="F50" s="21">
        <v>50</v>
      </c>
      <c r="G50" s="21">
        <v>50</v>
      </c>
      <c r="H50" s="221">
        <f>SUM(C50:G50)</f>
        <v>300</v>
      </c>
    </row>
    <row r="51" spans="2:8" x14ac:dyDescent="0.25">
      <c r="B51" s="15" t="s">
        <v>254</v>
      </c>
      <c r="C51" s="15">
        <v>25</v>
      </c>
      <c r="D51" s="21">
        <v>12</v>
      </c>
      <c r="E51" s="21">
        <v>12</v>
      </c>
      <c r="F51" s="21">
        <v>12</v>
      </c>
      <c r="G51" s="21">
        <v>12</v>
      </c>
      <c r="H51" s="221">
        <f t="shared" ref="H51:H58" si="3">SUM(C51:G51)</f>
        <v>73</v>
      </c>
    </row>
    <row r="52" spans="2:8" x14ac:dyDescent="0.25">
      <c r="B52" s="15" t="s">
        <v>255</v>
      </c>
      <c r="C52" s="15">
        <v>50</v>
      </c>
      <c r="D52" s="21">
        <v>50</v>
      </c>
      <c r="E52" s="21">
        <v>50</v>
      </c>
      <c r="F52" s="21">
        <v>50</v>
      </c>
      <c r="G52" s="21">
        <v>50</v>
      </c>
      <c r="H52" s="221">
        <f t="shared" si="3"/>
        <v>250</v>
      </c>
    </row>
    <row r="53" spans="2:8" x14ac:dyDescent="0.25">
      <c r="B53" s="15" t="s">
        <v>67</v>
      </c>
      <c r="C53" s="15">
        <v>0</v>
      </c>
      <c r="D53" s="21">
        <v>50</v>
      </c>
      <c r="E53" s="21">
        <v>50</v>
      </c>
      <c r="F53" s="21">
        <v>50</v>
      </c>
      <c r="G53" s="21" t="s">
        <v>102</v>
      </c>
      <c r="H53" s="221">
        <f t="shared" si="3"/>
        <v>150</v>
      </c>
    </row>
    <row r="54" spans="2:8" x14ac:dyDescent="0.25">
      <c r="B54" s="15" t="s">
        <v>256</v>
      </c>
      <c r="C54" s="15">
        <v>0</v>
      </c>
      <c r="D54" s="21">
        <v>0</v>
      </c>
      <c r="E54" s="21">
        <v>0</v>
      </c>
      <c r="F54" s="21">
        <v>70</v>
      </c>
      <c r="G54" s="21" t="s">
        <v>102</v>
      </c>
      <c r="H54" s="221">
        <f t="shared" si="3"/>
        <v>70</v>
      </c>
    </row>
    <row r="55" spans="2:8" x14ac:dyDescent="0.25">
      <c r="B55" s="15" t="s">
        <v>228</v>
      </c>
      <c r="C55" s="15"/>
      <c r="D55" s="15"/>
      <c r="E55" s="15"/>
      <c r="F55" s="15"/>
      <c r="G55" s="15"/>
      <c r="H55" s="221">
        <f t="shared" si="3"/>
        <v>0</v>
      </c>
    </row>
    <row r="56" spans="2:8" x14ac:dyDescent="0.25">
      <c r="B56" s="22" t="s">
        <v>257</v>
      </c>
      <c r="C56" s="21">
        <v>0</v>
      </c>
      <c r="D56" s="21">
        <v>0</v>
      </c>
      <c r="E56" s="21">
        <v>0</v>
      </c>
      <c r="F56" s="21">
        <v>30</v>
      </c>
      <c r="G56" s="21" t="s">
        <v>102</v>
      </c>
      <c r="H56" s="221">
        <f t="shared" si="3"/>
        <v>30</v>
      </c>
    </row>
    <row r="57" spans="2:8" x14ac:dyDescent="0.25">
      <c r="B57" s="22" t="s">
        <v>258</v>
      </c>
      <c r="C57" s="21">
        <v>0</v>
      </c>
      <c r="D57" s="21">
        <v>0</v>
      </c>
      <c r="E57" s="21">
        <v>0</v>
      </c>
      <c r="F57" s="21">
        <v>25</v>
      </c>
      <c r="G57" s="21">
        <v>0</v>
      </c>
      <c r="H57" s="221">
        <f t="shared" si="3"/>
        <v>25</v>
      </c>
    </row>
    <row r="58" spans="2:8" x14ac:dyDescent="0.25">
      <c r="B58" s="200" t="s">
        <v>138</v>
      </c>
      <c r="C58" s="200">
        <f>SUM(C50:C57)</f>
        <v>175</v>
      </c>
      <c r="D58" s="200">
        <f>SUM(D49:D57)</f>
        <v>162</v>
      </c>
      <c r="E58" s="200">
        <f>SUM(E49:E57)</f>
        <v>162</v>
      </c>
      <c r="F58" s="200">
        <f>SUM(F49:F57)</f>
        <v>287</v>
      </c>
      <c r="G58" s="200">
        <f>SUM(G49:G57)</f>
        <v>112</v>
      </c>
      <c r="H58" s="222">
        <f t="shared" si="3"/>
        <v>898</v>
      </c>
    </row>
    <row r="61" spans="2:8" ht="15.75" x14ac:dyDescent="0.25">
      <c r="B61" s="198" t="s">
        <v>266</v>
      </c>
      <c r="C61" s="15"/>
      <c r="D61" s="23"/>
      <c r="E61" s="23"/>
      <c r="F61" s="23"/>
      <c r="G61" s="23"/>
    </row>
    <row r="62" spans="2:8" s="16" customFormat="1" ht="75" x14ac:dyDescent="0.25">
      <c r="B62" s="192" t="s">
        <v>60</v>
      </c>
      <c r="C62" s="193" t="s">
        <v>247</v>
      </c>
      <c r="D62" s="193" t="s">
        <v>248</v>
      </c>
      <c r="E62" s="193" t="s">
        <v>249</v>
      </c>
      <c r="F62" s="193" t="s">
        <v>250</v>
      </c>
      <c r="G62" s="193" t="s">
        <v>251</v>
      </c>
      <c r="H62" s="220" t="s">
        <v>267</v>
      </c>
    </row>
    <row r="63" spans="2:8" x14ac:dyDescent="0.25">
      <c r="B63" s="15" t="s">
        <v>101</v>
      </c>
      <c r="C63" s="15"/>
      <c r="D63" s="15"/>
      <c r="E63" s="15"/>
      <c r="F63" s="15"/>
      <c r="G63" s="15"/>
      <c r="H63" s="221"/>
    </row>
    <row r="64" spans="2:8" x14ac:dyDescent="0.25">
      <c r="B64" s="15" t="s">
        <v>253</v>
      </c>
      <c r="C64" s="15" cm="1">
        <f t="array" ref="C64:C66">Respondents!F19:F21</f>
        <v>100</v>
      </c>
      <c r="D64" s="21">
        <v>50</v>
      </c>
      <c r="E64" s="21">
        <v>50</v>
      </c>
      <c r="F64" s="21">
        <v>50</v>
      </c>
      <c r="G64" s="21">
        <v>50</v>
      </c>
      <c r="H64" s="221">
        <f>SUM(C64:G64)</f>
        <v>300</v>
      </c>
    </row>
    <row r="65" spans="1:9" x14ac:dyDescent="0.25">
      <c r="B65" s="15" t="s">
        <v>254</v>
      </c>
      <c r="C65" s="15">
        <v>25</v>
      </c>
      <c r="D65" s="21">
        <v>12</v>
      </c>
      <c r="E65" s="21">
        <v>12</v>
      </c>
      <c r="F65" s="21">
        <v>12</v>
      </c>
      <c r="G65" s="21">
        <v>12</v>
      </c>
      <c r="H65" s="221">
        <f t="shared" ref="H65:H72" si="4">SUM(C65:G65)</f>
        <v>73</v>
      </c>
    </row>
    <row r="66" spans="1:9" x14ac:dyDescent="0.25">
      <c r="B66" s="15" t="s">
        <v>255</v>
      </c>
      <c r="C66" s="15">
        <v>50</v>
      </c>
      <c r="D66" s="21">
        <v>50</v>
      </c>
      <c r="E66" s="21">
        <v>50</v>
      </c>
      <c r="F66" s="21">
        <v>50</v>
      </c>
      <c r="G66" s="21">
        <v>50</v>
      </c>
      <c r="H66" s="221">
        <f t="shared" si="4"/>
        <v>250</v>
      </c>
    </row>
    <row r="67" spans="1:9" x14ac:dyDescent="0.25">
      <c r="B67" s="15" t="s">
        <v>67</v>
      </c>
      <c r="C67" s="15">
        <v>0</v>
      </c>
      <c r="D67" s="21">
        <v>0</v>
      </c>
      <c r="E67" s="21">
        <v>50</v>
      </c>
      <c r="F67" s="21">
        <v>50</v>
      </c>
      <c r="G67" s="21" t="s">
        <v>102</v>
      </c>
      <c r="H67" s="221">
        <f t="shared" si="4"/>
        <v>100</v>
      </c>
    </row>
    <row r="68" spans="1:9" x14ac:dyDescent="0.25">
      <c r="B68" s="15" t="s">
        <v>256</v>
      </c>
      <c r="C68" s="15">
        <v>0</v>
      </c>
      <c r="D68" s="21">
        <v>0</v>
      </c>
      <c r="E68" s="21">
        <v>0</v>
      </c>
      <c r="F68" s="21">
        <v>0</v>
      </c>
      <c r="G68" s="21" t="s">
        <v>102</v>
      </c>
      <c r="H68" s="221">
        <f t="shared" si="4"/>
        <v>0</v>
      </c>
    </row>
    <row r="69" spans="1:9" ht="14.25" customHeight="1" x14ac:dyDescent="0.25">
      <c r="B69" s="15" t="s">
        <v>228</v>
      </c>
      <c r="C69" s="15"/>
      <c r="D69" s="15"/>
      <c r="E69" s="15"/>
      <c r="F69" s="15"/>
      <c r="G69" s="15"/>
      <c r="H69" s="221">
        <f t="shared" si="4"/>
        <v>0</v>
      </c>
    </row>
    <row r="70" spans="1:9" x14ac:dyDescent="0.25">
      <c r="B70" s="22" t="s">
        <v>257</v>
      </c>
      <c r="C70" s="21">
        <v>0</v>
      </c>
      <c r="D70" s="21">
        <v>0</v>
      </c>
      <c r="E70" s="21">
        <v>0</v>
      </c>
      <c r="F70" s="21">
        <v>0</v>
      </c>
      <c r="G70" s="21" t="s">
        <v>102</v>
      </c>
      <c r="H70" s="221">
        <f t="shared" si="4"/>
        <v>0</v>
      </c>
    </row>
    <row r="71" spans="1:9" x14ac:dyDescent="0.25">
      <c r="B71" s="22" t="s">
        <v>258</v>
      </c>
      <c r="C71" s="21">
        <v>0</v>
      </c>
      <c r="D71" s="21">
        <v>0</v>
      </c>
      <c r="E71" s="21">
        <v>0</v>
      </c>
      <c r="F71" s="21">
        <v>0</v>
      </c>
      <c r="G71" s="21">
        <v>25</v>
      </c>
      <c r="H71" s="221">
        <f t="shared" si="4"/>
        <v>25</v>
      </c>
    </row>
    <row r="72" spans="1:9" x14ac:dyDescent="0.25">
      <c r="B72" s="200" t="s">
        <v>138</v>
      </c>
      <c r="C72" s="200">
        <f>SUM(C64:C71)</f>
        <v>175</v>
      </c>
      <c r="D72" s="200">
        <f>SUM(D63:D71)</f>
        <v>112</v>
      </c>
      <c r="E72" s="200">
        <f>SUM(E63:E71)</f>
        <v>162</v>
      </c>
      <c r="F72" s="200">
        <f>SUM(F63:F71)</f>
        <v>162</v>
      </c>
      <c r="G72" s="200">
        <f>SUM(G63:G71)</f>
        <v>137</v>
      </c>
      <c r="H72" s="222">
        <f t="shared" si="4"/>
        <v>748</v>
      </c>
    </row>
    <row r="73" spans="1:9" ht="6.75" customHeight="1" x14ac:dyDescent="0.25">
      <c r="A73" s="216"/>
      <c r="B73" s="217"/>
      <c r="C73" s="217"/>
      <c r="D73" s="217"/>
      <c r="E73" s="217"/>
      <c r="F73" s="217"/>
      <c r="G73" s="217"/>
      <c r="H73" s="218"/>
      <c r="I73" s="216"/>
    </row>
    <row r="74" spans="1:9" x14ac:dyDescent="0.25">
      <c r="B74" s="214"/>
      <c r="C74" s="214"/>
      <c r="D74" s="214"/>
      <c r="E74" s="214"/>
      <c r="F74" s="214"/>
      <c r="G74" s="214"/>
      <c r="H74" s="215"/>
    </row>
    <row r="75" spans="1:9" x14ac:dyDescent="0.25">
      <c r="B75" s="2" t="s">
        <v>268</v>
      </c>
    </row>
    <row r="76" spans="1:9" ht="45" x14ac:dyDescent="0.25">
      <c r="B76" s="202" t="s">
        <v>60</v>
      </c>
      <c r="C76" s="203" t="s">
        <v>269</v>
      </c>
      <c r="D76" s="203" t="s">
        <v>270</v>
      </c>
      <c r="E76" s="203" t="s">
        <v>271</v>
      </c>
      <c r="F76" s="204" t="s">
        <v>272</v>
      </c>
      <c r="G76" s="204" t="s">
        <v>273</v>
      </c>
    </row>
    <row r="77" spans="1:9" x14ac:dyDescent="0.25">
      <c r="B77" s="214" t="s">
        <v>101</v>
      </c>
      <c r="C77" s="2">
        <f>SUM(C78:C80)</f>
        <v>623</v>
      </c>
      <c r="D77" s="2">
        <f t="shared" ref="D77:G77" si="5">SUM(D78:D80)</f>
        <v>623</v>
      </c>
      <c r="E77" s="2">
        <f t="shared" si="5"/>
        <v>623</v>
      </c>
      <c r="F77" s="278">
        <f t="shared" si="5"/>
        <v>623</v>
      </c>
      <c r="G77" s="212">
        <f t="shared" si="5"/>
        <v>1869</v>
      </c>
    </row>
    <row r="78" spans="1:9" x14ac:dyDescent="0.25">
      <c r="B78" s="279" t="s">
        <v>253</v>
      </c>
      <c r="C78" s="280">
        <f>H21</f>
        <v>300</v>
      </c>
      <c r="D78" s="280">
        <f>H36</f>
        <v>300</v>
      </c>
      <c r="E78" s="280">
        <f>H50</f>
        <v>300</v>
      </c>
      <c r="F78" s="281">
        <f>G78/3</f>
        <v>300</v>
      </c>
      <c r="G78" s="282">
        <f>SUM(C78:E78)</f>
        <v>900</v>
      </c>
    </row>
    <row r="79" spans="1:9" x14ac:dyDescent="0.25">
      <c r="B79" s="279" t="s">
        <v>254</v>
      </c>
      <c r="C79" s="280">
        <f>H22</f>
        <v>73</v>
      </c>
      <c r="D79" s="280">
        <f t="shared" ref="D79:D85" si="6">H37</f>
        <v>73</v>
      </c>
      <c r="E79" s="280">
        <f t="shared" ref="E79:E85" si="7">H51</f>
        <v>73</v>
      </c>
      <c r="F79" s="281">
        <f>G79/3</f>
        <v>73</v>
      </c>
      <c r="G79" s="282">
        <f>SUM(C79:E79)</f>
        <v>219</v>
      </c>
    </row>
    <row r="80" spans="1:9" x14ac:dyDescent="0.25">
      <c r="B80" s="279" t="s">
        <v>255</v>
      </c>
      <c r="C80" s="280">
        <f>H23</f>
        <v>250</v>
      </c>
      <c r="D80" s="280">
        <f t="shared" si="6"/>
        <v>250</v>
      </c>
      <c r="E80" s="280">
        <f t="shared" si="7"/>
        <v>250</v>
      </c>
      <c r="F80" s="281">
        <f>G80/3</f>
        <v>250</v>
      </c>
      <c r="G80" s="282">
        <f>SUM(C80:E80)</f>
        <v>750</v>
      </c>
    </row>
    <row r="81" spans="2:7" x14ac:dyDescent="0.25">
      <c r="B81" s="214" t="s">
        <v>67</v>
      </c>
      <c r="C81" s="2">
        <f>H24</f>
        <v>300</v>
      </c>
      <c r="D81" s="2">
        <f t="shared" si="6"/>
        <v>350</v>
      </c>
      <c r="E81" s="2">
        <f t="shared" si="7"/>
        <v>150</v>
      </c>
      <c r="F81" s="276">
        <f>G81/3</f>
        <v>266.66666666666669</v>
      </c>
      <c r="G81" s="201">
        <f>SUM(C81:E81)</f>
        <v>800</v>
      </c>
    </row>
    <row r="82" spans="2:7" x14ac:dyDescent="0.25">
      <c r="B82" s="214" t="s">
        <v>256</v>
      </c>
      <c r="C82" s="2">
        <f>H25</f>
        <v>70</v>
      </c>
      <c r="D82" s="2">
        <f t="shared" si="6"/>
        <v>70</v>
      </c>
      <c r="E82" s="2">
        <f t="shared" si="7"/>
        <v>70</v>
      </c>
      <c r="F82" s="276">
        <f>G82/3</f>
        <v>70</v>
      </c>
      <c r="G82" s="201">
        <f>SUM(C82:E82)</f>
        <v>210</v>
      </c>
    </row>
    <row r="83" spans="2:7" x14ac:dyDescent="0.25">
      <c r="B83" s="214" t="s">
        <v>228</v>
      </c>
      <c r="C83" s="2">
        <f>SUM(C84:C85)</f>
        <v>55</v>
      </c>
      <c r="D83" s="2">
        <f t="shared" ref="D83:G83" si="8">SUM(D84:D85)</f>
        <v>55</v>
      </c>
      <c r="E83" s="2">
        <f t="shared" si="8"/>
        <v>55</v>
      </c>
      <c r="F83" s="290">
        <f t="shared" si="8"/>
        <v>55</v>
      </c>
      <c r="G83" s="2">
        <f t="shared" si="8"/>
        <v>165</v>
      </c>
    </row>
    <row r="84" spans="2:7" x14ac:dyDescent="0.25">
      <c r="B84" s="283" t="s">
        <v>257</v>
      </c>
      <c r="C84" s="280">
        <f>H27</f>
        <v>30</v>
      </c>
      <c r="D84" s="280">
        <f t="shared" si="6"/>
        <v>30</v>
      </c>
      <c r="E84" s="280">
        <f t="shared" si="7"/>
        <v>30</v>
      </c>
      <c r="F84" s="281">
        <f>G84/3</f>
        <v>30</v>
      </c>
      <c r="G84" s="282">
        <f>SUM(C84:E84)</f>
        <v>90</v>
      </c>
    </row>
    <row r="85" spans="2:7" x14ac:dyDescent="0.25">
      <c r="B85" s="283" t="s">
        <v>258</v>
      </c>
      <c r="C85" s="280">
        <f>H28</f>
        <v>25</v>
      </c>
      <c r="D85" s="280">
        <f t="shared" si="6"/>
        <v>25</v>
      </c>
      <c r="E85" s="280">
        <f t="shared" si="7"/>
        <v>25</v>
      </c>
      <c r="F85" s="291">
        <f>G85/3</f>
        <v>25</v>
      </c>
      <c r="G85" s="282">
        <f>SUM(C85:E85)</f>
        <v>75</v>
      </c>
    </row>
    <row r="86" spans="2:7" x14ac:dyDescent="0.25">
      <c r="B86" s="200" t="s">
        <v>138</v>
      </c>
      <c r="C86" s="205">
        <f>SUM(C78:C80,C81,C82,C84:C85)</f>
        <v>1048</v>
      </c>
      <c r="D86" s="205">
        <f t="shared" ref="D86:F86" si="9">SUM(D78:D80,D81,D82,D84:D85)</f>
        <v>1098</v>
      </c>
      <c r="E86" s="205">
        <f t="shared" si="9"/>
        <v>898</v>
      </c>
      <c r="F86" s="292">
        <f t="shared" si="9"/>
        <v>1014.6666666666667</v>
      </c>
      <c r="G86" s="205">
        <f>SUM(G78:G80,G81,G82,G84:G85)</f>
        <v>3044</v>
      </c>
    </row>
    <row r="87" spans="2:7" x14ac:dyDescent="0.25">
      <c r="B87" s="214"/>
      <c r="C87" s="219"/>
      <c r="D87" s="219"/>
      <c r="E87" s="219"/>
      <c r="F87" s="219"/>
      <c r="G87" s="219"/>
    </row>
    <row r="88" spans="2:7" x14ac:dyDescent="0.25">
      <c r="B88" s="2" t="s">
        <v>274</v>
      </c>
      <c r="F88" s="277"/>
    </row>
    <row r="89" spans="2:7" ht="60" x14ac:dyDescent="0.25">
      <c r="B89" s="202" t="s">
        <v>60</v>
      </c>
      <c r="C89" s="203" t="s">
        <v>275</v>
      </c>
      <c r="D89" s="203" t="s">
        <v>276</v>
      </c>
      <c r="E89" s="203" t="s">
        <v>277</v>
      </c>
      <c r="F89" s="204" t="s">
        <v>62</v>
      </c>
      <c r="G89" s="204" t="s">
        <v>278</v>
      </c>
    </row>
    <row r="90" spans="2:7" x14ac:dyDescent="0.25">
      <c r="B90" s="214" t="s">
        <v>101</v>
      </c>
      <c r="C90" s="212">
        <f>SUM(C91:C93)</f>
        <v>4587.7733333333335</v>
      </c>
      <c r="D90" s="212">
        <f t="shared" ref="D90" si="10">SUM(D91:D93)</f>
        <v>4587.7733333333335</v>
      </c>
      <c r="E90" s="212">
        <f t="shared" ref="E90" si="11">SUM(E91:E93)</f>
        <v>4587.7733333333335</v>
      </c>
      <c r="F90" s="292">
        <f>SUM(F91:F93)</f>
        <v>4587.7733333333335</v>
      </c>
      <c r="G90" s="212">
        <f t="shared" ref="G90" si="12">SUM(G91:G93)</f>
        <v>13763.32</v>
      </c>
    </row>
    <row r="91" spans="2:7" x14ac:dyDescent="0.25">
      <c r="B91" s="279" t="s">
        <v>253</v>
      </c>
      <c r="C91" s="284">
        <f>(C7*'Reporting Burden by Program'!C3)+(D7*'Reporting Burden by Program'!D3)+(E7*'Reporting Burden by Program'!E3)+(F7*'Reporting Burden by Program'!F3)+(G7*'Reporting Burden by Program'!G3)</f>
        <v>2223.1130952380954</v>
      </c>
      <c r="D91" s="284">
        <f>C91</f>
        <v>2223.1130952380954</v>
      </c>
      <c r="E91" s="284">
        <f>D91</f>
        <v>2223.1130952380954</v>
      </c>
      <c r="F91" s="285">
        <f>G91/3</f>
        <v>2223.1130952380954</v>
      </c>
      <c r="G91" s="285">
        <f>SUM(C91:E91)</f>
        <v>6669.3392857142862</v>
      </c>
    </row>
    <row r="92" spans="2:7" x14ac:dyDescent="0.25">
      <c r="B92" s="279" t="s">
        <v>254</v>
      </c>
      <c r="C92" s="284">
        <f>(C8*'Reporting Burden by Program'!C3)+(D8*'Reporting Burden by Program'!D3)+(E8*'Reporting Burden by Program'!E3)+(F8*'Reporting Burden by Program'!F3)+(G8*'Reporting Burden by Program'!G3)</f>
        <v>541.54714285714283</v>
      </c>
      <c r="D92" s="284">
        <f t="shared" ref="D92:E93" si="13">C92</f>
        <v>541.54714285714283</v>
      </c>
      <c r="E92" s="284">
        <f t="shared" si="13"/>
        <v>541.54714285714283</v>
      </c>
      <c r="F92" s="285">
        <f>G92/3</f>
        <v>541.54714285714283</v>
      </c>
      <c r="G92" s="285">
        <f>SUM(C92:E92)</f>
        <v>1624.6414285714286</v>
      </c>
    </row>
    <row r="93" spans="2:7" x14ac:dyDescent="0.25">
      <c r="B93" s="279" t="s">
        <v>255</v>
      </c>
      <c r="C93" s="284">
        <f>(C9*'Reporting Burden by Program'!C3)+(D9*'Reporting Burden by Program'!D3)+(E9*'Reporting Burden by Program'!E3)+(F9*'Reporting Burden by Program'!F3)+(G9*'Reporting Burden by Program'!G3)</f>
        <v>1823.1130952380952</v>
      </c>
      <c r="D93" s="284">
        <f t="shared" si="13"/>
        <v>1823.1130952380952</v>
      </c>
      <c r="E93" s="284">
        <f t="shared" si="13"/>
        <v>1823.1130952380952</v>
      </c>
      <c r="F93" s="285">
        <f>G93/3</f>
        <v>1823.1130952380952</v>
      </c>
      <c r="G93" s="285">
        <f>SUM(C93:E93)</f>
        <v>5469.3392857142853</v>
      </c>
    </row>
    <row r="94" spans="2:7" x14ac:dyDescent="0.25">
      <c r="B94" s="214" t="s">
        <v>67</v>
      </c>
      <c r="C94" s="212">
        <f>(C24*'Reporting Burden by Program'!C4)+(D24*'Reporting Burden by Program'!D4)+(E24*'Reporting Burden by Program'!E4)+(F24*'Reporting Burden by Program'!F4)</f>
        <v>3170</v>
      </c>
      <c r="D94" s="212">
        <f>(C39*'Reporting Burden by Program'!C4)+(D39*'Reporting Burden by Program'!D4)+(E39*'Reporting Burden by Program'!E4)+(F39*'Reporting Burden by Program'!F4)</f>
        <v>3320.625</v>
      </c>
      <c r="E94" s="212">
        <f>(C53*'Reporting Burden by Program'!C4)+(D53*'Reporting Burden by Program'!D4)+(E53*'Reporting Burden by Program'!E4)+(F53*'Reporting Burden by Program'!F4)</f>
        <v>1250.625</v>
      </c>
      <c r="F94" s="213">
        <f>G94/3</f>
        <v>2580.4166666666665</v>
      </c>
      <c r="G94" s="213">
        <f>SUM(C94:E94)</f>
        <v>7741.25</v>
      </c>
    </row>
    <row r="95" spans="2:7" x14ac:dyDescent="0.25">
      <c r="B95" s="214" t="s">
        <v>256</v>
      </c>
      <c r="C95" s="212">
        <f>(C25*'Reporting Burden by Program'!C5)+(D25*'Reporting Burden by Program'!D5)+(E25*'Reporting Burden by Program'!E5)+(F25*'Reporting Burden by Program'!F5)</f>
        <v>1269.25</v>
      </c>
      <c r="D95" s="212">
        <f>(C40*'Reporting Burden by Program'!C5)+(D40*'Reporting Burden by Program'!D5)+(E40*'Reporting Burden by Program'!E5)+(F40*'Reporting Burden by Program'!F5)</f>
        <v>98</v>
      </c>
      <c r="E95" s="212">
        <f>(C54*'Reporting Burden by Program'!C5)+(D54*'Reporting Burden by Program'!D5)+(E54*'Reporting Burden by Program'!E5)+(F54*'Reporting Burden by Program'!F5)</f>
        <v>210.87499999999997</v>
      </c>
      <c r="F95" s="213">
        <f>G95/3</f>
        <v>526.04166666666663</v>
      </c>
      <c r="G95" s="213">
        <f>SUM(C95:E95)</f>
        <v>1578.125</v>
      </c>
    </row>
    <row r="96" spans="2:7" x14ac:dyDescent="0.25">
      <c r="B96" s="214" t="s">
        <v>228</v>
      </c>
      <c r="C96" s="2">
        <f>SUM(C97:C98)</f>
        <v>920.41666666666663</v>
      </c>
      <c r="D96" s="2">
        <f t="shared" ref="D96" si="14">SUM(D97:D98)</f>
        <v>184.6875</v>
      </c>
      <c r="E96" s="2">
        <f t="shared" ref="E96" si="15">SUM(E97:E98)</f>
        <v>259.6875</v>
      </c>
      <c r="F96" s="295">
        <f t="shared" ref="F96" si="16">SUM(F97:F98)</f>
        <v>454.93055555555554</v>
      </c>
      <c r="G96" s="212">
        <f t="shared" ref="G96" si="17">SUM(G97:G98)</f>
        <v>1364.7916666666665</v>
      </c>
    </row>
    <row r="97" spans="2:7" x14ac:dyDescent="0.25">
      <c r="B97" s="283" t="s">
        <v>257</v>
      </c>
      <c r="C97" s="284">
        <f>(C27*'Reporting Burden by Program'!C6)+(D27*'Reporting Burden by Program'!D6)+(E27*'Reporting Burden by Program'!E6)+(F27*'Reporting Burden by Program'!F6)</f>
        <v>189.375</v>
      </c>
      <c r="D97" s="284">
        <f>(C42*'Reporting Burden by Program'!C6)+(D42*'Reporting Burden by Program'!D6)+(E42*'Reporting Burden by Program'!E6)+(F42*'Reporting Burden by Program'!F6)</f>
        <v>75</v>
      </c>
      <c r="E97" s="284">
        <f>(C56*'Reporting Burden by Program'!C6)+(D56*'Reporting Burden by Program'!D6)+(E56*'Reporting Burden by Program'!E6)+(F56*'Reporting Burden by Program'!F6)</f>
        <v>150</v>
      </c>
      <c r="F97" s="285">
        <f>G97/3</f>
        <v>138.125</v>
      </c>
      <c r="G97" s="285">
        <f>SUM(C97:E97)</f>
        <v>414.375</v>
      </c>
    </row>
    <row r="98" spans="2:7" x14ac:dyDescent="0.25">
      <c r="B98" s="283" t="s">
        <v>258</v>
      </c>
      <c r="C98" s="284">
        <f>(C28*'Reporting Burden by Program'!C7)+(D28*'Reporting Burden by Program'!D7)+(E28*'Reporting Burden by Program'!E7)+(F28*'Reporting Burden by Program'!F7)</f>
        <v>731.04166666666663</v>
      </c>
      <c r="D98" s="284">
        <f>(C43*'Reporting Burden by Program'!C7)+(D43*'Reporting Burden by Program'!D7)+(E43*'Reporting Burden by Program'!E7)+(F43*'Reporting Burden by Program'!F7)</f>
        <v>109.6875</v>
      </c>
      <c r="E98" s="284">
        <f>(C57*'Reporting Burden by Program'!C7)+(D57*'Reporting Burden by Program'!D7)+(E57*'Reporting Burden by Program'!E7)+(F57*'Reporting Burden by Program'!F7)</f>
        <v>109.6875</v>
      </c>
      <c r="F98" s="286">
        <f>G98/3</f>
        <v>316.80555555555554</v>
      </c>
      <c r="G98" s="285">
        <f>SUM(C98:E98)</f>
        <v>950.41666666666663</v>
      </c>
    </row>
    <row r="99" spans="2:7" x14ac:dyDescent="0.25">
      <c r="B99" s="200" t="s">
        <v>138</v>
      </c>
      <c r="C99" s="205">
        <f>SUM(C91:C93,C94,C95,C97:C98)</f>
        <v>9947.44</v>
      </c>
      <c r="D99" s="205">
        <f t="shared" ref="D99" si="18">SUM(D91:D93,D94,D95,D97:D98)</f>
        <v>8191.0858333333335</v>
      </c>
      <c r="E99" s="205">
        <f t="shared" ref="E99" si="19">SUM(E91:E93,E94,E95,E97:E98)</f>
        <v>6308.9608333333335</v>
      </c>
      <c r="F99" s="292">
        <f t="shared" ref="F99" si="20">SUM(F91:F93,F94,F95,F97:F98)</f>
        <v>8149.1622222222231</v>
      </c>
      <c r="G99" s="205">
        <f>SUM(G91:G93,G94,G95,G97:G98)</f>
        <v>24447.486666666668</v>
      </c>
    </row>
    <row r="100" spans="2:7" x14ac:dyDescent="0.25">
      <c r="F100" s="277"/>
    </row>
    <row r="101" spans="2:7" x14ac:dyDescent="0.25">
      <c r="B101" s="2" t="s">
        <v>279</v>
      </c>
      <c r="F101" s="277"/>
    </row>
    <row r="102" spans="2:7" ht="45" x14ac:dyDescent="0.25">
      <c r="B102" s="202" t="s">
        <v>60</v>
      </c>
      <c r="C102" s="203" t="s">
        <v>280</v>
      </c>
      <c r="D102" s="203" t="s">
        <v>281</v>
      </c>
      <c r="E102" s="203" t="s">
        <v>282</v>
      </c>
      <c r="F102" s="204" t="s">
        <v>283</v>
      </c>
      <c r="G102" s="204" t="s">
        <v>284</v>
      </c>
    </row>
    <row r="103" spans="2:7" x14ac:dyDescent="0.25">
      <c r="B103" s="214" t="s">
        <v>101</v>
      </c>
      <c r="C103" s="294">
        <f>SUM(C104:C106)</f>
        <v>283137.71945946768</v>
      </c>
      <c r="D103" s="294">
        <f t="shared" ref="D103" si="21">SUM(D104:D106)</f>
        <v>283137.71945946768</v>
      </c>
      <c r="E103" s="294">
        <f t="shared" ref="E103" si="22">SUM(E104:E106)</f>
        <v>283137.71945946768</v>
      </c>
      <c r="F103" s="293">
        <f t="shared" ref="F103" si="23">SUM(F104:F106)</f>
        <v>283137.71945946768</v>
      </c>
      <c r="G103" s="294">
        <f t="shared" ref="G103" si="24">SUM(G104:G106)</f>
        <v>849413.15837840317</v>
      </c>
    </row>
    <row r="104" spans="2:7" x14ac:dyDescent="0.25">
      <c r="B104" s="279" t="s">
        <v>253</v>
      </c>
      <c r="C104" s="287">
        <f>(C91*Wages!$L$18*SUM(Respondents!C33:D33))+('Grant Cycle Raw Data'!C91*Wages!$L$19*Respondents!E33)</f>
        <v>132867.05093956777</v>
      </c>
      <c r="D104" s="287">
        <f>C104</f>
        <v>132867.05093956777</v>
      </c>
      <c r="E104" s="287">
        <f>D104</f>
        <v>132867.05093956777</v>
      </c>
      <c r="F104" s="288">
        <f>G104/3</f>
        <v>132867.05093956777</v>
      </c>
      <c r="G104" s="288">
        <f>SUM(C104:E104)</f>
        <v>398601.15281870333</v>
      </c>
    </row>
    <row r="105" spans="2:7" x14ac:dyDescent="0.25">
      <c r="B105" s="279" t="s">
        <v>254</v>
      </c>
      <c r="C105" s="287">
        <f>(C92*Wages!$L$18*SUM(Respondents!C34:D34))+('Grant Cycle Raw Data'!C92*Wages!$L$19*Respondents!E34)</f>
        <v>34414.521748687279</v>
      </c>
      <c r="D105" s="287">
        <f t="shared" ref="D105:E105" si="25">C105</f>
        <v>34414.521748687279</v>
      </c>
      <c r="E105" s="287">
        <f t="shared" si="25"/>
        <v>34414.521748687279</v>
      </c>
      <c r="F105" s="288">
        <f>G105/3</f>
        <v>34414.521748687279</v>
      </c>
      <c r="G105" s="288">
        <f>SUM(C105:E105)</f>
        <v>103243.56524606183</v>
      </c>
    </row>
    <row r="106" spans="2:7" x14ac:dyDescent="0.25">
      <c r="B106" s="279" t="s">
        <v>255</v>
      </c>
      <c r="C106" s="287">
        <f>(C93*Wages!$L$18*SUM(Respondents!C35:D35))+('Grant Cycle Raw Data'!C93*Wages!$L$19*Respondents!E35)</f>
        <v>115856.14677121266</v>
      </c>
      <c r="D106" s="287">
        <f t="shared" ref="D106:E106" si="26">C106</f>
        <v>115856.14677121266</v>
      </c>
      <c r="E106" s="287">
        <f t="shared" si="26"/>
        <v>115856.14677121266</v>
      </c>
      <c r="F106" s="288">
        <f>G106/3</f>
        <v>115856.14677121265</v>
      </c>
      <c r="G106" s="288">
        <f>SUM(C106:E106)</f>
        <v>347568.44031363796</v>
      </c>
    </row>
    <row r="107" spans="2:7" x14ac:dyDescent="0.25">
      <c r="B107" s="214" t="s">
        <v>67</v>
      </c>
      <c r="C107" s="262">
        <f>(C94*Wages!$L$18*SUM(Respondents!$C36:$D36))+('Grant Cycle Raw Data'!C94*Wages!$L$19*Respondents!$E36)</f>
        <v>182264.9395631254</v>
      </c>
      <c r="D107" s="262">
        <f>(D94*Wages!$L$18*SUM(Respondents!$C36:$D36))+('Grant Cycle Raw Data'!D94*Wages!$L$19*Respondents!$E36)</f>
        <v>190925.39903369188</v>
      </c>
      <c r="E107" s="262">
        <f>(E94*Wages!$L$18*SUM(Respondents!$C36:$D36))+('Grant Cycle Raw Data'!E94*Wages!$L$19*Respondents!$E36)</f>
        <v>71906.968467234605</v>
      </c>
      <c r="F107" s="261">
        <f>G107/3</f>
        <v>148365.76902135063</v>
      </c>
      <c r="G107" s="261">
        <f>SUM(C107:E107)</f>
        <v>445097.30706405186</v>
      </c>
    </row>
    <row r="108" spans="2:7" x14ac:dyDescent="0.25">
      <c r="B108" s="214" t="s">
        <v>256</v>
      </c>
      <c r="C108" s="262">
        <f>(C95*Wages!$L$18*SUM(Respondents!$C37:$D37))+('Grant Cycle Raw Data'!C95*Wages!$L$19*Respondents!$E37)</f>
        <v>79973.150355437072</v>
      </c>
      <c r="D108" s="262">
        <f>(D95*Wages!$L$18*SUM(Respondents!$C37:$D37))+('Grant Cycle Raw Data'!D95*Wages!$L$19*Respondents!$E37)</f>
        <v>6174.803021337666</v>
      </c>
      <c r="E108" s="262">
        <f>(E95*Wages!$L$18*SUM(Respondents!$C37:$D37))+('Grant Cycle Raw Data'!E95*Wages!$L$19*Respondents!$E37)</f>
        <v>13286.852929842657</v>
      </c>
      <c r="F108" s="261">
        <f>G108/3</f>
        <v>33144.935435539133</v>
      </c>
      <c r="G108" s="261">
        <f>SUM(C108:E108)</f>
        <v>99434.806306617393</v>
      </c>
    </row>
    <row r="109" spans="2:7" x14ac:dyDescent="0.25">
      <c r="B109" s="214" t="s">
        <v>228</v>
      </c>
      <c r="C109" s="294">
        <f>SUM(C110:C111)</f>
        <v>57385.11004528655</v>
      </c>
      <c r="D109" s="294">
        <f t="shared" ref="D109" si="27">SUM(D110:D111)</f>
        <v>11570.669171774975</v>
      </c>
      <c r="E109" s="294">
        <f t="shared" ref="E109" si="28">SUM(E110:E111)</f>
        <v>16336.808491676111</v>
      </c>
      <c r="F109" s="297">
        <f t="shared" ref="F109" si="29">SUM(F110:F111)</f>
        <v>28430.862569579214</v>
      </c>
      <c r="G109" s="294">
        <f t="shared" ref="G109" si="30">SUM(G110:G111)</f>
        <v>85292.587708737643</v>
      </c>
    </row>
    <row r="110" spans="2:7" x14ac:dyDescent="0.25">
      <c r="B110" s="283" t="s">
        <v>257</v>
      </c>
      <c r="C110" s="287">
        <f>(C97*Wages!$L$18*SUM(Respondents!$C39:$D39))+('Grant Cycle Raw Data'!C97*Wages!$L$19*Respondents!$E39)</f>
        <v>12034.501782750367</v>
      </c>
      <c r="D110" s="287">
        <f>(D97*Wages!$L$18*SUM(Respondents!$C39:$D39))+('Grant Cycle Raw Data'!D97*Wages!$L$19*Respondents!$E39)</f>
        <v>4766.1393199011354</v>
      </c>
      <c r="E110" s="287">
        <f>(E97*Wages!$L$18*SUM(Respondents!$C39:$D39))+('Grant Cycle Raw Data'!E97*Wages!$L$19*Respondents!$E39)</f>
        <v>9532.2786398022708</v>
      </c>
      <c r="F110" s="288">
        <f>G110/3</f>
        <v>8777.6399141512575</v>
      </c>
      <c r="G110" s="288">
        <f>SUM(C110:E110)</f>
        <v>26332.919742453771</v>
      </c>
    </row>
    <row r="111" spans="2:7" x14ac:dyDescent="0.25">
      <c r="B111" s="283" t="s">
        <v>258</v>
      </c>
      <c r="C111" s="287">
        <f>(C98*Wages!$L$18*SUM(Respondents!$C40:$D40))+('Grant Cycle Raw Data'!C98*Wages!$L$19*Respondents!$E40)</f>
        <v>45350.608262536181</v>
      </c>
      <c r="D111" s="287">
        <f>(D98*Wages!$L$18*SUM(Respondents!$C40:$D40))+('Grant Cycle Raw Data'!D98*Wages!$L$19*Respondents!$E40)</f>
        <v>6804.5298518738391</v>
      </c>
      <c r="E111" s="287">
        <f>(E98*Wages!$L$18*SUM(Respondents!$C40:$D40))+('Grant Cycle Raw Data'!E98*Wages!$L$19*Respondents!$E40)</f>
        <v>6804.5298518738391</v>
      </c>
      <c r="F111" s="289">
        <f>G111/3</f>
        <v>19653.222655427955</v>
      </c>
      <c r="G111" s="288">
        <f>SUM(C111:E111)</f>
        <v>58959.667966283865</v>
      </c>
    </row>
    <row r="112" spans="2:7" x14ac:dyDescent="0.25">
      <c r="B112" s="200" t="s">
        <v>138</v>
      </c>
      <c r="C112" s="296">
        <f>SUM(C104:C106,C107,C108,C110:C111)</f>
        <v>602760.91942331672</v>
      </c>
      <c r="D112" s="296">
        <f t="shared" ref="D112" si="31">SUM(D104:D106,D107,D108,D110:D111)</f>
        <v>491808.59068627213</v>
      </c>
      <c r="E112" s="296">
        <f t="shared" ref="E112" si="32">SUM(E104:E106,E107,E108,E110:E111)</f>
        <v>384668.34934822103</v>
      </c>
      <c r="F112" s="298">
        <f>SUM(F104:F106,F107,F108,F110:F111)</f>
        <v>493079.28648593667</v>
      </c>
      <c r="G112" s="296">
        <f>SUM(G104:G106,G107,G108,G110:G111)</f>
        <v>1479237.8594578099</v>
      </c>
    </row>
    <row r="114" spans="2:6" x14ac:dyDescent="0.25">
      <c r="B114" s="2" t="s">
        <v>285</v>
      </c>
    </row>
    <row r="115" spans="2:6" ht="75" x14ac:dyDescent="0.25">
      <c r="B115" s="202" t="s">
        <v>60</v>
      </c>
      <c r="C115" s="204" t="s">
        <v>62</v>
      </c>
      <c r="D115" s="203" t="str">
        <f>F102</f>
        <v>Average Annual Cost for Participants over ICR Period (2025-2027; $)</v>
      </c>
      <c r="E115" s="203" t="s">
        <v>278</v>
      </c>
      <c r="F115" s="203" t="s">
        <v>284</v>
      </c>
    </row>
    <row r="116" spans="2:6" x14ac:dyDescent="0.25">
      <c r="B116" s="214" t="s">
        <v>101</v>
      </c>
      <c r="C116" s="212">
        <f>F90</f>
        <v>4587.7733333333335</v>
      </c>
      <c r="D116" s="301">
        <f>F103</f>
        <v>283137.71945946768</v>
      </c>
      <c r="E116" s="212">
        <f>G90</f>
        <v>13763.32</v>
      </c>
      <c r="F116" s="294">
        <f>G103</f>
        <v>849413.15837840317</v>
      </c>
    </row>
    <row r="117" spans="2:6" x14ac:dyDescent="0.25">
      <c r="B117" s="279" t="s">
        <v>253</v>
      </c>
      <c r="C117" s="284">
        <f t="shared" ref="C117:C125" si="33">F91</f>
        <v>2223.1130952380954</v>
      </c>
      <c r="D117" s="302">
        <f t="shared" ref="D117:D125" si="34">F104</f>
        <v>132867.05093956777</v>
      </c>
      <c r="E117" s="284">
        <f t="shared" ref="E117:E124" si="35">G91</f>
        <v>6669.3392857142862</v>
      </c>
      <c r="F117" s="299">
        <f t="shared" ref="F117:F124" si="36">G104</f>
        <v>398601.15281870333</v>
      </c>
    </row>
    <row r="118" spans="2:6" x14ac:dyDescent="0.25">
      <c r="B118" s="279" t="s">
        <v>254</v>
      </c>
      <c r="C118" s="284">
        <f t="shared" si="33"/>
        <v>541.54714285714283</v>
      </c>
      <c r="D118" s="302">
        <f t="shared" si="34"/>
        <v>34414.521748687279</v>
      </c>
      <c r="E118" s="284">
        <f t="shared" si="35"/>
        <v>1624.6414285714286</v>
      </c>
      <c r="F118" s="299">
        <f t="shared" si="36"/>
        <v>103243.56524606183</v>
      </c>
    </row>
    <row r="119" spans="2:6" x14ac:dyDescent="0.25">
      <c r="B119" s="279" t="s">
        <v>255</v>
      </c>
      <c r="C119" s="284">
        <f t="shared" si="33"/>
        <v>1823.1130952380952</v>
      </c>
      <c r="D119" s="302">
        <f t="shared" si="34"/>
        <v>115856.14677121265</v>
      </c>
      <c r="E119" s="284">
        <f t="shared" si="35"/>
        <v>5469.3392857142853</v>
      </c>
      <c r="F119" s="299">
        <f t="shared" si="36"/>
        <v>347568.44031363796</v>
      </c>
    </row>
    <row r="120" spans="2:6" x14ac:dyDescent="0.25">
      <c r="B120" s="214" t="s">
        <v>67</v>
      </c>
      <c r="C120" s="212">
        <f t="shared" si="33"/>
        <v>2580.4166666666665</v>
      </c>
      <c r="D120" s="301">
        <f t="shared" si="34"/>
        <v>148365.76902135063</v>
      </c>
      <c r="E120" s="212">
        <f t="shared" si="35"/>
        <v>7741.25</v>
      </c>
      <c r="F120" s="294">
        <f t="shared" si="36"/>
        <v>445097.30706405186</v>
      </c>
    </row>
    <row r="121" spans="2:6" x14ac:dyDescent="0.25">
      <c r="B121" s="214" t="s">
        <v>256</v>
      </c>
      <c r="C121" s="212">
        <f t="shared" si="33"/>
        <v>526.04166666666663</v>
      </c>
      <c r="D121" s="301">
        <f t="shared" si="34"/>
        <v>33144.935435539133</v>
      </c>
      <c r="E121" s="212">
        <f t="shared" si="35"/>
        <v>1578.125</v>
      </c>
      <c r="F121" s="294">
        <f t="shared" si="36"/>
        <v>99434.806306617393</v>
      </c>
    </row>
    <row r="122" spans="2:6" x14ac:dyDescent="0.25">
      <c r="B122" s="214" t="s">
        <v>228</v>
      </c>
      <c r="C122" s="212">
        <f t="shared" si="33"/>
        <v>454.93055555555554</v>
      </c>
      <c r="D122" s="301">
        <f t="shared" si="34"/>
        <v>28430.862569579214</v>
      </c>
      <c r="E122" s="212">
        <f t="shared" si="35"/>
        <v>1364.7916666666665</v>
      </c>
      <c r="F122" s="294">
        <f t="shared" si="36"/>
        <v>85292.587708737643</v>
      </c>
    </row>
    <row r="123" spans="2:6" x14ac:dyDescent="0.25">
      <c r="B123" s="283" t="s">
        <v>257</v>
      </c>
      <c r="C123" s="284">
        <f t="shared" si="33"/>
        <v>138.125</v>
      </c>
      <c r="D123" s="302">
        <f t="shared" si="34"/>
        <v>8777.6399141512575</v>
      </c>
      <c r="E123" s="284">
        <f t="shared" si="35"/>
        <v>414.375</v>
      </c>
      <c r="F123" s="299">
        <f t="shared" si="36"/>
        <v>26332.919742453771</v>
      </c>
    </row>
    <row r="124" spans="2:6" x14ac:dyDescent="0.25">
      <c r="B124" s="283" t="s">
        <v>258</v>
      </c>
      <c r="C124" s="300">
        <f t="shared" si="33"/>
        <v>316.80555555555554</v>
      </c>
      <c r="D124" s="303">
        <f t="shared" si="34"/>
        <v>19653.222655427955</v>
      </c>
      <c r="E124" s="284">
        <f t="shared" si="35"/>
        <v>950.41666666666663</v>
      </c>
      <c r="F124" s="299">
        <f t="shared" si="36"/>
        <v>58959.667966283865</v>
      </c>
    </row>
    <row r="125" spans="2:6" x14ac:dyDescent="0.25">
      <c r="B125" s="200" t="s">
        <v>138</v>
      </c>
      <c r="C125" s="212">
        <f t="shared" si="33"/>
        <v>8149.1622222222231</v>
      </c>
      <c r="D125" s="301">
        <f t="shared" si="34"/>
        <v>493079.28648593667</v>
      </c>
      <c r="E125" s="205">
        <f>SUM(E117:E119,E120,E121,E123:E124)</f>
        <v>24447.486666666668</v>
      </c>
      <c r="F125" s="296">
        <f>SUM(F117:F119,F120,F121,F123:F124)</f>
        <v>1479237.8594578099</v>
      </c>
    </row>
  </sheetData>
  <sheetProtection sheet="1" objects="1" scenarios="1"/>
  <mergeCells count="1">
    <mergeCell ref="B2:G2"/>
  </mergeCells>
  <phoneticPr fontId="3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84D3A-84DC-4D56-BA81-236C4CC6AC53}">
  <dimension ref="A3:R211"/>
  <sheetViews>
    <sheetView topLeftCell="B22" zoomScale="80" zoomScaleNormal="80" workbookViewId="0">
      <selection activeCell="B22" sqref="B22:F22"/>
    </sheetView>
  </sheetViews>
  <sheetFormatPr defaultRowHeight="15" x14ac:dyDescent="0.25"/>
  <cols>
    <col min="1" max="1" width="6.5703125" bestFit="1" customWidth="1"/>
    <col min="2" max="2" width="44.28515625" style="24" customWidth="1"/>
    <col min="3" max="3" width="11.28515625" style="24" customWidth="1"/>
    <col min="4" max="4" width="10.7109375" hidden="1" customWidth="1"/>
    <col min="5" max="5" width="10.42578125" style="482" customWidth="1"/>
    <col min="6" max="6" width="10.5703125" customWidth="1"/>
    <col min="7" max="7" width="11.5703125" customWidth="1"/>
    <col min="8" max="8" width="11.42578125" style="386" customWidth="1"/>
    <col min="9" max="9" width="16.42578125" style="386" customWidth="1"/>
    <col min="10" max="10" width="13.28515625" style="386" customWidth="1"/>
    <col min="11" max="11" width="13.42578125" style="386" customWidth="1"/>
    <col min="12" max="13" width="12" style="386" customWidth="1"/>
    <col min="14" max="14" width="11.85546875" style="386" customWidth="1"/>
    <col min="15" max="15" width="5.85546875" customWidth="1"/>
    <col min="16" max="17" width="9.140625" customWidth="1"/>
  </cols>
  <sheetData>
    <row r="3" spans="1:14" x14ac:dyDescent="0.25">
      <c r="A3" s="536" t="s">
        <v>286</v>
      </c>
      <c r="B3" s="536"/>
      <c r="C3" s="536"/>
      <c r="D3" s="536"/>
      <c r="E3" s="479"/>
      <c r="F3" s="536"/>
      <c r="G3" s="536"/>
      <c r="H3" s="417"/>
      <c r="I3" s="418"/>
      <c r="J3" s="577" t="s">
        <v>287</v>
      </c>
      <c r="K3" s="577"/>
      <c r="L3" s="577"/>
      <c r="M3" s="577"/>
      <c r="N3" s="577"/>
    </row>
    <row r="4" spans="1:14" ht="45" x14ac:dyDescent="0.25">
      <c r="A4" s="132" t="s">
        <v>288</v>
      </c>
      <c r="B4" s="132" t="s">
        <v>109</v>
      </c>
      <c r="C4" s="132" t="s">
        <v>110</v>
      </c>
      <c r="D4" s="132" t="s">
        <v>111</v>
      </c>
      <c r="E4" s="480" t="s">
        <v>289</v>
      </c>
      <c r="F4" s="132" t="s">
        <v>290</v>
      </c>
      <c r="G4" s="132" t="s">
        <v>291</v>
      </c>
      <c r="H4" s="132" t="s">
        <v>292</v>
      </c>
      <c r="I4" s="132" t="s">
        <v>293</v>
      </c>
      <c r="J4" s="132" t="s">
        <v>118</v>
      </c>
      <c r="K4" s="132" t="s">
        <v>119</v>
      </c>
      <c r="L4" s="132" t="s">
        <v>120</v>
      </c>
      <c r="M4" s="132" t="s">
        <v>121</v>
      </c>
      <c r="N4" s="132" t="s">
        <v>122</v>
      </c>
    </row>
    <row r="5" spans="1:14" x14ac:dyDescent="0.25">
      <c r="A5" t="s">
        <v>294</v>
      </c>
      <c r="B5" s="139" t="str">
        <f>'Reporting Burden by Program'!A14</f>
        <v>DERA Supplemental Application Template</v>
      </c>
      <c r="C5" s="139" t="str">
        <f>'Reporting Burden by Program'!B14</f>
        <v>5900-681</v>
      </c>
      <c r="D5" s="139" t="str">
        <f>'Reporting Burden by Program'!C14</f>
        <v>Required</v>
      </c>
      <c r="E5" s="474">
        <f>'Reporting Burden by Program'!D14</f>
        <v>1</v>
      </c>
      <c r="F5" s="140">
        <f>'Reporting Burden by Program'!E14</f>
        <v>5.15</v>
      </c>
      <c r="G5" s="140">
        <f>'Reporting Burden by Program'!F14</f>
        <v>7.55</v>
      </c>
      <c r="H5" s="385">
        <f>'Reporting Burden by Program'!G14</f>
        <v>6.35</v>
      </c>
      <c r="I5" s="385" t="str">
        <f>'Reporting Burden by Program'!I14</f>
        <v>5.2 - 7.6</v>
      </c>
      <c r="J5" s="385">
        <f>'Reporting Burden by Program'!J14</f>
        <v>6.35</v>
      </c>
      <c r="K5" s="385">
        <f>'Reporting Burden by Program'!K14</f>
        <v>0</v>
      </c>
      <c r="L5" s="385">
        <f>'Reporting Burden by Program'!L14</f>
        <v>0</v>
      </c>
      <c r="M5" s="385">
        <f>'Reporting Burden by Program'!M14</f>
        <v>0</v>
      </c>
      <c r="N5" s="385">
        <f>'Reporting Burden by Program'!N14</f>
        <v>0</v>
      </c>
    </row>
    <row r="6" spans="1:14" x14ac:dyDescent="0.25">
      <c r="A6" t="s">
        <v>295</v>
      </c>
      <c r="B6" s="139" t="str">
        <f>'Reporting Burden by Program'!A15</f>
        <v>DERA Eligibility Statement</v>
      </c>
      <c r="C6" s="139" t="str">
        <f>'Reporting Burden by Program'!B15</f>
        <v>5900-687</v>
      </c>
      <c r="D6" s="139" t="str">
        <f>'Reporting Burden by Program'!C15</f>
        <v>Required</v>
      </c>
      <c r="E6" s="474">
        <f>'Reporting Burden by Program'!D15</f>
        <v>1</v>
      </c>
      <c r="F6" s="140">
        <f>'Reporting Burden by Program'!E15</f>
        <v>1.5</v>
      </c>
      <c r="G6" s="140">
        <f>'Reporting Burden by Program'!F15</f>
        <v>12</v>
      </c>
      <c r="H6" s="385">
        <f>'Reporting Burden by Program'!G15</f>
        <v>6.75</v>
      </c>
      <c r="I6" s="385" t="str">
        <f>'Reporting Burden by Program'!I15</f>
        <v>1.5 - 12</v>
      </c>
      <c r="J6" s="385">
        <f>'Reporting Burden by Program'!J15</f>
        <v>1.5</v>
      </c>
      <c r="K6" s="385">
        <f>'Reporting Burden by Program'!K15</f>
        <v>6.75</v>
      </c>
      <c r="L6" s="385">
        <f>'Reporting Burden by Program'!L15</f>
        <v>0</v>
      </c>
      <c r="M6" s="385">
        <f>'Reporting Burden by Program'!M15</f>
        <v>0</v>
      </c>
      <c r="N6" s="385">
        <f>'Reporting Burden by Program'!N15</f>
        <v>0</v>
      </c>
    </row>
    <row r="7" spans="1:14" x14ac:dyDescent="0.25">
      <c r="A7" t="s">
        <v>296</v>
      </c>
      <c r="B7" s="139" t="str">
        <f>'Reporting Burden by Program'!A16</f>
        <v>DERA Scrappage Statement</v>
      </c>
      <c r="C7" s="139" t="str">
        <f>'Reporting Burden by Program'!B16</f>
        <v>5900-688</v>
      </c>
      <c r="D7" s="139" t="str">
        <f>'Reporting Burden by Program'!C16</f>
        <v>Required</v>
      </c>
      <c r="E7" s="474">
        <f>'Reporting Burden by Program'!D16</f>
        <v>1</v>
      </c>
      <c r="F7" s="140">
        <f>'Reporting Burden by Program'!E16</f>
        <v>1.5</v>
      </c>
      <c r="G7" s="140">
        <f>'Reporting Burden by Program'!F16</f>
        <v>12</v>
      </c>
      <c r="H7" s="385">
        <f>'Reporting Burden by Program'!G16</f>
        <v>6.75</v>
      </c>
      <c r="I7" s="385" t="str">
        <f>'Reporting Burden by Program'!I16</f>
        <v>1.5 - 12</v>
      </c>
      <c r="J7" s="385">
        <f>'Reporting Burden by Program'!J16</f>
        <v>0</v>
      </c>
      <c r="K7" s="385">
        <f>'Reporting Burden by Program'!K16</f>
        <v>6.75</v>
      </c>
      <c r="L7" s="385">
        <f>'Reporting Burden by Program'!L16</f>
        <v>0</v>
      </c>
      <c r="M7" s="385">
        <f>'Reporting Burden by Program'!M16</f>
        <v>0</v>
      </c>
      <c r="N7" s="385">
        <f>'Reporting Burden by Program'!N16</f>
        <v>0</v>
      </c>
    </row>
    <row r="8" spans="1:14" x14ac:dyDescent="0.25">
      <c r="A8" t="s">
        <v>297</v>
      </c>
      <c r="B8" s="139" t="str">
        <f>'Reporting Burden by Program'!A17</f>
        <v>DERA Project Reporting Template</v>
      </c>
      <c r="C8" s="139" t="str">
        <f>'Reporting Burden by Program'!B17</f>
        <v>5900-691</v>
      </c>
      <c r="D8" s="139" t="str">
        <f>'Reporting Burden by Program'!C17</f>
        <v>Required</v>
      </c>
      <c r="E8" s="474">
        <f>'Reporting Burden by Program'!D17</f>
        <v>1</v>
      </c>
      <c r="F8" s="140">
        <f>'Reporting Burden by Program'!E17</f>
        <v>12.373333333333333</v>
      </c>
      <c r="G8" s="140">
        <f>'Reporting Burden by Program'!F17</f>
        <v>15.683333333333332</v>
      </c>
      <c r="H8" s="385">
        <f>'Reporting Burden by Program'!G17</f>
        <v>14.028333333333332</v>
      </c>
      <c r="I8" s="385" t="str">
        <f>'Reporting Burden by Program'!I17</f>
        <v>12.4 - 15.7</v>
      </c>
      <c r="J8" s="385">
        <f>'Reporting Burden by Program'!J17</f>
        <v>0</v>
      </c>
      <c r="K8" s="385">
        <f>'Reporting Burden by Program'!K17</f>
        <v>7.0283333333333324</v>
      </c>
      <c r="L8" s="385">
        <f>'Reporting Burden by Program'!L17</f>
        <v>1.5</v>
      </c>
      <c r="M8" s="385">
        <f>'Reporting Burden by Program'!M17</f>
        <v>1.5</v>
      </c>
      <c r="N8" s="385">
        <f>'Reporting Burden by Program'!N17</f>
        <v>4</v>
      </c>
    </row>
    <row r="9" spans="1:14" x14ac:dyDescent="0.25">
      <c r="A9" t="s">
        <v>298</v>
      </c>
      <c r="B9" s="139" t="str">
        <f>'Reporting Burden by Program'!A18</f>
        <v>Utility Partnership Agreement</v>
      </c>
      <c r="C9" s="139" t="str">
        <f>'Reporting Burden by Program'!B18</f>
        <v>5900-685</v>
      </c>
      <c r="D9" s="139" t="str">
        <f>'Reporting Burden by Program'!C18</f>
        <v>Optional</v>
      </c>
      <c r="E9" s="474">
        <f>'Reporting Burden by Program'!D18</f>
        <v>0.1</v>
      </c>
      <c r="F9" s="140">
        <f>'Reporting Burden by Program'!E18</f>
        <v>1.5</v>
      </c>
      <c r="G9" s="140">
        <f>'Reporting Burden by Program'!F18</f>
        <v>6</v>
      </c>
      <c r="H9" s="419">
        <f>'Reporting Burden by Program'!G18</f>
        <v>3.75</v>
      </c>
      <c r="I9" s="419" t="str">
        <f>'Reporting Burden by Program'!I18</f>
        <v>1.5 - 6</v>
      </c>
      <c r="J9" s="419">
        <f>'Reporting Burden by Program'!J18</f>
        <v>1.5</v>
      </c>
      <c r="K9" s="419">
        <f>'Reporting Burden by Program'!K18</f>
        <v>3.75</v>
      </c>
      <c r="L9" s="419">
        <f>'Reporting Burden by Program'!L18</f>
        <v>0</v>
      </c>
      <c r="M9" s="419">
        <f>'Reporting Burden by Program'!M18</f>
        <v>0</v>
      </c>
      <c r="N9" s="419">
        <f>'Reporting Burden by Program'!N18</f>
        <v>0</v>
      </c>
    </row>
    <row r="10" spans="1:14" s="148" customFormat="1" x14ac:dyDescent="0.25">
      <c r="A10" s="148" t="s">
        <v>299</v>
      </c>
      <c r="B10" s="139" t="str">
        <f>'Reporting Burden by Program'!A19</f>
        <v>OTAQ Funding Program Recipient Story Collection Form</v>
      </c>
      <c r="C10" s="139" t="str">
        <f>'Reporting Burden by Program'!B19</f>
        <v>TBA</v>
      </c>
      <c r="D10" s="139" t="str">
        <f>'Reporting Burden by Program'!C19</f>
        <v>Optional</v>
      </c>
      <c r="E10" s="474">
        <f>'Reporting Burden by Program'!D19</f>
        <v>0.05</v>
      </c>
      <c r="F10" s="140">
        <f>'Reporting Burden by Program'!E19</f>
        <v>1.5</v>
      </c>
      <c r="G10" s="140">
        <f>'Reporting Burden by Program'!F19</f>
        <v>3</v>
      </c>
      <c r="H10" s="419">
        <f>'Reporting Burden by Program'!G19</f>
        <v>2.25</v>
      </c>
      <c r="I10" s="419" t="str">
        <f>'Reporting Burden by Program'!I19</f>
        <v>1.5 - 3</v>
      </c>
      <c r="J10" s="419">
        <f>'Reporting Burden by Program'!J19</f>
        <v>0</v>
      </c>
      <c r="K10" s="419">
        <f>'Reporting Burden by Program'!K19</f>
        <v>0</v>
      </c>
      <c r="L10" s="419">
        <f>'Reporting Burden by Program'!L19</f>
        <v>0</v>
      </c>
      <c r="M10" s="419">
        <f>'Reporting Burden by Program'!M19</f>
        <v>0</v>
      </c>
      <c r="N10" s="419">
        <f>'Reporting Burden by Program'!N19</f>
        <v>2.25</v>
      </c>
    </row>
    <row r="11" spans="1:14" ht="30" x14ac:dyDescent="0.25">
      <c r="A11" s="462" t="s">
        <v>300</v>
      </c>
      <c r="B11" s="463" t="str">
        <f>'Reporting Burden by Program'!A20</f>
        <v>BABA Waiver Request (non-form information collection)</v>
      </c>
      <c r="C11" s="142" t="str">
        <f>'Reporting Burden by Program'!B20</f>
        <v>N/A</v>
      </c>
      <c r="D11" s="142" t="str">
        <f>'Reporting Burden by Program'!C20</f>
        <v>Optional</v>
      </c>
      <c r="E11" s="475">
        <f>'Reporting Burden by Program'!D20</f>
        <v>8.9285714285714288E-2</v>
      </c>
      <c r="F11" s="143">
        <f>'Reporting Burden by Program'!E20</f>
        <v>4</v>
      </c>
      <c r="G11" s="143">
        <f>'Reporting Burden by Program'!F20</f>
        <v>6</v>
      </c>
      <c r="H11" s="143">
        <f>'Reporting Burden by Program'!G20</f>
        <v>5</v>
      </c>
      <c r="I11" s="143" t="str">
        <f>'Reporting Burden by Program'!I20</f>
        <v>4 - 6</v>
      </c>
      <c r="J11" s="465">
        <f>'Reporting Burden by Program'!J20</f>
        <v>0</v>
      </c>
      <c r="K11" s="143">
        <f>'Reporting Burden by Program'!K20</f>
        <v>5</v>
      </c>
      <c r="L11" s="465">
        <f>'Reporting Burden by Program'!L20</f>
        <v>0</v>
      </c>
      <c r="M11" s="465">
        <f>'Reporting Burden by Program'!M20</f>
        <v>0</v>
      </c>
      <c r="N11" s="465">
        <f>'Reporting Burden by Program'!N20</f>
        <v>0</v>
      </c>
    </row>
    <row r="12" spans="1:14" ht="30" x14ac:dyDescent="0.25">
      <c r="A12" t="s">
        <v>301</v>
      </c>
      <c r="B12" s="17" t="s">
        <v>302</v>
      </c>
      <c r="C12" s="139"/>
      <c r="D12" s="139"/>
      <c r="E12" s="474"/>
      <c r="F12" s="139"/>
      <c r="G12" s="139"/>
      <c r="H12" s="390">
        <f>SUM(J12:N12)</f>
        <v>47.87833333333333</v>
      </c>
      <c r="I12" s="144" t="str">
        <f>_xlfn.TEXTJOIN("", TRUE, ROUND(SUM(F5:F10), 1), " - ", ROUND(SUM(G5:G10),1))</f>
        <v>23.5 - 56.2</v>
      </c>
      <c r="J12" s="390">
        <f>SUM(J5:J11)</f>
        <v>9.35</v>
      </c>
      <c r="K12" s="390">
        <f t="shared" ref="K12:N12" si="0">SUM(K5:K11)</f>
        <v>29.278333333333332</v>
      </c>
      <c r="L12" s="390">
        <f t="shared" si="0"/>
        <v>1.5</v>
      </c>
      <c r="M12" s="390">
        <f t="shared" si="0"/>
        <v>1.5</v>
      </c>
      <c r="N12" s="390">
        <f t="shared" si="0"/>
        <v>6.25</v>
      </c>
    </row>
    <row r="13" spans="1:14" ht="30" customHeight="1" x14ac:dyDescent="0.25">
      <c r="A13" t="s">
        <v>303</v>
      </c>
      <c r="B13" s="17" t="s">
        <v>304</v>
      </c>
      <c r="C13" s="139"/>
      <c r="D13" s="139"/>
      <c r="E13" s="474"/>
      <c r="F13" s="139"/>
      <c r="G13" s="139"/>
      <c r="H13" s="390">
        <f>SUM(H5:H8)</f>
        <v>33.87833333333333</v>
      </c>
      <c r="I13" s="144" t="str">
        <f>_xlfn.TEXTJOIN("", TRUE, ROUND(SUM(F5:F8), 1), " - ", ROUND(SUM(G5:G8),1))</f>
        <v>20.5 - 47.2</v>
      </c>
      <c r="J13" s="390">
        <f>SUM(J5:J8)</f>
        <v>7.85</v>
      </c>
      <c r="K13" s="390">
        <f t="shared" ref="K13:N13" si="1">SUM(K5:K8)</f>
        <v>20.528333333333332</v>
      </c>
      <c r="L13" s="390">
        <f t="shared" si="1"/>
        <v>1.5</v>
      </c>
      <c r="M13" s="390">
        <f t="shared" si="1"/>
        <v>1.5</v>
      </c>
      <c r="N13" s="390">
        <f t="shared" si="1"/>
        <v>4</v>
      </c>
    </row>
    <row r="14" spans="1:14" x14ac:dyDescent="0.25">
      <c r="A14" t="s">
        <v>305</v>
      </c>
      <c r="B14" s="1" t="s">
        <v>306</v>
      </c>
      <c r="C14" s="139"/>
      <c r="D14" s="139"/>
      <c r="E14" s="474"/>
      <c r="F14" s="139"/>
      <c r="G14" s="139"/>
      <c r="H14" s="390">
        <f>SUM(($E5*H5)+($E6*H6)+($E7*H7)+($E8*H8)+($E9*H9)+($E10*H10)+($E11*H11))</f>
        <v>34.812261904761897</v>
      </c>
      <c r="I14" s="144" t="str">
        <f>_xlfn.TEXTJOIN("", TRUE, ROUND(SUM(($E5*F5)+($E6*F6)+($E7*F7)+($E8*F8)+($E9*F9)+($E10*F10)+($E11*F11)), 1), " - ",
ROUND(SUM(($E5*G5)+($E6*G6)+($E7*G7)+($E8*G8)+($E9*G9)+($E10*G10)+($E11*G11)),1))</f>
        <v>21.1 - 48.5</v>
      </c>
      <c r="J14" s="390">
        <f>SUM(($E5*J5)+($E6*J6)+($E7*J7)+($E8*J8)+($E9*J9)+($E10*J10)+($E11*J11))</f>
        <v>8</v>
      </c>
      <c r="K14" s="504">
        <f>SUM(($E5*K5)+($E6*K6)+($E7*K7)+($E8*K8)+($E9*K9)+($E10*K10)+($E11*K11))</f>
        <v>21.349761904761905</v>
      </c>
      <c r="L14" s="390">
        <f t="shared" ref="L14:N14" si="2">SUM(($E5*L5)+($E6*L6)+($E7*L7)+($E8*L8)+($E9*L9)+($E10*L10)+($E11*L11))</f>
        <v>1.5</v>
      </c>
      <c r="M14" s="390">
        <f t="shared" si="2"/>
        <v>1.5</v>
      </c>
      <c r="N14" s="390">
        <f t="shared" si="2"/>
        <v>4.1124999999999998</v>
      </c>
    </row>
    <row r="15" spans="1:14" x14ac:dyDescent="0.25">
      <c r="C15" s="139"/>
      <c r="D15" s="139"/>
      <c r="E15" s="474"/>
      <c r="F15" s="139"/>
      <c r="G15" s="139"/>
      <c r="H15" s="390"/>
      <c r="I15" s="144"/>
      <c r="J15" s="390"/>
      <c r="K15" s="390"/>
      <c r="L15" s="390"/>
      <c r="M15" s="390"/>
      <c r="N15" s="390"/>
    </row>
    <row r="16" spans="1:14" x14ac:dyDescent="0.25">
      <c r="A16" s="536" t="s">
        <v>307</v>
      </c>
      <c r="B16" s="536"/>
      <c r="C16" s="536"/>
      <c r="D16" s="536"/>
      <c r="E16" s="479"/>
      <c r="F16" s="536"/>
      <c r="G16" s="536"/>
      <c r="H16" s="417"/>
      <c r="I16" s="431"/>
      <c r="J16" s="577" t="s">
        <v>308</v>
      </c>
      <c r="K16" s="577"/>
      <c r="L16" s="577"/>
      <c r="M16" s="577"/>
      <c r="N16" s="577"/>
    </row>
    <row r="17" spans="1:16" ht="45" x14ac:dyDescent="0.25">
      <c r="A17" s="132" t="s">
        <v>288</v>
      </c>
      <c r="B17" s="132" t="s">
        <v>109</v>
      </c>
      <c r="C17" s="132" t="s">
        <v>110</v>
      </c>
      <c r="D17" s="132" t="s">
        <v>111</v>
      </c>
      <c r="E17" s="480" t="s">
        <v>289</v>
      </c>
      <c r="F17" s="132" t="s">
        <v>309</v>
      </c>
      <c r="G17" s="132" t="s">
        <v>310</v>
      </c>
      <c r="H17" s="132" t="s">
        <v>311</v>
      </c>
      <c r="I17" s="132" t="s">
        <v>312</v>
      </c>
      <c r="J17" s="132" t="s">
        <v>118</v>
      </c>
      <c r="K17" s="132" t="s">
        <v>119</v>
      </c>
      <c r="L17" s="132" t="s">
        <v>120</v>
      </c>
      <c r="M17" s="132" t="s">
        <v>121</v>
      </c>
      <c r="N17" s="132" t="s">
        <v>122</v>
      </c>
    </row>
    <row r="18" spans="1:16" x14ac:dyDescent="0.25">
      <c r="A18" t="s">
        <v>294</v>
      </c>
      <c r="B18" s="139" t="str">
        <f t="shared" ref="B18:B24" si="3">B5</f>
        <v>DERA Supplemental Application Template</v>
      </c>
      <c r="C18" s="139" t="str">
        <f t="shared" ref="C18:E18" si="4">C5</f>
        <v>5900-681</v>
      </c>
      <c r="D18" s="139" t="str">
        <f t="shared" si="4"/>
        <v>Required</v>
      </c>
      <c r="E18" s="474">
        <f t="shared" si="4"/>
        <v>1</v>
      </c>
      <c r="F18" s="263">
        <f>$F5*Wages!$L$18</f>
        <v>327.27489996654469</v>
      </c>
      <c r="G18" s="263">
        <f>$G5*Wages!$L$18</f>
        <v>479.79135820338098</v>
      </c>
      <c r="H18" s="391">
        <f>$H5*Wages!$L$18</f>
        <v>403.53312908496281</v>
      </c>
      <c r="I18" s="151" t="str">
        <f>_xlfn.TEXTJOIN(" - ",TRUE,DOLLAR(ROUND(F18,1),0),DOLLAR(ROUND(G18,1),0))</f>
        <v>$327 - $480</v>
      </c>
      <c r="J18" s="392">
        <f>J5*Wages!$L$18</f>
        <v>403.53312908496281</v>
      </c>
      <c r="K18" s="392">
        <f>IF(K5&gt;0, K5*Wages!$L$18, 0)</f>
        <v>0</v>
      </c>
      <c r="L18" s="392">
        <f>L5*Wages!$L$18</f>
        <v>0</v>
      </c>
      <c r="M18" s="392">
        <f>M5*Wages!$L$18</f>
        <v>0</v>
      </c>
      <c r="N18" s="392">
        <f>N5*Wages!$L$18</f>
        <v>0</v>
      </c>
    </row>
    <row r="19" spans="1:16" x14ac:dyDescent="0.25">
      <c r="A19" t="s">
        <v>295</v>
      </c>
      <c r="B19" s="139" t="str">
        <f t="shared" si="3"/>
        <v>DERA Eligibility Statement</v>
      </c>
      <c r="C19" s="139" t="str">
        <f t="shared" ref="C19:C24" si="5">C6</f>
        <v>5900-687</v>
      </c>
      <c r="D19" s="139" t="str">
        <f t="shared" ref="D19:E19" si="6">D6</f>
        <v>Required</v>
      </c>
      <c r="E19" s="474">
        <f t="shared" si="6"/>
        <v>1</v>
      </c>
      <c r="F19" s="263">
        <f>$F6*Wages!$L$18</f>
        <v>95.322786398022714</v>
      </c>
      <c r="G19" s="263">
        <f>$G6*Wages!$L$18</f>
        <v>762.58229118418171</v>
      </c>
      <c r="H19" s="391">
        <f>$H6*Wages!$L$18</f>
        <v>428.9525387911022</v>
      </c>
      <c r="I19" s="151" t="str">
        <f t="shared" ref="I19:I23" si="7">_xlfn.TEXTJOIN(" - ",TRUE,DOLLAR(ROUND(F19,1),0),DOLLAR(ROUND(G19,1),0))</f>
        <v>$95 - $763</v>
      </c>
      <c r="J19" s="392">
        <f>J6*Wages!$L$18</f>
        <v>95.322786398022714</v>
      </c>
      <c r="K19" s="392">
        <f>IF(K6&gt;0, K6*Wages!$L$18, 0)</f>
        <v>428.9525387911022</v>
      </c>
      <c r="L19" s="392">
        <f>L6*Wages!$L$18</f>
        <v>0</v>
      </c>
      <c r="M19" s="392">
        <f>M6*Wages!$L$18</f>
        <v>0</v>
      </c>
      <c r="N19" s="392">
        <f>N6*Wages!$L$18</f>
        <v>0</v>
      </c>
    </row>
    <row r="20" spans="1:16" x14ac:dyDescent="0.25">
      <c r="A20" t="s">
        <v>296</v>
      </c>
      <c r="B20" s="139" t="str">
        <f t="shared" si="3"/>
        <v>DERA Scrappage Statement</v>
      </c>
      <c r="C20" s="139" t="str">
        <f t="shared" si="5"/>
        <v>5900-688</v>
      </c>
      <c r="D20" s="139" t="str">
        <f t="shared" ref="D20:E20" si="8">D7</f>
        <v>Required</v>
      </c>
      <c r="E20" s="474">
        <f t="shared" si="8"/>
        <v>1</v>
      </c>
      <c r="F20" s="263">
        <f>$F7*Wages!$L$18</f>
        <v>95.322786398022714</v>
      </c>
      <c r="G20" s="263">
        <f>$G7*Wages!$L$18</f>
        <v>762.58229118418171</v>
      </c>
      <c r="H20" s="391">
        <f>$H7*Wages!$L$18</f>
        <v>428.9525387911022</v>
      </c>
      <c r="I20" s="151" t="str">
        <f t="shared" si="7"/>
        <v>$95 - $763</v>
      </c>
      <c r="J20" s="392">
        <f>J7*Wages!$L$18</f>
        <v>0</v>
      </c>
      <c r="K20" s="392">
        <f>IF(K7&gt;0, K7*Wages!$L$18, 0)</f>
        <v>428.9525387911022</v>
      </c>
      <c r="L20" s="392">
        <f>L7*Wages!$L$18</f>
        <v>0</v>
      </c>
      <c r="M20" s="392">
        <f>M7*Wages!$L$18</f>
        <v>0</v>
      </c>
      <c r="N20" s="392">
        <f>N7*Wages!$L$18</f>
        <v>0</v>
      </c>
    </row>
    <row r="21" spans="1:16" x14ac:dyDescent="0.25">
      <c r="A21" t="s">
        <v>297</v>
      </c>
      <c r="B21" s="139" t="str">
        <f t="shared" si="3"/>
        <v>DERA Project Reporting Template</v>
      </c>
      <c r="C21" s="139" t="str">
        <f t="shared" si="5"/>
        <v>5900-691</v>
      </c>
      <c r="D21" s="139" t="str">
        <f t="shared" ref="D21:E21" si="9">D8</f>
        <v>Required</v>
      </c>
      <c r="E21" s="474">
        <f t="shared" si="9"/>
        <v>1</v>
      </c>
      <c r="F21" s="263">
        <f>$F8*Wages!$L$18</f>
        <v>786.30707357657843</v>
      </c>
      <c r="G21" s="263">
        <f>$G8*Wages!$L$18</f>
        <v>996.65268889488186</v>
      </c>
      <c r="H21" s="391">
        <f>$H8*Wages!$L$18</f>
        <v>891.4798812357302</v>
      </c>
      <c r="I21" s="151" t="str">
        <f t="shared" si="7"/>
        <v>$786 - $997</v>
      </c>
      <c r="J21" s="392">
        <f>J8*Wages!$L$18</f>
        <v>0</v>
      </c>
      <c r="K21" s="392">
        <f>IF(K8&gt;0, K8*Wages!$L$18, 0)</f>
        <v>446.64021137829081</v>
      </c>
      <c r="L21" s="392">
        <f>L8*Wages!$L$18</f>
        <v>95.322786398022714</v>
      </c>
      <c r="M21" s="392">
        <f>M8*Wages!$L$18</f>
        <v>95.322786398022714</v>
      </c>
      <c r="N21" s="392">
        <f>N8*Wages!$L$18</f>
        <v>254.1940970613939</v>
      </c>
    </row>
    <row r="22" spans="1:16" x14ac:dyDescent="0.25">
      <c r="A22" t="s">
        <v>298</v>
      </c>
      <c r="B22" s="139" t="str">
        <f t="shared" si="3"/>
        <v>Utility Partnership Agreement</v>
      </c>
      <c r="C22" s="139" t="str">
        <f t="shared" si="5"/>
        <v>5900-685</v>
      </c>
      <c r="D22" s="139" t="str">
        <f t="shared" ref="D22:E22" si="10">D9</f>
        <v>Optional</v>
      </c>
      <c r="E22" s="474">
        <f t="shared" si="10"/>
        <v>0.1</v>
      </c>
      <c r="F22" s="263">
        <f>$F9*Wages!$L$18</f>
        <v>95.322786398022714</v>
      </c>
      <c r="G22" s="263">
        <f>$G9*Wages!$L$18</f>
        <v>381.29114559209086</v>
      </c>
      <c r="H22" s="391">
        <f>$H9*Wages!$L$18</f>
        <v>238.30696599505677</v>
      </c>
      <c r="I22" s="151" t="str">
        <f t="shared" si="7"/>
        <v>$95 - $381</v>
      </c>
      <c r="J22" s="392">
        <f>J9*Wages!$L$18</f>
        <v>95.322786398022714</v>
      </c>
      <c r="K22" s="392">
        <f>IF(K9&gt;0, K9*Wages!$L$18, 0)</f>
        <v>238.30696599505677</v>
      </c>
      <c r="L22" s="392">
        <f>L9*Wages!$L$18</f>
        <v>0</v>
      </c>
      <c r="M22" s="392">
        <f>M9*Wages!$L$18</f>
        <v>0</v>
      </c>
      <c r="N22" s="392">
        <f>N9*Wages!$L$18</f>
        <v>0</v>
      </c>
    </row>
    <row r="23" spans="1:16" s="148" customFormat="1" x14ac:dyDescent="0.25">
      <c r="A23" s="148" t="s">
        <v>299</v>
      </c>
      <c r="B23" s="141" t="str">
        <f t="shared" si="3"/>
        <v>OTAQ Funding Program Recipient Story Collection Form</v>
      </c>
      <c r="C23" s="141" t="str">
        <f t="shared" si="5"/>
        <v>TBA</v>
      </c>
      <c r="D23" s="139" t="str">
        <f t="shared" ref="D23:E23" si="11">D10</f>
        <v>Optional</v>
      </c>
      <c r="E23" s="474">
        <f t="shared" si="11"/>
        <v>0.05</v>
      </c>
      <c r="F23" s="266">
        <f>$F10*Wages!$L$18</f>
        <v>95.322786398022714</v>
      </c>
      <c r="G23" s="266">
        <f>$G10*Wages!$L$18</f>
        <v>190.64557279604543</v>
      </c>
      <c r="H23" s="401">
        <f>$H10*Wages!$L$18</f>
        <v>142.98417959703409</v>
      </c>
      <c r="I23" s="164" t="str">
        <f t="shared" si="7"/>
        <v>$95 - $191</v>
      </c>
      <c r="J23" s="422">
        <f>J10*Wages!$L$18</f>
        <v>0</v>
      </c>
      <c r="K23" s="422">
        <f>IF(K10&gt;0, K10*Wages!$L$18, 0)</f>
        <v>0</v>
      </c>
      <c r="L23" s="422">
        <f>L10*Wages!$L$18</f>
        <v>0</v>
      </c>
      <c r="M23" s="422">
        <f>M10*Wages!$L$18</f>
        <v>0</v>
      </c>
      <c r="N23" s="422">
        <f>N10*Wages!$L$18</f>
        <v>142.98417959703409</v>
      </c>
    </row>
    <row r="24" spans="1:16" s="148" customFormat="1" x14ac:dyDescent="0.25">
      <c r="A24" s="462" t="s">
        <v>300</v>
      </c>
      <c r="B24" s="142" t="str">
        <f t="shared" si="3"/>
        <v>BABA Waiver Request (non-form information collection)</v>
      </c>
      <c r="C24" s="142" t="str">
        <f t="shared" si="5"/>
        <v>N/A</v>
      </c>
      <c r="D24" s="142" t="str">
        <f t="shared" ref="D24:E24" si="12">D11</f>
        <v>Optional</v>
      </c>
      <c r="E24" s="475">
        <f t="shared" si="12"/>
        <v>8.9285714285714288E-2</v>
      </c>
      <c r="F24" s="264">
        <f>$F11*Wages!$L$18</f>
        <v>254.1940970613939</v>
      </c>
      <c r="G24" s="264">
        <f>$G11*Wages!$L$18</f>
        <v>381.29114559209086</v>
      </c>
      <c r="H24" s="393">
        <f>$H11*Wages!$L$18</f>
        <v>317.74262132674238</v>
      </c>
      <c r="I24" s="152" t="str">
        <f t="shared" ref="I24" si="13">_xlfn.TEXTJOIN(" - ",TRUE,DOLLAR(ROUND(F24,1),0),DOLLAR(ROUND(G24,1),0))</f>
        <v>$254 - $381</v>
      </c>
      <c r="J24" s="394">
        <f>J11*Wages!$L$18</f>
        <v>0</v>
      </c>
      <c r="K24" s="394">
        <f>IF(K11&gt;0, K11*Wages!$L$18, 0)</f>
        <v>317.74262132674238</v>
      </c>
      <c r="L24" s="394">
        <f>L11*Wages!$L$18</f>
        <v>0</v>
      </c>
      <c r="M24" s="394">
        <f>M11*Wages!$L$18</f>
        <v>0</v>
      </c>
      <c r="N24" s="394">
        <f>N11*Wages!$L$18</f>
        <v>0</v>
      </c>
    </row>
    <row r="25" spans="1:16" ht="30" x14ac:dyDescent="0.25">
      <c r="A25" t="s">
        <v>301</v>
      </c>
      <c r="B25" s="17" t="s">
        <v>313</v>
      </c>
      <c r="C25" s="139"/>
      <c r="D25" s="139"/>
      <c r="E25" s="474"/>
      <c r="F25" s="153"/>
      <c r="G25" s="153"/>
      <c r="H25" s="267">
        <f>SUM(J25:N25)</f>
        <v>3042.5974276177762</v>
      </c>
      <c r="I25" s="154" t="str">
        <f>_xlfn.TEXTJOIN(" - ",TRUE,DOLLAR(ROUND(SUM(F18:F24),1),0),DOLLAR(ROUND(SUM(G18:G24),1),0))</f>
        <v>$1,749 - $3,955</v>
      </c>
      <c r="J25" s="267">
        <f>SUM(J18:J24)</f>
        <v>594.17870188100824</v>
      </c>
      <c r="K25" s="267">
        <f>SUM(K18:K24)</f>
        <v>1860.5948762822945</v>
      </c>
      <c r="L25" s="267">
        <f t="shared" ref="L25:N25" si="14">SUM(L18:L24)</f>
        <v>95.322786398022714</v>
      </c>
      <c r="M25" s="267">
        <f t="shared" si="14"/>
        <v>95.322786398022714</v>
      </c>
      <c r="N25" s="267">
        <f t="shared" si="14"/>
        <v>397.17827665842799</v>
      </c>
    </row>
    <row r="26" spans="1:16" ht="30" x14ac:dyDescent="0.25">
      <c r="A26" t="s">
        <v>303</v>
      </c>
      <c r="B26" s="17" t="s">
        <v>314</v>
      </c>
      <c r="C26" s="139"/>
      <c r="D26" s="139"/>
      <c r="E26" s="474"/>
      <c r="F26" s="153"/>
      <c r="G26" s="153"/>
      <c r="H26" s="267">
        <f>SUM(H18:H21)</f>
        <v>2152.9180879028972</v>
      </c>
      <c r="I26" s="154" t="str">
        <f>_xlfn.TEXTJOIN(" - ",TRUE,DOLLAR(ROUND(SUM(F18:F21),1),0),DOLLAR(ROUND(SUM(G18:G21),1),0))</f>
        <v>$1,304 - $3,002</v>
      </c>
      <c r="J26" s="267">
        <f>SUM(J18:J21)</f>
        <v>498.85591548298555</v>
      </c>
      <c r="K26" s="267">
        <f t="shared" ref="K26:N26" si="15">SUM(K18:K21)</f>
        <v>1304.5452889604953</v>
      </c>
      <c r="L26" s="267">
        <f t="shared" si="15"/>
        <v>95.322786398022714</v>
      </c>
      <c r="M26" s="267">
        <f t="shared" si="15"/>
        <v>95.322786398022714</v>
      </c>
      <c r="N26" s="267">
        <f t="shared" si="15"/>
        <v>254.1940970613939</v>
      </c>
    </row>
    <row r="27" spans="1:16" ht="51" customHeight="1" x14ac:dyDescent="0.25">
      <c r="A27" t="s">
        <v>305</v>
      </c>
      <c r="B27" s="17" t="s">
        <v>315</v>
      </c>
      <c r="C27" s="139"/>
      <c r="D27" s="139"/>
      <c r="E27" s="474"/>
      <c r="F27" s="153"/>
      <c r="G27" s="153"/>
      <c r="H27" s="267">
        <f>H14*Wages!$L$18</f>
        <v>2212.2678703864276</v>
      </c>
      <c r="I27" s="478"/>
      <c r="J27" s="267">
        <f>J14*Wages!$L$18</f>
        <v>508.38819412278781</v>
      </c>
      <c r="K27" s="267">
        <f>K14*Wages!$L$18</f>
        <v>1356.7458624641745</v>
      </c>
      <c r="L27" s="267">
        <f>L14*Wages!$L$18</f>
        <v>95.322786398022714</v>
      </c>
      <c r="M27" s="267">
        <f>M14*Wages!$L$18</f>
        <v>95.322786398022714</v>
      </c>
      <c r="N27" s="267">
        <f>N14*Wages!$L$18</f>
        <v>261.34330604124557</v>
      </c>
    </row>
    <row r="28" spans="1:16" ht="30" x14ac:dyDescent="0.25">
      <c r="A28" t="s">
        <v>316</v>
      </c>
      <c r="B28" s="150" t="s">
        <v>317</v>
      </c>
      <c r="C28" s="155"/>
      <c r="D28" s="147"/>
      <c r="E28" s="481"/>
      <c r="F28" s="148"/>
      <c r="G28" s="141"/>
      <c r="H28" s="395"/>
      <c r="I28" s="149"/>
      <c r="J28" s="206">
        <f>SUM(Respondents!C19:D21)</f>
        <v>145</v>
      </c>
      <c r="K28" s="149">
        <f>SUM(Respondents!C6:D8)</f>
        <v>97</v>
      </c>
      <c r="L28" s="149">
        <f>SUM(Respondents!C6:D8)</f>
        <v>97</v>
      </c>
      <c r="M28" s="149">
        <f>SUM(Respondents!C6:D8)</f>
        <v>97</v>
      </c>
      <c r="N28" s="149">
        <f>SUM(Respondents!C6:D8)</f>
        <v>97</v>
      </c>
    </row>
    <row r="29" spans="1:16" ht="30" x14ac:dyDescent="0.25">
      <c r="A29" s="157" t="s">
        <v>318</v>
      </c>
      <c r="B29" s="229" t="s">
        <v>319</v>
      </c>
      <c r="C29" s="142"/>
      <c r="D29" s="142"/>
      <c r="E29" s="475"/>
      <c r="F29" s="142"/>
      <c r="G29" s="142"/>
      <c r="H29" s="396"/>
      <c r="I29" s="230"/>
      <c r="J29" s="397">
        <f>J27*J28</f>
        <v>73716.288147804225</v>
      </c>
      <c r="K29" s="397">
        <f t="shared" ref="K29:N29" si="16">K27*K28</f>
        <v>131604.34865902492</v>
      </c>
      <c r="L29" s="397">
        <f t="shared" si="16"/>
        <v>9246.3102806082024</v>
      </c>
      <c r="M29" s="397">
        <f t="shared" si="16"/>
        <v>9246.3102806082024</v>
      </c>
      <c r="N29" s="397">
        <f t="shared" si="16"/>
        <v>25350.300686000821</v>
      </c>
      <c r="P29" s="156"/>
    </row>
    <row r="30" spans="1:16" ht="30" x14ac:dyDescent="0.4">
      <c r="A30" t="s">
        <v>320</v>
      </c>
      <c r="B30" s="17" t="s">
        <v>321</v>
      </c>
      <c r="C30" s="139"/>
      <c r="D30" s="139"/>
      <c r="E30" s="474"/>
      <c r="F30" s="139"/>
      <c r="G30" s="139"/>
      <c r="H30" s="390"/>
      <c r="I30" s="144"/>
      <c r="J30" s="398"/>
      <c r="K30" s="398"/>
      <c r="L30" s="398"/>
      <c r="M30" s="398"/>
      <c r="N30" s="399">
        <f>SUM(J29:N29)</f>
        <v>249163.55805404633</v>
      </c>
    </row>
    <row r="31" spans="1:16" x14ac:dyDescent="0.25">
      <c r="B31" s="18"/>
      <c r="C31" s="139"/>
      <c r="D31" s="139"/>
      <c r="E31" s="474"/>
      <c r="F31" s="139"/>
      <c r="G31" s="139"/>
      <c r="H31" s="390"/>
      <c r="I31" s="144"/>
      <c r="J31" s="390"/>
      <c r="K31" s="390"/>
      <c r="L31" s="390"/>
      <c r="M31" s="390"/>
      <c r="N31" s="390"/>
    </row>
    <row r="32" spans="1:16" x14ac:dyDescent="0.25">
      <c r="A32" s="536" t="s">
        <v>322</v>
      </c>
      <c r="B32" s="536"/>
      <c r="C32" s="536"/>
      <c r="D32" s="536"/>
      <c r="E32" s="479"/>
      <c r="F32" s="536"/>
      <c r="G32" s="536"/>
      <c r="H32" s="417"/>
      <c r="I32" s="431"/>
      <c r="J32" s="577" t="s">
        <v>308</v>
      </c>
      <c r="K32" s="577"/>
      <c r="L32" s="577"/>
      <c r="M32" s="577"/>
      <c r="N32" s="577"/>
    </row>
    <row r="33" spans="1:18" ht="45" x14ac:dyDescent="0.25">
      <c r="A33" s="132" t="s">
        <v>288</v>
      </c>
      <c r="B33" s="132" t="s">
        <v>109</v>
      </c>
      <c r="C33" s="132" t="s">
        <v>110</v>
      </c>
      <c r="D33" s="132" t="s">
        <v>111</v>
      </c>
      <c r="E33" s="480" t="s">
        <v>289</v>
      </c>
      <c r="F33" s="132" t="s">
        <v>309</v>
      </c>
      <c r="G33" s="132" t="s">
        <v>310</v>
      </c>
      <c r="H33" s="132" t="s">
        <v>311</v>
      </c>
      <c r="I33" s="132" t="s">
        <v>312</v>
      </c>
      <c r="J33" s="132" t="s">
        <v>118</v>
      </c>
      <c r="K33" s="132" t="s">
        <v>119</v>
      </c>
      <c r="L33" s="132" t="s">
        <v>120</v>
      </c>
      <c r="M33" s="132" t="s">
        <v>121</v>
      </c>
      <c r="N33" s="132" t="s">
        <v>122</v>
      </c>
    </row>
    <row r="34" spans="1:18" x14ac:dyDescent="0.25">
      <c r="A34" t="s">
        <v>294</v>
      </c>
      <c r="B34" s="139" t="str">
        <f>B5</f>
        <v>DERA Supplemental Application Template</v>
      </c>
      <c r="C34" s="139" t="str">
        <f t="shared" ref="C34:E34" si="17">C5</f>
        <v>5900-681</v>
      </c>
      <c r="D34" s="139" t="str">
        <f t="shared" si="17"/>
        <v>Required</v>
      </c>
      <c r="E34" s="476">
        <f t="shared" si="17"/>
        <v>1</v>
      </c>
      <c r="F34" s="265">
        <f>F5*Wages!$L$19</f>
        <v>262.34522453026</v>
      </c>
      <c r="G34" s="265">
        <f>G5*Wages!$L$19</f>
        <v>384.60319324339082</v>
      </c>
      <c r="H34" s="400">
        <f>H5*Wages!$L$19</f>
        <v>323.47420888682541</v>
      </c>
      <c r="I34" s="151" t="str">
        <f>_xlfn.TEXTJOIN(" - ",TRUE,DOLLAR(ROUND(F34,1),0),DOLLAR(ROUND(G34,1),0))</f>
        <v>$262 - $385</v>
      </c>
      <c r="J34" s="392">
        <f>J5*Wages!$L$19</f>
        <v>323.47420888682541</v>
      </c>
      <c r="K34" s="392">
        <f>K5*Wages!$L$19</f>
        <v>0</v>
      </c>
      <c r="L34" s="392">
        <f>L5*Wages!$L$19</f>
        <v>0</v>
      </c>
      <c r="M34" s="392">
        <f>M5*Wages!$L$19</f>
        <v>0</v>
      </c>
      <c r="N34" s="392">
        <f>N5*Wages!$L$19</f>
        <v>0</v>
      </c>
    </row>
    <row r="35" spans="1:18" x14ac:dyDescent="0.25">
      <c r="A35" t="s">
        <v>295</v>
      </c>
      <c r="B35" s="139" t="str">
        <f t="shared" ref="B35:E35" si="18">B6</f>
        <v>DERA Eligibility Statement</v>
      </c>
      <c r="C35" s="139" t="str">
        <f t="shared" si="18"/>
        <v>5900-687</v>
      </c>
      <c r="D35" s="139" t="str">
        <f t="shared" si="18"/>
        <v>Required</v>
      </c>
      <c r="E35" s="477">
        <f t="shared" si="18"/>
        <v>1</v>
      </c>
      <c r="F35" s="266">
        <f>F6*Wages!$L$19</f>
        <v>76.411230445706792</v>
      </c>
      <c r="G35" s="266">
        <f>G6*Wages!$L$19</f>
        <v>611.28984356565434</v>
      </c>
      <c r="H35" s="401">
        <f>H6*Wages!$L$19</f>
        <v>343.85053700568056</v>
      </c>
      <c r="I35" s="151" t="str">
        <f t="shared" ref="I35:I39" si="19">_xlfn.TEXTJOIN(" - ",TRUE,DOLLAR(ROUND(F35,1),0),DOLLAR(ROUND(G35,1),0))</f>
        <v>$76 - $611</v>
      </c>
      <c r="J35" s="392">
        <f>J6*Wages!$L$19</f>
        <v>76.411230445706792</v>
      </c>
      <c r="K35" s="392">
        <f>K6*Wages!$L$19</f>
        <v>343.85053700568056</v>
      </c>
      <c r="L35" s="392">
        <f>L6*Wages!$L$19</f>
        <v>0</v>
      </c>
      <c r="M35" s="392">
        <f>M6*Wages!$L$19</f>
        <v>0</v>
      </c>
      <c r="N35" s="392">
        <f>N6*Wages!$L$19</f>
        <v>0</v>
      </c>
    </row>
    <row r="36" spans="1:18" x14ac:dyDescent="0.25">
      <c r="A36" t="s">
        <v>296</v>
      </c>
      <c r="B36" s="139" t="str">
        <f t="shared" ref="B36:E36" si="20">B7</f>
        <v>DERA Scrappage Statement</v>
      </c>
      <c r="C36" s="139" t="str">
        <f t="shared" si="20"/>
        <v>5900-688</v>
      </c>
      <c r="D36" s="139" t="str">
        <f t="shared" si="20"/>
        <v>Required</v>
      </c>
      <c r="E36" s="477">
        <f t="shared" si="20"/>
        <v>1</v>
      </c>
      <c r="F36" s="266">
        <f>F7*Wages!$L$19</f>
        <v>76.411230445706792</v>
      </c>
      <c r="G36" s="266">
        <f>G7*Wages!$L$19</f>
        <v>611.28984356565434</v>
      </c>
      <c r="H36" s="401">
        <f>H7*Wages!$L$19</f>
        <v>343.85053700568056</v>
      </c>
      <c r="I36" s="151" t="str">
        <f t="shared" si="19"/>
        <v>$76 - $611</v>
      </c>
      <c r="J36" s="392">
        <f>J7*Wages!$L$19</f>
        <v>0</v>
      </c>
      <c r="K36" s="392">
        <f>K7*Wages!$L$19</f>
        <v>343.85053700568056</v>
      </c>
      <c r="L36" s="392">
        <f>L7*Wages!$L$19</f>
        <v>0</v>
      </c>
      <c r="M36" s="392">
        <f>M7*Wages!$L$19</f>
        <v>0</v>
      </c>
      <c r="N36" s="392">
        <f>N7*Wages!$L$19</f>
        <v>0</v>
      </c>
    </row>
    <row r="37" spans="1:18" x14ac:dyDescent="0.25">
      <c r="A37" t="s">
        <v>297</v>
      </c>
      <c r="B37" s="139" t="str">
        <f t="shared" ref="B37:E37" si="21">B8</f>
        <v>DERA Project Reporting Template</v>
      </c>
      <c r="C37" s="139" t="str">
        <f t="shared" si="21"/>
        <v>5900-691</v>
      </c>
      <c r="D37" s="139" t="str">
        <f t="shared" si="21"/>
        <v>Required</v>
      </c>
      <c r="E37" s="477">
        <f t="shared" si="21"/>
        <v>1</v>
      </c>
      <c r="F37" s="266">
        <f>F8*Wages!$L$19</f>
        <v>630.30774980991907</v>
      </c>
      <c r="G37" s="266">
        <f>G8*Wages!$L$19</f>
        <v>798.92186499344541</v>
      </c>
      <c r="H37" s="401">
        <f>H8*Wages!$L$19</f>
        <v>714.61480740168224</v>
      </c>
      <c r="I37" s="151" t="str">
        <f t="shared" si="19"/>
        <v>$630 - $799</v>
      </c>
      <c r="J37" s="392">
        <f>J8*Wages!$L$19</f>
        <v>0</v>
      </c>
      <c r="K37" s="392">
        <f>K8*Wages!$L$19</f>
        <v>358.02906532171721</v>
      </c>
      <c r="L37" s="392">
        <f>L8*Wages!$L$19</f>
        <v>76.411230445706792</v>
      </c>
      <c r="M37" s="392">
        <f>M8*Wages!$L$19</f>
        <v>76.411230445706792</v>
      </c>
      <c r="N37" s="392">
        <f>N8*Wages!$L$19</f>
        <v>203.76328118855145</v>
      </c>
    </row>
    <row r="38" spans="1:18" x14ac:dyDescent="0.25">
      <c r="A38" t="s">
        <v>298</v>
      </c>
      <c r="B38" s="139" t="str">
        <f t="shared" ref="B38:E38" si="22">B9</f>
        <v>Utility Partnership Agreement</v>
      </c>
      <c r="C38" s="139" t="str">
        <f t="shared" si="22"/>
        <v>5900-685</v>
      </c>
      <c r="D38" s="139" t="str">
        <f t="shared" si="22"/>
        <v>Optional</v>
      </c>
      <c r="E38" s="477">
        <f t="shared" si="22"/>
        <v>0.1</v>
      </c>
      <c r="F38" s="266">
        <f>F9*Wages!$L$19</f>
        <v>76.411230445706792</v>
      </c>
      <c r="G38" s="266">
        <f>G9*Wages!$L$19</f>
        <v>305.64492178282717</v>
      </c>
      <c r="H38" s="401">
        <f>H9*Wages!$L$19</f>
        <v>191.02807611426698</v>
      </c>
      <c r="I38" s="151" t="str">
        <f t="shared" si="19"/>
        <v>$76 - $306</v>
      </c>
      <c r="J38" s="422">
        <f>J9*Wages!$L$19</f>
        <v>76.411230445706792</v>
      </c>
      <c r="K38" s="422">
        <f>K9*Wages!$L$19</f>
        <v>191.02807611426698</v>
      </c>
      <c r="L38" s="422">
        <f>L9*Wages!$L$19</f>
        <v>0</v>
      </c>
      <c r="M38" s="422">
        <f>M9*Wages!$L$19</f>
        <v>0</v>
      </c>
      <c r="N38" s="422">
        <f>N9*Wages!$L$19</f>
        <v>0</v>
      </c>
    </row>
    <row r="39" spans="1:18" x14ac:dyDescent="0.25">
      <c r="A39" s="148" t="s">
        <v>299</v>
      </c>
      <c r="B39" s="139" t="str">
        <f t="shared" ref="B39:E39" si="23">B10</f>
        <v>OTAQ Funding Program Recipient Story Collection Form</v>
      </c>
      <c r="C39" s="139" t="str">
        <f t="shared" si="23"/>
        <v>TBA</v>
      </c>
      <c r="D39" s="139" t="str">
        <f t="shared" si="23"/>
        <v>Optional</v>
      </c>
      <c r="E39" s="477">
        <f t="shared" si="23"/>
        <v>0.05</v>
      </c>
      <c r="F39" s="266">
        <f>F10*Wages!$L$19</f>
        <v>76.411230445706792</v>
      </c>
      <c r="G39" s="266">
        <f>G10*Wages!$L$19</f>
        <v>152.82246089141358</v>
      </c>
      <c r="H39" s="401">
        <f>H10*Wages!$L$19</f>
        <v>114.61684566856019</v>
      </c>
      <c r="I39" s="164" t="str">
        <f t="shared" si="19"/>
        <v>$76 - $153</v>
      </c>
      <c r="J39" s="422">
        <f>J10*Wages!$L$19</f>
        <v>0</v>
      </c>
      <c r="K39" s="422">
        <f>K10*Wages!$L$19</f>
        <v>0</v>
      </c>
      <c r="L39" s="422">
        <f>L10*Wages!$L$19</f>
        <v>0</v>
      </c>
      <c r="M39" s="422">
        <f>M10*Wages!$L$19</f>
        <v>0</v>
      </c>
      <c r="N39" s="422">
        <f>N10*Wages!$L$19</f>
        <v>114.61684566856019</v>
      </c>
    </row>
    <row r="40" spans="1:18" x14ac:dyDescent="0.25">
      <c r="A40" s="462" t="s">
        <v>300</v>
      </c>
      <c r="B40" s="142" t="str">
        <f t="shared" ref="B40:E40" si="24">B11</f>
        <v>BABA Waiver Request (non-form information collection)</v>
      </c>
      <c r="C40" s="142" t="str">
        <f t="shared" si="24"/>
        <v>N/A</v>
      </c>
      <c r="D40" s="142" t="str">
        <f t="shared" si="24"/>
        <v>Optional</v>
      </c>
      <c r="E40" s="475">
        <f t="shared" si="24"/>
        <v>8.9285714285714288E-2</v>
      </c>
      <c r="F40" s="264">
        <f>F11*Wages!$L$19</f>
        <v>203.76328118855145</v>
      </c>
      <c r="G40" s="264">
        <f>G11*Wages!$L$19</f>
        <v>305.64492178282717</v>
      </c>
      <c r="H40" s="393">
        <f>H11*Wages!$L$19</f>
        <v>254.70410148568931</v>
      </c>
      <c r="I40" s="152" t="str">
        <f t="shared" ref="I40" si="25">_xlfn.TEXTJOIN(" - ",TRUE,DOLLAR(ROUND(F40,1),0),DOLLAR(ROUND(G40,1),0))</f>
        <v>$204 - $306</v>
      </c>
      <c r="J40" s="394">
        <f>J11*Wages!$L$19</f>
        <v>0</v>
      </c>
      <c r="K40" s="394">
        <f>K11*Wages!$L$19</f>
        <v>254.70410148568931</v>
      </c>
      <c r="L40" s="394">
        <f>L11*Wages!$L$19</f>
        <v>0</v>
      </c>
      <c r="M40" s="394">
        <f>M11*Wages!$L$19</f>
        <v>0</v>
      </c>
      <c r="N40" s="394">
        <f>N11*Wages!$L$19</f>
        <v>0</v>
      </c>
    </row>
    <row r="41" spans="1:18" ht="30" x14ac:dyDescent="0.25">
      <c r="A41" t="s">
        <v>301</v>
      </c>
      <c r="B41" s="17" t="s">
        <v>313</v>
      </c>
      <c r="C41" s="139"/>
      <c r="D41" s="139"/>
      <c r="E41" s="474"/>
      <c r="F41" s="153"/>
      <c r="G41" s="153"/>
      <c r="H41" s="267">
        <f>SUM(J41:N41)</f>
        <v>2184.2574729741091</v>
      </c>
      <c r="I41" s="267" t="str">
        <f>_xlfn.TEXTJOIN(" - ",TRUE,DOLLAR(ROUND(SUM(F34:F39),1),0),DOLLAR(ROUND(SUM(G34:G39),1),0))</f>
        <v>$1,198 - $2,865</v>
      </c>
      <c r="J41" s="267">
        <f>SUM(J34:J39)</f>
        <v>476.29666977823899</v>
      </c>
      <c r="K41" s="267">
        <f>SUM(K34:K39)</f>
        <v>1236.7582154473453</v>
      </c>
      <c r="L41" s="267">
        <f>SUM(L34:L39)</f>
        <v>76.411230445706792</v>
      </c>
      <c r="M41" s="267">
        <f>SUM(M34:M39)</f>
        <v>76.411230445706792</v>
      </c>
      <c r="N41" s="267">
        <f>SUM(N34:N39)</f>
        <v>318.38012685711163</v>
      </c>
    </row>
    <row r="42" spans="1:18" ht="30" x14ac:dyDescent="0.25">
      <c r="A42" t="s">
        <v>303</v>
      </c>
      <c r="B42" s="17" t="s">
        <v>314</v>
      </c>
      <c r="C42" s="139"/>
      <c r="D42" s="139"/>
      <c r="E42" s="474"/>
      <c r="F42" s="153"/>
      <c r="G42" s="153"/>
      <c r="H42" s="267">
        <f>SUM(H34:H37)</f>
        <v>1725.7900902998686</v>
      </c>
      <c r="I42" s="154" t="str">
        <f>_xlfn.TEXTJOIN(" - ",TRUE,DOLLAR(ROUND(SUM(F34:F37),1),0),DOLLAR(ROUND(SUM(G34:G37),1),0))</f>
        <v>$1,046 - $2,406</v>
      </c>
      <c r="J42" s="267">
        <f>SUM(J34:J37)</f>
        <v>399.8854393325322</v>
      </c>
      <c r="K42" s="267">
        <f t="shared" ref="K42:N42" si="26">SUM(K34:K37)</f>
        <v>1045.7301393330783</v>
      </c>
      <c r="L42" s="267">
        <f t="shared" si="26"/>
        <v>76.411230445706792</v>
      </c>
      <c r="M42" s="267">
        <f t="shared" si="26"/>
        <v>76.411230445706792</v>
      </c>
      <c r="N42" s="267">
        <f t="shared" si="26"/>
        <v>203.76328118855145</v>
      </c>
    </row>
    <row r="43" spans="1:18" ht="45" x14ac:dyDescent="0.25">
      <c r="A43" t="s">
        <v>305</v>
      </c>
      <c r="B43" s="17" t="s">
        <v>315</v>
      </c>
      <c r="C43" s="139"/>
      <c r="D43" s="139"/>
      <c r="E43" s="474"/>
      <c r="F43" s="153"/>
      <c r="G43" s="153"/>
      <c r="H43" s="267">
        <f>H14*Wages!$L$19</f>
        <v>1773.3651778273741</v>
      </c>
      <c r="I43" s="478"/>
      <c r="J43" s="267">
        <f>J14*Wages!$L$19</f>
        <v>407.52656237710289</v>
      </c>
      <c r="K43" s="267">
        <f>K14*Wages!$L$19</f>
        <v>1087.574384577156</v>
      </c>
      <c r="L43" s="267">
        <f>L14*Wages!$L$19</f>
        <v>76.411230445706792</v>
      </c>
      <c r="M43" s="267">
        <f>M14*Wages!$L$19</f>
        <v>76.411230445706792</v>
      </c>
      <c r="N43" s="267">
        <f>N14*Wages!$L$19</f>
        <v>209.49412347197944</v>
      </c>
    </row>
    <row r="44" spans="1:18" ht="30" x14ac:dyDescent="0.25">
      <c r="A44" t="s">
        <v>316</v>
      </c>
      <c r="B44" s="150" t="s">
        <v>323</v>
      </c>
      <c r="C44" s="155"/>
      <c r="D44" s="147"/>
      <c r="E44" s="481"/>
      <c r="F44" s="148"/>
      <c r="G44" s="141"/>
      <c r="H44" s="395"/>
      <c r="I44" s="149"/>
      <c r="J44" s="206">
        <f>SUM(Respondents!E19:E21)</f>
        <v>30</v>
      </c>
      <c r="K44" s="206">
        <f>SUM(Respondents!E6:E8)</f>
        <v>15</v>
      </c>
      <c r="L44" s="206">
        <f>SUM(Respondents!E6:E8)</f>
        <v>15</v>
      </c>
      <c r="M44" s="206">
        <f>SUM(Respondents!E6:E8)</f>
        <v>15</v>
      </c>
      <c r="N44" s="206">
        <f>SUM(Respondents!E6:E8)</f>
        <v>15</v>
      </c>
    </row>
    <row r="45" spans="1:18" ht="30" x14ac:dyDescent="0.25">
      <c r="A45" s="157" t="s">
        <v>318</v>
      </c>
      <c r="B45" s="229" t="s">
        <v>319</v>
      </c>
      <c r="C45" s="142"/>
      <c r="D45" s="142"/>
      <c r="E45" s="475"/>
      <c r="F45" s="142"/>
      <c r="G45" s="142"/>
      <c r="H45" s="396"/>
      <c r="I45" s="230"/>
      <c r="J45" s="397">
        <f>J43*J44</f>
        <v>12225.796871313087</v>
      </c>
      <c r="K45" s="397">
        <f t="shared" ref="K45:N45" si="27">K43*K44</f>
        <v>16313.615768657341</v>
      </c>
      <c r="L45" s="397">
        <f t="shared" si="27"/>
        <v>1146.168456685602</v>
      </c>
      <c r="M45" s="397">
        <f t="shared" si="27"/>
        <v>1146.168456685602</v>
      </c>
      <c r="N45" s="397">
        <f t="shared" si="27"/>
        <v>3142.4118520796915</v>
      </c>
    </row>
    <row r="46" spans="1:18" ht="32.25" x14ac:dyDescent="0.4">
      <c r="A46" t="s">
        <v>320</v>
      </c>
      <c r="B46" s="228" t="s">
        <v>324</v>
      </c>
      <c r="J46" s="402"/>
      <c r="K46" s="402"/>
      <c r="L46" s="402"/>
      <c r="M46" s="402"/>
      <c r="N46" s="399">
        <f>SUM(J45:N45)</f>
        <v>33974.161405421321</v>
      </c>
    </row>
    <row r="47" spans="1:18" ht="17.25" x14ac:dyDescent="0.4">
      <c r="A47" s="232"/>
      <c r="B47" s="236"/>
      <c r="C47" s="237"/>
      <c r="D47" s="232"/>
      <c r="E47" s="483"/>
      <c r="F47" s="232"/>
      <c r="G47" s="232"/>
      <c r="H47" s="387"/>
      <c r="I47" s="387"/>
      <c r="J47" s="387"/>
      <c r="K47" s="387"/>
      <c r="L47" s="387"/>
      <c r="M47" s="387"/>
      <c r="N47" s="403"/>
      <c r="O47" s="232"/>
      <c r="P47" s="232"/>
      <c r="Q47" s="232"/>
      <c r="R47" s="232"/>
    </row>
    <row r="48" spans="1:18" x14ac:dyDescent="0.25">
      <c r="A48" s="578" t="s">
        <v>325</v>
      </c>
      <c r="B48" s="578"/>
      <c r="C48" s="578"/>
      <c r="D48" s="578"/>
      <c r="E48" s="578"/>
      <c r="F48" s="578"/>
      <c r="G48" s="578"/>
      <c r="H48" s="578"/>
      <c r="I48" s="578"/>
      <c r="J48" s="577" t="s">
        <v>287</v>
      </c>
      <c r="K48" s="577"/>
      <c r="L48" s="577"/>
      <c r="M48" s="577"/>
      <c r="N48" s="137"/>
    </row>
    <row r="49" spans="1:14" ht="45" x14ac:dyDescent="0.25">
      <c r="A49" s="132" t="s">
        <v>288</v>
      </c>
      <c r="B49" s="132" t="s">
        <v>109</v>
      </c>
      <c r="C49" s="132" t="s">
        <v>110</v>
      </c>
      <c r="D49" s="132" t="s">
        <v>111</v>
      </c>
      <c r="E49" s="480" t="s">
        <v>289</v>
      </c>
      <c r="F49" s="132" t="s">
        <v>290</v>
      </c>
      <c r="G49" s="132" t="s">
        <v>291</v>
      </c>
      <c r="H49" s="132" t="s">
        <v>292</v>
      </c>
      <c r="I49" s="132" t="s">
        <v>293</v>
      </c>
      <c r="J49" s="132" t="s">
        <v>118</v>
      </c>
      <c r="K49" s="132" t="s">
        <v>119</v>
      </c>
      <c r="L49" s="132" t="s">
        <v>120</v>
      </c>
      <c r="M49" s="132" t="s">
        <v>121</v>
      </c>
      <c r="N49" s="404"/>
    </row>
    <row r="50" spans="1:14" x14ac:dyDescent="0.25">
      <c r="A50" t="s">
        <v>294</v>
      </c>
      <c r="B50" s="145" t="str">
        <f>'Reporting Burden by Program'!A25</f>
        <v>CSB Supplemental Application Template</v>
      </c>
      <c r="C50" s="145" t="str">
        <f>'Reporting Burden by Program'!B25</f>
        <v>5900-680</v>
      </c>
      <c r="D50" s="145" t="str">
        <f>'Reporting Burden by Program'!C25</f>
        <v>Required</v>
      </c>
      <c r="E50" s="484">
        <f>'Reporting Burden by Program'!D25</f>
        <v>1</v>
      </c>
      <c r="F50" s="145">
        <f>'Reporting Burden by Program'!E25</f>
        <v>7.15</v>
      </c>
      <c r="G50" s="145">
        <f>'Reporting Burden by Program'!F25</f>
        <v>7.55</v>
      </c>
      <c r="H50" s="145">
        <f>'Reporting Burden by Program'!G25</f>
        <v>7.35</v>
      </c>
      <c r="I50" s="145" t="str">
        <f>'Reporting Burden by Program'!I25</f>
        <v>7.2 - 7.6</v>
      </c>
      <c r="J50" s="145">
        <f>'Reporting Burden by Program'!J25</f>
        <v>7.35</v>
      </c>
      <c r="K50" s="145">
        <f>'Reporting Burden by Program'!K25</f>
        <v>0</v>
      </c>
      <c r="L50" s="145">
        <f>'Reporting Burden by Program'!L25</f>
        <v>0</v>
      </c>
      <c r="M50" s="145">
        <f>'Reporting Burden by Program'!M25</f>
        <v>0</v>
      </c>
      <c r="N50" s="405"/>
    </row>
    <row r="51" spans="1:14" x14ac:dyDescent="0.25">
      <c r="A51" t="s">
        <v>295</v>
      </c>
      <c r="B51" s="145" t="str">
        <f>'Reporting Burden by Program'!A26</f>
        <v>CSB Eligibility and Scrap Sell Donate Statement</v>
      </c>
      <c r="C51" s="145" t="str">
        <f>'Reporting Burden by Program'!B26</f>
        <v>5900-686</v>
      </c>
      <c r="D51" s="145" t="str">
        <f>'Reporting Burden by Program'!C26</f>
        <v>Required</v>
      </c>
      <c r="E51" s="484">
        <f>'Reporting Burden by Program'!D26</f>
        <v>1</v>
      </c>
      <c r="F51" s="145">
        <f>'Reporting Burden by Program'!E26</f>
        <v>1.5</v>
      </c>
      <c r="G51" s="145">
        <f>'Reporting Burden by Program'!F26</f>
        <v>12</v>
      </c>
      <c r="H51" s="145">
        <f>'Reporting Burden by Program'!G26</f>
        <v>6.75</v>
      </c>
      <c r="I51" s="145" t="str">
        <f>'Reporting Burden by Program'!I26</f>
        <v>1.5 - 12</v>
      </c>
      <c r="J51" s="145">
        <f>'Reporting Burden by Program'!J26</f>
        <v>1.5</v>
      </c>
      <c r="K51" s="145">
        <f>'Reporting Burden by Program'!K26</f>
        <v>6.75</v>
      </c>
      <c r="L51" s="145">
        <f>'Reporting Burden by Program'!L26</f>
        <v>0</v>
      </c>
      <c r="M51" s="145">
        <f>'Reporting Burden by Program'!M26</f>
        <v>0</v>
      </c>
      <c r="N51" s="405"/>
    </row>
    <row r="52" spans="1:14" x14ac:dyDescent="0.25">
      <c r="A52" t="s">
        <v>296</v>
      </c>
      <c r="B52" s="145" t="str">
        <f>'Reporting Burden by Program'!A27</f>
        <v>CSB Project Reporting Template</v>
      </c>
      <c r="C52" s="145" t="str">
        <f>'Reporting Burden by Program'!B27</f>
        <v>5900-692</v>
      </c>
      <c r="D52" s="145" t="str">
        <f>'Reporting Burden by Program'!C27</f>
        <v>Required</v>
      </c>
      <c r="E52" s="484">
        <f>'Reporting Burden by Program'!D27</f>
        <v>1</v>
      </c>
      <c r="F52" s="464">
        <f>'Reporting Burden by Program'!E27</f>
        <v>12.608333333333334</v>
      </c>
      <c r="G52" s="145">
        <f>'Reporting Burden by Program'!F27</f>
        <v>14.2</v>
      </c>
      <c r="H52" s="464">
        <f>'Reporting Burden by Program'!G27</f>
        <v>13.404166666666667</v>
      </c>
      <c r="I52" s="145" t="str">
        <f>'Reporting Burden by Program'!I27</f>
        <v>12.6 - 14.2</v>
      </c>
      <c r="J52" s="145">
        <f>'Reporting Burden by Program'!J27</f>
        <v>0</v>
      </c>
      <c r="K52" s="145">
        <f>'Reporting Burden by Program'!K27</f>
        <v>9.1</v>
      </c>
      <c r="L52" s="145">
        <f>'Reporting Burden by Program'!L27</f>
        <v>1.4</v>
      </c>
      <c r="M52" s="145">
        <f>'Reporting Burden by Program'!M27</f>
        <v>2.9</v>
      </c>
      <c r="N52" s="405"/>
    </row>
    <row r="53" spans="1:14" x14ac:dyDescent="0.25">
      <c r="A53" t="s">
        <v>297</v>
      </c>
      <c r="B53" s="145" t="str">
        <f>'Reporting Burden by Program'!A28</f>
        <v>CSB Utility Partnership Statement</v>
      </c>
      <c r="C53" s="145" t="str">
        <f>'Reporting Burden by Program'!B28</f>
        <v>5900-693</v>
      </c>
      <c r="D53" s="145" t="str">
        <f>'Reporting Burden by Program'!C28</f>
        <v>Required</v>
      </c>
      <c r="E53" s="484">
        <f>'Reporting Burden by Program'!D28</f>
        <v>1</v>
      </c>
      <c r="F53" s="145">
        <f>'Reporting Burden by Program'!E28</f>
        <v>1.5</v>
      </c>
      <c r="G53" s="145">
        <f>'Reporting Burden by Program'!F28</f>
        <v>6</v>
      </c>
      <c r="H53" s="145">
        <f>'Reporting Burden by Program'!G28</f>
        <v>3.75</v>
      </c>
      <c r="I53" s="145" t="str">
        <f>'Reporting Burden by Program'!I28</f>
        <v>1.5 - 6</v>
      </c>
      <c r="J53" s="145">
        <f>'Reporting Burden by Program'!J28</f>
        <v>1.5</v>
      </c>
      <c r="K53" s="145">
        <f>'Reporting Burden by Program'!K28</f>
        <v>3.75</v>
      </c>
      <c r="L53" s="145">
        <f>'Reporting Burden by Program'!L28</f>
        <v>0</v>
      </c>
      <c r="M53" s="145">
        <f>'Reporting Burden by Program'!M28</f>
        <v>0</v>
      </c>
      <c r="N53" s="405"/>
    </row>
    <row r="54" spans="1:14" s="148" customFormat="1" ht="30" x14ac:dyDescent="0.25">
      <c r="A54" s="148" t="s">
        <v>298</v>
      </c>
      <c r="B54" s="145" t="str">
        <f>'Reporting Burden by Program'!A29</f>
        <v>OTAQ Funding Program Recipient Story Collection Form</v>
      </c>
      <c r="C54" s="145" t="str">
        <f>'Reporting Burden by Program'!B29</f>
        <v>TBA</v>
      </c>
      <c r="D54" s="145" t="str">
        <f>'Reporting Burden by Program'!C29</f>
        <v>Optional</v>
      </c>
      <c r="E54" s="484">
        <f>'Reporting Burden by Program'!D29</f>
        <v>0.05</v>
      </c>
      <c r="F54" s="145">
        <f>'Reporting Burden by Program'!E29</f>
        <v>1.5</v>
      </c>
      <c r="G54" s="145">
        <f>'Reporting Burden by Program'!F29</f>
        <v>3</v>
      </c>
      <c r="H54" s="145">
        <f>'Reporting Burden by Program'!G29</f>
        <v>2.25</v>
      </c>
      <c r="I54" s="145" t="str">
        <f>'Reporting Burden by Program'!I29</f>
        <v>1.5 - 3</v>
      </c>
      <c r="J54" s="145">
        <f>'Reporting Burden by Program'!J29</f>
        <v>0</v>
      </c>
      <c r="K54" s="145">
        <f>'Reporting Burden by Program'!K29</f>
        <v>0</v>
      </c>
      <c r="L54" s="145">
        <f>'Reporting Burden by Program'!L29</f>
        <v>0</v>
      </c>
      <c r="M54" s="145">
        <f>'Reporting Burden by Program'!M29</f>
        <v>2.25</v>
      </c>
      <c r="N54" s="405"/>
    </row>
    <row r="55" spans="1:14" ht="30" x14ac:dyDescent="0.25">
      <c r="A55" s="462" t="s">
        <v>299</v>
      </c>
      <c r="B55" s="463" t="str">
        <f>'Reporting Burden by Program'!A30</f>
        <v>BABA Waiver Request (non-form information collection)</v>
      </c>
      <c r="C55" s="463" t="str">
        <f>'Reporting Burden by Program'!B30</f>
        <v>N/A</v>
      </c>
      <c r="D55" s="463" t="str">
        <f>'Reporting Burden by Program'!C30</f>
        <v>Optional</v>
      </c>
      <c r="E55" s="485">
        <f>'Reporting Burden by Program'!D30</f>
        <v>0.2</v>
      </c>
      <c r="F55" s="463">
        <f>'Reporting Burden by Program'!E30</f>
        <v>4</v>
      </c>
      <c r="G55" s="463">
        <f>'Reporting Burden by Program'!F30</f>
        <v>6</v>
      </c>
      <c r="H55" s="463">
        <f>'Reporting Burden by Program'!G30</f>
        <v>5</v>
      </c>
      <c r="I55" s="463" t="str">
        <f>'Reporting Burden by Program'!I30</f>
        <v>4 - 6</v>
      </c>
      <c r="J55" s="463">
        <f>'Reporting Burden by Program'!J30</f>
        <v>0</v>
      </c>
      <c r="K55" s="463">
        <f>'Reporting Burden by Program'!K30</f>
        <v>5</v>
      </c>
      <c r="L55" s="463">
        <f>'Reporting Burden by Program'!L30</f>
        <v>0</v>
      </c>
      <c r="M55" s="463">
        <f>'Reporting Burden by Program'!M30</f>
        <v>0</v>
      </c>
      <c r="N55" s="405"/>
    </row>
    <row r="56" spans="1:14" ht="30" x14ac:dyDescent="0.25">
      <c r="A56" s="148" t="s">
        <v>300</v>
      </c>
      <c r="B56" s="17" t="s">
        <v>326</v>
      </c>
      <c r="C56" s="139"/>
      <c r="D56" s="139"/>
      <c r="E56" s="474"/>
      <c r="F56" s="139"/>
      <c r="G56" s="139"/>
      <c r="H56" s="390">
        <f>SUM(J56:M56)</f>
        <v>41.5</v>
      </c>
      <c r="I56" s="144" t="str">
        <f>_xlfn.TEXTJOIN("", TRUE, ROUND(SUM(F50:F55), 1), " - ", ROUND(SUM(G50:G55),1))</f>
        <v>28.3 - 48.8</v>
      </c>
      <c r="J56" s="390">
        <f>SUM(J50:J55)</f>
        <v>10.35</v>
      </c>
      <c r="K56" s="390">
        <f>SUM(K50:K55)</f>
        <v>24.6</v>
      </c>
      <c r="L56" s="390">
        <f>SUM(L50:L55)</f>
        <v>1.4</v>
      </c>
      <c r="M56" s="390">
        <f>SUM(M50:M55)</f>
        <v>5.15</v>
      </c>
      <c r="N56" s="406"/>
    </row>
    <row r="57" spans="1:14" ht="30" x14ac:dyDescent="0.25">
      <c r="A57" t="s">
        <v>303</v>
      </c>
      <c r="B57" s="17" t="s">
        <v>304</v>
      </c>
      <c r="C57" s="139"/>
      <c r="D57" s="139"/>
      <c r="E57" s="474"/>
      <c r="F57" s="139"/>
      <c r="G57" s="139"/>
      <c r="H57" s="390">
        <f>SUM(H50:H53)</f>
        <v>31.254166666666666</v>
      </c>
      <c r="I57" s="144" t="str">
        <f>_xlfn.TEXTJOIN("", TRUE, ROUND(SUM(F50:F53), 1), " - ", ROUND(SUM(G50:G53),1))</f>
        <v>22.8 - 39.8</v>
      </c>
      <c r="J57" s="390">
        <f>SUM(J50:J53)</f>
        <v>10.35</v>
      </c>
      <c r="K57" s="390">
        <f t="shared" ref="K57:M57" si="28">SUM(K50:K53)</f>
        <v>19.600000000000001</v>
      </c>
      <c r="L57" s="390">
        <f t="shared" si="28"/>
        <v>1.4</v>
      </c>
      <c r="M57" s="390">
        <f t="shared" si="28"/>
        <v>2.9</v>
      </c>
      <c r="N57" s="390"/>
    </row>
    <row r="58" spans="1:14" x14ac:dyDescent="0.25">
      <c r="A58" t="s">
        <v>305</v>
      </c>
      <c r="B58" s="1" t="s">
        <v>306</v>
      </c>
      <c r="C58" s="139"/>
      <c r="D58" s="139"/>
      <c r="E58" s="474"/>
      <c r="F58" s="139"/>
      <c r="G58" s="139"/>
      <c r="H58" s="390">
        <f>SUM(($E50*H50)+($E51*H51)+($E52*H52)+($E53*H53)+($E54*H54)+($E55*H55))</f>
        <v>32.366666666666667</v>
      </c>
      <c r="I58" s="144" t="str">
        <f>_xlfn.TEXTJOIN("", TRUE, ROUND(SUM(($E50*F50)+($E51*F51)+($E52*F52)+($E53*F53)+($E54*F54)+($E55*F55)), 1), " - ",
ROUND(SUM(($E50*G50)+($E51*G51)+($E52*G52)+($E53*G53)+($E54*G54)+($E55*G55)),1))</f>
        <v>23.6 - 41.1</v>
      </c>
      <c r="J58" s="390">
        <f>SUM(($E50*J50)+($E51*J51)+($E52*J52)+($E53*J53)+($E54*J54)+($E55*J55))</f>
        <v>10.35</v>
      </c>
      <c r="K58" s="390">
        <f>SUM(($E50*K50)+($E51*K51)+($E52*K52)+($E53*K53)+($E54*K54)+($E55*K55))</f>
        <v>20.6</v>
      </c>
      <c r="L58" s="390">
        <f>SUM(($E50*L50)+($E51*L51)+($E52*L52)+($E53*L53)+($E54*L54)+($E55*L55))</f>
        <v>1.4</v>
      </c>
      <c r="M58" s="390">
        <f>SUM(($E50*M50)+($E51*M51)+($E52*M52)+($E53*M53)+($E54*M54)+($E55*M55))</f>
        <v>3.0124999999999997</v>
      </c>
      <c r="N58" s="390"/>
    </row>
    <row r="59" spans="1:14" x14ac:dyDescent="0.25">
      <c r="A59" s="148"/>
      <c r="B59" s="18"/>
      <c r="C59" s="139"/>
      <c r="D59" s="139"/>
      <c r="E59" s="474"/>
      <c r="F59" s="139"/>
      <c r="G59" s="139"/>
      <c r="H59" s="390"/>
      <c r="I59" s="144"/>
      <c r="J59" s="390"/>
      <c r="K59" s="390"/>
      <c r="L59" s="390"/>
      <c r="M59" s="390"/>
      <c r="N59" s="390"/>
    </row>
    <row r="60" spans="1:14" x14ac:dyDescent="0.25">
      <c r="A60" s="578" t="s">
        <v>327</v>
      </c>
      <c r="B60" s="578"/>
      <c r="C60" s="578"/>
      <c r="D60" s="578"/>
      <c r="E60" s="578"/>
      <c r="F60" s="578"/>
      <c r="G60" s="578"/>
      <c r="H60" s="578"/>
      <c r="I60" s="578"/>
      <c r="J60" s="577" t="s">
        <v>308</v>
      </c>
      <c r="K60" s="577"/>
      <c r="L60" s="577"/>
      <c r="M60" s="577"/>
      <c r="N60" s="390"/>
    </row>
    <row r="61" spans="1:14" ht="45" x14ac:dyDescent="0.25">
      <c r="A61" s="132" t="s">
        <v>288</v>
      </c>
      <c r="B61" s="132" t="s">
        <v>109</v>
      </c>
      <c r="C61" s="132" t="s">
        <v>110</v>
      </c>
      <c r="D61" s="132" t="s">
        <v>111</v>
      </c>
      <c r="E61" s="480" t="s">
        <v>289</v>
      </c>
      <c r="F61" s="132" t="s">
        <v>309</v>
      </c>
      <c r="G61" s="132" t="s">
        <v>310</v>
      </c>
      <c r="H61" s="132" t="s">
        <v>311</v>
      </c>
      <c r="I61" s="132" t="s">
        <v>312</v>
      </c>
      <c r="J61" s="132" t="s">
        <v>118</v>
      </c>
      <c r="K61" s="132" t="s">
        <v>119</v>
      </c>
      <c r="L61" s="132" t="s">
        <v>120</v>
      </c>
      <c r="M61" s="132" t="s">
        <v>121</v>
      </c>
      <c r="N61" s="404"/>
    </row>
    <row r="62" spans="1:14" x14ac:dyDescent="0.25">
      <c r="A62" t="s">
        <v>294</v>
      </c>
      <c r="B62" s="145" t="str">
        <f>B50</f>
        <v>CSB Supplemental Application Template</v>
      </c>
      <c r="C62" s="145" t="str">
        <f t="shared" ref="C62:D62" si="29">C50</f>
        <v>5900-680</v>
      </c>
      <c r="D62" s="145" t="str">
        <f t="shared" si="29"/>
        <v>Required</v>
      </c>
      <c r="E62" s="484">
        <f t="shared" ref="E62" si="30">E50</f>
        <v>1</v>
      </c>
      <c r="F62" s="263">
        <f>F50*Wages!$L$18</f>
        <v>454.37194849724165</v>
      </c>
      <c r="G62" s="263">
        <f>G50*Wages!$L$18</f>
        <v>479.79135820338098</v>
      </c>
      <c r="H62" s="391">
        <f>H50*Wages!$L$18</f>
        <v>467.08165335031129</v>
      </c>
      <c r="I62" s="151" t="str">
        <f>_xlfn.TEXTJOIN(" - ",TRUE,DOLLAR(ROUND(F62,1),0),DOLLAR(ROUND(G62,1),0))</f>
        <v>$454 - $480</v>
      </c>
      <c r="J62" s="400">
        <f>J50*Wages!$L$18</f>
        <v>467.08165335031129</v>
      </c>
      <c r="K62" s="400">
        <f>K50*Wages!$L$18</f>
        <v>0</v>
      </c>
      <c r="L62" s="400">
        <f>L50*Wages!$L$18</f>
        <v>0</v>
      </c>
      <c r="M62" s="400">
        <f>M50*Wages!$L$18</f>
        <v>0</v>
      </c>
      <c r="N62" s="405"/>
    </row>
    <row r="63" spans="1:14" x14ac:dyDescent="0.25">
      <c r="A63" t="s">
        <v>295</v>
      </c>
      <c r="B63" s="145" t="str">
        <f t="shared" ref="B63:D63" si="31">B51</f>
        <v>CSB Eligibility and Scrap Sell Donate Statement</v>
      </c>
      <c r="C63" s="145" t="str">
        <f t="shared" si="31"/>
        <v>5900-686</v>
      </c>
      <c r="D63" s="145" t="str">
        <f t="shared" si="31"/>
        <v>Required</v>
      </c>
      <c r="E63" s="484">
        <f t="shared" ref="E63" si="32">E51</f>
        <v>1</v>
      </c>
      <c r="F63" s="263">
        <f>F51*Wages!$L$18</f>
        <v>95.322786398022714</v>
      </c>
      <c r="G63" s="263">
        <f>G51*Wages!$L$18</f>
        <v>762.58229118418171</v>
      </c>
      <c r="H63" s="391">
        <f>H51*Wages!$L$18</f>
        <v>428.9525387911022</v>
      </c>
      <c r="I63" s="151" t="str">
        <f t="shared" ref="I63:I66" si="33">_xlfn.TEXTJOIN(" - ",TRUE,DOLLAR(ROUND(F63,1),0),DOLLAR(ROUND(G63,1),0))</f>
        <v>$95 - $763</v>
      </c>
      <c r="J63" s="401">
        <f>J51*Wages!$L$18</f>
        <v>95.322786398022714</v>
      </c>
      <c r="K63" s="401">
        <f>K51*Wages!$L$18</f>
        <v>428.9525387911022</v>
      </c>
      <c r="L63" s="401">
        <f>L51*Wages!$L$18</f>
        <v>0</v>
      </c>
      <c r="M63" s="401">
        <f>M51*Wages!$L$18</f>
        <v>0</v>
      </c>
      <c r="N63" s="405"/>
    </row>
    <row r="64" spans="1:14" x14ac:dyDescent="0.25">
      <c r="A64" t="s">
        <v>296</v>
      </c>
      <c r="B64" s="145" t="str">
        <f t="shared" ref="B64:D64" si="34">B52</f>
        <v>CSB Project Reporting Template</v>
      </c>
      <c r="C64" s="145" t="str">
        <f t="shared" si="34"/>
        <v>5900-692</v>
      </c>
      <c r="D64" s="145" t="str">
        <f t="shared" si="34"/>
        <v>Required</v>
      </c>
      <c r="E64" s="484">
        <f t="shared" ref="E64" si="35">E52</f>
        <v>1</v>
      </c>
      <c r="F64" s="263">
        <f>F52*Wages!$L$18</f>
        <v>801.24097677893542</v>
      </c>
      <c r="G64" s="263">
        <f>G52*Wages!$L$18</f>
        <v>902.3890445679483</v>
      </c>
      <c r="H64" s="391">
        <f>H52*Wages!$L$18</f>
        <v>851.81501067344186</v>
      </c>
      <c r="I64" s="151" t="str">
        <f t="shared" si="33"/>
        <v>$801 - $902</v>
      </c>
      <c r="J64" s="401">
        <f>J52*Wages!$L$18</f>
        <v>0</v>
      </c>
      <c r="K64" s="401">
        <f>K52*Wages!$L$18</f>
        <v>578.2915708146711</v>
      </c>
      <c r="L64" s="401">
        <f>L52*Wages!$L$18</f>
        <v>88.967933971487867</v>
      </c>
      <c r="M64" s="401">
        <f>M52*Wages!$L$18</f>
        <v>184.29072036951058</v>
      </c>
      <c r="N64" s="405"/>
    </row>
    <row r="65" spans="1:14" x14ac:dyDescent="0.25">
      <c r="A65" t="s">
        <v>297</v>
      </c>
      <c r="B65" s="145" t="str">
        <f t="shared" ref="B65:D65" si="36">B53</f>
        <v>CSB Utility Partnership Statement</v>
      </c>
      <c r="C65" s="145" t="str">
        <f t="shared" si="36"/>
        <v>5900-693</v>
      </c>
      <c r="D65" s="145" t="str">
        <f t="shared" si="36"/>
        <v>Required</v>
      </c>
      <c r="E65" s="484">
        <f t="shared" ref="E65" si="37">E53</f>
        <v>1</v>
      </c>
      <c r="F65" s="263">
        <f>F53*Wages!$L$18</f>
        <v>95.322786398022714</v>
      </c>
      <c r="G65" s="263">
        <f>G53*Wages!$L$18</f>
        <v>381.29114559209086</v>
      </c>
      <c r="H65" s="391">
        <f>H53*Wages!$L$18</f>
        <v>238.30696599505677</v>
      </c>
      <c r="I65" s="151" t="str">
        <f t="shared" si="33"/>
        <v>$95 - $381</v>
      </c>
      <c r="J65" s="401">
        <f>J53*Wages!$L$18</f>
        <v>95.322786398022714</v>
      </c>
      <c r="K65" s="401">
        <f>K53*Wages!$L$18</f>
        <v>238.30696599505677</v>
      </c>
      <c r="L65" s="401">
        <f>L53*Wages!$L$18</f>
        <v>0</v>
      </c>
      <c r="M65" s="401">
        <f>M53*Wages!$L$18</f>
        <v>0</v>
      </c>
      <c r="N65" s="405"/>
    </row>
    <row r="66" spans="1:14" s="148" customFormat="1" ht="30" x14ac:dyDescent="0.25">
      <c r="A66" s="148" t="s">
        <v>298</v>
      </c>
      <c r="B66" s="145" t="str">
        <f t="shared" ref="B66:D67" si="38">B54</f>
        <v>OTAQ Funding Program Recipient Story Collection Form</v>
      </c>
      <c r="C66" s="145" t="str">
        <f t="shared" si="38"/>
        <v>TBA</v>
      </c>
      <c r="D66" s="145" t="str">
        <f t="shared" si="38"/>
        <v>Optional</v>
      </c>
      <c r="E66" s="484">
        <f t="shared" ref="E66" si="39">E54</f>
        <v>0.05</v>
      </c>
      <c r="F66" s="266">
        <f>F54*Wages!$L$18</f>
        <v>95.322786398022714</v>
      </c>
      <c r="G66" s="266">
        <f>G54*Wages!$L$18</f>
        <v>190.64557279604543</v>
      </c>
      <c r="H66" s="401">
        <f>H54*Wages!$L$18</f>
        <v>142.98417959703409</v>
      </c>
      <c r="I66" s="164" t="str">
        <f t="shared" si="33"/>
        <v>$95 - $191</v>
      </c>
      <c r="J66" s="401">
        <f>J54*Wages!$L$18</f>
        <v>0</v>
      </c>
      <c r="K66" s="401">
        <f>K54*Wages!$L$18</f>
        <v>0</v>
      </c>
      <c r="L66" s="401">
        <f>L54*Wages!$L$18</f>
        <v>0</v>
      </c>
      <c r="M66" s="401">
        <f>M54*Wages!$L$18</f>
        <v>142.98417959703409</v>
      </c>
      <c r="N66" s="405"/>
    </row>
    <row r="67" spans="1:14" ht="30" x14ac:dyDescent="0.25">
      <c r="A67" s="157" t="s">
        <v>299</v>
      </c>
      <c r="B67" s="463" t="str">
        <f t="shared" si="38"/>
        <v>BABA Waiver Request (non-form information collection)</v>
      </c>
      <c r="C67" s="463" t="str">
        <f t="shared" si="38"/>
        <v>N/A</v>
      </c>
      <c r="D67" s="463" t="str">
        <f t="shared" si="38"/>
        <v>Optional</v>
      </c>
      <c r="E67" s="485">
        <f t="shared" ref="E67" si="40">E55</f>
        <v>0.2</v>
      </c>
      <c r="F67" s="264">
        <f>F55*Wages!$L$18</f>
        <v>254.1940970613939</v>
      </c>
      <c r="G67" s="264">
        <f>G55*Wages!$L$18</f>
        <v>381.29114559209086</v>
      </c>
      <c r="H67" s="393">
        <f>H55*Wages!$L$18</f>
        <v>317.74262132674238</v>
      </c>
      <c r="I67" s="152" t="str">
        <f t="shared" ref="I67" si="41">_xlfn.TEXTJOIN(" - ",TRUE,DOLLAR(ROUND(F67,1),0),DOLLAR(ROUND(G67,1),0))</f>
        <v>$254 - $381</v>
      </c>
      <c r="J67" s="393">
        <f>J55*Wages!$L$18</f>
        <v>0</v>
      </c>
      <c r="K67" s="393">
        <f>K55*Wages!$L$18</f>
        <v>317.74262132674238</v>
      </c>
      <c r="L67" s="393">
        <f>L55*Wages!$L$18</f>
        <v>0</v>
      </c>
      <c r="M67" s="393">
        <f>M55*Wages!$L$18</f>
        <v>0</v>
      </c>
      <c r="N67" s="405"/>
    </row>
    <row r="68" spans="1:14" ht="30" x14ac:dyDescent="0.25">
      <c r="A68" t="s">
        <v>300</v>
      </c>
      <c r="B68" s="17" t="s">
        <v>328</v>
      </c>
      <c r="C68" s="139"/>
      <c r="D68" s="139"/>
      <c r="E68" s="474"/>
      <c r="F68" s="269"/>
      <c r="G68" s="269"/>
      <c r="H68" s="267">
        <f>SUM(H62:H67)</f>
        <v>2446.8829697336882</v>
      </c>
      <c r="I68" s="154" t="str">
        <f>_xlfn.TEXTJOIN(" - ",TRUE,DOLLAR(ROUND(SUM(F62:F67),1),0),DOLLAR(ROUND(SUM(G62:G67),1),0))</f>
        <v>$1,796 - $3,098</v>
      </c>
      <c r="J68" s="267">
        <f>SUM(J62:J67)</f>
        <v>657.72722614635666</v>
      </c>
      <c r="K68" s="267">
        <f t="shared" ref="K68:M68" si="42">SUM(K62:K67)</f>
        <v>1563.2936969275725</v>
      </c>
      <c r="L68" s="267">
        <f t="shared" si="42"/>
        <v>88.967933971487867</v>
      </c>
      <c r="M68" s="267">
        <f t="shared" si="42"/>
        <v>327.27489996654469</v>
      </c>
      <c r="N68" s="406"/>
    </row>
    <row r="69" spans="1:14" ht="30" x14ac:dyDescent="0.25">
      <c r="A69" t="s">
        <v>301</v>
      </c>
      <c r="B69" s="17" t="s">
        <v>314</v>
      </c>
      <c r="C69" s="139"/>
      <c r="D69" s="139"/>
      <c r="E69" s="474"/>
      <c r="F69" s="269"/>
      <c r="G69" s="269"/>
      <c r="H69" s="267">
        <f>H57*Wages!$L$18</f>
        <v>1986.1561688099121</v>
      </c>
      <c r="I69" s="154" t="str">
        <f>_xlfn.TEXTJOIN(" - ",TRUE,DOLLAR(ROUND(SUM(F62:F65),1),0),DOLLAR(ROUND(SUM(G62:G65),1),0))</f>
        <v>$1,446 - $2,526</v>
      </c>
      <c r="J69" s="267">
        <f>J57*Wages!$L$18</f>
        <v>657.72722614635666</v>
      </c>
      <c r="K69" s="267">
        <f>K57*Wages!$L$18</f>
        <v>1245.5510756008302</v>
      </c>
      <c r="L69" s="267">
        <f>L57*Wages!$L$18</f>
        <v>88.967933971487867</v>
      </c>
      <c r="M69" s="267">
        <f>M57*Wages!$L$18</f>
        <v>184.29072036951058</v>
      </c>
      <c r="N69" s="406"/>
    </row>
    <row r="70" spans="1:14" ht="45" x14ac:dyDescent="0.25">
      <c r="A70" t="s">
        <v>303</v>
      </c>
      <c r="B70" s="17" t="s">
        <v>315</v>
      </c>
      <c r="C70" s="139"/>
      <c r="D70" s="139"/>
      <c r="E70" s="474"/>
      <c r="F70" s="269"/>
      <c r="G70" s="269"/>
      <c r="H70" s="267">
        <f>H58*Wages!$L$18</f>
        <v>2056.8539020551125</v>
      </c>
      <c r="I70" s="492"/>
      <c r="J70" s="267">
        <f>J58*Wages!$L$18</f>
        <v>657.72722614635666</v>
      </c>
      <c r="K70" s="267">
        <f>K58*Wages!$L$18</f>
        <v>1309.0995998661788</v>
      </c>
      <c r="L70" s="267">
        <f>L58*Wages!$L$18</f>
        <v>88.967933971487867</v>
      </c>
      <c r="M70" s="267">
        <f>M58*Wages!$L$18</f>
        <v>191.43992934936227</v>
      </c>
      <c r="N70" s="406"/>
    </row>
    <row r="71" spans="1:14" ht="30" x14ac:dyDescent="0.25">
      <c r="A71" s="148" t="s">
        <v>305</v>
      </c>
      <c r="B71" s="150" t="s">
        <v>317</v>
      </c>
      <c r="C71" s="155"/>
      <c r="D71" s="147"/>
      <c r="E71" s="481"/>
      <c r="F71" s="270"/>
      <c r="G71" s="271"/>
      <c r="H71" s="407"/>
      <c r="I71" s="149"/>
      <c r="J71" s="206">
        <f>SUM(Respondents!C22:D22)</f>
        <v>104</v>
      </c>
      <c r="K71" s="149">
        <f>SUM(Respondents!C9:D9)</f>
        <v>26</v>
      </c>
      <c r="L71" s="149">
        <f>SUM(Respondents!C9:D9)</f>
        <v>26</v>
      </c>
      <c r="M71" s="149">
        <f>SUM(Respondents!C9:D9)</f>
        <v>26</v>
      </c>
      <c r="N71" s="211"/>
    </row>
    <row r="72" spans="1:14" ht="30" x14ac:dyDescent="0.25">
      <c r="A72" s="462" t="s">
        <v>316</v>
      </c>
      <c r="B72" s="229" t="s">
        <v>329</v>
      </c>
      <c r="C72" s="142"/>
      <c r="D72" s="142"/>
      <c r="E72" s="475"/>
      <c r="F72" s="493"/>
      <c r="G72" s="493"/>
      <c r="H72" s="494"/>
      <c r="I72" s="230"/>
      <c r="J72" s="397">
        <f>J70*J71</f>
        <v>68403.63151922109</v>
      </c>
      <c r="K72" s="397">
        <f t="shared" ref="K72:M72" si="43">K70*K71</f>
        <v>34036.589596520651</v>
      </c>
      <c r="L72" s="397">
        <f t="shared" si="43"/>
        <v>2313.1662832586844</v>
      </c>
      <c r="M72" s="397">
        <f t="shared" si="43"/>
        <v>4977.4381630834196</v>
      </c>
      <c r="N72" s="406"/>
    </row>
    <row r="73" spans="1:14" ht="30" x14ac:dyDescent="0.4">
      <c r="A73" t="s">
        <v>318</v>
      </c>
      <c r="B73" s="17" t="s">
        <v>330</v>
      </c>
      <c r="C73" s="139"/>
      <c r="D73" s="139"/>
      <c r="E73" s="474"/>
      <c r="F73" s="269"/>
      <c r="G73" s="269"/>
      <c r="H73" s="398"/>
      <c r="I73" s="144"/>
      <c r="J73" s="398"/>
      <c r="K73" s="398"/>
      <c r="L73" s="398"/>
      <c r="M73" s="399">
        <f>SUM(J72:N72)</f>
        <v>109730.82556208385</v>
      </c>
      <c r="N73" s="388"/>
    </row>
    <row r="74" spans="1:14" ht="17.25" x14ac:dyDescent="0.4">
      <c r="B74" s="18"/>
      <c r="C74" s="139"/>
      <c r="D74" s="139"/>
      <c r="E74" s="474"/>
      <c r="F74" s="269"/>
      <c r="G74" s="269"/>
      <c r="H74" s="398"/>
      <c r="I74" s="144"/>
      <c r="J74" s="390"/>
      <c r="K74" s="390"/>
      <c r="L74" s="390"/>
      <c r="M74" s="408"/>
      <c r="N74" s="388"/>
    </row>
    <row r="75" spans="1:14" x14ac:dyDescent="0.25">
      <c r="A75" s="578" t="s">
        <v>331</v>
      </c>
      <c r="B75" s="578"/>
      <c r="C75" s="578"/>
      <c r="D75" s="578"/>
      <c r="E75" s="578"/>
      <c r="F75" s="578"/>
      <c r="G75" s="578"/>
      <c r="H75" s="578"/>
      <c r="I75" s="578"/>
      <c r="J75" s="577" t="s">
        <v>308</v>
      </c>
      <c r="K75" s="577"/>
      <c r="L75" s="577"/>
      <c r="M75" s="577"/>
      <c r="N75" s="388"/>
    </row>
    <row r="76" spans="1:14" ht="45" x14ac:dyDescent="0.25">
      <c r="A76" s="132" t="s">
        <v>288</v>
      </c>
      <c r="B76" s="132" t="s">
        <v>109</v>
      </c>
      <c r="C76" s="132" t="s">
        <v>110</v>
      </c>
      <c r="D76" s="132" t="s">
        <v>111</v>
      </c>
      <c r="E76" s="480" t="s">
        <v>289</v>
      </c>
      <c r="F76" s="272" t="s">
        <v>309</v>
      </c>
      <c r="G76" s="272" t="s">
        <v>310</v>
      </c>
      <c r="H76" s="272" t="s">
        <v>311</v>
      </c>
      <c r="I76" s="132" t="s">
        <v>312</v>
      </c>
      <c r="J76" s="132" t="s">
        <v>118</v>
      </c>
      <c r="K76" s="132" t="s">
        <v>119</v>
      </c>
      <c r="L76" s="132" t="s">
        <v>120</v>
      </c>
      <c r="M76" s="132" t="s">
        <v>121</v>
      </c>
      <c r="N76" s="388"/>
    </row>
    <row r="77" spans="1:14" x14ac:dyDescent="0.25">
      <c r="A77" t="s">
        <v>294</v>
      </c>
      <c r="B77" s="145" t="str">
        <f t="shared" ref="B77:B82" si="44">B50</f>
        <v>CSB Supplemental Application Template</v>
      </c>
      <c r="C77" s="145" t="str">
        <f t="shared" ref="C77:D77" si="45">C50</f>
        <v>5900-680</v>
      </c>
      <c r="D77" s="145" t="str">
        <f t="shared" si="45"/>
        <v>Required</v>
      </c>
      <c r="E77" s="484">
        <f t="shared" ref="E77" si="46">E50</f>
        <v>1</v>
      </c>
      <c r="F77" s="268">
        <f>F50*Wages!$L$19</f>
        <v>364.22686512453572</v>
      </c>
      <c r="G77" s="268">
        <f>G50*Wages!$L$19</f>
        <v>384.60319324339082</v>
      </c>
      <c r="H77" s="402">
        <f>H50*Wages!$L$19</f>
        <v>374.41502918396327</v>
      </c>
      <c r="I77" s="151" t="str">
        <f>_xlfn.TEXTJOIN(" - ",TRUE,DOLLAR(ROUND(F77,1),0),DOLLAR(ROUND(G77,1),0))</f>
        <v>$364 - $385</v>
      </c>
      <c r="J77" s="423">
        <f>J50*Wages!$L$19</f>
        <v>374.41502918396327</v>
      </c>
      <c r="K77" s="423">
        <f>K50*Wages!$L$19</f>
        <v>0</v>
      </c>
      <c r="L77" s="423">
        <f>L50*Wages!$L$19</f>
        <v>0</v>
      </c>
      <c r="M77" s="423">
        <f>M50*Wages!$L$19</f>
        <v>0</v>
      </c>
      <c r="N77" s="388"/>
    </row>
    <row r="78" spans="1:14" x14ac:dyDescent="0.25">
      <c r="A78" t="s">
        <v>295</v>
      </c>
      <c r="B78" s="145" t="str">
        <f t="shared" si="44"/>
        <v>CSB Eligibility and Scrap Sell Donate Statement</v>
      </c>
      <c r="C78" s="145" t="str">
        <f t="shared" ref="C78:D82" si="47">C51</f>
        <v>5900-686</v>
      </c>
      <c r="D78" s="145" t="str">
        <f t="shared" si="47"/>
        <v>Required</v>
      </c>
      <c r="E78" s="484">
        <f t="shared" ref="E78" si="48">E51</f>
        <v>1</v>
      </c>
      <c r="F78" s="268">
        <f>F51*Wages!$L$19</f>
        <v>76.411230445706792</v>
      </c>
      <c r="G78" s="268">
        <f>G51*Wages!$L$19</f>
        <v>611.28984356565434</v>
      </c>
      <c r="H78" s="402">
        <f>H51*Wages!$L$19</f>
        <v>343.85053700568056</v>
      </c>
      <c r="I78" s="151" t="str">
        <f t="shared" ref="I78:I81" si="49">_xlfn.TEXTJOIN(" - ",TRUE,DOLLAR(ROUND(F78,1),0),DOLLAR(ROUND(G78,1),0))</f>
        <v>$76 - $611</v>
      </c>
      <c r="J78" s="424">
        <f>J51*Wages!$L$19</f>
        <v>76.411230445706792</v>
      </c>
      <c r="K78" s="424">
        <f>K51*Wages!$L$19</f>
        <v>343.85053700568056</v>
      </c>
      <c r="L78" s="424">
        <f>L51*Wages!$L$19</f>
        <v>0</v>
      </c>
      <c r="M78" s="424">
        <f>M51*Wages!$L$19</f>
        <v>0</v>
      </c>
      <c r="N78" s="388"/>
    </row>
    <row r="79" spans="1:14" x14ac:dyDescent="0.25">
      <c r="A79" t="s">
        <v>296</v>
      </c>
      <c r="B79" s="145" t="str">
        <f t="shared" si="44"/>
        <v>CSB Project Reporting Template</v>
      </c>
      <c r="C79" s="145" t="str">
        <f t="shared" si="47"/>
        <v>5900-692</v>
      </c>
      <c r="D79" s="145" t="str">
        <f t="shared" si="47"/>
        <v>Required</v>
      </c>
      <c r="E79" s="484">
        <f t="shared" ref="E79" si="50">E52</f>
        <v>1</v>
      </c>
      <c r="F79" s="268">
        <f>F52*Wages!$L$19</f>
        <v>642.27884257974654</v>
      </c>
      <c r="G79" s="268">
        <f>G52*Wages!$L$19</f>
        <v>723.35964821935761</v>
      </c>
      <c r="H79" s="402">
        <f>H52*Wages!$L$19</f>
        <v>682.81924539955207</v>
      </c>
      <c r="I79" s="151" t="str">
        <f t="shared" si="49"/>
        <v>$642 - $723</v>
      </c>
      <c r="J79" s="424">
        <f>J52*Wages!$L$19</f>
        <v>0</v>
      </c>
      <c r="K79" s="424">
        <f>K52*Wages!$L$19</f>
        <v>463.56146470395453</v>
      </c>
      <c r="L79" s="424">
        <f>L52*Wages!$L$19</f>
        <v>71.317148415993003</v>
      </c>
      <c r="M79" s="424">
        <f>M52*Wages!$L$19</f>
        <v>147.72837886169978</v>
      </c>
      <c r="N79" s="388"/>
    </row>
    <row r="80" spans="1:14" x14ac:dyDescent="0.25">
      <c r="A80" t="s">
        <v>297</v>
      </c>
      <c r="B80" s="145" t="str">
        <f t="shared" si="44"/>
        <v>CSB Utility Partnership Statement</v>
      </c>
      <c r="C80" s="145" t="str">
        <f t="shared" si="47"/>
        <v>5900-693</v>
      </c>
      <c r="D80" s="145" t="str">
        <f t="shared" si="47"/>
        <v>Required</v>
      </c>
      <c r="E80" s="484">
        <f t="shared" ref="E80" si="51">E53</f>
        <v>1</v>
      </c>
      <c r="F80" s="268">
        <f>F53*Wages!$L$19</f>
        <v>76.411230445706792</v>
      </c>
      <c r="G80" s="268">
        <f>G53*Wages!$L$19</f>
        <v>305.64492178282717</v>
      </c>
      <c r="H80" s="402">
        <f>H53*Wages!$L$19</f>
        <v>191.02807611426698</v>
      </c>
      <c r="I80" s="151" t="str">
        <f t="shared" si="49"/>
        <v>$76 - $306</v>
      </c>
      <c r="J80" s="424">
        <f>J53*Wages!$L$19</f>
        <v>76.411230445706792</v>
      </c>
      <c r="K80" s="424">
        <f>K53*Wages!$L$19</f>
        <v>191.02807611426698</v>
      </c>
      <c r="L80" s="424">
        <f>L53*Wages!$L$19</f>
        <v>0</v>
      </c>
      <c r="M80" s="424">
        <f>M53*Wages!$L$19</f>
        <v>0</v>
      </c>
      <c r="N80" s="388"/>
    </row>
    <row r="81" spans="1:18" s="148" customFormat="1" ht="30" x14ac:dyDescent="0.25">
      <c r="A81" s="148" t="s">
        <v>298</v>
      </c>
      <c r="B81" s="145" t="str">
        <f t="shared" si="44"/>
        <v>OTAQ Funding Program Recipient Story Collection Form</v>
      </c>
      <c r="C81" s="145" t="str">
        <f t="shared" si="47"/>
        <v>TBA</v>
      </c>
      <c r="D81" s="145" t="str">
        <f t="shared" si="47"/>
        <v>Optional</v>
      </c>
      <c r="E81" s="484">
        <f t="shared" ref="E81" si="52">E54</f>
        <v>0.05</v>
      </c>
      <c r="F81" s="270">
        <f>F54*Wages!$L$19</f>
        <v>76.411230445706792</v>
      </c>
      <c r="G81" s="270">
        <f>G54*Wages!$L$19</f>
        <v>152.82246089141358</v>
      </c>
      <c r="H81" s="424">
        <f>H54*Wages!$L$19</f>
        <v>114.61684566856019</v>
      </c>
      <c r="I81" s="164" t="str">
        <f t="shared" si="49"/>
        <v>$76 - $153</v>
      </c>
      <c r="J81" s="424">
        <f>J54*Wages!$L$19</f>
        <v>0</v>
      </c>
      <c r="K81" s="424">
        <f>K54*Wages!$L$19</f>
        <v>0</v>
      </c>
      <c r="L81" s="424">
        <f>L54*Wages!$L$19</f>
        <v>0</v>
      </c>
      <c r="M81" s="424">
        <f>M54*Wages!$L$19</f>
        <v>114.61684566856019</v>
      </c>
      <c r="N81" s="388"/>
    </row>
    <row r="82" spans="1:18" s="148" customFormat="1" ht="30" x14ac:dyDescent="0.25">
      <c r="A82" s="157" t="s">
        <v>299</v>
      </c>
      <c r="B82" s="463" t="str">
        <f t="shared" si="44"/>
        <v>BABA Waiver Request (non-form information collection)</v>
      </c>
      <c r="C82" s="463" t="str">
        <f t="shared" si="47"/>
        <v>N/A</v>
      </c>
      <c r="D82" s="463" t="str">
        <f t="shared" si="47"/>
        <v>Optional</v>
      </c>
      <c r="E82" s="485">
        <f t="shared" ref="E82" si="53">E55</f>
        <v>0.2</v>
      </c>
      <c r="F82" s="273">
        <f>F55*Wages!$L$19</f>
        <v>203.76328118855145</v>
      </c>
      <c r="G82" s="273">
        <f>G55*Wages!$L$19</f>
        <v>305.64492178282717</v>
      </c>
      <c r="H82" s="409">
        <f>H55*Wages!$L$19</f>
        <v>254.70410148568931</v>
      </c>
      <c r="I82" s="152" t="str">
        <f t="shared" ref="I82" si="54">_xlfn.TEXTJOIN(" - ",TRUE,DOLLAR(ROUND(F82,1),0),DOLLAR(ROUND(G82,1),0))</f>
        <v>$204 - $306</v>
      </c>
      <c r="J82" s="409">
        <f>J55*Wages!$L$19</f>
        <v>0</v>
      </c>
      <c r="K82" s="409">
        <f>K55*Wages!$L$19</f>
        <v>254.70410148568931</v>
      </c>
      <c r="L82" s="409">
        <f>L55*Wages!$L$19</f>
        <v>0</v>
      </c>
      <c r="M82" s="409">
        <f>M55*Wages!$L$19</f>
        <v>0</v>
      </c>
      <c r="N82" s="388"/>
    </row>
    <row r="83" spans="1:18" ht="30" x14ac:dyDescent="0.25">
      <c r="A83" t="s">
        <v>300</v>
      </c>
      <c r="B83" s="17" t="s">
        <v>328</v>
      </c>
      <c r="C83" s="139"/>
      <c r="D83" s="139"/>
      <c r="E83" s="474"/>
      <c r="F83" s="153"/>
      <c r="G83" s="153"/>
      <c r="H83" s="267">
        <f>SUM(H77:H82)</f>
        <v>1961.4338348577123</v>
      </c>
      <c r="I83" s="154" t="str">
        <f>_xlfn.TEXTJOIN(" - ",TRUE,DOLLAR(ROUND(SUM(F77:F82),1),0),DOLLAR(ROUND(SUM(G77:G82),1),0))</f>
        <v>$1,440 - $2,483</v>
      </c>
      <c r="J83" s="267">
        <f>SUM(J77:J82)</f>
        <v>527.23749007537685</v>
      </c>
      <c r="K83" s="267">
        <f t="shared" ref="K83:M83" si="55">SUM(K77:K82)</f>
        <v>1253.1441793095914</v>
      </c>
      <c r="L83" s="267">
        <f t="shared" si="55"/>
        <v>71.317148415993003</v>
      </c>
      <c r="M83" s="267">
        <f t="shared" si="55"/>
        <v>262.34522453026</v>
      </c>
      <c r="N83" s="388"/>
    </row>
    <row r="84" spans="1:18" ht="30" x14ac:dyDescent="0.25">
      <c r="A84" t="s">
        <v>301</v>
      </c>
      <c r="B84" s="17" t="s">
        <v>314</v>
      </c>
      <c r="C84" s="139"/>
      <c r="D84" s="139"/>
      <c r="E84" s="474"/>
      <c r="F84" s="153"/>
      <c r="G84" s="153"/>
      <c r="H84" s="267">
        <f>H57*Wages!$L$19</f>
        <v>1592.112887703463</v>
      </c>
      <c r="I84" s="154" t="str">
        <f>_xlfn.TEXTJOIN(" - ",TRUE,DOLLAR(ROUND(SUM(F77:F80),1),0),DOLLAR(ROUND(SUM(G77:G80),1),0))</f>
        <v>$1,159 - $2,025</v>
      </c>
      <c r="J84" s="267">
        <f>J57*Wages!$L$19</f>
        <v>527.23749007537685</v>
      </c>
      <c r="K84" s="267">
        <f>K57*Wages!$L$19</f>
        <v>998.44007782390213</v>
      </c>
      <c r="L84" s="267">
        <f>L57*Wages!$L$19</f>
        <v>71.317148415993003</v>
      </c>
      <c r="M84" s="267">
        <f>M57*Wages!$L$19</f>
        <v>147.72837886169978</v>
      </c>
      <c r="N84" s="388"/>
    </row>
    <row r="85" spans="1:18" ht="45" x14ac:dyDescent="0.25">
      <c r="A85" t="s">
        <v>303</v>
      </c>
      <c r="B85" s="17" t="s">
        <v>315</v>
      </c>
      <c r="C85" s="139"/>
      <c r="D85" s="139"/>
      <c r="E85" s="474"/>
      <c r="F85" s="153"/>
      <c r="G85" s="153"/>
      <c r="H85" s="267">
        <f>H58*Wages!$L$19</f>
        <v>1648.7845502840289</v>
      </c>
      <c r="I85" s="478"/>
      <c r="J85" s="267">
        <f>J58*Wages!$L$19</f>
        <v>527.23749007537685</v>
      </c>
      <c r="K85" s="267">
        <f>K58*Wages!$L$19</f>
        <v>1049.38089812104</v>
      </c>
      <c r="L85" s="267">
        <f>L58*Wages!$L$19</f>
        <v>71.317148415993003</v>
      </c>
      <c r="M85" s="267">
        <f>M58*Wages!$L$19</f>
        <v>153.4592211451278</v>
      </c>
      <c r="N85" s="388"/>
    </row>
    <row r="86" spans="1:18" ht="30" x14ac:dyDescent="0.25">
      <c r="A86" s="148" t="s">
        <v>305</v>
      </c>
      <c r="B86" s="150" t="s">
        <v>323</v>
      </c>
      <c r="C86" s="155"/>
      <c r="D86" s="147"/>
      <c r="E86" s="481"/>
      <c r="F86" s="148"/>
      <c r="G86" s="141"/>
      <c r="H86" s="395"/>
      <c r="I86" s="144"/>
      <c r="J86" s="206">
        <f>SUM(Respondents!E22)</f>
        <v>96</v>
      </c>
      <c r="K86" s="149">
        <f>Respondents!E9</f>
        <v>24</v>
      </c>
      <c r="L86" s="149">
        <f>Respondents!E9</f>
        <v>24</v>
      </c>
      <c r="M86" s="149">
        <f>Respondents!E9</f>
        <v>24</v>
      </c>
      <c r="N86" s="388"/>
    </row>
    <row r="87" spans="1:18" ht="30" x14ac:dyDescent="0.25">
      <c r="A87" s="462" t="s">
        <v>316</v>
      </c>
      <c r="B87" s="229" t="s">
        <v>329</v>
      </c>
      <c r="C87" s="142"/>
      <c r="D87" s="142"/>
      <c r="E87" s="475"/>
      <c r="F87" s="142"/>
      <c r="G87" s="142"/>
      <c r="H87" s="396"/>
      <c r="I87" s="230"/>
      <c r="J87" s="397">
        <f>J85*J86</f>
        <v>50614.799047236178</v>
      </c>
      <c r="K87" s="397">
        <f t="shared" ref="K87:M87" si="56">K85*K86</f>
        <v>25185.14155490496</v>
      </c>
      <c r="L87" s="397">
        <f t="shared" si="56"/>
        <v>1711.611561983832</v>
      </c>
      <c r="M87" s="397">
        <f t="shared" si="56"/>
        <v>3683.0213074830672</v>
      </c>
      <c r="N87" s="388"/>
    </row>
    <row r="88" spans="1:18" ht="32.25" x14ac:dyDescent="0.4">
      <c r="A88" t="s">
        <v>318</v>
      </c>
      <c r="B88" s="228" t="s">
        <v>332</v>
      </c>
      <c r="I88" s="144"/>
      <c r="J88" s="402"/>
      <c r="K88" s="402"/>
      <c r="L88" s="402"/>
      <c r="M88" s="399">
        <f>SUM(J87:M87)</f>
        <v>81194.573471608048</v>
      </c>
      <c r="N88" s="388"/>
    </row>
    <row r="89" spans="1:18" ht="17.25" x14ac:dyDescent="0.4">
      <c r="A89" s="232"/>
      <c r="B89" s="233"/>
      <c r="C89" s="234"/>
      <c r="D89" s="234"/>
      <c r="E89" s="486"/>
      <c r="F89" s="234"/>
      <c r="G89" s="234"/>
      <c r="H89" s="410"/>
      <c r="I89" s="235"/>
      <c r="J89" s="410"/>
      <c r="K89" s="410"/>
      <c r="L89" s="410"/>
      <c r="M89" s="403"/>
      <c r="N89" s="411"/>
      <c r="O89" s="232"/>
      <c r="P89" s="232"/>
      <c r="Q89" s="232"/>
      <c r="R89" s="232"/>
    </row>
    <row r="90" spans="1:18" x14ac:dyDescent="0.25">
      <c r="A90" s="578" t="s">
        <v>333</v>
      </c>
      <c r="B90" s="578"/>
      <c r="C90" s="578"/>
      <c r="D90" s="578"/>
      <c r="E90" s="578"/>
      <c r="F90" s="578"/>
      <c r="G90" s="578"/>
      <c r="H90" s="578"/>
      <c r="I90" s="578"/>
      <c r="J90" s="577" t="s">
        <v>287</v>
      </c>
      <c r="K90" s="577"/>
      <c r="L90" s="577"/>
      <c r="M90" s="577"/>
      <c r="N90" s="137"/>
    </row>
    <row r="91" spans="1:18" ht="45" x14ac:dyDescent="0.25">
      <c r="A91" s="132" t="s">
        <v>288</v>
      </c>
      <c r="B91" s="132" t="s">
        <v>109</v>
      </c>
      <c r="C91" s="132" t="s">
        <v>110</v>
      </c>
      <c r="D91" s="132" t="s">
        <v>111</v>
      </c>
      <c r="E91" s="480" t="s">
        <v>289</v>
      </c>
      <c r="F91" s="132" t="s">
        <v>290</v>
      </c>
      <c r="G91" s="132" t="s">
        <v>291</v>
      </c>
      <c r="H91" s="132" t="s">
        <v>292</v>
      </c>
      <c r="I91" s="132" t="s">
        <v>293</v>
      </c>
      <c r="J91" s="132" t="s">
        <v>118</v>
      </c>
      <c r="K91" s="132" t="s">
        <v>119</v>
      </c>
      <c r="L91" s="132" t="s">
        <v>120</v>
      </c>
      <c r="M91" s="132" t="s">
        <v>121</v>
      </c>
      <c r="N91" s="137"/>
    </row>
    <row r="92" spans="1:18" x14ac:dyDescent="0.25">
      <c r="A92" t="s">
        <v>294</v>
      </c>
      <c r="B92" s="97" t="str">
        <f>'Reporting Burden by Program'!A35</f>
        <v>CHDV Supplemental Application Template</v>
      </c>
      <c r="C92" s="97" t="str">
        <f>'Reporting Burden by Program'!B35</f>
        <v>5900-689</v>
      </c>
      <c r="D92" s="97" t="str">
        <f>'Reporting Burden by Program'!C35</f>
        <v>Required</v>
      </c>
      <c r="E92" s="487">
        <f>'Reporting Burden by Program'!D35</f>
        <v>1</v>
      </c>
      <c r="F92" s="466">
        <f>'Reporting Burden by Program'!E35</f>
        <v>6.75</v>
      </c>
      <c r="G92" s="466">
        <f>'Reporting Burden by Program'!F35</f>
        <v>7.55</v>
      </c>
      <c r="H92" s="466">
        <f>'Reporting Burden by Program'!G35</f>
        <v>7.15</v>
      </c>
      <c r="I92" s="97" t="str">
        <f>'Reporting Burden by Program'!I35</f>
        <v>6.8 - 7.6</v>
      </c>
      <c r="J92" s="426">
        <f>'Reporting Burden by Program'!J35</f>
        <v>7.15</v>
      </c>
      <c r="K92" s="426">
        <f>'Reporting Burden by Program'!K35</f>
        <v>0</v>
      </c>
      <c r="L92" s="426">
        <f>'Reporting Burden by Program'!L35</f>
        <v>0</v>
      </c>
      <c r="M92" s="426">
        <f>'Reporting Burden by Program'!M35</f>
        <v>0</v>
      </c>
      <c r="N92" s="137"/>
    </row>
    <row r="93" spans="1:18" x14ac:dyDescent="0.25">
      <c r="A93" t="s">
        <v>295</v>
      </c>
      <c r="B93" s="97" t="str">
        <f>'Reporting Burden by Program'!A36</f>
        <v>CHDV Eligibility and Scrappage Statement</v>
      </c>
      <c r="C93" s="97" t="str">
        <f>'Reporting Burden by Program'!B36</f>
        <v>5900-682</v>
      </c>
      <c r="D93" s="97" t="str">
        <f>'Reporting Burden by Program'!C36</f>
        <v>Required</v>
      </c>
      <c r="E93" s="487">
        <f>'Reporting Burden by Program'!D36</f>
        <v>1</v>
      </c>
      <c r="F93" s="466">
        <f>'Reporting Burden by Program'!E36</f>
        <v>1</v>
      </c>
      <c r="G93" s="466">
        <f>'Reporting Burden by Program'!F36</f>
        <v>12</v>
      </c>
      <c r="H93" s="466">
        <f>'Reporting Burden by Program'!G36</f>
        <v>6.5</v>
      </c>
      <c r="I93" s="97" t="str">
        <f>'Reporting Burden by Program'!I36</f>
        <v>1 - 12</v>
      </c>
      <c r="J93" s="428">
        <f>'Reporting Burden by Program'!J36</f>
        <v>1</v>
      </c>
      <c r="K93" s="428">
        <f>'Reporting Burden by Program'!K36</f>
        <v>6.5</v>
      </c>
      <c r="L93" s="428">
        <f>'Reporting Burden by Program'!L36</f>
        <v>0</v>
      </c>
      <c r="M93" s="428">
        <f>'Reporting Burden by Program'!M36</f>
        <v>0</v>
      </c>
      <c r="N93" s="137"/>
    </row>
    <row r="94" spans="1:18" x14ac:dyDescent="0.25">
      <c r="A94" t="s">
        <v>296</v>
      </c>
      <c r="B94" s="97" t="str">
        <f>'Reporting Burden by Program'!A37</f>
        <v>CHDV Project Reporting Template</v>
      </c>
      <c r="C94" s="97" t="str">
        <f>'Reporting Burden by Program'!B37</f>
        <v>5900-683</v>
      </c>
      <c r="D94" s="97" t="str">
        <f>'Reporting Burden by Program'!C37</f>
        <v>Required</v>
      </c>
      <c r="E94" s="487">
        <f>'Reporting Burden by Program'!D37</f>
        <v>1</v>
      </c>
      <c r="F94" s="466">
        <f>'Reporting Burden by Program'!E37</f>
        <v>11.308333333333334</v>
      </c>
      <c r="G94" s="466">
        <f>'Reporting Burden by Program'!F37</f>
        <v>14.05</v>
      </c>
      <c r="H94" s="466">
        <f>'Reporting Burden by Program'!G37</f>
        <v>12.679166666666667</v>
      </c>
      <c r="I94" s="97" t="str">
        <f>'Reporting Burden by Program'!I37</f>
        <v>11.3 - 14.1</v>
      </c>
      <c r="J94" s="428">
        <f>'Reporting Burden by Program'!J37</f>
        <v>0</v>
      </c>
      <c r="K94" s="428">
        <f>'Reporting Burden by Program'!K37</f>
        <v>8.4</v>
      </c>
      <c r="L94" s="428">
        <f>'Reporting Burden by Program'!L37</f>
        <v>1.4</v>
      </c>
      <c r="M94" s="428">
        <f>'Reporting Burden by Program'!M37</f>
        <v>2.9</v>
      </c>
      <c r="N94" s="137"/>
    </row>
    <row r="95" spans="1:18" x14ac:dyDescent="0.25">
      <c r="A95" t="s">
        <v>297</v>
      </c>
      <c r="B95" s="97" t="str">
        <f>'Reporting Burden by Program'!A38</f>
        <v>Utility Partnership Agreement</v>
      </c>
      <c r="C95" s="97" t="str">
        <f>'Reporting Burden by Program'!B38</f>
        <v>5900-685</v>
      </c>
      <c r="D95" s="97" t="str">
        <f>'Reporting Burden by Program'!C38</f>
        <v>Optional</v>
      </c>
      <c r="E95" s="487">
        <f>'Reporting Burden by Program'!D38</f>
        <v>0.1</v>
      </c>
      <c r="F95" s="466">
        <f>'Reporting Burden by Program'!E38</f>
        <v>1.5</v>
      </c>
      <c r="G95" s="466">
        <f>'Reporting Burden by Program'!F38</f>
        <v>6</v>
      </c>
      <c r="H95" s="466">
        <f>'Reporting Burden by Program'!G38</f>
        <v>3.75</v>
      </c>
      <c r="I95" s="97" t="str">
        <f>'Reporting Burden by Program'!I38</f>
        <v>1.5 - 6</v>
      </c>
      <c r="J95" s="428">
        <f>'Reporting Burden by Program'!J38</f>
        <v>1.5</v>
      </c>
      <c r="K95" s="428">
        <f>'Reporting Burden by Program'!K38</f>
        <v>3.75</v>
      </c>
      <c r="L95" s="428">
        <f>'Reporting Burden by Program'!L38</f>
        <v>0</v>
      </c>
      <c r="M95" s="428">
        <f>'Reporting Burden by Program'!M38</f>
        <v>0</v>
      </c>
      <c r="N95" s="137"/>
    </row>
    <row r="96" spans="1:18" s="148" customFormat="1" ht="30" x14ac:dyDescent="0.25">
      <c r="A96" s="148" t="s">
        <v>298</v>
      </c>
      <c r="B96" s="97" t="str">
        <f>'Reporting Burden by Program'!A39</f>
        <v>OTAQ Funding Program Recipient Story Collection Form</v>
      </c>
      <c r="C96" s="97" t="str">
        <f>'Reporting Burden by Program'!B39</f>
        <v>TBA</v>
      </c>
      <c r="D96" s="97" t="str">
        <f>'Reporting Burden by Program'!C39</f>
        <v>Optional</v>
      </c>
      <c r="E96" s="487">
        <f>'Reporting Burden by Program'!D39</f>
        <v>0.05</v>
      </c>
      <c r="F96" s="466">
        <f>'Reporting Burden by Program'!E39</f>
        <v>1.5</v>
      </c>
      <c r="G96" s="466">
        <f>'Reporting Burden by Program'!F39</f>
        <v>3</v>
      </c>
      <c r="H96" s="466">
        <f>'Reporting Burden by Program'!G39</f>
        <v>2.25</v>
      </c>
      <c r="I96" s="97" t="str">
        <f>'Reporting Burden by Program'!I39</f>
        <v>1.5 - 3</v>
      </c>
      <c r="J96" s="428">
        <f>'Reporting Burden by Program'!J39</f>
        <v>0</v>
      </c>
      <c r="K96" s="428">
        <f>'Reporting Burden by Program'!K39</f>
        <v>0</v>
      </c>
      <c r="L96" s="428">
        <f>'Reporting Burden by Program'!L39</f>
        <v>0</v>
      </c>
      <c r="M96" s="428">
        <f>'Reporting Burden by Program'!M39</f>
        <v>2.25</v>
      </c>
      <c r="N96" s="146"/>
    </row>
    <row r="97" spans="1:14" ht="30" x14ac:dyDescent="0.25">
      <c r="A97" s="157" t="s">
        <v>299</v>
      </c>
      <c r="B97" s="133" t="str">
        <f>'Reporting Burden by Program'!A40</f>
        <v>BABA Waiver Request (non-form information collection)</v>
      </c>
      <c r="C97" s="133" t="str">
        <f>'Reporting Burden by Program'!B40</f>
        <v>N/A</v>
      </c>
      <c r="D97" s="133" t="str">
        <f>'Reporting Burden by Program'!C40</f>
        <v>Optional</v>
      </c>
      <c r="E97" s="488">
        <f>'Reporting Burden by Program'!D40</f>
        <v>0.5714285714285714</v>
      </c>
      <c r="F97" s="467">
        <f>'Reporting Burden by Program'!E40</f>
        <v>4</v>
      </c>
      <c r="G97" s="467">
        <f>'Reporting Burden by Program'!F40</f>
        <v>6</v>
      </c>
      <c r="H97" s="467">
        <f>'Reporting Burden by Program'!G40</f>
        <v>5</v>
      </c>
      <c r="I97" s="133" t="str">
        <f>'Reporting Burden by Program'!I40</f>
        <v>4 - 6</v>
      </c>
      <c r="J97" s="136">
        <f>'Reporting Burden by Program'!J40</f>
        <v>0</v>
      </c>
      <c r="K97" s="136">
        <f>'Reporting Burden by Program'!K40</f>
        <v>5</v>
      </c>
      <c r="L97" s="136">
        <f>'Reporting Burden by Program'!L40</f>
        <v>0</v>
      </c>
      <c r="M97" s="136">
        <f>'Reporting Burden by Program'!M40</f>
        <v>0</v>
      </c>
      <c r="N97" s="137"/>
    </row>
    <row r="98" spans="1:14" ht="30" x14ac:dyDescent="0.25">
      <c r="A98" s="148" t="s">
        <v>300</v>
      </c>
      <c r="B98" s="17" t="s">
        <v>326</v>
      </c>
      <c r="C98" s="139"/>
      <c r="D98" s="139"/>
      <c r="E98" s="474"/>
      <c r="F98" s="139"/>
      <c r="G98" s="139"/>
      <c r="H98" s="390">
        <f>SUM(H91:H96)</f>
        <v>32.329166666666666</v>
      </c>
      <c r="I98" s="144" t="str">
        <f>_xlfn.TEXTJOIN("", TRUE, ROUND(SUM(F92:F97), 1), " - ", ROUND(SUM(G92:G97),1))</f>
        <v>26.1 - 48.6</v>
      </c>
      <c r="J98" s="390">
        <f>SUM(J92:J97)</f>
        <v>9.65</v>
      </c>
      <c r="K98" s="390">
        <f t="shared" ref="K98:M98" si="57">SUM(K92:K97)</f>
        <v>23.65</v>
      </c>
      <c r="L98" s="390">
        <f t="shared" si="57"/>
        <v>1.4</v>
      </c>
      <c r="M98" s="390">
        <f t="shared" si="57"/>
        <v>5.15</v>
      </c>
      <c r="N98" s="137"/>
    </row>
    <row r="99" spans="1:14" ht="30" x14ac:dyDescent="0.25">
      <c r="A99" t="s">
        <v>301</v>
      </c>
      <c r="B99" s="17" t="s">
        <v>334</v>
      </c>
      <c r="C99" s="139"/>
      <c r="D99" s="139"/>
      <c r="E99" s="474"/>
      <c r="F99" s="139"/>
      <c r="G99" s="139"/>
      <c r="H99" s="390">
        <f>SUM(H92:H94)</f>
        <v>26.329166666666666</v>
      </c>
      <c r="I99" s="144" t="str">
        <f>_xlfn.TEXTJOIN("", TRUE, ROUND(SUM(F92:F94), 1), " - ", ROUND(SUM(G92:G94),1))</f>
        <v>19.1 - 33.6</v>
      </c>
      <c r="J99" s="390">
        <f>SUM(J92:J94)</f>
        <v>8.15</v>
      </c>
      <c r="K99" s="390">
        <f t="shared" ref="K99:M99" si="58">SUM(K92:K94)</f>
        <v>14.9</v>
      </c>
      <c r="L99" s="390">
        <f t="shared" si="58"/>
        <v>1.4</v>
      </c>
      <c r="M99" s="390">
        <f t="shared" si="58"/>
        <v>2.9</v>
      </c>
      <c r="N99" s="137"/>
    </row>
    <row r="100" spans="1:14" x14ac:dyDescent="0.25">
      <c r="A100" t="s">
        <v>303</v>
      </c>
      <c r="B100" s="1" t="s">
        <v>306</v>
      </c>
      <c r="C100" s="139"/>
      <c r="D100" s="139"/>
      <c r="E100" s="474"/>
      <c r="F100" s="139"/>
      <c r="G100" s="139"/>
      <c r="H100" s="390">
        <f>SUM(($E92*H92)+($E93*H93)+($E94*H94)+($E95*H95)+($E96*H96)+($E97*H97))</f>
        <v>29.673809523809524</v>
      </c>
      <c r="I100" s="144" t="str">
        <f>_xlfn.TEXTJOIN("", TRUE, ROUND(SUM(($E92*F92)+($E93*F93)+($E94*F94)+($E95*F95)+($E96*F96)+($E97*F97)), 1), " - ",
ROUND(SUM(($E92*G92)+($E93*G93)+($E94*G94)+($E95*G95)+($E96*G96)+($E97*G97)),1))</f>
        <v>21.6 - 37.8</v>
      </c>
      <c r="J100" s="390">
        <f>SUM(($E92*J92)+($E93*J93)+($E94*J94)+($E95*J95)+($E96*J96)+($E97*J97))</f>
        <v>8.3000000000000007</v>
      </c>
      <c r="K100" s="390">
        <f>SUM(($E92*K92)+($E93*K93)+($E94*K94)+($E95*K95)+($E96*K96)+($E97*K97))</f>
        <v>18.132142857142856</v>
      </c>
      <c r="L100" s="390">
        <f>SUM(($E92*L92)+($E93*L93)+($E94*L94)+($E95*L95)+($E96*L96)+($E97*L97))</f>
        <v>1.4</v>
      </c>
      <c r="M100" s="390">
        <f t="shared" ref="M100" si="59">SUM(($E92*M92)+($E93*M93)+($E94*M94)+($E95*M95)+($E96*M96)+($E97*M97))</f>
        <v>3.0124999999999997</v>
      </c>
      <c r="N100" s="137"/>
    </row>
    <row r="101" spans="1:14" x14ac:dyDescent="0.25">
      <c r="B101" s="18"/>
      <c r="C101" s="139"/>
      <c r="D101" s="139"/>
      <c r="E101" s="474"/>
      <c r="F101" s="139"/>
      <c r="G101" s="139"/>
      <c r="H101" s="390"/>
      <c r="I101" s="144"/>
      <c r="J101" s="390"/>
      <c r="K101" s="390"/>
      <c r="L101" s="390"/>
      <c r="M101" s="390"/>
      <c r="N101" s="137"/>
    </row>
    <row r="102" spans="1:14" x14ac:dyDescent="0.25">
      <c r="A102" s="578" t="s">
        <v>335</v>
      </c>
      <c r="B102" s="578"/>
      <c r="C102" s="578"/>
      <c r="D102" s="578"/>
      <c r="E102" s="578"/>
      <c r="F102" s="578"/>
      <c r="G102" s="578"/>
      <c r="H102" s="578"/>
      <c r="I102" s="578"/>
      <c r="J102" s="577" t="s">
        <v>287</v>
      </c>
      <c r="K102" s="577"/>
      <c r="L102" s="577"/>
      <c r="M102" s="577"/>
      <c r="N102" s="137"/>
    </row>
    <row r="103" spans="1:14" ht="45" x14ac:dyDescent="0.25">
      <c r="A103" s="132" t="s">
        <v>288</v>
      </c>
      <c r="B103" s="132" t="s">
        <v>109</v>
      </c>
      <c r="C103" s="132" t="s">
        <v>110</v>
      </c>
      <c r="D103" s="132" t="s">
        <v>111</v>
      </c>
      <c r="E103" s="480" t="s">
        <v>289</v>
      </c>
      <c r="F103" s="132" t="s">
        <v>309</v>
      </c>
      <c r="G103" s="132" t="s">
        <v>310</v>
      </c>
      <c r="H103" s="132" t="s">
        <v>311</v>
      </c>
      <c r="I103" s="132" t="s">
        <v>312</v>
      </c>
      <c r="J103" s="132" t="s">
        <v>118</v>
      </c>
      <c r="K103" s="132" t="s">
        <v>119</v>
      </c>
      <c r="L103" s="132" t="s">
        <v>120</v>
      </c>
      <c r="M103" s="132" t="s">
        <v>121</v>
      </c>
      <c r="N103" s="137"/>
    </row>
    <row r="104" spans="1:14" x14ac:dyDescent="0.25">
      <c r="A104" t="s">
        <v>294</v>
      </c>
      <c r="B104" s="97" t="str">
        <f t="shared" ref="B104:B109" si="60">B92</f>
        <v>CHDV Supplemental Application Template</v>
      </c>
      <c r="C104" s="97" t="str">
        <f t="shared" ref="C104:D104" si="61">C92</f>
        <v>5900-689</v>
      </c>
      <c r="D104" s="97" t="str">
        <f t="shared" si="61"/>
        <v>Required</v>
      </c>
      <c r="E104" s="487">
        <f t="shared" ref="E104" si="62">E92</f>
        <v>1</v>
      </c>
      <c r="F104" s="263">
        <f>F92*Wages!$L$18</f>
        <v>428.9525387911022</v>
      </c>
      <c r="G104" s="263">
        <f>G92*Wages!$L$18</f>
        <v>479.79135820338098</v>
      </c>
      <c r="H104" s="391">
        <f>H92*Wages!$L$18</f>
        <v>454.37194849724165</v>
      </c>
      <c r="I104" s="151" t="str">
        <f>_xlfn.TEXTJOIN(" - ",TRUE,DOLLAR(ROUND(F104,1),0),DOLLAR(ROUND(G104,1),0))</f>
        <v>$429 - $480</v>
      </c>
      <c r="J104" s="400">
        <f>J92*Wages!$L$18</f>
        <v>454.37194849724165</v>
      </c>
      <c r="K104" s="400">
        <f>K92*Wages!$L$18</f>
        <v>0</v>
      </c>
      <c r="L104" s="400">
        <f>L92*Wages!$L$18</f>
        <v>0</v>
      </c>
      <c r="M104" s="400">
        <f>M92*Wages!$L$18</f>
        <v>0</v>
      </c>
      <c r="N104" s="137"/>
    </row>
    <row r="105" spans="1:14" x14ac:dyDescent="0.25">
      <c r="A105" t="s">
        <v>295</v>
      </c>
      <c r="B105" s="97" t="str">
        <f t="shared" si="60"/>
        <v>CHDV Eligibility and Scrappage Statement</v>
      </c>
      <c r="C105" s="97" t="str">
        <f t="shared" ref="C105:D109" si="63">C93</f>
        <v>5900-682</v>
      </c>
      <c r="D105" s="97" t="str">
        <f t="shared" si="63"/>
        <v>Required</v>
      </c>
      <c r="E105" s="487">
        <f t="shared" ref="E105" si="64">E93</f>
        <v>1</v>
      </c>
      <c r="F105" s="263">
        <f>F93*Wages!$L$18</f>
        <v>63.548524265348476</v>
      </c>
      <c r="G105" s="263">
        <f>G93*Wages!$L$18</f>
        <v>762.58229118418171</v>
      </c>
      <c r="H105" s="391">
        <f>H93*Wages!$L$18</f>
        <v>413.06540772476512</v>
      </c>
      <c r="I105" s="151" t="str">
        <f t="shared" ref="I105:I109" si="65">_xlfn.TEXTJOIN(" - ",TRUE,DOLLAR(ROUND(F105,1),0),DOLLAR(ROUND(G105,1),0))</f>
        <v>$64 - $763</v>
      </c>
      <c r="J105" s="401">
        <f>J93*Wages!$L$18</f>
        <v>63.548524265348476</v>
      </c>
      <c r="K105" s="401">
        <f>K93*Wages!$L$18</f>
        <v>413.06540772476512</v>
      </c>
      <c r="L105" s="401">
        <f>L93*Wages!$L$18</f>
        <v>0</v>
      </c>
      <c r="M105" s="401">
        <f>M93*Wages!$L$18</f>
        <v>0</v>
      </c>
      <c r="N105" s="137"/>
    </row>
    <row r="106" spans="1:14" x14ac:dyDescent="0.25">
      <c r="A106" t="s">
        <v>296</v>
      </c>
      <c r="B106" s="97" t="str">
        <f t="shared" si="60"/>
        <v>CHDV Project Reporting Template</v>
      </c>
      <c r="C106" s="97" t="str">
        <f t="shared" si="63"/>
        <v>5900-683</v>
      </c>
      <c r="D106" s="97" t="str">
        <f t="shared" si="63"/>
        <v>Required</v>
      </c>
      <c r="E106" s="487">
        <f t="shared" ref="E106" si="66">E94</f>
        <v>1</v>
      </c>
      <c r="F106" s="263">
        <f>F94*Wages!$L$18</f>
        <v>718.62789523398237</v>
      </c>
      <c r="G106" s="263">
        <f>G94*Wages!$L$18</f>
        <v>892.85676592814616</v>
      </c>
      <c r="H106" s="391">
        <f>H94*Wages!$L$18</f>
        <v>805.74233058106427</v>
      </c>
      <c r="I106" s="151" t="str">
        <f t="shared" si="65"/>
        <v>$719 - $893</v>
      </c>
      <c r="J106" s="401">
        <f>J94*Wages!$L$18</f>
        <v>0</v>
      </c>
      <c r="K106" s="401">
        <f>K94*Wages!$L$18</f>
        <v>533.8076038289272</v>
      </c>
      <c r="L106" s="401">
        <f>L94*Wages!$L$18</f>
        <v>88.967933971487867</v>
      </c>
      <c r="M106" s="401">
        <f>M94*Wages!$L$18</f>
        <v>184.29072036951058</v>
      </c>
      <c r="N106" s="137"/>
    </row>
    <row r="107" spans="1:14" x14ac:dyDescent="0.25">
      <c r="A107" t="s">
        <v>297</v>
      </c>
      <c r="B107" s="97" t="str">
        <f t="shared" si="60"/>
        <v>Utility Partnership Agreement</v>
      </c>
      <c r="C107" s="97" t="str">
        <f t="shared" si="63"/>
        <v>5900-685</v>
      </c>
      <c r="D107" s="97" t="str">
        <f t="shared" si="63"/>
        <v>Optional</v>
      </c>
      <c r="E107" s="487">
        <f t="shared" ref="E107" si="67">E95</f>
        <v>0.1</v>
      </c>
      <c r="F107" s="263">
        <f>F95*Wages!$L$18</f>
        <v>95.322786398022714</v>
      </c>
      <c r="G107" s="263">
        <f>G95*Wages!$L$18</f>
        <v>381.29114559209086</v>
      </c>
      <c r="H107" s="391">
        <f>H95*Wages!$L$18</f>
        <v>238.30696599505677</v>
      </c>
      <c r="I107" s="151" t="str">
        <f t="shared" si="65"/>
        <v>$95 - $381</v>
      </c>
      <c r="J107" s="401">
        <f>J95*Wages!$L$18</f>
        <v>95.322786398022714</v>
      </c>
      <c r="K107" s="401">
        <f>K95*Wages!$L$18</f>
        <v>238.30696599505677</v>
      </c>
      <c r="L107" s="401">
        <f>L95*Wages!$L$18</f>
        <v>0</v>
      </c>
      <c r="M107" s="401">
        <f>M95*Wages!$L$18</f>
        <v>0</v>
      </c>
      <c r="N107" s="137"/>
    </row>
    <row r="108" spans="1:14" s="148" customFormat="1" ht="30" x14ac:dyDescent="0.25">
      <c r="A108" s="148" t="s">
        <v>298</v>
      </c>
      <c r="B108" s="97" t="str">
        <f t="shared" si="60"/>
        <v>OTAQ Funding Program Recipient Story Collection Form</v>
      </c>
      <c r="C108" s="97" t="str">
        <f t="shared" si="63"/>
        <v>TBA</v>
      </c>
      <c r="D108" s="97" t="str">
        <f t="shared" si="63"/>
        <v>Optional</v>
      </c>
      <c r="E108" s="487">
        <f t="shared" ref="E108" si="68">E96</f>
        <v>0.05</v>
      </c>
      <c r="F108" s="263">
        <f>F96*Wages!$L$18</f>
        <v>95.322786398022714</v>
      </c>
      <c r="G108" s="266">
        <f>G96*Wages!$L$18</f>
        <v>190.64557279604543</v>
      </c>
      <c r="H108" s="401">
        <f>H96*Wages!$L$18</f>
        <v>142.98417959703409</v>
      </c>
      <c r="I108" s="164" t="str">
        <f t="shared" si="65"/>
        <v>$95 - $191</v>
      </c>
      <c r="J108" s="401">
        <f>J96*Wages!$L$18</f>
        <v>0</v>
      </c>
      <c r="K108" s="401">
        <f>K96*Wages!$L$18</f>
        <v>0</v>
      </c>
      <c r="L108" s="401">
        <f>L96*Wages!$L$18</f>
        <v>0</v>
      </c>
      <c r="M108" s="401">
        <f>M96*Wages!$L$18</f>
        <v>142.98417959703409</v>
      </c>
      <c r="N108" s="146"/>
    </row>
    <row r="109" spans="1:14" ht="30" x14ac:dyDescent="0.25">
      <c r="A109" s="462" t="s">
        <v>299</v>
      </c>
      <c r="B109" s="133" t="str">
        <f t="shared" si="60"/>
        <v>BABA Waiver Request (non-form information collection)</v>
      </c>
      <c r="C109" s="133" t="str">
        <f t="shared" si="63"/>
        <v>N/A</v>
      </c>
      <c r="D109" s="133" t="str">
        <f t="shared" si="63"/>
        <v>Optional</v>
      </c>
      <c r="E109" s="488">
        <f t="shared" ref="E109" si="69">E97</f>
        <v>0.5714285714285714</v>
      </c>
      <c r="F109" s="264">
        <f>F97*Wages!$L$18</f>
        <v>254.1940970613939</v>
      </c>
      <c r="G109" s="264">
        <f>G97*Wages!$L$18</f>
        <v>381.29114559209086</v>
      </c>
      <c r="H109" s="393">
        <f>H97*Wages!$L$18</f>
        <v>317.74262132674238</v>
      </c>
      <c r="I109" s="152" t="str">
        <f t="shared" si="65"/>
        <v>$254 - $381</v>
      </c>
      <c r="J109" s="393">
        <f>J97*Wages!$L$18</f>
        <v>0</v>
      </c>
      <c r="K109" s="393">
        <f>K97*Wages!$L$18</f>
        <v>317.74262132674238</v>
      </c>
      <c r="L109" s="393">
        <f>L97*Wages!$L$18</f>
        <v>0</v>
      </c>
      <c r="M109" s="393">
        <f>M97*Wages!$L$18</f>
        <v>0</v>
      </c>
      <c r="N109" s="137"/>
    </row>
    <row r="110" spans="1:14" ht="30" x14ac:dyDescent="0.25">
      <c r="A110" s="148" t="s">
        <v>300</v>
      </c>
      <c r="B110" s="17" t="s">
        <v>328</v>
      </c>
      <c r="C110" s="139"/>
      <c r="D110" s="139"/>
      <c r="E110" s="474"/>
      <c r="F110" s="269"/>
      <c r="G110" s="269"/>
      <c r="H110" s="267">
        <f>SUM(H104:H109)</f>
        <v>2372.213453721904</v>
      </c>
      <c r="I110" s="154" t="str">
        <f>_xlfn.TEXTJOIN(" - ",TRUE,DOLLAR(ROUND(SUM(F104:F109),1),0),DOLLAR(ROUND(SUM(G104:G109),1),0))</f>
        <v>$1,656 - $3,089</v>
      </c>
      <c r="J110" s="267">
        <f>SUM(J104:J109)</f>
        <v>613.24325916061287</v>
      </c>
      <c r="K110" s="267">
        <f t="shared" ref="K110:M110" si="70">SUM(K104:K109)</f>
        <v>1502.9225988754915</v>
      </c>
      <c r="L110" s="267">
        <f t="shared" si="70"/>
        <v>88.967933971487867</v>
      </c>
      <c r="M110" s="267">
        <f t="shared" si="70"/>
        <v>327.27489996654469</v>
      </c>
      <c r="N110" s="137"/>
    </row>
    <row r="111" spans="1:14" ht="30" x14ac:dyDescent="0.25">
      <c r="A111" s="158" t="s">
        <v>301</v>
      </c>
      <c r="B111" s="17" t="s">
        <v>336</v>
      </c>
      <c r="C111" s="139"/>
      <c r="D111" s="139"/>
      <c r="E111" s="474"/>
      <c r="F111" s="269"/>
      <c r="G111" s="269"/>
      <c r="H111" s="267">
        <f>SUM(H104:H106)</f>
        <v>1673.179686803071</v>
      </c>
      <c r="I111" s="154" t="str">
        <f>_xlfn.TEXTJOIN(" - ",TRUE,DOLLAR(ROUND(SUM(F104:F106),1),0),DOLLAR(ROUND(SUM(G104:G106),1),0))</f>
        <v>$1,211 - $2,135</v>
      </c>
      <c r="J111" s="267">
        <f>SUM(J104:J106)</f>
        <v>517.92047276259018</v>
      </c>
      <c r="K111" s="267">
        <f t="shared" ref="K111:M111" si="71">SUM(K104:K106)</f>
        <v>946.87301155369232</v>
      </c>
      <c r="L111" s="267">
        <f t="shared" si="71"/>
        <v>88.967933971487867</v>
      </c>
      <c r="M111" s="267">
        <f t="shared" si="71"/>
        <v>184.29072036951058</v>
      </c>
      <c r="N111" s="137"/>
    </row>
    <row r="112" spans="1:14" ht="45" x14ac:dyDescent="0.25">
      <c r="A112" s="158" t="s">
        <v>303</v>
      </c>
      <c r="B112" s="17" t="s">
        <v>315</v>
      </c>
      <c r="C112" s="139"/>
      <c r="D112" s="139"/>
      <c r="E112" s="474"/>
      <c r="F112" s="269"/>
      <c r="G112" s="269"/>
      <c r="H112" s="267">
        <f>H100*Wages!$L$18</f>
        <v>1885.7268045691383</v>
      </c>
      <c r="I112" s="478"/>
      <c r="J112" s="267">
        <f>J100*Wages!$L$18</f>
        <v>527.45275140239244</v>
      </c>
      <c r="K112" s="267">
        <f>K100*Wages!$L$18</f>
        <v>1152.2709203399079</v>
      </c>
      <c r="L112" s="267">
        <f>L100*Wages!$L$18</f>
        <v>88.967933971487867</v>
      </c>
      <c r="M112" s="267">
        <f>M100*Wages!$L$18</f>
        <v>191.43992934936227</v>
      </c>
      <c r="N112" s="137"/>
    </row>
    <row r="113" spans="1:14" ht="30" x14ac:dyDescent="0.25">
      <c r="A113" t="s">
        <v>305</v>
      </c>
      <c r="B113" s="150" t="s">
        <v>317</v>
      </c>
      <c r="C113" s="155"/>
      <c r="D113" s="147"/>
      <c r="E113" s="481"/>
      <c r="F113" s="148"/>
      <c r="G113" s="141"/>
      <c r="H113" s="395"/>
      <c r="I113" s="149"/>
      <c r="J113" s="206">
        <f>SUM(Respondents!C23:D23)</f>
        <v>95.714285714285722</v>
      </c>
      <c r="K113" s="149">
        <f>SUM(Respondents!C10:D10)</f>
        <v>67</v>
      </c>
      <c r="L113" s="149">
        <f>SUM(Respondents!C10:D10)</f>
        <v>67</v>
      </c>
      <c r="M113" s="149">
        <f>SUM(Respondents!C10:D10)</f>
        <v>67</v>
      </c>
      <c r="N113" s="149"/>
    </row>
    <row r="114" spans="1:14" ht="30" x14ac:dyDescent="0.25">
      <c r="A114" s="157" t="s">
        <v>316</v>
      </c>
      <c r="B114" s="229" t="s">
        <v>329</v>
      </c>
      <c r="C114" s="142"/>
      <c r="D114" s="142"/>
      <c r="E114" s="475"/>
      <c r="F114" s="142"/>
      <c r="G114" s="142"/>
      <c r="H114" s="396"/>
      <c r="I114" s="230"/>
      <c r="J114" s="397">
        <f>J112*J113</f>
        <v>50484.763348514709</v>
      </c>
      <c r="K114" s="397">
        <f t="shared" ref="K114:M114" si="72">K112*K113</f>
        <v>77202.151662773831</v>
      </c>
      <c r="L114" s="397">
        <f t="shared" si="72"/>
        <v>5960.8515760896871</v>
      </c>
      <c r="M114" s="397">
        <f t="shared" si="72"/>
        <v>12826.475266407273</v>
      </c>
      <c r="N114" s="154"/>
    </row>
    <row r="115" spans="1:14" ht="30" x14ac:dyDescent="0.4">
      <c r="A115" t="s">
        <v>318</v>
      </c>
      <c r="B115" s="17" t="s">
        <v>330</v>
      </c>
      <c r="C115" s="139"/>
      <c r="D115" s="139"/>
      <c r="E115" s="474"/>
      <c r="F115" s="139"/>
      <c r="G115" s="139"/>
      <c r="H115" s="390"/>
      <c r="I115" s="144"/>
      <c r="J115" s="398"/>
      <c r="K115" s="398"/>
      <c r="L115" s="398"/>
      <c r="M115" s="399">
        <f>SUM(J114:N114)</f>
        <v>146474.2418537855</v>
      </c>
    </row>
    <row r="116" spans="1:14" ht="17.25" x14ac:dyDescent="0.4">
      <c r="B116" s="18"/>
      <c r="C116" s="139"/>
      <c r="D116" s="139"/>
      <c r="E116" s="474"/>
      <c r="F116" s="139"/>
      <c r="G116" s="139"/>
      <c r="H116" s="390"/>
      <c r="I116" s="144"/>
      <c r="J116" s="390"/>
      <c r="K116" s="390"/>
      <c r="L116" s="390"/>
      <c r="M116" s="408"/>
      <c r="N116" s="388"/>
    </row>
    <row r="117" spans="1:14" x14ac:dyDescent="0.25">
      <c r="A117" s="578" t="s">
        <v>337</v>
      </c>
      <c r="B117" s="578"/>
      <c r="C117" s="578"/>
      <c r="D117" s="578"/>
      <c r="E117" s="578"/>
      <c r="F117" s="578"/>
      <c r="G117" s="578"/>
      <c r="H117" s="578"/>
      <c r="I117" s="578"/>
      <c r="J117" s="577" t="s">
        <v>308</v>
      </c>
      <c r="K117" s="577"/>
      <c r="L117" s="577"/>
      <c r="M117" s="577"/>
      <c r="N117" s="388"/>
    </row>
    <row r="118" spans="1:14" ht="45" x14ac:dyDescent="0.25">
      <c r="A118" s="132" t="s">
        <v>288</v>
      </c>
      <c r="B118" s="132" t="s">
        <v>109</v>
      </c>
      <c r="C118" s="132" t="s">
        <v>110</v>
      </c>
      <c r="D118" s="132" t="s">
        <v>111</v>
      </c>
      <c r="E118" s="480" t="s">
        <v>289</v>
      </c>
      <c r="F118" s="132" t="s">
        <v>309</v>
      </c>
      <c r="G118" s="132" t="s">
        <v>310</v>
      </c>
      <c r="H118" s="132" t="s">
        <v>311</v>
      </c>
      <c r="I118" s="132" t="s">
        <v>312</v>
      </c>
      <c r="J118" s="132" t="s">
        <v>118</v>
      </c>
      <c r="K118" s="132" t="s">
        <v>119</v>
      </c>
      <c r="L118" s="132" t="s">
        <v>120</v>
      </c>
      <c r="M118" s="132" t="s">
        <v>121</v>
      </c>
      <c r="N118" s="388"/>
    </row>
    <row r="119" spans="1:14" x14ac:dyDescent="0.25">
      <c r="A119" t="s">
        <v>294</v>
      </c>
      <c r="B119" s="97" t="str">
        <f>B92</f>
        <v>CHDV Supplemental Application Template</v>
      </c>
      <c r="C119" s="97" t="str">
        <f t="shared" ref="C119:D119" si="73">C92</f>
        <v>5900-689</v>
      </c>
      <c r="D119" s="97" t="str">
        <f t="shared" si="73"/>
        <v>Required</v>
      </c>
      <c r="E119" s="487">
        <f t="shared" ref="E119" si="74">E92</f>
        <v>1</v>
      </c>
      <c r="F119" s="159">
        <f>F92*Wages!$L$19</f>
        <v>343.85053700568056</v>
      </c>
      <c r="G119" s="159">
        <f>G92*Wages!$L$19</f>
        <v>384.60319324339082</v>
      </c>
      <c r="H119" s="412">
        <f>H92*Wages!$L$19</f>
        <v>364.22686512453572</v>
      </c>
      <c r="I119" s="304" t="str">
        <f>_xlfn.TEXTJOIN(" - ",TRUE,DOLLAR(ROUND(F119,1),0),DOLLAR(ROUND(G119,1),0))</f>
        <v>$344 - $385</v>
      </c>
      <c r="J119" s="429">
        <f>J92*Wages!$L$19</f>
        <v>364.22686512453572</v>
      </c>
      <c r="K119" s="429">
        <f>K92*Wages!$L$19</f>
        <v>0</v>
      </c>
      <c r="L119" s="429">
        <f>L92*Wages!$L$19</f>
        <v>0</v>
      </c>
      <c r="M119" s="429">
        <f>M92*Wages!$L$19</f>
        <v>0</v>
      </c>
      <c r="N119" s="388"/>
    </row>
    <row r="120" spans="1:14" x14ac:dyDescent="0.25">
      <c r="A120" t="s">
        <v>295</v>
      </c>
      <c r="B120" s="97" t="str">
        <f t="shared" ref="B120:D120" si="75">B93</f>
        <v>CHDV Eligibility and Scrappage Statement</v>
      </c>
      <c r="C120" s="97" t="str">
        <f t="shared" si="75"/>
        <v>5900-682</v>
      </c>
      <c r="D120" s="97" t="str">
        <f t="shared" si="75"/>
        <v>Required</v>
      </c>
      <c r="E120" s="487">
        <f t="shared" ref="E120" si="76">E93</f>
        <v>1</v>
      </c>
      <c r="F120" s="159">
        <f>F93*Wages!$L$19</f>
        <v>50.940820297137861</v>
      </c>
      <c r="G120" s="159">
        <f>G93*Wages!$L$19</f>
        <v>611.28984356565434</v>
      </c>
      <c r="H120" s="412">
        <f>H93*Wages!$L$19</f>
        <v>331.1153319313961</v>
      </c>
      <c r="I120" s="304" t="str">
        <f t="shared" ref="I120:I123" si="77">_xlfn.TEXTJOIN(" - ",TRUE,DOLLAR(ROUND(F120,1),0),DOLLAR(ROUND(G120,1),0))</f>
        <v>$51 - $611</v>
      </c>
      <c r="J120" s="430">
        <f>J93*Wages!$L$19</f>
        <v>50.940820297137861</v>
      </c>
      <c r="K120" s="430">
        <f>K93*Wages!$L$19</f>
        <v>331.1153319313961</v>
      </c>
      <c r="L120" s="430">
        <f>L93*Wages!$L$19</f>
        <v>0</v>
      </c>
      <c r="M120" s="430">
        <f>M93*Wages!$L$19</f>
        <v>0</v>
      </c>
      <c r="N120" s="388"/>
    </row>
    <row r="121" spans="1:14" x14ac:dyDescent="0.25">
      <c r="A121" t="s">
        <v>296</v>
      </c>
      <c r="B121" s="97" t="str">
        <f t="shared" ref="B121:D121" si="78">B94</f>
        <v>CHDV Project Reporting Template</v>
      </c>
      <c r="C121" s="97" t="str">
        <f t="shared" si="78"/>
        <v>5900-683</v>
      </c>
      <c r="D121" s="97" t="str">
        <f t="shared" si="78"/>
        <v>Required</v>
      </c>
      <c r="E121" s="487">
        <f t="shared" ref="E121" si="79">E94</f>
        <v>1</v>
      </c>
      <c r="F121" s="159">
        <f>F94*Wages!$L$19</f>
        <v>576.0557761934673</v>
      </c>
      <c r="G121" s="159">
        <f>G94*Wages!$L$19</f>
        <v>715.71852517478703</v>
      </c>
      <c r="H121" s="412">
        <f>H94*Wages!$L$19</f>
        <v>645.88715068412716</v>
      </c>
      <c r="I121" s="304" t="str">
        <f t="shared" si="77"/>
        <v>$576 - $716</v>
      </c>
      <c r="J121" s="430">
        <f>J94*Wages!$L$19</f>
        <v>0</v>
      </c>
      <c r="K121" s="430">
        <f>K94*Wages!$L$19</f>
        <v>427.90289049595805</v>
      </c>
      <c r="L121" s="430">
        <f>L94*Wages!$L$19</f>
        <v>71.317148415993003</v>
      </c>
      <c r="M121" s="430">
        <f>M94*Wages!$L$19</f>
        <v>147.72837886169978</v>
      </c>
      <c r="N121" s="388"/>
    </row>
    <row r="122" spans="1:14" x14ac:dyDescent="0.25">
      <c r="A122" t="s">
        <v>297</v>
      </c>
      <c r="B122" s="97" t="str">
        <f t="shared" ref="B122:D122" si="80">B95</f>
        <v>Utility Partnership Agreement</v>
      </c>
      <c r="C122" s="97" t="str">
        <f t="shared" si="80"/>
        <v>5900-685</v>
      </c>
      <c r="D122" s="97" t="str">
        <f t="shared" si="80"/>
        <v>Optional</v>
      </c>
      <c r="E122" s="487">
        <f t="shared" ref="E122" si="81">E95</f>
        <v>0.1</v>
      </c>
      <c r="F122" s="159">
        <f>F95*Wages!$L$19</f>
        <v>76.411230445706792</v>
      </c>
      <c r="G122" s="159">
        <f>G95*Wages!$L$19</f>
        <v>305.64492178282717</v>
      </c>
      <c r="H122" s="412">
        <f>H95*Wages!$L$19</f>
        <v>191.02807611426698</v>
      </c>
      <c r="I122" s="304" t="str">
        <f t="shared" si="77"/>
        <v>$76 - $306</v>
      </c>
      <c r="J122" s="430">
        <f>J95*Wages!$L$19</f>
        <v>76.411230445706792</v>
      </c>
      <c r="K122" s="430">
        <f>K95*Wages!$L$19</f>
        <v>191.02807611426698</v>
      </c>
      <c r="L122" s="430">
        <f>L95*Wages!$L$19</f>
        <v>0</v>
      </c>
      <c r="M122" s="430">
        <f>M95*Wages!$L$19</f>
        <v>0</v>
      </c>
      <c r="N122" s="388"/>
    </row>
    <row r="123" spans="1:14" ht="30" x14ac:dyDescent="0.25">
      <c r="A123" s="148" t="s">
        <v>298</v>
      </c>
      <c r="B123" s="469" t="str">
        <f t="shared" ref="B123:D123" si="82">B96</f>
        <v>OTAQ Funding Program Recipient Story Collection Form</v>
      </c>
      <c r="C123" s="469" t="str">
        <f t="shared" si="82"/>
        <v>TBA</v>
      </c>
      <c r="D123" s="469" t="str">
        <f t="shared" si="82"/>
        <v>Optional</v>
      </c>
      <c r="E123" s="489">
        <f t="shared" ref="E123" si="83">E96</f>
        <v>0.05</v>
      </c>
      <c r="F123" s="468">
        <f>F96*Wages!$L$19</f>
        <v>76.411230445706792</v>
      </c>
      <c r="G123" s="468">
        <f>G96*Wages!$L$19</f>
        <v>152.82246089141358</v>
      </c>
      <c r="H123" s="430">
        <f>H96*Wages!$L$19</f>
        <v>114.61684566856019</v>
      </c>
      <c r="I123" s="306" t="str">
        <f t="shared" si="77"/>
        <v>$76 - $153</v>
      </c>
      <c r="J123" s="430">
        <f>J96*Wages!$L$19</f>
        <v>0</v>
      </c>
      <c r="K123" s="430">
        <f>K96*Wages!$L$19</f>
        <v>0</v>
      </c>
      <c r="L123" s="430">
        <f>L96*Wages!$L$19</f>
        <v>0</v>
      </c>
      <c r="M123" s="430">
        <f>M96*Wages!$L$19</f>
        <v>114.61684566856019</v>
      </c>
      <c r="N123" s="388"/>
    </row>
    <row r="124" spans="1:14" ht="30" x14ac:dyDescent="0.25">
      <c r="A124" s="462" t="s">
        <v>299</v>
      </c>
      <c r="B124" s="133" t="str">
        <f t="shared" ref="B124:D124" si="84">B97</f>
        <v>BABA Waiver Request (non-form information collection)</v>
      </c>
      <c r="C124" s="133" t="str">
        <f t="shared" si="84"/>
        <v>N/A</v>
      </c>
      <c r="D124" s="133" t="str">
        <f t="shared" si="84"/>
        <v>Optional</v>
      </c>
      <c r="E124" s="488">
        <f t="shared" ref="E124" si="85">E97</f>
        <v>0.5714285714285714</v>
      </c>
      <c r="F124" s="160">
        <f>F97*Wages!$L$19</f>
        <v>203.76328118855145</v>
      </c>
      <c r="G124" s="160">
        <f>G97*Wages!$L$19</f>
        <v>305.64492178282717</v>
      </c>
      <c r="H124" s="413">
        <f>H97*Wages!$L$19</f>
        <v>254.70410148568931</v>
      </c>
      <c r="I124" s="305" t="str">
        <f t="shared" ref="I124" si="86">_xlfn.TEXTJOIN(" - ",TRUE,DOLLAR(ROUND(F124,1),0),DOLLAR(ROUND(G124,1),0))</f>
        <v>$204 - $306</v>
      </c>
      <c r="J124" s="413">
        <f>J97*Wages!$L$19</f>
        <v>0</v>
      </c>
      <c r="K124" s="413">
        <f>K97*Wages!$L$19</f>
        <v>254.70410148568931</v>
      </c>
      <c r="L124" s="413">
        <f>L97*Wages!$L$19</f>
        <v>0</v>
      </c>
      <c r="M124" s="413">
        <f>M97*Wages!$L$19</f>
        <v>0</v>
      </c>
      <c r="N124" s="388"/>
    </row>
    <row r="125" spans="1:14" ht="30" x14ac:dyDescent="0.25">
      <c r="A125" s="148" t="s">
        <v>300</v>
      </c>
      <c r="B125" s="17" t="s">
        <v>328</v>
      </c>
      <c r="C125" s="139"/>
      <c r="D125" s="139"/>
      <c r="E125" s="474"/>
      <c r="F125" s="153"/>
      <c r="G125" s="153"/>
      <c r="H125" s="267">
        <f>SUM(H119:H124)</f>
        <v>1901.5783710085755</v>
      </c>
      <c r="I125" s="267" t="str">
        <f>_xlfn.TEXTJOIN(" - ",TRUE,DOLLAR(ROUND(SUM(F119:F124),1),0),DOLLAR(ROUND(SUM(G119:G124),1),0))</f>
        <v>$1,327 - $2,476</v>
      </c>
      <c r="J125" s="267">
        <f>SUM(J119:J124)</f>
        <v>491.57891586738037</v>
      </c>
      <c r="K125" s="267">
        <f t="shared" ref="K125:M125" si="87">SUM(K119:K124)</f>
        <v>1204.7504000273104</v>
      </c>
      <c r="L125" s="267">
        <f t="shared" si="87"/>
        <v>71.317148415993003</v>
      </c>
      <c r="M125" s="267">
        <f t="shared" si="87"/>
        <v>262.34522453026</v>
      </c>
      <c r="N125" s="388"/>
    </row>
    <row r="126" spans="1:14" ht="30" x14ac:dyDescent="0.25">
      <c r="A126" s="158" t="s">
        <v>301</v>
      </c>
      <c r="B126" s="17" t="s">
        <v>336</v>
      </c>
      <c r="C126" s="139"/>
      <c r="D126" s="139"/>
      <c r="E126" s="474"/>
      <c r="F126" s="153"/>
      <c r="G126" s="153"/>
      <c r="H126" s="267">
        <f>SUM(H119:H121)</f>
        <v>1341.229347740059</v>
      </c>
      <c r="I126" s="267" t="str">
        <f>_xlfn.TEXTJOIN(" - ",TRUE,DOLLAR(ROUND(SUM(F119:F121),1),0),DOLLAR(ROUND(SUM(G119:G121),1),0))</f>
        <v>$971 - $1,712</v>
      </c>
      <c r="J126" s="267">
        <f>SUM(J119:J121)</f>
        <v>415.16768542167358</v>
      </c>
      <c r="K126" s="267">
        <f t="shared" ref="K126:M126" si="88">SUM(K119:K121)</f>
        <v>759.0182224273542</v>
      </c>
      <c r="L126" s="267">
        <f t="shared" si="88"/>
        <v>71.317148415993003</v>
      </c>
      <c r="M126" s="267">
        <f t="shared" si="88"/>
        <v>147.72837886169978</v>
      </c>
      <c r="N126" s="388"/>
    </row>
    <row r="127" spans="1:14" ht="45" x14ac:dyDescent="0.25">
      <c r="A127" s="158" t="s">
        <v>303</v>
      </c>
      <c r="B127" s="17" t="s">
        <v>315</v>
      </c>
      <c r="C127" s="139"/>
      <c r="D127" s="139"/>
      <c r="E127" s="474"/>
      <c r="F127" s="153"/>
      <c r="G127" s="153"/>
      <c r="H127" s="267">
        <f>H100*Wages!$L$19</f>
        <v>1511.6081984838791</v>
      </c>
      <c r="I127" s="478"/>
      <c r="J127" s="267">
        <f>J100*Wages!$L$19</f>
        <v>422.80880846624427</v>
      </c>
      <c r="K127" s="267">
        <f>K100*Wages!$L$19</f>
        <v>923.66623088774611</v>
      </c>
      <c r="L127" s="267">
        <f>L100*Wages!$L$19</f>
        <v>71.317148415993003</v>
      </c>
      <c r="M127" s="267">
        <f>M100*Wages!$L$19</f>
        <v>153.4592211451278</v>
      </c>
      <c r="N127" s="388"/>
    </row>
    <row r="128" spans="1:14" ht="30" x14ac:dyDescent="0.25">
      <c r="A128" t="s">
        <v>305</v>
      </c>
      <c r="B128" s="150" t="s">
        <v>323</v>
      </c>
      <c r="C128" s="155"/>
      <c r="D128" s="147"/>
      <c r="E128" s="481"/>
      <c r="F128" s="148"/>
      <c r="G128" s="141"/>
      <c r="H128" s="395"/>
      <c r="I128" s="144"/>
      <c r="J128" s="206">
        <f>SUM(Respondents!E23)</f>
        <v>4.2857142857142856</v>
      </c>
      <c r="K128" s="149">
        <f>Respondents!E10</f>
        <v>3</v>
      </c>
      <c r="L128" s="149">
        <f>Respondents!E10</f>
        <v>3</v>
      </c>
      <c r="M128" s="149">
        <f>Respondents!E10</f>
        <v>3</v>
      </c>
      <c r="N128" s="388"/>
    </row>
    <row r="129" spans="1:18" ht="30" x14ac:dyDescent="0.25">
      <c r="A129" s="157" t="s">
        <v>316</v>
      </c>
      <c r="B129" s="229" t="s">
        <v>329</v>
      </c>
      <c r="C129" s="142"/>
      <c r="D129" s="142"/>
      <c r="E129" s="475"/>
      <c r="F129" s="142"/>
      <c r="G129" s="142"/>
      <c r="H129" s="396"/>
      <c r="I129" s="230"/>
      <c r="J129" s="397">
        <f>J127*J128</f>
        <v>1812.0377505696183</v>
      </c>
      <c r="K129" s="397">
        <f t="shared" ref="K129:M129" si="89">K127*K128</f>
        <v>2770.9986926632382</v>
      </c>
      <c r="L129" s="397">
        <f t="shared" si="89"/>
        <v>213.951445247979</v>
      </c>
      <c r="M129" s="397">
        <f t="shared" si="89"/>
        <v>460.3776634353834</v>
      </c>
      <c r="N129" s="388"/>
    </row>
    <row r="130" spans="1:18" ht="32.25" x14ac:dyDescent="0.4">
      <c r="A130" t="s">
        <v>318</v>
      </c>
      <c r="B130" s="228" t="s">
        <v>332</v>
      </c>
      <c r="I130" s="144"/>
      <c r="J130" s="402"/>
      <c r="K130" s="402"/>
      <c r="L130" s="402"/>
      <c r="M130" s="399">
        <f>SUM(J129:M129)</f>
        <v>5257.3655519162194</v>
      </c>
      <c r="N130" s="388"/>
    </row>
    <row r="131" spans="1:18" ht="17.25" x14ac:dyDescent="0.4">
      <c r="A131" s="232"/>
      <c r="B131" s="233"/>
      <c r="C131" s="234"/>
      <c r="D131" s="234"/>
      <c r="E131" s="486"/>
      <c r="F131" s="234"/>
      <c r="G131" s="234"/>
      <c r="H131" s="410"/>
      <c r="I131" s="235"/>
      <c r="J131" s="410"/>
      <c r="K131" s="410"/>
      <c r="L131" s="410"/>
      <c r="M131" s="403"/>
      <c r="N131" s="411"/>
      <c r="O131" s="232"/>
      <c r="P131" s="232"/>
      <c r="Q131" s="232"/>
      <c r="R131" s="232"/>
    </row>
    <row r="132" spans="1:18" x14ac:dyDescent="0.25">
      <c r="A132" s="578" t="s">
        <v>338</v>
      </c>
      <c r="B132" s="578"/>
      <c r="C132" s="578"/>
      <c r="D132" s="578"/>
      <c r="E132" s="578"/>
      <c r="F132" s="578"/>
      <c r="G132" s="578"/>
      <c r="H132" s="578"/>
      <c r="I132" s="578"/>
      <c r="J132" s="577" t="s">
        <v>287</v>
      </c>
      <c r="K132" s="577"/>
      <c r="L132" s="577"/>
      <c r="M132" s="577"/>
      <c r="N132" s="414"/>
    </row>
    <row r="133" spans="1:18" ht="45" x14ac:dyDescent="0.25">
      <c r="A133" s="132" t="s">
        <v>288</v>
      </c>
      <c r="B133" s="132" t="s">
        <v>109</v>
      </c>
      <c r="C133" s="132" t="s">
        <v>110</v>
      </c>
      <c r="D133" s="132" t="s">
        <v>111</v>
      </c>
      <c r="E133" s="480" t="s">
        <v>289</v>
      </c>
      <c r="F133" s="132" t="s">
        <v>290</v>
      </c>
      <c r="G133" s="132" t="s">
        <v>291</v>
      </c>
      <c r="H133" s="132" t="s">
        <v>292</v>
      </c>
      <c r="I133" s="132" t="s">
        <v>293</v>
      </c>
      <c r="J133" s="132" t="s">
        <v>118</v>
      </c>
      <c r="K133" s="132" t="s">
        <v>119</v>
      </c>
      <c r="L133" s="132" t="s">
        <v>120</v>
      </c>
      <c r="M133" s="132" t="s">
        <v>121</v>
      </c>
      <c r="N133" s="414"/>
    </row>
    <row r="134" spans="1:18" ht="30" x14ac:dyDescent="0.25">
      <c r="A134" t="s">
        <v>294</v>
      </c>
      <c r="B134" s="97" t="str">
        <f>'Reporting Burden by Program'!A45</f>
        <v>Clean Ports Supplemental Application Template</v>
      </c>
      <c r="C134" s="97" t="str">
        <f>'Reporting Burden by Program'!B45</f>
        <v>5900-679</v>
      </c>
      <c r="D134" s="97" t="str">
        <f>'Reporting Burden by Program'!C45</f>
        <v>Required</v>
      </c>
      <c r="E134" s="487">
        <f>'Reporting Burden by Program'!D45</f>
        <v>1</v>
      </c>
      <c r="F134" s="425">
        <f>'Reporting Burden by Program'!E45</f>
        <v>2.15</v>
      </c>
      <c r="G134" s="425">
        <f>'Reporting Burden by Program'!F45</f>
        <v>6.1</v>
      </c>
      <c r="H134" s="426">
        <f>'Reporting Burden by Program'!G45</f>
        <v>4.2</v>
      </c>
      <c r="I134" s="426" t="str">
        <f>'Reporting Burden by Program'!I45</f>
        <v>2.2 - 6.1</v>
      </c>
      <c r="J134" s="426">
        <f>'Reporting Burden by Program'!J45</f>
        <v>4.2</v>
      </c>
      <c r="K134" s="426">
        <f>'Reporting Burden by Program'!K45</f>
        <v>0</v>
      </c>
      <c r="L134" s="426">
        <f>'Reporting Burden by Program'!L45</f>
        <v>0</v>
      </c>
      <c r="M134" s="426">
        <f>'Reporting Burden by Program'!M45</f>
        <v>0</v>
      </c>
      <c r="N134" s="414"/>
    </row>
    <row r="135" spans="1:18" ht="30" x14ac:dyDescent="0.25">
      <c r="A135" t="s">
        <v>295</v>
      </c>
      <c r="B135" s="97" t="str">
        <f>'Reporting Burden by Program'!A46</f>
        <v>Clean Ports Climate and Air Quality Planning Project Reporting Template</v>
      </c>
      <c r="C135" s="97" t="str">
        <f>'Reporting Burden by Program'!B46</f>
        <v>TBA</v>
      </c>
      <c r="D135" s="97" t="str">
        <f>'Reporting Burden by Program'!C46</f>
        <v>Required</v>
      </c>
      <c r="E135" s="487">
        <f>'Reporting Burden by Program'!D46</f>
        <v>1</v>
      </c>
      <c r="F135" s="427">
        <f>'Reporting Burden by Program'!E46</f>
        <v>13.033333333333333</v>
      </c>
      <c r="G135" s="427">
        <f>'Reporting Burden by Program'!F46</f>
        <v>14.987500000000001</v>
      </c>
      <c r="H135" s="428">
        <f>'Reporting Burden by Program'!G46</f>
        <v>14</v>
      </c>
      <c r="I135" s="428" t="str">
        <f>'Reporting Burden by Program'!I46</f>
        <v>13 - 15</v>
      </c>
      <c r="J135" s="428">
        <f>'Reporting Burden by Program'!J46</f>
        <v>0</v>
      </c>
      <c r="K135" s="428">
        <f>'Reporting Burden by Program'!K46</f>
        <v>6.2</v>
      </c>
      <c r="L135" s="428">
        <f>'Reporting Burden by Program'!L46</f>
        <v>2.5</v>
      </c>
      <c r="M135" s="428">
        <f>'Reporting Burden by Program'!M46</f>
        <v>5</v>
      </c>
      <c r="N135" s="414"/>
    </row>
    <row r="136" spans="1:18" ht="30" x14ac:dyDescent="0.25">
      <c r="A136" s="157" t="s">
        <v>296</v>
      </c>
      <c r="B136" s="133" t="str">
        <f>'Reporting Burden by Program'!A47</f>
        <v>OTAQ Funding Program Recipient Story Collection Form</v>
      </c>
      <c r="C136" s="133" t="str">
        <f>'Reporting Burden by Program'!B47</f>
        <v>TBA</v>
      </c>
      <c r="D136" s="133" t="str">
        <f>'Reporting Burden by Program'!C47</f>
        <v>Optional</v>
      </c>
      <c r="E136" s="488">
        <f>'Reporting Burden by Program'!D47</f>
        <v>0.05</v>
      </c>
      <c r="F136" s="134">
        <f>'Reporting Burden by Program'!E47</f>
        <v>1.5</v>
      </c>
      <c r="G136" s="134">
        <f>'Reporting Burden by Program'!F47</f>
        <v>3</v>
      </c>
      <c r="H136" s="136">
        <f>'Reporting Burden by Program'!G47</f>
        <v>2.25</v>
      </c>
      <c r="I136" s="136" t="str">
        <f>'Reporting Burden by Program'!I47</f>
        <v>1.5 - 3</v>
      </c>
      <c r="J136" s="136">
        <f>'Reporting Burden by Program'!J47</f>
        <v>0</v>
      </c>
      <c r="K136" s="136">
        <f>'Reporting Burden by Program'!K47</f>
        <v>2.25</v>
      </c>
      <c r="L136" s="136">
        <f>'Reporting Burden by Program'!L47</f>
        <v>0</v>
      </c>
      <c r="M136" s="136">
        <f>'Reporting Burden by Program'!M47</f>
        <v>0</v>
      </c>
      <c r="N136" s="414"/>
    </row>
    <row r="137" spans="1:18" ht="30" x14ac:dyDescent="0.25">
      <c r="A137" t="s">
        <v>297</v>
      </c>
      <c r="B137" s="17" t="s">
        <v>339</v>
      </c>
      <c r="C137" s="96"/>
      <c r="D137" s="96"/>
      <c r="E137" s="444"/>
      <c r="F137" s="126"/>
      <c r="G137" s="126"/>
      <c r="H137" s="390">
        <f>SUM(H134:H136)</f>
        <v>20.45</v>
      </c>
      <c r="I137" s="144" t="str">
        <f>_xlfn.TEXTJOIN("", TRUE, ROUND(SUM(F134:F136), 1), " - ", ROUND(SUM(G134:G136),1))</f>
        <v>16.7 - 24.1</v>
      </c>
      <c r="J137" s="390">
        <f>SUM(J134:J136)</f>
        <v>4.2</v>
      </c>
      <c r="K137" s="390">
        <f>SUM(K134:K136)</f>
        <v>8.4499999999999993</v>
      </c>
      <c r="L137" s="390">
        <f>SUM(L132:L136)</f>
        <v>2.5</v>
      </c>
      <c r="M137" s="390">
        <f>SUM(M132:M136)</f>
        <v>5</v>
      </c>
      <c r="N137" s="414"/>
    </row>
    <row r="138" spans="1:18" ht="30" x14ac:dyDescent="0.25">
      <c r="A138" t="s">
        <v>298</v>
      </c>
      <c r="B138" s="17" t="s">
        <v>340</v>
      </c>
      <c r="C138" s="96"/>
      <c r="D138" s="96"/>
      <c r="E138" s="444"/>
      <c r="F138" s="126"/>
      <c r="G138" s="126"/>
      <c r="H138" s="390">
        <f>SUM(H134:H135)</f>
        <v>18.2</v>
      </c>
      <c r="I138" s="144" t="str">
        <f>_xlfn.TEXTJOIN("", TRUE, ROUND(SUM(F134:F135), 1), " - ", ROUND(SUM(G134:G135),1))</f>
        <v>15.2 - 21.1</v>
      </c>
      <c r="J138" s="390">
        <f>SUM(J134:J135)</f>
        <v>4.2</v>
      </c>
      <c r="K138" s="390">
        <f>SUM(K134:K135)</f>
        <v>6.2</v>
      </c>
      <c r="L138" s="390">
        <f>SUM(L134:L135)</f>
        <v>2.5</v>
      </c>
      <c r="M138" s="390">
        <f>SUM(M134:M135)</f>
        <v>5</v>
      </c>
      <c r="N138" s="414"/>
    </row>
    <row r="139" spans="1:18" x14ac:dyDescent="0.25">
      <c r="A139" t="s">
        <v>299</v>
      </c>
      <c r="B139" s="1" t="s">
        <v>306</v>
      </c>
      <c r="H139" s="495">
        <f>SUM(($E134*H134)+($E135*H135)+($E136*H136))</f>
        <v>18.3125</v>
      </c>
      <c r="I139" s="144" t="str">
        <f>_xlfn.TEXTJOIN("", TRUE, ROUND(SUM(($E134*F134)+($E135*F135)+($E136*F136)), 1), " - ",
ROUND(SUM(($E134*G134)+($E135*G135)+($E136*G136)),1))</f>
        <v>15.3 - 21.2</v>
      </c>
      <c r="J139" s="495">
        <f>SUM(($E134*J134)+($E135*J135)+($E136*J136))</f>
        <v>4.2</v>
      </c>
      <c r="K139" s="495">
        <f t="shared" ref="K139:M139" si="90">SUM(($E134*K134)+($E135*K135)+($E136*K136))</f>
        <v>6.3125</v>
      </c>
      <c r="L139" s="495">
        <f t="shared" si="90"/>
        <v>2.5</v>
      </c>
      <c r="M139" s="495">
        <f t="shared" si="90"/>
        <v>5</v>
      </c>
    </row>
    <row r="140" spans="1:18" x14ac:dyDescent="0.25">
      <c r="B140" s="97"/>
      <c r="C140" s="96"/>
      <c r="D140" s="96"/>
      <c r="E140" s="444"/>
      <c r="F140" s="126"/>
      <c r="G140" s="126"/>
      <c r="H140" s="135"/>
      <c r="I140" s="130"/>
      <c r="J140" s="414"/>
      <c r="K140" s="130"/>
      <c r="L140" s="130"/>
      <c r="M140" s="130"/>
      <c r="N140" s="414"/>
    </row>
    <row r="141" spans="1:18" x14ac:dyDescent="0.25">
      <c r="A141" s="578" t="s">
        <v>341</v>
      </c>
      <c r="B141" s="578"/>
      <c r="C141" s="578"/>
      <c r="D141" s="578"/>
      <c r="E141" s="578"/>
      <c r="F141" s="578"/>
      <c r="G141" s="578"/>
      <c r="H141" s="578"/>
      <c r="I141" s="578"/>
      <c r="J141" s="577" t="s">
        <v>308</v>
      </c>
      <c r="K141" s="577"/>
      <c r="L141" s="577"/>
      <c r="M141" s="577"/>
      <c r="N141" s="414"/>
    </row>
    <row r="142" spans="1:18" ht="45" x14ac:dyDescent="0.25">
      <c r="A142" s="132" t="s">
        <v>288</v>
      </c>
      <c r="B142" s="132" t="s">
        <v>109</v>
      </c>
      <c r="C142" s="132" t="s">
        <v>110</v>
      </c>
      <c r="D142" s="132" t="s">
        <v>111</v>
      </c>
      <c r="E142" s="480" t="s">
        <v>289</v>
      </c>
      <c r="F142" s="132" t="s">
        <v>309</v>
      </c>
      <c r="G142" s="132" t="s">
        <v>310</v>
      </c>
      <c r="H142" s="132" t="s">
        <v>311</v>
      </c>
      <c r="I142" s="132" t="s">
        <v>312</v>
      </c>
      <c r="J142" s="132" t="s">
        <v>118</v>
      </c>
      <c r="K142" s="132" t="s">
        <v>119</v>
      </c>
      <c r="L142" s="132" t="s">
        <v>120</v>
      </c>
      <c r="M142" s="132" t="s">
        <v>121</v>
      </c>
      <c r="N142" s="414"/>
    </row>
    <row r="143" spans="1:18" ht="30" x14ac:dyDescent="0.25">
      <c r="A143" t="s">
        <v>294</v>
      </c>
      <c r="B143" s="97" t="str">
        <f>B134</f>
        <v>Clean Ports Supplemental Application Template</v>
      </c>
      <c r="C143" s="97" t="str">
        <f t="shared" ref="C143:E143" si="91">C134</f>
        <v>5900-679</v>
      </c>
      <c r="D143" s="97" t="str">
        <f t="shared" si="91"/>
        <v>Required</v>
      </c>
      <c r="E143" s="487">
        <f t="shared" si="91"/>
        <v>1</v>
      </c>
      <c r="F143" s="263">
        <f>F134*Wages!$L$18</f>
        <v>136.62932717049921</v>
      </c>
      <c r="G143" s="263">
        <f>G134*Wages!$L$18</f>
        <v>387.64599801862568</v>
      </c>
      <c r="H143" s="391">
        <f>H134*Wages!$L$18</f>
        <v>266.9038019144636</v>
      </c>
      <c r="I143" s="151" t="str">
        <f>_xlfn.TEXTJOIN(" - ",TRUE,DOLLAR(ROUND(F143,1),0),DOLLAR(ROUND(G143,1),0))</f>
        <v>$137 - $388</v>
      </c>
      <c r="J143" s="400">
        <f>J134*Wages!$L$18</f>
        <v>266.9038019144636</v>
      </c>
      <c r="K143" s="400">
        <f>K134*Wages!$L$18</f>
        <v>0</v>
      </c>
      <c r="L143" s="400">
        <f>L134*Wages!$L$18</f>
        <v>0</v>
      </c>
      <c r="M143" s="400">
        <f>M134*Wages!$L$18</f>
        <v>0</v>
      </c>
      <c r="N143" s="130"/>
    </row>
    <row r="144" spans="1:18" ht="30" x14ac:dyDescent="0.25">
      <c r="A144" t="s">
        <v>295</v>
      </c>
      <c r="B144" s="97" t="str">
        <f t="shared" ref="B144:E144" si="92">B135</f>
        <v>Clean Ports Climate and Air Quality Planning Project Reporting Template</v>
      </c>
      <c r="C144" s="97" t="str">
        <f t="shared" si="92"/>
        <v>TBA</v>
      </c>
      <c r="D144" s="97" t="str">
        <f t="shared" si="92"/>
        <v>Required</v>
      </c>
      <c r="E144" s="487">
        <f t="shared" si="92"/>
        <v>1</v>
      </c>
      <c r="F144" s="263">
        <f>F135*Wages!$L$18</f>
        <v>828.2490995917085</v>
      </c>
      <c r="G144" s="263">
        <f>G135*Wages!$L$18</f>
        <v>952.4335074269103</v>
      </c>
      <c r="H144" s="391">
        <f>H135*Wages!$L$18</f>
        <v>889.67933971487867</v>
      </c>
      <c r="I144" s="151" t="str">
        <f t="shared" ref="I144:I145" si="93">_xlfn.TEXTJOIN(" - ",TRUE,DOLLAR(ROUND(F144,1),0),DOLLAR(ROUND(G144,1),0))</f>
        <v>$828 - $952</v>
      </c>
      <c r="J144" s="401">
        <f>J135*Wages!$L$18</f>
        <v>0</v>
      </c>
      <c r="K144" s="401">
        <f>K135*Wages!$L$18</f>
        <v>394.00085044516055</v>
      </c>
      <c r="L144" s="401">
        <f>L135*Wages!$L$18</f>
        <v>158.87131066337119</v>
      </c>
      <c r="M144" s="401">
        <f>M135*Wages!$L$18</f>
        <v>317.74262132674238</v>
      </c>
      <c r="N144" s="130"/>
    </row>
    <row r="145" spans="1:14" ht="30" x14ac:dyDescent="0.25">
      <c r="A145" s="157" t="s">
        <v>296</v>
      </c>
      <c r="B145" s="133" t="str">
        <f t="shared" ref="B145:E145" si="94">B136</f>
        <v>OTAQ Funding Program Recipient Story Collection Form</v>
      </c>
      <c r="C145" s="133" t="str">
        <f t="shared" si="94"/>
        <v>TBA</v>
      </c>
      <c r="D145" s="133" t="str">
        <f t="shared" si="94"/>
        <v>Optional</v>
      </c>
      <c r="E145" s="488">
        <f t="shared" si="94"/>
        <v>0.05</v>
      </c>
      <c r="F145" s="264">
        <f>F136*Wages!$L$18</f>
        <v>95.322786398022714</v>
      </c>
      <c r="G145" s="264">
        <f>G136*Wages!$L$18</f>
        <v>190.64557279604543</v>
      </c>
      <c r="H145" s="393">
        <f>H136*Wages!$L$18</f>
        <v>142.98417959703409</v>
      </c>
      <c r="I145" s="152" t="str">
        <f t="shared" si="93"/>
        <v>$95 - $191</v>
      </c>
      <c r="J145" s="393">
        <f>J136*Wages!$L$18</f>
        <v>0</v>
      </c>
      <c r="K145" s="393">
        <f>K136*Wages!$L$18</f>
        <v>142.98417959703409</v>
      </c>
      <c r="L145" s="393">
        <f>L136*Wages!$L$18</f>
        <v>0</v>
      </c>
      <c r="M145" s="393">
        <f>M136*Wages!$L$18</f>
        <v>0</v>
      </c>
      <c r="N145" s="130"/>
    </row>
    <row r="146" spans="1:14" ht="30" x14ac:dyDescent="0.25">
      <c r="A146" t="s">
        <v>297</v>
      </c>
      <c r="B146" s="17" t="s">
        <v>342</v>
      </c>
      <c r="C146" s="139"/>
      <c r="D146" s="139"/>
      <c r="E146" s="474"/>
      <c r="F146" s="269"/>
      <c r="G146" s="269"/>
      <c r="H146" s="267">
        <f>SUM(H143:H145)</f>
        <v>1299.5673212263764</v>
      </c>
      <c r="I146" s="154" t="str">
        <f>_xlfn.TEXTJOIN(" - ",TRUE,DOLLAR(ROUND(SUM(F143:F145),1),0),DOLLAR(ROUND(SUM(G143:G145),1),0))</f>
        <v>$1,060 - $1,531</v>
      </c>
      <c r="J146" s="267">
        <f>SUM(J143:J145)</f>
        <v>266.9038019144636</v>
      </c>
      <c r="K146" s="267">
        <f t="shared" ref="K146:M146" si="95">SUM(K143:K145)</f>
        <v>536.98503004219469</v>
      </c>
      <c r="L146" s="267">
        <f t="shared" si="95"/>
        <v>158.87131066337119</v>
      </c>
      <c r="M146" s="267">
        <f t="shared" si="95"/>
        <v>317.74262132674238</v>
      </c>
      <c r="N146" s="154"/>
    </row>
    <row r="147" spans="1:14" ht="30" x14ac:dyDescent="0.25">
      <c r="A147" t="s">
        <v>298</v>
      </c>
      <c r="B147" s="17" t="s">
        <v>343</v>
      </c>
      <c r="C147" s="139"/>
      <c r="D147" s="139"/>
      <c r="E147" s="474"/>
      <c r="F147" s="269"/>
      <c r="G147" s="269"/>
      <c r="H147" s="267">
        <f>SUM(H143:H144)</f>
        <v>1156.5831416293422</v>
      </c>
      <c r="I147" s="154" t="str">
        <f>_xlfn.TEXTJOIN(" - ",TRUE,DOLLAR(ROUND(SUM(F143:F144),1),0),DOLLAR(ROUND(SUM(G143:G144),1),0))</f>
        <v>$965 - $1,340</v>
      </c>
      <c r="J147" s="267">
        <f>SUM(J143:J144)</f>
        <v>266.9038019144636</v>
      </c>
      <c r="K147" s="267">
        <f t="shared" ref="K147:M147" si="96">SUM(K143:K144)</f>
        <v>394.00085044516055</v>
      </c>
      <c r="L147" s="267">
        <f t="shared" si="96"/>
        <v>158.87131066337119</v>
      </c>
      <c r="M147" s="267">
        <f t="shared" si="96"/>
        <v>317.74262132674238</v>
      </c>
      <c r="N147" s="154"/>
    </row>
    <row r="148" spans="1:14" ht="45" x14ac:dyDescent="0.25">
      <c r="A148" t="s">
        <v>299</v>
      </c>
      <c r="B148" s="17" t="s">
        <v>315</v>
      </c>
      <c r="C148" s="139"/>
      <c r="D148" s="139"/>
      <c r="E148" s="474"/>
      <c r="F148" s="269"/>
      <c r="G148" s="269"/>
      <c r="H148" s="267">
        <f>H139*Wages!$L$18</f>
        <v>1163.7323506091939</v>
      </c>
      <c r="I148" s="478"/>
      <c r="J148" s="267">
        <f>J139*Wages!$L$18</f>
        <v>266.9038019144636</v>
      </c>
      <c r="K148" s="267">
        <f>K139*Wages!$L$18</f>
        <v>401.15005942501227</v>
      </c>
      <c r="L148" s="267">
        <f>L139*Wages!$L$18</f>
        <v>158.87131066337119</v>
      </c>
      <c r="M148" s="267">
        <f>M139*Wages!$L$18</f>
        <v>317.74262132674238</v>
      </c>
      <c r="N148" s="154"/>
    </row>
    <row r="149" spans="1:14" ht="30" x14ac:dyDescent="0.25">
      <c r="A149" t="s">
        <v>300</v>
      </c>
      <c r="B149" s="150" t="s">
        <v>317</v>
      </c>
      <c r="C149" s="155"/>
      <c r="D149" s="147"/>
      <c r="E149" s="481"/>
      <c r="F149" s="148"/>
      <c r="G149" s="141"/>
      <c r="H149" s="395"/>
      <c r="I149" s="149"/>
      <c r="J149" s="206">
        <f>SUM(Respondents!C25:D25)</f>
        <v>60</v>
      </c>
      <c r="K149" s="149">
        <f>SUM(Respondents!C12:D12)</f>
        <v>30</v>
      </c>
      <c r="L149" s="149">
        <f>SUM(Respondents!C12:D12)</f>
        <v>30</v>
      </c>
      <c r="M149" s="149">
        <f>SUM(Respondents!C12:D12)</f>
        <v>30</v>
      </c>
      <c r="N149" s="149"/>
    </row>
    <row r="150" spans="1:14" ht="30" x14ac:dyDescent="0.25">
      <c r="A150" s="157" t="s">
        <v>301</v>
      </c>
      <c r="B150" s="229" t="s">
        <v>344</v>
      </c>
      <c r="C150" s="142"/>
      <c r="D150" s="142"/>
      <c r="E150" s="475"/>
      <c r="F150" s="142"/>
      <c r="G150" s="142"/>
      <c r="H150" s="396"/>
      <c r="I150" s="230"/>
      <c r="J150" s="397">
        <f>J148*J149</f>
        <v>16014.228114867816</v>
      </c>
      <c r="K150" s="397">
        <f t="shared" ref="K150:M150" si="97">K148*K149</f>
        <v>12034.501782750369</v>
      </c>
      <c r="L150" s="397">
        <f t="shared" si="97"/>
        <v>4766.1393199011354</v>
      </c>
      <c r="M150" s="397">
        <f t="shared" si="97"/>
        <v>9532.2786398022708</v>
      </c>
      <c r="N150" s="154"/>
    </row>
    <row r="151" spans="1:14" ht="30" x14ac:dyDescent="0.4">
      <c r="A151" t="s">
        <v>303</v>
      </c>
      <c r="B151" s="17" t="s">
        <v>345</v>
      </c>
      <c r="C151" s="139"/>
      <c r="D151" s="139"/>
      <c r="E151" s="474"/>
      <c r="F151" s="139"/>
      <c r="G151" s="139"/>
      <c r="H151" s="390"/>
      <c r="I151" s="144"/>
      <c r="J151" s="398"/>
      <c r="K151" s="398"/>
      <c r="L151" s="398"/>
      <c r="M151" s="399">
        <f>SUM(J150:N150)</f>
        <v>42347.147857321594</v>
      </c>
    </row>
    <row r="152" spans="1:14" ht="17.25" x14ac:dyDescent="0.4">
      <c r="B152" s="18"/>
      <c r="C152" s="139"/>
      <c r="D152" s="139"/>
      <c r="E152" s="474"/>
      <c r="F152" s="139"/>
      <c r="G152" s="139"/>
      <c r="H152" s="390"/>
      <c r="I152" s="144"/>
      <c r="J152" s="390"/>
      <c r="K152" s="390"/>
      <c r="L152" s="390"/>
      <c r="M152" s="408"/>
      <c r="N152" s="388"/>
    </row>
    <row r="153" spans="1:14" x14ac:dyDescent="0.25">
      <c r="A153" s="578" t="s">
        <v>346</v>
      </c>
      <c r="B153" s="578"/>
      <c r="C153" s="578"/>
      <c r="D153" s="578"/>
      <c r="E153" s="578"/>
      <c r="F153" s="578"/>
      <c r="G153" s="578"/>
      <c r="H153" s="578"/>
      <c r="I153" s="578"/>
      <c r="J153" s="577" t="s">
        <v>308</v>
      </c>
      <c r="K153" s="577"/>
      <c r="L153" s="577"/>
      <c r="M153" s="577"/>
      <c r="N153" s="388"/>
    </row>
    <row r="154" spans="1:14" ht="45" x14ac:dyDescent="0.25">
      <c r="A154" s="132" t="s">
        <v>288</v>
      </c>
      <c r="B154" s="132" t="s">
        <v>109</v>
      </c>
      <c r="C154" s="132" t="s">
        <v>110</v>
      </c>
      <c r="D154" s="132" t="s">
        <v>111</v>
      </c>
      <c r="E154" s="480" t="s">
        <v>289</v>
      </c>
      <c r="F154" s="132" t="s">
        <v>309</v>
      </c>
      <c r="G154" s="132" t="s">
        <v>310</v>
      </c>
      <c r="H154" s="132" t="s">
        <v>311</v>
      </c>
      <c r="I154" s="132" t="s">
        <v>312</v>
      </c>
      <c r="J154" s="132" t="s">
        <v>118</v>
      </c>
      <c r="K154" s="132" t="s">
        <v>119</v>
      </c>
      <c r="L154" s="132" t="s">
        <v>120</v>
      </c>
      <c r="M154" s="132" t="s">
        <v>121</v>
      </c>
      <c r="N154" s="388"/>
    </row>
    <row r="155" spans="1:14" ht="30" x14ac:dyDescent="0.25">
      <c r="A155" t="s">
        <v>294</v>
      </c>
      <c r="B155" s="97" t="str">
        <f>B134</f>
        <v>Clean Ports Supplemental Application Template</v>
      </c>
      <c r="C155" s="97" t="str">
        <f t="shared" ref="C155:E155" si="98">C134</f>
        <v>5900-679</v>
      </c>
      <c r="D155" s="97" t="str">
        <f t="shared" si="98"/>
        <v>Required</v>
      </c>
      <c r="E155" s="487">
        <f t="shared" si="98"/>
        <v>1</v>
      </c>
      <c r="F155" s="159">
        <f>F134*Wages!$L$19</f>
        <v>109.5227636388464</v>
      </c>
      <c r="G155" s="159">
        <f>G134*Wages!$L$19</f>
        <v>310.73900381254094</v>
      </c>
      <c r="H155" s="412">
        <f>H134*Wages!$L$19</f>
        <v>213.95144524797902</v>
      </c>
      <c r="I155" s="304" t="str">
        <f>_xlfn.TEXTJOIN(" - ",TRUE,DOLLAR(ROUND(F155,1),0),DOLLAR(ROUND(G155,1),0))</f>
        <v>$110 - $311</v>
      </c>
      <c r="J155" s="429">
        <f>J134*Wages!$L$19</f>
        <v>213.95144524797902</v>
      </c>
      <c r="K155" s="429">
        <f>K134*Wages!$L$19</f>
        <v>0</v>
      </c>
      <c r="L155" s="429">
        <f>L134*Wages!$L$19</f>
        <v>0</v>
      </c>
      <c r="M155" s="429">
        <f>M134*Wages!$L$19</f>
        <v>0</v>
      </c>
      <c r="N155" s="388"/>
    </row>
    <row r="156" spans="1:14" ht="30" x14ac:dyDescent="0.25">
      <c r="A156" t="s">
        <v>295</v>
      </c>
      <c r="B156" s="97" t="str">
        <f t="shared" ref="B156:E156" si="99">B135</f>
        <v>Clean Ports Climate and Air Quality Planning Project Reporting Template</v>
      </c>
      <c r="C156" s="97" t="str">
        <f t="shared" si="99"/>
        <v>TBA</v>
      </c>
      <c r="D156" s="97" t="str">
        <f t="shared" si="99"/>
        <v>Required</v>
      </c>
      <c r="E156" s="487">
        <f t="shared" si="99"/>
        <v>1</v>
      </c>
      <c r="F156" s="159">
        <f>F135*Wages!$L$19</f>
        <v>663.92869120603007</v>
      </c>
      <c r="G156" s="159">
        <f>G135*Wages!$L$19</f>
        <v>763.47554420335371</v>
      </c>
      <c r="H156" s="412">
        <f>H135*Wages!$L$19</f>
        <v>713.17148415993006</v>
      </c>
      <c r="I156" s="304" t="str">
        <f t="shared" ref="I156:I157" si="100">_xlfn.TEXTJOIN(" - ",TRUE,DOLLAR(ROUND(F156,1),0),DOLLAR(ROUND(G156,1),0))</f>
        <v>$664 - $764</v>
      </c>
      <c r="J156" s="430">
        <f>J135*Wages!$L$19</f>
        <v>0</v>
      </c>
      <c r="K156" s="430">
        <f>K135*Wages!$L$19</f>
        <v>315.83308584225477</v>
      </c>
      <c r="L156" s="430">
        <f>L135*Wages!$L$19</f>
        <v>127.35205074284465</v>
      </c>
      <c r="M156" s="430">
        <f>M135*Wages!$L$19</f>
        <v>254.70410148568931</v>
      </c>
      <c r="N156" s="388"/>
    </row>
    <row r="157" spans="1:14" ht="30" x14ac:dyDescent="0.25">
      <c r="A157" s="157" t="s">
        <v>296</v>
      </c>
      <c r="B157" s="133" t="str">
        <f t="shared" ref="B157:E157" si="101">B136</f>
        <v>OTAQ Funding Program Recipient Story Collection Form</v>
      </c>
      <c r="C157" s="133" t="str">
        <f t="shared" si="101"/>
        <v>TBA</v>
      </c>
      <c r="D157" s="133" t="str">
        <f t="shared" si="101"/>
        <v>Optional</v>
      </c>
      <c r="E157" s="488">
        <f t="shared" si="101"/>
        <v>0.05</v>
      </c>
      <c r="F157" s="160">
        <f>F136*Wages!$L$19</f>
        <v>76.411230445706792</v>
      </c>
      <c r="G157" s="160">
        <f>G136*Wages!$L$19</f>
        <v>152.82246089141358</v>
      </c>
      <c r="H157" s="413">
        <f>H136*Wages!$L$19</f>
        <v>114.61684566856019</v>
      </c>
      <c r="I157" s="305" t="str">
        <f t="shared" si="100"/>
        <v>$76 - $153</v>
      </c>
      <c r="J157" s="413">
        <f>J136*Wages!$L$19</f>
        <v>0</v>
      </c>
      <c r="K157" s="413">
        <f>K136*Wages!$L$19</f>
        <v>114.61684566856019</v>
      </c>
      <c r="L157" s="413">
        <f>L136*Wages!$L$19</f>
        <v>0</v>
      </c>
      <c r="M157" s="413">
        <f>M136*Wages!$L$19</f>
        <v>0</v>
      </c>
      <c r="N157" s="388"/>
    </row>
    <row r="158" spans="1:14" ht="30" x14ac:dyDescent="0.25">
      <c r="A158" t="s">
        <v>297</v>
      </c>
      <c r="B158" s="17" t="s">
        <v>342</v>
      </c>
      <c r="C158" s="139"/>
      <c r="D158" s="139"/>
      <c r="E158" s="474"/>
      <c r="F158" s="153"/>
      <c r="G158" s="153"/>
      <c r="H158" s="267">
        <f>SUM(H152:H157)</f>
        <v>1041.7397750764692</v>
      </c>
      <c r="I158" s="154" t="str">
        <f>_xlfn.TEXTJOIN(" - ",TRUE,DOLLAR(ROUND(SUM(F155:F157),1),0),DOLLAR(ROUND(SUM(G155:G157),1),0))</f>
        <v>$850 - $1,227</v>
      </c>
      <c r="J158" s="267">
        <f>SUM(J152:J157)</f>
        <v>213.95144524797902</v>
      </c>
      <c r="K158" s="267">
        <f>SUM(K152:K157)</f>
        <v>430.44993151081496</v>
      </c>
      <c r="L158" s="267">
        <f>SUM(L152:L157)</f>
        <v>127.35205074284465</v>
      </c>
      <c r="M158" s="267">
        <f>SUM(M152:M157)</f>
        <v>254.70410148568931</v>
      </c>
      <c r="N158" s="388"/>
    </row>
    <row r="159" spans="1:14" ht="30" x14ac:dyDescent="0.25">
      <c r="A159" t="s">
        <v>298</v>
      </c>
      <c r="B159" s="17" t="s">
        <v>347</v>
      </c>
      <c r="C159" s="139"/>
      <c r="D159" s="139"/>
      <c r="E159" s="474"/>
      <c r="F159" s="153"/>
      <c r="G159" s="153"/>
      <c r="H159" s="267">
        <f>SUM(H155:H156)</f>
        <v>927.12292940790906</v>
      </c>
      <c r="I159" s="154" t="str">
        <f>_xlfn.TEXTJOIN(" - ",TRUE,DOLLAR(ROUND(SUM(F155:F156),1),0),DOLLAR(ROUND(SUM(G155:G156),1),0))</f>
        <v>$774 - $1,074</v>
      </c>
      <c r="J159" s="267">
        <f t="shared" ref="J159:M159" si="102">SUM(J155:J156)</f>
        <v>213.95144524797902</v>
      </c>
      <c r="K159" s="267">
        <f t="shared" si="102"/>
        <v>315.83308584225477</v>
      </c>
      <c r="L159" s="267">
        <f t="shared" si="102"/>
        <v>127.35205074284465</v>
      </c>
      <c r="M159" s="267">
        <f t="shared" si="102"/>
        <v>254.70410148568931</v>
      </c>
      <c r="N159" s="388"/>
    </row>
    <row r="160" spans="1:14" ht="45" x14ac:dyDescent="0.25">
      <c r="A160" t="s">
        <v>299</v>
      </c>
      <c r="B160" s="17" t="s">
        <v>315</v>
      </c>
      <c r="C160" s="139"/>
      <c r="D160" s="139"/>
      <c r="E160" s="474"/>
      <c r="F160" s="153"/>
      <c r="G160" s="153"/>
      <c r="H160" s="267">
        <f>H139*Wages!$L$19</f>
        <v>932.8537716913371</v>
      </c>
      <c r="I160" s="478"/>
      <c r="J160" s="267">
        <f>J139*Wages!$L$19</f>
        <v>213.95144524797902</v>
      </c>
      <c r="K160" s="267">
        <f>K139*Wages!$L$19</f>
        <v>321.56392812568276</v>
      </c>
      <c r="L160" s="267">
        <f>L139*Wages!$L$19</f>
        <v>127.35205074284465</v>
      </c>
      <c r="M160" s="267">
        <f>M139*Wages!$L$19</f>
        <v>254.70410148568931</v>
      </c>
      <c r="N160" s="388"/>
    </row>
    <row r="161" spans="1:18" ht="30" x14ac:dyDescent="0.25">
      <c r="A161" t="s">
        <v>300</v>
      </c>
      <c r="B161" s="150" t="s">
        <v>323</v>
      </c>
      <c r="C161" s="155"/>
      <c r="D161" s="147"/>
      <c r="E161" s="481"/>
      <c r="F161" s="148"/>
      <c r="G161" s="141"/>
      <c r="H161" s="395"/>
      <c r="I161" s="144"/>
      <c r="J161" s="415">
        <f>Respondents!E25</f>
        <v>0</v>
      </c>
      <c r="K161" s="211">
        <f>Respondents!E12</f>
        <v>0</v>
      </c>
      <c r="L161" s="211">
        <f>Respondents!E12</f>
        <v>0</v>
      </c>
      <c r="M161" s="211">
        <f>Respondents!E12</f>
        <v>0</v>
      </c>
      <c r="N161" s="388"/>
    </row>
    <row r="162" spans="1:18" ht="30" x14ac:dyDescent="0.25">
      <c r="A162" s="157" t="s">
        <v>301</v>
      </c>
      <c r="B162" s="229" t="s">
        <v>344</v>
      </c>
      <c r="C162" s="142"/>
      <c r="D162" s="142"/>
      <c r="E162" s="475"/>
      <c r="F162" s="142"/>
      <c r="G162" s="142"/>
      <c r="H162" s="396"/>
      <c r="I162" s="230"/>
      <c r="J162" s="397">
        <f>J160*J161</f>
        <v>0</v>
      </c>
      <c r="K162" s="397">
        <f t="shared" ref="K162:M162" si="103">K160*K161</f>
        <v>0</v>
      </c>
      <c r="L162" s="397">
        <f t="shared" si="103"/>
        <v>0</v>
      </c>
      <c r="M162" s="397">
        <f t="shared" si="103"/>
        <v>0</v>
      </c>
      <c r="N162" s="388"/>
    </row>
    <row r="163" spans="1:18" ht="32.25" x14ac:dyDescent="0.4">
      <c r="A163" t="s">
        <v>303</v>
      </c>
      <c r="B163" s="228" t="s">
        <v>348</v>
      </c>
      <c r="I163" s="144"/>
      <c r="M163" s="399">
        <f>SUM(J162:N162)</f>
        <v>0</v>
      </c>
      <c r="N163" s="388"/>
    </row>
    <row r="164" spans="1:18" ht="17.25" x14ac:dyDescent="0.4">
      <c r="A164" s="232"/>
      <c r="B164" s="233"/>
      <c r="C164" s="234"/>
      <c r="D164" s="234"/>
      <c r="E164" s="486"/>
      <c r="F164" s="234"/>
      <c r="G164" s="234"/>
      <c r="H164" s="410"/>
      <c r="I164" s="235"/>
      <c r="J164" s="410"/>
      <c r="K164" s="410"/>
      <c r="L164" s="410"/>
      <c r="M164" s="403"/>
      <c r="N164" s="411"/>
      <c r="O164" s="232"/>
      <c r="P164" s="232"/>
      <c r="Q164" s="232"/>
      <c r="R164" s="232"/>
    </row>
    <row r="165" spans="1:18" x14ac:dyDescent="0.25">
      <c r="A165" s="578" t="s">
        <v>349</v>
      </c>
      <c r="B165" s="578"/>
      <c r="C165" s="578"/>
      <c r="D165" s="578"/>
      <c r="E165" s="578"/>
      <c r="F165" s="578"/>
      <c r="G165" s="578"/>
      <c r="H165" s="578"/>
      <c r="I165" s="578"/>
      <c r="J165" s="577" t="s">
        <v>287</v>
      </c>
      <c r="K165" s="577"/>
      <c r="L165" s="577"/>
      <c r="M165" s="577"/>
      <c r="N165" s="577"/>
    </row>
    <row r="166" spans="1:18" ht="45" x14ac:dyDescent="0.25">
      <c r="A166" s="132" t="s">
        <v>288</v>
      </c>
      <c r="B166" s="132" t="s">
        <v>109</v>
      </c>
      <c r="C166" s="132" t="s">
        <v>110</v>
      </c>
      <c r="D166" s="132" t="s">
        <v>111</v>
      </c>
      <c r="E166" s="480" t="s">
        <v>289</v>
      </c>
      <c r="F166" s="132" t="s">
        <v>290</v>
      </c>
      <c r="G166" s="132" t="s">
        <v>291</v>
      </c>
      <c r="H166" s="132" t="s">
        <v>292</v>
      </c>
      <c r="I166" s="132" t="s">
        <v>293</v>
      </c>
      <c r="J166" s="132" t="s">
        <v>118</v>
      </c>
      <c r="K166" s="132" t="s">
        <v>119</v>
      </c>
      <c r="L166" s="132" t="s">
        <v>120</v>
      </c>
      <c r="M166" s="132" t="s">
        <v>121</v>
      </c>
      <c r="N166" s="132" t="s">
        <v>122</v>
      </c>
    </row>
    <row r="167" spans="1:18" ht="30" x14ac:dyDescent="0.25">
      <c r="A167" t="s">
        <v>294</v>
      </c>
      <c r="B167" s="97" t="str">
        <f>'Reporting Burden by Program'!A52</f>
        <v>Clean Ports Supplemental Application Template</v>
      </c>
      <c r="C167" s="97" t="str">
        <f>'Reporting Burden by Program'!B52</f>
        <v>5900-679</v>
      </c>
      <c r="D167" s="97" t="str">
        <f>'Reporting Burden by Program'!C52</f>
        <v>Required</v>
      </c>
      <c r="E167" s="487">
        <f>'Reporting Burden by Program'!D52</f>
        <v>1</v>
      </c>
      <c r="F167" s="425">
        <f>'Reporting Burden by Program'!E52</f>
        <v>2.15</v>
      </c>
      <c r="G167" s="425">
        <f>'Reporting Burden by Program'!F52</f>
        <v>6.1</v>
      </c>
      <c r="H167" s="426">
        <f>'Reporting Burden by Program'!G52</f>
        <v>4.2</v>
      </c>
      <c r="I167" s="426" t="str">
        <f>'Reporting Burden by Program'!I52</f>
        <v>2.2 - 6.1</v>
      </c>
      <c r="J167" s="426">
        <f>'Reporting Burden by Program'!J52</f>
        <v>4.2</v>
      </c>
      <c r="K167" s="426">
        <f>'Reporting Burden by Program'!K52</f>
        <v>0</v>
      </c>
      <c r="L167" s="426">
        <f>'Reporting Burden by Program'!L52</f>
        <v>0</v>
      </c>
      <c r="M167" s="426">
        <f>'Reporting Burden by Program'!M52</f>
        <v>0</v>
      </c>
      <c r="N167" s="426">
        <f>'Reporting Burden by Program'!N52</f>
        <v>0</v>
      </c>
    </row>
    <row r="168" spans="1:18" ht="30" x14ac:dyDescent="0.25">
      <c r="A168" t="s">
        <v>295</v>
      </c>
      <c r="B168" s="97" t="str">
        <f>'Reporting Burden by Program'!A53</f>
        <v>Clean Ports Program Scrappage Evidence Statement</v>
      </c>
      <c r="C168" s="97" t="str">
        <f>'Reporting Burden by Program'!B53</f>
        <v>5900-684</v>
      </c>
      <c r="D168" s="97" t="str">
        <f>'Reporting Burden by Program'!C53</f>
        <v>Required</v>
      </c>
      <c r="E168" s="487">
        <f>'Reporting Burden by Program'!D53</f>
        <v>1</v>
      </c>
      <c r="F168" s="427">
        <f>'Reporting Burden by Program'!E53</f>
        <v>1.5</v>
      </c>
      <c r="G168" s="427">
        <f>'Reporting Burden by Program'!F53</f>
        <v>12</v>
      </c>
      <c r="H168" s="428">
        <f>'Reporting Burden by Program'!G53</f>
        <v>6.75</v>
      </c>
      <c r="I168" s="428" t="str">
        <f>'Reporting Burden by Program'!I53</f>
        <v>1.5 - 12</v>
      </c>
      <c r="J168" s="428">
        <f>'Reporting Burden by Program'!J53</f>
        <v>0</v>
      </c>
      <c r="K168" s="428">
        <f>'Reporting Burden by Program'!K53</f>
        <v>6.75</v>
      </c>
      <c r="L168" s="428">
        <f>'Reporting Burden by Program'!L53</f>
        <v>0</v>
      </c>
      <c r="M168" s="428">
        <f>'Reporting Burden by Program'!M53</f>
        <v>0</v>
      </c>
      <c r="N168" s="428">
        <f>'Reporting Burden by Program'!N53</f>
        <v>0</v>
      </c>
    </row>
    <row r="169" spans="1:18" x14ac:dyDescent="0.25">
      <c r="A169" t="s">
        <v>296</v>
      </c>
      <c r="B169" s="97" t="str">
        <f>'Reporting Burden by Program'!A54</f>
        <v>Utility Partnership Agreement</v>
      </c>
      <c r="C169" s="97" t="str">
        <f>'Reporting Burden by Program'!B54</f>
        <v>5900-685</v>
      </c>
      <c r="D169" s="97" t="str">
        <f>'Reporting Burden by Program'!C54</f>
        <v>Optional</v>
      </c>
      <c r="E169" s="487">
        <f>'Reporting Burden by Program'!D54</f>
        <v>0.5</v>
      </c>
      <c r="F169" s="427">
        <f>'Reporting Burden by Program'!E54</f>
        <v>1.5</v>
      </c>
      <c r="G169" s="427">
        <f>'Reporting Burden by Program'!F54</f>
        <v>6</v>
      </c>
      <c r="H169" s="428">
        <f>'Reporting Burden by Program'!G54</f>
        <v>3.75</v>
      </c>
      <c r="I169" s="428" t="str">
        <f>'Reporting Burden by Program'!I54</f>
        <v>1.5 - 6</v>
      </c>
      <c r="J169" s="428">
        <f>'Reporting Burden by Program'!J54</f>
        <v>1.5</v>
      </c>
      <c r="K169" s="428">
        <f>'Reporting Burden by Program'!K54</f>
        <v>3.75</v>
      </c>
      <c r="L169" s="428">
        <f>'Reporting Burden by Program'!L54</f>
        <v>0</v>
      </c>
      <c r="M169" s="428">
        <f>'Reporting Burden by Program'!M54</f>
        <v>0</v>
      </c>
      <c r="N169" s="428">
        <f>'Reporting Burden by Program'!N54</f>
        <v>0</v>
      </c>
    </row>
    <row r="170" spans="1:18" ht="30" x14ac:dyDescent="0.25">
      <c r="A170" t="s">
        <v>297</v>
      </c>
      <c r="B170" s="97" t="str">
        <f>'Reporting Burden by Program'!A55</f>
        <v>Clean Ports Zero-Emission Technology Project Reporting Template</v>
      </c>
      <c r="C170" s="97" t="str">
        <f>'Reporting Burden by Program'!B55</f>
        <v>TBA</v>
      </c>
      <c r="D170" s="97" t="str">
        <f>'Reporting Burden by Program'!C55</f>
        <v>Required</v>
      </c>
      <c r="E170" s="487">
        <f>'Reporting Burden by Program'!D55</f>
        <v>1</v>
      </c>
      <c r="F170" s="427">
        <f>'Reporting Burden by Program'!E55</f>
        <v>22.441666666666674</v>
      </c>
      <c r="G170" s="427">
        <f>'Reporting Burden by Program'!F55</f>
        <v>29.616666666666667</v>
      </c>
      <c r="H170" s="428">
        <f>'Reporting Burden by Program'!G55</f>
        <v>26.029166666666665</v>
      </c>
      <c r="I170" s="428" t="str">
        <f>'Reporting Burden by Program'!I55</f>
        <v>22.4 - 29.6</v>
      </c>
      <c r="J170" s="428">
        <f>'Reporting Burden by Program'!J55</f>
        <v>0</v>
      </c>
      <c r="K170" s="428">
        <f>'Reporting Burden by Program'!K55</f>
        <v>15.929166666666664</v>
      </c>
      <c r="L170" s="428">
        <f>'Reporting Burden by Program'!L55</f>
        <v>2.7</v>
      </c>
      <c r="M170" s="428">
        <f>'Reporting Burden by Program'!M55</f>
        <v>2.7</v>
      </c>
      <c r="N170" s="428">
        <f>'Reporting Burden by Program'!N55</f>
        <v>4.7</v>
      </c>
    </row>
    <row r="171" spans="1:18" ht="30" x14ac:dyDescent="0.25">
      <c r="A171" t="s">
        <v>298</v>
      </c>
      <c r="B171" s="97" t="str">
        <f>'Reporting Burden by Program'!A56</f>
        <v>Clean Ports Program Deployment Evidence Form</v>
      </c>
      <c r="C171" s="97" t="str">
        <f>'Reporting Burden by Program'!B56</f>
        <v>TBA</v>
      </c>
      <c r="D171" s="97" t="str">
        <f>'Reporting Burden by Program'!C56</f>
        <v>Required</v>
      </c>
      <c r="E171" s="487">
        <f>'Reporting Burden by Program'!D56</f>
        <v>1</v>
      </c>
      <c r="F171" s="427">
        <f>'Reporting Burden by Program'!E56</f>
        <v>1.5</v>
      </c>
      <c r="G171" s="427">
        <f>'Reporting Burden by Program'!F56</f>
        <v>12</v>
      </c>
      <c r="H171" s="428">
        <f>'Reporting Burden by Program'!G56</f>
        <v>6.75</v>
      </c>
      <c r="I171" s="428" t="str">
        <f>'Reporting Burden by Program'!I56</f>
        <v>1.5 - 12</v>
      </c>
      <c r="J171" s="428">
        <f>'Reporting Burden by Program'!J56</f>
        <v>0</v>
      </c>
      <c r="K171" s="428">
        <f>'Reporting Burden by Program'!K56</f>
        <v>0</v>
      </c>
      <c r="L171" s="428">
        <f>'Reporting Burden by Program'!L56</f>
        <v>0</v>
      </c>
      <c r="M171" s="428">
        <f>'Reporting Burden by Program'!M56</f>
        <v>0</v>
      </c>
      <c r="N171" s="428">
        <f>'Reporting Burden by Program'!N56</f>
        <v>6.75</v>
      </c>
    </row>
    <row r="172" spans="1:18" ht="30" x14ac:dyDescent="0.25">
      <c r="A172" s="148" t="s">
        <v>299</v>
      </c>
      <c r="B172" s="97" t="str">
        <f>'Reporting Burden by Program'!A57</f>
        <v>Clean Ports Program Scrappage Eligibility Statement</v>
      </c>
      <c r="C172" s="97" t="str">
        <f>'Reporting Burden by Program'!B57</f>
        <v>TBA</v>
      </c>
      <c r="D172" s="97" t="str">
        <f>'Reporting Burden by Program'!C57</f>
        <v>Required</v>
      </c>
      <c r="E172" s="487">
        <f>'Reporting Burden by Program'!D57</f>
        <v>1</v>
      </c>
      <c r="F172" s="427">
        <f>'Reporting Burden by Program'!E57</f>
        <v>1.5</v>
      </c>
      <c r="G172" s="427">
        <f>'Reporting Burden by Program'!F57</f>
        <v>12</v>
      </c>
      <c r="H172" s="428">
        <f>'Reporting Burden by Program'!G57</f>
        <v>6.75</v>
      </c>
      <c r="I172" s="428" t="str">
        <f>'Reporting Burden by Program'!I57</f>
        <v>1.5 - 12</v>
      </c>
      <c r="J172" s="428">
        <f>'Reporting Burden by Program'!J57</f>
        <v>0</v>
      </c>
      <c r="K172" s="428">
        <f>'Reporting Burden by Program'!K57</f>
        <v>1.6875</v>
      </c>
      <c r="L172" s="428">
        <f>'Reporting Burden by Program'!L57</f>
        <v>1.6875</v>
      </c>
      <c r="M172" s="428">
        <f>'Reporting Burden by Program'!M57</f>
        <v>1.6875</v>
      </c>
      <c r="N172" s="428">
        <f>'Reporting Burden by Program'!N57</f>
        <v>1.6875</v>
      </c>
    </row>
    <row r="173" spans="1:18" ht="30" x14ac:dyDescent="0.25">
      <c r="A173" s="158" t="s">
        <v>300</v>
      </c>
      <c r="B173" s="97" t="str">
        <f>'Reporting Burden by Program'!A58</f>
        <v>OTAQ Funding Program Recipient Story Collection Form</v>
      </c>
      <c r="C173" s="97" t="str">
        <f>'Reporting Burden by Program'!B58</f>
        <v>TBA</v>
      </c>
      <c r="D173" s="97" t="str">
        <f>'Reporting Burden by Program'!C58</f>
        <v>Optional</v>
      </c>
      <c r="E173" s="487">
        <f>'Reporting Burden by Program'!D58</f>
        <v>0.05</v>
      </c>
      <c r="F173" s="427">
        <f>'Reporting Burden by Program'!E58</f>
        <v>1.5</v>
      </c>
      <c r="G173" s="427">
        <f>'Reporting Burden by Program'!F58</f>
        <v>3</v>
      </c>
      <c r="H173" s="428">
        <f>'Reporting Burden by Program'!G58</f>
        <v>2.25</v>
      </c>
      <c r="I173" s="428" t="str">
        <f>'Reporting Burden by Program'!I58</f>
        <v>1.5 - 3</v>
      </c>
      <c r="J173" s="428">
        <f>'Reporting Burden by Program'!J58</f>
        <v>0</v>
      </c>
      <c r="K173" s="428">
        <f>'Reporting Burden by Program'!K58</f>
        <v>0</v>
      </c>
      <c r="L173" s="428">
        <f>'Reporting Burden by Program'!L58</f>
        <v>0</v>
      </c>
      <c r="M173" s="428">
        <f>'Reporting Burden by Program'!M58</f>
        <v>0</v>
      </c>
      <c r="N173" s="428">
        <f>'Reporting Burden by Program'!N58</f>
        <v>2.25</v>
      </c>
    </row>
    <row r="174" spans="1:18" ht="30" x14ac:dyDescent="0.25">
      <c r="A174" s="462" t="s">
        <v>301</v>
      </c>
      <c r="B174" s="133" t="str">
        <f>'Reporting Burden by Program'!A59</f>
        <v>BABA Waiver Request (non-form information collection)</v>
      </c>
      <c r="C174" s="133" t="str">
        <f>'Reporting Burden by Program'!B59</f>
        <v>N/A</v>
      </c>
      <c r="D174" s="133" t="str">
        <f>'Reporting Burden by Program'!C59</f>
        <v>Optional</v>
      </c>
      <c r="E174" s="488">
        <f>'Reporting Burden by Program'!D59</f>
        <v>0.6</v>
      </c>
      <c r="F174" s="134">
        <f>'Reporting Burden by Program'!E59</f>
        <v>4</v>
      </c>
      <c r="G174" s="134">
        <f>'Reporting Burden by Program'!F59</f>
        <v>6</v>
      </c>
      <c r="H174" s="136">
        <f>'Reporting Burden by Program'!G59</f>
        <v>5</v>
      </c>
      <c r="I174" s="136" t="str">
        <f>'Reporting Burden by Program'!I59</f>
        <v>4 - 6</v>
      </c>
      <c r="J174" s="136">
        <f>'Reporting Burden by Program'!J59</f>
        <v>0</v>
      </c>
      <c r="K174" s="136">
        <f>'Reporting Burden by Program'!K59</f>
        <v>5</v>
      </c>
      <c r="L174" s="136">
        <f>'Reporting Burden by Program'!L59</f>
        <v>0</v>
      </c>
      <c r="M174" s="136">
        <f>'Reporting Burden by Program'!M59</f>
        <v>0</v>
      </c>
      <c r="N174" s="136">
        <f>'Reporting Burden by Program'!N59</f>
        <v>0</v>
      </c>
    </row>
    <row r="175" spans="1:18" ht="30" x14ac:dyDescent="0.25">
      <c r="A175" t="s">
        <v>303</v>
      </c>
      <c r="B175" s="17" t="s">
        <v>326</v>
      </c>
      <c r="C175" s="139"/>
      <c r="D175" s="99"/>
      <c r="E175" s="161"/>
      <c r="F175" s="99"/>
      <c r="G175" s="99"/>
      <c r="H175" s="390">
        <f>SUM(H167:H174)</f>
        <v>61.479166666666664</v>
      </c>
      <c r="I175" s="144" t="str">
        <f>_xlfn.TEXTJOIN("", TRUE, ROUND(SUM(F167:F174), 1), " - ", ROUND(SUM(G167:G174),1))</f>
        <v>36.1 - 86.7</v>
      </c>
      <c r="J175" s="390">
        <f>SUM(J167:J174)</f>
        <v>5.7</v>
      </c>
      <c r="K175" s="390">
        <f t="shared" ref="K175:N175" si="104">SUM(K167:K174)</f>
        <v>33.11666666666666</v>
      </c>
      <c r="L175" s="390">
        <f t="shared" si="104"/>
        <v>4.3875000000000002</v>
      </c>
      <c r="M175" s="390">
        <f t="shared" si="104"/>
        <v>4.3875000000000002</v>
      </c>
      <c r="N175" s="390">
        <f t="shared" si="104"/>
        <v>15.387499999999999</v>
      </c>
    </row>
    <row r="176" spans="1:18" ht="30" x14ac:dyDescent="0.25">
      <c r="A176" t="s">
        <v>301</v>
      </c>
      <c r="B176" s="17" t="s">
        <v>350</v>
      </c>
      <c r="C176" s="139"/>
      <c r="D176" s="99"/>
      <c r="E176" s="161"/>
      <c r="F176" s="99"/>
      <c r="G176" s="99"/>
      <c r="H176" s="390">
        <f>SUM(H167:H168,H170:H172)</f>
        <v>50.479166666666664</v>
      </c>
      <c r="I176" s="144" t="str">
        <f>_xlfn.TEXTJOIN("", TRUE, ROUND(SUM(F167:F168,F170:F172), 1), " - ", ROUND(SUM(G167:G168,G170:G172),1))</f>
        <v>29.1 - 71.7</v>
      </c>
      <c r="J176" s="390">
        <f>SUM(J167:J168,J170:J172)</f>
        <v>4.2</v>
      </c>
      <c r="K176" s="390">
        <f>SUM(K167:K168,K170:K172)</f>
        <v>24.366666666666664</v>
      </c>
      <c r="L176" s="390">
        <f t="shared" ref="L176:N176" si="105">SUM(L167:L168,L170:L172)</f>
        <v>4.3875000000000002</v>
      </c>
      <c r="M176" s="390">
        <f t="shared" si="105"/>
        <v>4.3875000000000002</v>
      </c>
      <c r="N176" s="390">
        <f t="shared" si="105"/>
        <v>13.137499999999999</v>
      </c>
    </row>
    <row r="177" spans="1:15" x14ac:dyDescent="0.25">
      <c r="A177" t="s">
        <v>303</v>
      </c>
      <c r="B177" s="1" t="s">
        <v>306</v>
      </c>
      <c r="C177" s="139"/>
      <c r="D177" s="99"/>
      <c r="E177" s="161"/>
      <c r="F177" s="99"/>
      <c r="G177" s="99"/>
      <c r="H177" s="390">
        <f>SUM(($E167*H167)+($E168*H168)+($E169*H169)+($E170*H170)+($E171*H171)+($E172*H172)+($E173*H173)+($E174*H174))</f>
        <v>55.466666666666661</v>
      </c>
      <c r="I177" s="144" t="str">
        <f>_xlfn.TEXTJOIN("", TRUE, ROUND(SUM(($E167*F167)+($E168*F168)+($E169*F169)+($E170*F170)+($E171*F171)+($E172*F172)+($E173*F173)+($E174*F174)), 1), " - ",
ROUND(SUM(($E167*G167)+($E168*G168)+($E169*G169)+($E170*G170)+($E171*G171)+($E172*G172)+($E173*G173)+($E174*G174)),1))</f>
        <v>32.3 - 78.5</v>
      </c>
      <c r="J177" s="390">
        <f>SUM(($E167*J167)+($E168*J168)+($E169*J169)+($E170*J170)+($E171*J171)+($E172*J172)+($E173*J173)+($E174*J174))</f>
        <v>4.95</v>
      </c>
      <c r="K177" s="390">
        <f t="shared" ref="K177:N177" si="106">SUM(($E167*K167)+($E168*K168)+($E169*K169)+($E170*K170)+($E171*K171)+($E172*K172)+($E173*K173)+($E174*K174))</f>
        <v>29.241666666666664</v>
      </c>
      <c r="L177" s="390">
        <f t="shared" si="106"/>
        <v>4.3875000000000002</v>
      </c>
      <c r="M177" s="390">
        <f t="shared" si="106"/>
        <v>4.3875000000000002</v>
      </c>
      <c r="N177" s="390">
        <f t="shared" si="106"/>
        <v>13.25</v>
      </c>
    </row>
    <row r="179" spans="1:15" x14ac:dyDescent="0.25">
      <c r="A179" s="578" t="s">
        <v>351</v>
      </c>
      <c r="B179" s="578"/>
      <c r="C179" s="578"/>
      <c r="D179" s="578"/>
      <c r="E179" s="578"/>
      <c r="F179" s="578"/>
      <c r="G179" s="578"/>
      <c r="H179" s="578"/>
      <c r="I179" s="578"/>
      <c r="J179" s="576" t="s">
        <v>308</v>
      </c>
      <c r="K179" s="576"/>
      <c r="L179" s="576"/>
      <c r="M179" s="576"/>
      <c r="N179" s="576"/>
    </row>
    <row r="180" spans="1:15" ht="45" x14ac:dyDescent="0.25">
      <c r="A180" s="132" t="s">
        <v>288</v>
      </c>
      <c r="B180" s="132" t="s">
        <v>109</v>
      </c>
      <c r="C180" s="132" t="s">
        <v>110</v>
      </c>
      <c r="D180" s="132" t="s">
        <v>111</v>
      </c>
      <c r="E180" s="480" t="s">
        <v>289</v>
      </c>
      <c r="F180" s="132" t="s">
        <v>309</v>
      </c>
      <c r="G180" s="132" t="s">
        <v>310</v>
      </c>
      <c r="H180" s="132" t="s">
        <v>311</v>
      </c>
      <c r="I180" s="132" t="s">
        <v>312</v>
      </c>
      <c r="J180" s="132" t="s">
        <v>118</v>
      </c>
      <c r="K180" s="132" t="s">
        <v>119</v>
      </c>
      <c r="L180" s="132" t="s">
        <v>120</v>
      </c>
      <c r="M180" s="132" t="s">
        <v>121</v>
      </c>
      <c r="N180" s="132" t="s">
        <v>122</v>
      </c>
    </row>
    <row r="181" spans="1:15" ht="30" x14ac:dyDescent="0.25">
      <c r="A181" t="s">
        <v>294</v>
      </c>
      <c r="B181" s="97" t="str">
        <f t="shared" ref="B181:B188" si="107">B167</f>
        <v>Clean Ports Supplemental Application Template</v>
      </c>
      <c r="C181" s="97" t="str">
        <f t="shared" ref="C181:E181" si="108">C167</f>
        <v>5900-679</v>
      </c>
      <c r="D181" s="97" t="str">
        <f t="shared" si="108"/>
        <v>Required</v>
      </c>
      <c r="E181" s="487">
        <f t="shared" si="108"/>
        <v>1</v>
      </c>
      <c r="F181" s="468">
        <f>F167*Wages!$L$18</f>
        <v>136.62932717049921</v>
      </c>
      <c r="G181" s="468">
        <f>G167*Wages!$L$18</f>
        <v>387.64599801862568</v>
      </c>
      <c r="H181" s="430">
        <f>H167*Wages!$L$18</f>
        <v>266.9038019144636</v>
      </c>
      <c r="I181" s="306" t="str">
        <f>_xlfn.TEXTJOIN(" - ",TRUE,DOLLAR(ROUND(F181,1),0),DOLLAR(ROUND(G181,1),0))</f>
        <v>$137 - $388</v>
      </c>
      <c r="J181" s="430">
        <f>J167*Wages!$L$18</f>
        <v>266.9038019144636</v>
      </c>
      <c r="K181" s="430">
        <f>K167*Wages!$L$18</f>
        <v>0</v>
      </c>
      <c r="L181" s="430">
        <f>L167*Wages!$L$18</f>
        <v>0</v>
      </c>
      <c r="M181" s="430">
        <f>M167*Wages!$L$18</f>
        <v>0</v>
      </c>
      <c r="N181" s="430">
        <f>N167*Wages!$L$18</f>
        <v>0</v>
      </c>
    </row>
    <row r="182" spans="1:15" ht="30" x14ac:dyDescent="0.25">
      <c r="A182" t="s">
        <v>295</v>
      </c>
      <c r="B182" s="97" t="str">
        <f t="shared" si="107"/>
        <v>Clean Ports Program Scrappage Evidence Statement</v>
      </c>
      <c r="C182" s="97" t="str">
        <f t="shared" ref="C182:E188" si="109">C168</f>
        <v>5900-684</v>
      </c>
      <c r="D182" s="97" t="str">
        <f t="shared" si="109"/>
        <v>Required</v>
      </c>
      <c r="E182" s="487">
        <f t="shared" si="109"/>
        <v>1</v>
      </c>
      <c r="F182" s="468">
        <f>F168*Wages!$L$18</f>
        <v>95.322786398022714</v>
      </c>
      <c r="G182" s="468">
        <f>G168*Wages!$L$18</f>
        <v>762.58229118418171</v>
      </c>
      <c r="H182" s="430">
        <f>H168*Wages!$L$18</f>
        <v>428.9525387911022</v>
      </c>
      <c r="I182" s="306" t="str">
        <f t="shared" ref="I182:I188" si="110">_xlfn.TEXTJOIN(" - ",TRUE,DOLLAR(ROUND(F182,1),0),DOLLAR(ROUND(G182,1),0))</f>
        <v>$95 - $763</v>
      </c>
      <c r="J182" s="430">
        <f>J168*Wages!$L$18</f>
        <v>0</v>
      </c>
      <c r="K182" s="430">
        <f>K168*Wages!$L$18</f>
        <v>428.9525387911022</v>
      </c>
      <c r="L182" s="430">
        <f>L168*Wages!$L$18</f>
        <v>0</v>
      </c>
      <c r="M182" s="430">
        <f>M168*Wages!$L$18</f>
        <v>0</v>
      </c>
      <c r="N182" s="430">
        <f>N168*Wages!$L$18</f>
        <v>0</v>
      </c>
    </row>
    <row r="183" spans="1:15" x14ac:dyDescent="0.25">
      <c r="A183" t="s">
        <v>296</v>
      </c>
      <c r="B183" s="97" t="str">
        <f t="shared" si="107"/>
        <v>Utility Partnership Agreement</v>
      </c>
      <c r="C183" s="97" t="str">
        <f t="shared" si="109"/>
        <v>5900-685</v>
      </c>
      <c r="D183" s="97" t="str">
        <f t="shared" si="109"/>
        <v>Optional</v>
      </c>
      <c r="E183" s="487">
        <f t="shared" si="109"/>
        <v>0.5</v>
      </c>
      <c r="F183" s="468">
        <f>F169*Wages!$L$18</f>
        <v>95.322786398022714</v>
      </c>
      <c r="G183" s="468">
        <f>G169*Wages!$L$18</f>
        <v>381.29114559209086</v>
      </c>
      <c r="H183" s="430">
        <f>H169*Wages!$L$18</f>
        <v>238.30696599505677</v>
      </c>
      <c r="I183" s="306" t="str">
        <f t="shared" si="110"/>
        <v>$95 - $381</v>
      </c>
      <c r="J183" s="430">
        <f>J169*Wages!$L$18</f>
        <v>95.322786398022714</v>
      </c>
      <c r="K183" s="430">
        <f>K169*Wages!$L$18</f>
        <v>238.30696599505677</v>
      </c>
      <c r="L183" s="430">
        <f>L169*Wages!$L$18</f>
        <v>0</v>
      </c>
      <c r="M183" s="430">
        <f>M169*Wages!$L$18</f>
        <v>0</v>
      </c>
      <c r="N183" s="430">
        <f>N169*Wages!$L$18</f>
        <v>0</v>
      </c>
    </row>
    <row r="184" spans="1:15" ht="30" x14ac:dyDescent="0.25">
      <c r="A184" t="s">
        <v>297</v>
      </c>
      <c r="B184" s="97" t="str">
        <f t="shared" si="107"/>
        <v>Clean Ports Zero-Emission Technology Project Reporting Template</v>
      </c>
      <c r="C184" s="97" t="str">
        <f t="shared" si="109"/>
        <v>TBA</v>
      </c>
      <c r="D184" s="97" t="str">
        <f t="shared" si="109"/>
        <v>Required</v>
      </c>
      <c r="E184" s="487">
        <f t="shared" si="109"/>
        <v>1</v>
      </c>
      <c r="F184" s="468">
        <f>F170*Wages!$L$18</f>
        <v>1426.1347987215293</v>
      </c>
      <c r="G184" s="468">
        <f>G170*Wages!$L$18</f>
        <v>1882.095460325404</v>
      </c>
      <c r="H184" s="430">
        <f>H170*Wages!$L$18</f>
        <v>1654.1151295234663</v>
      </c>
      <c r="I184" s="306" t="str">
        <f t="shared" si="110"/>
        <v>$1,426 - $1,882</v>
      </c>
      <c r="J184" s="430">
        <f>J170*Wages!$L$18</f>
        <v>0</v>
      </c>
      <c r="K184" s="430">
        <f>K170*Wages!$L$18</f>
        <v>1012.2750344434465</v>
      </c>
      <c r="L184" s="430">
        <f>L170*Wages!$L$18</f>
        <v>171.58101551644089</v>
      </c>
      <c r="M184" s="430">
        <f>M170*Wages!$L$18</f>
        <v>171.58101551644089</v>
      </c>
      <c r="N184" s="430">
        <f>N170*Wages!$L$18</f>
        <v>298.67806404713787</v>
      </c>
    </row>
    <row r="185" spans="1:15" ht="30" x14ac:dyDescent="0.25">
      <c r="A185" t="s">
        <v>298</v>
      </c>
      <c r="B185" s="97" t="str">
        <f t="shared" si="107"/>
        <v>Clean Ports Program Deployment Evidence Form</v>
      </c>
      <c r="C185" s="97" t="str">
        <f t="shared" si="109"/>
        <v>TBA</v>
      </c>
      <c r="D185" s="97" t="str">
        <f t="shared" si="109"/>
        <v>Required</v>
      </c>
      <c r="E185" s="487">
        <f t="shared" si="109"/>
        <v>1</v>
      </c>
      <c r="F185" s="468">
        <f>F171*Wages!$L$18</f>
        <v>95.322786398022714</v>
      </c>
      <c r="G185" s="468">
        <f>G171*Wages!$L$18</f>
        <v>762.58229118418171</v>
      </c>
      <c r="H185" s="430">
        <f>H171*Wages!$L$18</f>
        <v>428.9525387911022</v>
      </c>
      <c r="I185" s="306" t="str">
        <f t="shared" si="110"/>
        <v>$95 - $763</v>
      </c>
      <c r="J185" s="430">
        <f>J171*Wages!$L$18</f>
        <v>0</v>
      </c>
      <c r="K185" s="430">
        <f>K171*Wages!$L$18</f>
        <v>0</v>
      </c>
      <c r="L185" s="430">
        <f>L171*Wages!$L$18</f>
        <v>0</v>
      </c>
      <c r="M185" s="430">
        <f>M171*Wages!$L$18</f>
        <v>0</v>
      </c>
      <c r="N185" s="430">
        <f>N171*Wages!$L$18</f>
        <v>428.9525387911022</v>
      </c>
    </row>
    <row r="186" spans="1:15" s="148" customFormat="1" ht="30" x14ac:dyDescent="0.25">
      <c r="A186" s="148" t="s">
        <v>299</v>
      </c>
      <c r="B186" s="469" t="str">
        <f t="shared" si="107"/>
        <v>Clean Ports Program Scrappage Eligibility Statement</v>
      </c>
      <c r="C186" s="469" t="str">
        <f t="shared" si="109"/>
        <v>TBA</v>
      </c>
      <c r="D186" s="97" t="str">
        <f t="shared" si="109"/>
        <v>Required</v>
      </c>
      <c r="E186" s="487">
        <f t="shared" si="109"/>
        <v>1</v>
      </c>
      <c r="F186" s="468">
        <f>F172*Wages!$L$18</f>
        <v>95.322786398022714</v>
      </c>
      <c r="G186" s="468">
        <f>G172*Wages!$L$18</f>
        <v>762.58229118418171</v>
      </c>
      <c r="H186" s="430">
        <f>H172*Wages!$L$18</f>
        <v>428.9525387911022</v>
      </c>
      <c r="I186" s="306" t="str">
        <f t="shared" si="110"/>
        <v>$95 - $763</v>
      </c>
      <c r="J186" s="430">
        <f>J172*Wages!$L$18</f>
        <v>0</v>
      </c>
      <c r="K186" s="430">
        <f>K172*Wages!$L$18</f>
        <v>107.23813469777555</v>
      </c>
      <c r="L186" s="430">
        <f>L172*Wages!$L$18</f>
        <v>107.23813469777555</v>
      </c>
      <c r="M186" s="430">
        <f>M172*Wages!$L$18</f>
        <v>107.23813469777555</v>
      </c>
      <c r="N186" s="430">
        <f>N172*Wages!$L$18</f>
        <v>107.23813469777555</v>
      </c>
    </row>
    <row r="187" spans="1:15" ht="30" x14ac:dyDescent="0.25">
      <c r="A187" s="158" t="s">
        <v>300</v>
      </c>
      <c r="B187" s="97" t="str">
        <f t="shared" si="107"/>
        <v>OTAQ Funding Program Recipient Story Collection Form</v>
      </c>
      <c r="C187" s="97" t="str">
        <f t="shared" si="109"/>
        <v>TBA</v>
      </c>
      <c r="D187" s="97" t="str">
        <f t="shared" si="109"/>
        <v>Optional</v>
      </c>
      <c r="E187" s="487">
        <f t="shared" si="109"/>
        <v>0.05</v>
      </c>
      <c r="F187" s="468">
        <f>F173*Wages!$L$18</f>
        <v>95.322786398022714</v>
      </c>
      <c r="G187" s="468">
        <f>G173*Wages!$L$18</f>
        <v>190.64557279604543</v>
      </c>
      <c r="H187" s="430">
        <f>H173*Wages!$L$18</f>
        <v>142.98417959703409</v>
      </c>
      <c r="I187" s="306" t="str">
        <f t="shared" si="110"/>
        <v>$95 - $191</v>
      </c>
      <c r="J187" s="430">
        <f>J173*Wages!$L$18</f>
        <v>0</v>
      </c>
      <c r="K187" s="430">
        <f>K173*Wages!$L$18</f>
        <v>0</v>
      </c>
      <c r="L187" s="430">
        <f>L173*Wages!$L$18</f>
        <v>0</v>
      </c>
      <c r="M187" s="430">
        <f>M173*Wages!$L$18</f>
        <v>0</v>
      </c>
      <c r="N187" s="430">
        <f>N173*Wages!$L$18</f>
        <v>142.98417959703409</v>
      </c>
    </row>
    <row r="188" spans="1:15" ht="30" x14ac:dyDescent="0.25">
      <c r="A188" s="462" t="s">
        <v>301</v>
      </c>
      <c r="B188" s="133" t="str">
        <f t="shared" si="107"/>
        <v>BABA Waiver Request (non-form information collection)</v>
      </c>
      <c r="C188" s="133" t="str">
        <f t="shared" si="109"/>
        <v>N/A</v>
      </c>
      <c r="D188" s="133" t="str">
        <f t="shared" si="109"/>
        <v>Optional</v>
      </c>
      <c r="E188" s="488">
        <f t="shared" si="109"/>
        <v>0.6</v>
      </c>
      <c r="F188" s="160">
        <f>F174*Wages!$L$18</f>
        <v>254.1940970613939</v>
      </c>
      <c r="G188" s="160">
        <f>G174*Wages!$L$18</f>
        <v>381.29114559209086</v>
      </c>
      <c r="H188" s="413">
        <f>H174*Wages!$L$18</f>
        <v>317.74262132674238</v>
      </c>
      <c r="I188" s="305" t="str">
        <f t="shared" si="110"/>
        <v>$254 - $381</v>
      </c>
      <c r="J188" s="413">
        <f>J174*Wages!$L$18</f>
        <v>0</v>
      </c>
      <c r="K188" s="413">
        <f>K174*Wages!$L$18</f>
        <v>317.74262132674238</v>
      </c>
      <c r="L188" s="413">
        <f>L174*Wages!$L$18</f>
        <v>0</v>
      </c>
      <c r="M188" s="413">
        <f>M174*Wages!$L$18</f>
        <v>0</v>
      </c>
      <c r="N188" s="413">
        <f>N174*Wages!$L$18</f>
        <v>0</v>
      </c>
    </row>
    <row r="189" spans="1:15" ht="30" x14ac:dyDescent="0.25">
      <c r="A189" t="s">
        <v>303</v>
      </c>
      <c r="B189" s="17" t="s">
        <v>352</v>
      </c>
      <c r="C189" s="139"/>
      <c r="D189" s="99"/>
      <c r="E189" s="161"/>
      <c r="H189" s="267">
        <f>SUM(H181:H188)</f>
        <v>3906.9103147300698</v>
      </c>
      <c r="I189" s="154" t="str">
        <f>_xlfn.TEXTJOIN(" - ",TRUE,DOLLAR(ROUND(SUM(F181:F188),1),0),DOLLAR(ROUND(SUM(G181:G188),1),0))</f>
        <v>$2,294 - $5,511</v>
      </c>
      <c r="J189" s="267">
        <f>SUM(J181:J188)</f>
        <v>362.22658831248634</v>
      </c>
      <c r="K189" s="267">
        <f t="shared" ref="K189:N189" si="111">SUM(K181:K188)</f>
        <v>2104.5152952541234</v>
      </c>
      <c r="L189" s="267">
        <f t="shared" si="111"/>
        <v>278.81915021421645</v>
      </c>
      <c r="M189" s="267">
        <f t="shared" si="111"/>
        <v>278.81915021421645</v>
      </c>
      <c r="N189" s="267">
        <f t="shared" si="111"/>
        <v>977.85291713304969</v>
      </c>
    </row>
    <row r="190" spans="1:15" ht="30" x14ac:dyDescent="0.25">
      <c r="A190" t="s">
        <v>305</v>
      </c>
      <c r="B190" s="17" t="s">
        <v>353</v>
      </c>
      <c r="C190" s="139"/>
      <c r="D190" s="99"/>
      <c r="E190" s="161"/>
      <c r="H190" s="267">
        <f>SUM(H181:H182, H184:H186)</f>
        <v>3207.8765478112364</v>
      </c>
      <c r="I190" s="154" t="str">
        <f>_xlfn.TEXTJOIN(" - ",TRUE,DOLLAR(ROUND(SUM(F181:F182,F184:F186),1),0),DOLLAR(ROUND(SUM(G181:G182,G184:G186),1),0))</f>
        <v>$1,849 - $4,558</v>
      </c>
      <c r="J190" s="267">
        <f t="shared" ref="J190:N190" si="112">SUM(J181:J182, J184:J186)</f>
        <v>266.9038019144636</v>
      </c>
      <c r="K190" s="267">
        <f t="shared" si="112"/>
        <v>1548.4657079323244</v>
      </c>
      <c r="L190" s="267">
        <f t="shared" si="112"/>
        <v>278.81915021421645</v>
      </c>
      <c r="M190" s="267">
        <f t="shared" si="112"/>
        <v>278.81915021421645</v>
      </c>
      <c r="N190" s="267">
        <f t="shared" si="112"/>
        <v>834.8687375360156</v>
      </c>
    </row>
    <row r="191" spans="1:15" ht="45" x14ac:dyDescent="0.25">
      <c r="A191" t="s">
        <v>316</v>
      </c>
      <c r="B191" s="17" t="s">
        <v>354</v>
      </c>
      <c r="C191" s="139"/>
      <c r="D191" s="99"/>
      <c r="E191" s="161"/>
      <c r="H191" s="267">
        <f>H177*Wages!$L$18</f>
        <v>3524.8248125846617</v>
      </c>
      <c r="I191" s="478"/>
      <c r="J191" s="267">
        <f>J177*Wages!$L$18</f>
        <v>314.56519511347494</v>
      </c>
      <c r="K191" s="267">
        <f>K177*Wages!$L$18</f>
        <v>1858.2647637258981</v>
      </c>
      <c r="L191" s="267">
        <f>L177*Wages!$L$18</f>
        <v>278.81915021421645</v>
      </c>
      <c r="M191" s="267">
        <f>M177*Wages!$L$18</f>
        <v>278.81915021421645</v>
      </c>
      <c r="N191" s="267">
        <f>N177*Wages!$L$18</f>
        <v>842.01794651586727</v>
      </c>
    </row>
    <row r="192" spans="1:15" ht="30" x14ac:dyDescent="0.25">
      <c r="A192" t="s">
        <v>318</v>
      </c>
      <c r="B192" s="150" t="s">
        <v>317</v>
      </c>
      <c r="H192" s="395"/>
      <c r="I192" s="149"/>
      <c r="J192" s="415">
        <f>SUM(Respondents!C26:D26)</f>
        <v>44</v>
      </c>
      <c r="K192" s="211">
        <f>SUM(Respondents!C13:D13)</f>
        <v>22</v>
      </c>
      <c r="L192" s="211">
        <f>SUM(Respondents!C13:D13)</f>
        <v>22</v>
      </c>
      <c r="M192" s="211">
        <f>SUM(Respondents!C13:D13)</f>
        <v>22</v>
      </c>
      <c r="N192" s="211">
        <f>SUM(Respondents!C13:D13)</f>
        <v>22</v>
      </c>
      <c r="O192" s="187"/>
    </row>
    <row r="193" spans="1:14" ht="30" x14ac:dyDescent="0.25">
      <c r="A193" s="157" t="s">
        <v>320</v>
      </c>
      <c r="B193" s="229" t="s">
        <v>355</v>
      </c>
      <c r="C193" s="191"/>
      <c r="D193" s="157"/>
      <c r="E193" s="490"/>
      <c r="F193" s="157"/>
      <c r="G193" s="157"/>
      <c r="H193" s="396"/>
      <c r="I193" s="230"/>
      <c r="J193" s="397">
        <f>J191*J192</f>
        <v>13840.868584992897</v>
      </c>
      <c r="K193" s="397">
        <f t="shared" ref="K193:N193" si="113">K191*K192</f>
        <v>40881.824801969757</v>
      </c>
      <c r="L193" s="397">
        <f t="shared" si="113"/>
        <v>6134.0213047127618</v>
      </c>
      <c r="M193" s="397">
        <f t="shared" si="113"/>
        <v>6134.0213047127618</v>
      </c>
      <c r="N193" s="397">
        <f t="shared" si="113"/>
        <v>18524.394823349081</v>
      </c>
    </row>
    <row r="194" spans="1:14" ht="30" x14ac:dyDescent="0.4">
      <c r="A194" t="s">
        <v>356</v>
      </c>
      <c r="B194" s="17" t="s">
        <v>357</v>
      </c>
      <c r="H194" s="390"/>
      <c r="I194" s="144"/>
      <c r="J194" s="398"/>
      <c r="K194" s="398"/>
      <c r="L194" s="398"/>
      <c r="M194" s="402"/>
      <c r="N194" s="399">
        <f>SUM(J193:N193)</f>
        <v>85515.130819737256</v>
      </c>
    </row>
    <row r="196" spans="1:14" x14ac:dyDescent="0.25">
      <c r="A196" s="578" t="s">
        <v>358</v>
      </c>
      <c r="B196" s="578"/>
      <c r="C196" s="578"/>
      <c r="D196" s="578"/>
      <c r="E196" s="578"/>
      <c r="F196" s="578"/>
      <c r="G196" s="578"/>
      <c r="H196" s="578"/>
      <c r="I196" s="578"/>
      <c r="J196" s="576" t="s">
        <v>308</v>
      </c>
      <c r="K196" s="576"/>
      <c r="L196" s="576"/>
      <c r="M196" s="576"/>
      <c r="N196" s="576"/>
    </row>
    <row r="197" spans="1:14" ht="45" x14ac:dyDescent="0.25">
      <c r="A197" s="132" t="s">
        <v>288</v>
      </c>
      <c r="B197" s="132" t="s">
        <v>109</v>
      </c>
      <c r="C197" s="132" t="s">
        <v>110</v>
      </c>
      <c r="D197" s="132" t="s">
        <v>111</v>
      </c>
      <c r="E197" s="480" t="s">
        <v>289</v>
      </c>
      <c r="F197" s="132" t="s">
        <v>309</v>
      </c>
      <c r="G197" s="132" t="s">
        <v>310</v>
      </c>
      <c r="H197" s="132" t="s">
        <v>311</v>
      </c>
      <c r="I197" s="132" t="s">
        <v>312</v>
      </c>
      <c r="J197" s="132" t="s">
        <v>118</v>
      </c>
      <c r="K197" s="132" t="s">
        <v>119</v>
      </c>
      <c r="L197" s="132" t="s">
        <v>120</v>
      </c>
      <c r="M197" s="132" t="s">
        <v>121</v>
      </c>
      <c r="N197" s="132" t="s">
        <v>122</v>
      </c>
    </row>
    <row r="198" spans="1:14" ht="30" x14ac:dyDescent="0.25">
      <c r="A198" t="s">
        <v>294</v>
      </c>
      <c r="B198" s="97" t="str">
        <f t="shared" ref="B198:B205" si="114">B167</f>
        <v>Clean Ports Supplemental Application Template</v>
      </c>
      <c r="C198" s="97" t="str">
        <f t="shared" ref="C198:E198" si="115">C167</f>
        <v>5900-679</v>
      </c>
      <c r="D198" s="97" t="str">
        <f t="shared" si="115"/>
        <v>Required</v>
      </c>
      <c r="E198" s="487">
        <f t="shared" si="115"/>
        <v>1</v>
      </c>
      <c r="F198" s="468">
        <f>F167*Wages!$L$19</f>
        <v>109.5227636388464</v>
      </c>
      <c r="G198" s="468">
        <f>G167*Wages!$L$19</f>
        <v>310.73900381254094</v>
      </c>
      <c r="H198" s="430">
        <f>H167*Wages!$L$19</f>
        <v>213.95144524797902</v>
      </c>
      <c r="I198" s="306" t="str">
        <f>_xlfn.TEXTJOIN(" - ",TRUE,DOLLAR(ROUND(F198,1),0),DOLLAR(ROUND(G198,1),0))</f>
        <v>$110 - $311</v>
      </c>
      <c r="J198" s="430">
        <f>J167*Wages!$L$19</f>
        <v>213.95144524797902</v>
      </c>
      <c r="K198" s="430">
        <f>K167*Wages!$L$19</f>
        <v>0</v>
      </c>
      <c r="L198" s="430">
        <f>L167*Wages!$L$19</f>
        <v>0</v>
      </c>
      <c r="M198" s="430">
        <f>M167*Wages!$L$19</f>
        <v>0</v>
      </c>
      <c r="N198" s="430">
        <f>N167*Wages!$L$19</f>
        <v>0</v>
      </c>
    </row>
    <row r="199" spans="1:14" ht="30" x14ac:dyDescent="0.25">
      <c r="A199" t="s">
        <v>295</v>
      </c>
      <c r="B199" s="97" t="str">
        <f t="shared" si="114"/>
        <v>Clean Ports Program Scrappage Evidence Statement</v>
      </c>
      <c r="C199" s="97" t="str">
        <f t="shared" ref="C199:E205" si="116">C168</f>
        <v>5900-684</v>
      </c>
      <c r="D199" s="97" t="str">
        <f t="shared" si="116"/>
        <v>Required</v>
      </c>
      <c r="E199" s="487">
        <f t="shared" si="116"/>
        <v>1</v>
      </c>
      <c r="F199" s="468">
        <f>F168*Wages!$L$19</f>
        <v>76.411230445706792</v>
      </c>
      <c r="G199" s="468">
        <f>G168*Wages!$L$19</f>
        <v>611.28984356565434</v>
      </c>
      <c r="H199" s="430">
        <f>H168*Wages!$L$19</f>
        <v>343.85053700568056</v>
      </c>
      <c r="I199" s="306" t="str">
        <f t="shared" ref="I199:I203" si="117">_xlfn.TEXTJOIN(" - ",TRUE,DOLLAR(ROUND(F199,1),0),DOLLAR(ROUND(G199,1),0))</f>
        <v>$76 - $611</v>
      </c>
      <c r="J199" s="430">
        <f>J168*Wages!$L$19</f>
        <v>0</v>
      </c>
      <c r="K199" s="430">
        <f>K168*Wages!$L$19</f>
        <v>343.85053700568056</v>
      </c>
      <c r="L199" s="430">
        <f>L168*Wages!$L$19</f>
        <v>0</v>
      </c>
      <c r="M199" s="430">
        <f>M168*Wages!$L$19</f>
        <v>0</v>
      </c>
      <c r="N199" s="430">
        <f>N168*Wages!$L$19</f>
        <v>0</v>
      </c>
    </row>
    <row r="200" spans="1:14" x14ac:dyDescent="0.25">
      <c r="A200" t="s">
        <v>296</v>
      </c>
      <c r="B200" s="97" t="str">
        <f t="shared" si="114"/>
        <v>Utility Partnership Agreement</v>
      </c>
      <c r="C200" s="97" t="str">
        <f t="shared" si="116"/>
        <v>5900-685</v>
      </c>
      <c r="D200" s="97" t="str">
        <f t="shared" si="116"/>
        <v>Optional</v>
      </c>
      <c r="E200" s="487">
        <f t="shared" si="116"/>
        <v>0.5</v>
      </c>
      <c r="F200" s="468">
        <f>F169*Wages!$L$19</f>
        <v>76.411230445706792</v>
      </c>
      <c r="G200" s="468">
        <f>G169*Wages!$L$19</f>
        <v>305.64492178282717</v>
      </c>
      <c r="H200" s="430">
        <f>H169*Wages!$L$19</f>
        <v>191.02807611426698</v>
      </c>
      <c r="I200" s="306" t="str">
        <f t="shared" si="117"/>
        <v>$76 - $306</v>
      </c>
      <c r="J200" s="430">
        <f>J169*Wages!$L$19</f>
        <v>76.411230445706792</v>
      </c>
      <c r="K200" s="430">
        <f>K169*Wages!$L$19</f>
        <v>191.02807611426698</v>
      </c>
      <c r="L200" s="430">
        <f>L169*Wages!$L$19</f>
        <v>0</v>
      </c>
      <c r="M200" s="430">
        <f>M169*Wages!$L$19</f>
        <v>0</v>
      </c>
      <c r="N200" s="430">
        <f>N169*Wages!$L$19</f>
        <v>0</v>
      </c>
    </row>
    <row r="201" spans="1:14" ht="30" x14ac:dyDescent="0.25">
      <c r="A201" t="s">
        <v>297</v>
      </c>
      <c r="B201" s="97" t="str">
        <f t="shared" si="114"/>
        <v>Clean Ports Zero-Emission Technology Project Reporting Template</v>
      </c>
      <c r="C201" s="97" t="str">
        <f t="shared" si="116"/>
        <v>TBA</v>
      </c>
      <c r="D201" s="97" t="str">
        <f t="shared" si="116"/>
        <v>Required</v>
      </c>
      <c r="E201" s="487">
        <f t="shared" si="116"/>
        <v>1</v>
      </c>
      <c r="F201" s="468">
        <f>F170*Wages!$L$19</f>
        <v>1143.1969088349358</v>
      </c>
      <c r="G201" s="468">
        <f>G170*Wages!$L$19</f>
        <v>1508.6972944668996</v>
      </c>
      <c r="H201" s="430">
        <f>H170*Wages!$L$19</f>
        <v>1325.9471016509176</v>
      </c>
      <c r="I201" s="306" t="str">
        <f t="shared" si="117"/>
        <v>$1,143 - $1,509</v>
      </c>
      <c r="J201" s="430">
        <f>J170*Wages!$L$19</f>
        <v>0</v>
      </c>
      <c r="K201" s="430">
        <f>K170*Wages!$L$19</f>
        <v>811.44481664982504</v>
      </c>
      <c r="L201" s="430">
        <f>L170*Wages!$L$19</f>
        <v>137.54021480227223</v>
      </c>
      <c r="M201" s="430">
        <f>M170*Wages!$L$19</f>
        <v>137.54021480227223</v>
      </c>
      <c r="N201" s="430">
        <f>N170*Wages!$L$19</f>
        <v>239.42185539654795</v>
      </c>
    </row>
    <row r="202" spans="1:14" ht="30" x14ac:dyDescent="0.25">
      <c r="A202" t="s">
        <v>298</v>
      </c>
      <c r="B202" s="97" t="str">
        <f t="shared" si="114"/>
        <v>Clean Ports Program Deployment Evidence Form</v>
      </c>
      <c r="C202" s="97" t="str">
        <f t="shared" si="116"/>
        <v>TBA</v>
      </c>
      <c r="D202" s="97" t="str">
        <f t="shared" si="116"/>
        <v>Required</v>
      </c>
      <c r="E202" s="487">
        <f t="shared" si="116"/>
        <v>1</v>
      </c>
      <c r="F202" s="468">
        <f>F171*Wages!$L$19</f>
        <v>76.411230445706792</v>
      </c>
      <c r="G202" s="468">
        <f>G171*Wages!$L$19</f>
        <v>611.28984356565434</v>
      </c>
      <c r="H202" s="430">
        <f>H171*Wages!$L$19</f>
        <v>343.85053700568056</v>
      </c>
      <c r="I202" s="306" t="str">
        <f t="shared" si="117"/>
        <v>$76 - $611</v>
      </c>
      <c r="J202" s="430">
        <f>J171*Wages!$L$19</f>
        <v>0</v>
      </c>
      <c r="K202" s="430">
        <f>K171*Wages!$L$19</f>
        <v>0</v>
      </c>
      <c r="L202" s="430">
        <f>L171*Wages!$L$19</f>
        <v>0</v>
      </c>
      <c r="M202" s="430">
        <f>M171*Wages!$L$19</f>
        <v>0</v>
      </c>
      <c r="N202" s="430">
        <f>N171*Wages!$L$19</f>
        <v>343.85053700568056</v>
      </c>
    </row>
    <row r="203" spans="1:14" ht="30" x14ac:dyDescent="0.25">
      <c r="A203" s="148" t="s">
        <v>299</v>
      </c>
      <c r="B203" s="97" t="str">
        <f t="shared" si="114"/>
        <v>Clean Ports Program Scrappage Eligibility Statement</v>
      </c>
      <c r="C203" s="97" t="str">
        <f t="shared" si="116"/>
        <v>TBA</v>
      </c>
      <c r="D203" s="97" t="str">
        <f t="shared" si="116"/>
        <v>Required</v>
      </c>
      <c r="E203" s="487">
        <f t="shared" si="116"/>
        <v>1</v>
      </c>
      <c r="F203" s="468">
        <f>F172*Wages!$L$19</f>
        <v>76.411230445706792</v>
      </c>
      <c r="G203" s="468">
        <f>G172*Wages!$L$19</f>
        <v>611.28984356565434</v>
      </c>
      <c r="H203" s="430">
        <f>H172*Wages!$L$19</f>
        <v>343.85053700568056</v>
      </c>
      <c r="I203" s="306" t="str">
        <f t="shared" si="117"/>
        <v>$76 - $611</v>
      </c>
      <c r="J203" s="430">
        <f>J172*Wages!$L$19</f>
        <v>0</v>
      </c>
      <c r="K203" s="430">
        <f>K172*Wages!$L$19</f>
        <v>85.962634251420141</v>
      </c>
      <c r="L203" s="430">
        <f>L172*Wages!$L$19</f>
        <v>85.962634251420141</v>
      </c>
      <c r="M203" s="430">
        <f>M172*Wages!$L$19</f>
        <v>85.962634251420141</v>
      </c>
      <c r="N203" s="430">
        <f>N172*Wages!$L$19</f>
        <v>85.962634251420141</v>
      </c>
    </row>
    <row r="204" spans="1:14" ht="30" x14ac:dyDescent="0.25">
      <c r="A204" s="158" t="s">
        <v>300</v>
      </c>
      <c r="B204" s="97" t="str">
        <f t="shared" si="114"/>
        <v>OTAQ Funding Program Recipient Story Collection Form</v>
      </c>
      <c r="C204" s="97" t="str">
        <f t="shared" si="116"/>
        <v>TBA</v>
      </c>
      <c r="D204" s="97" t="str">
        <f t="shared" si="116"/>
        <v>Optional</v>
      </c>
      <c r="E204" s="487">
        <f t="shared" si="116"/>
        <v>0.05</v>
      </c>
      <c r="F204" s="468">
        <f>F173*Wages!$L$19</f>
        <v>76.411230445706792</v>
      </c>
      <c r="G204" s="468">
        <f>G173*Wages!$L$19</f>
        <v>152.82246089141358</v>
      </c>
      <c r="H204" s="430">
        <f>H173*Wages!$L$19</f>
        <v>114.61684566856019</v>
      </c>
      <c r="I204" s="306" t="str">
        <f>_xlfn.TEXTJOIN(" - ",TRUE,DOLLAR(ROUND(F204,1),0),DOLLAR(ROUND(G204,1),0))</f>
        <v>$76 - $153</v>
      </c>
      <c r="J204" s="430">
        <f>J173*Wages!$L$19</f>
        <v>0</v>
      </c>
      <c r="K204" s="430">
        <f>K173*Wages!$L$19</f>
        <v>0</v>
      </c>
      <c r="L204" s="430">
        <f>L173*Wages!$L$19</f>
        <v>0</v>
      </c>
      <c r="M204" s="430">
        <f>M173*Wages!$L$19</f>
        <v>0</v>
      </c>
      <c r="N204" s="430">
        <f>N173*Wages!$L$19</f>
        <v>114.61684566856019</v>
      </c>
    </row>
    <row r="205" spans="1:14" ht="30" x14ac:dyDescent="0.25">
      <c r="A205" s="462" t="s">
        <v>301</v>
      </c>
      <c r="B205" s="133" t="str">
        <f t="shared" si="114"/>
        <v>BABA Waiver Request (non-form information collection)</v>
      </c>
      <c r="C205" s="133" t="str">
        <f t="shared" si="116"/>
        <v>N/A</v>
      </c>
      <c r="D205" s="133" t="str">
        <f t="shared" si="116"/>
        <v>Optional</v>
      </c>
      <c r="E205" s="488">
        <f t="shared" si="116"/>
        <v>0.6</v>
      </c>
      <c r="F205" s="160">
        <f>F174*Wages!$L$19</f>
        <v>203.76328118855145</v>
      </c>
      <c r="G205" s="160">
        <f>G174*Wages!$L$19</f>
        <v>305.64492178282717</v>
      </c>
      <c r="H205" s="413">
        <f>H174*Wages!$L$19</f>
        <v>254.70410148568931</v>
      </c>
      <c r="I205" s="305" t="str">
        <f t="shared" ref="I205" si="118">_xlfn.TEXTJOIN(" - ",TRUE,DOLLAR(ROUND(F205,1),0),DOLLAR(ROUND(G205,1),0))</f>
        <v>$204 - $306</v>
      </c>
      <c r="J205" s="413">
        <f>J174*Wages!$L$19</f>
        <v>0</v>
      </c>
      <c r="K205" s="413">
        <f>K174*Wages!$L$19</f>
        <v>254.70410148568931</v>
      </c>
      <c r="L205" s="413">
        <f>L174*Wages!$L$19</f>
        <v>0</v>
      </c>
      <c r="M205" s="413">
        <f>M174*Wages!$L$19</f>
        <v>0</v>
      </c>
      <c r="N205" s="413">
        <f>N174*Wages!$L$19</f>
        <v>0</v>
      </c>
    </row>
    <row r="206" spans="1:14" ht="30" x14ac:dyDescent="0.25">
      <c r="A206" t="s">
        <v>303</v>
      </c>
      <c r="B206" s="17" t="s">
        <v>352</v>
      </c>
      <c r="H206" s="267">
        <f>SUM(H198:H205)</f>
        <v>3131.7991811844549</v>
      </c>
      <c r="I206" s="154" t="str">
        <f>_xlfn.TEXTJOIN(" - ",TRUE,DOLLAR(ROUND(SUM(F198:F205),1),0),DOLLAR(ROUND(SUM(G198:G205),1),0))</f>
        <v>$1,839 - $4,417</v>
      </c>
      <c r="J206" s="267">
        <f>SUM(J198:J205)</f>
        <v>290.36267569368579</v>
      </c>
      <c r="K206" s="267">
        <f t="shared" ref="K206:N206" si="119">SUM(K198:K205)</f>
        <v>1686.9901655068822</v>
      </c>
      <c r="L206" s="267">
        <f t="shared" si="119"/>
        <v>223.50284905369239</v>
      </c>
      <c r="M206" s="267">
        <f t="shared" si="119"/>
        <v>223.50284905369239</v>
      </c>
      <c r="N206" s="267">
        <f t="shared" si="119"/>
        <v>783.85187232220892</v>
      </c>
    </row>
    <row r="207" spans="1:14" ht="30" x14ac:dyDescent="0.25">
      <c r="A207" t="s">
        <v>305</v>
      </c>
      <c r="B207" s="17" t="s">
        <v>353</v>
      </c>
      <c r="H207" s="267">
        <f>SUM(H198:H199, H201:H203)</f>
        <v>2571.4501579159382</v>
      </c>
      <c r="I207" s="154" t="str">
        <f>_xlfn.TEXTJOIN(" - ",TRUE,DOLLAR(ROUND(SUM(F198:F199,F201:F203),1),0),DOLLAR(ROUND(SUM(G198:G199,G201:G203),1),0))</f>
        <v>$1,482 - $3,653</v>
      </c>
      <c r="J207" s="267">
        <f t="shared" ref="J207:N207" si="120">SUM(J198:J199, J201:J203)</f>
        <v>213.95144524797902</v>
      </c>
      <c r="K207" s="267">
        <f t="shared" si="120"/>
        <v>1241.2579879069258</v>
      </c>
      <c r="L207" s="267">
        <f t="shared" si="120"/>
        <v>223.50284905369239</v>
      </c>
      <c r="M207" s="267">
        <f t="shared" si="120"/>
        <v>223.50284905369239</v>
      </c>
      <c r="N207" s="267">
        <f t="shared" si="120"/>
        <v>669.23502665364867</v>
      </c>
    </row>
    <row r="208" spans="1:14" ht="45" x14ac:dyDescent="0.25">
      <c r="A208" t="s">
        <v>316</v>
      </c>
      <c r="B208" s="17" t="s">
        <v>354</v>
      </c>
      <c r="H208" s="267">
        <f>H177*Wages!$L$19</f>
        <v>2825.517499147913</v>
      </c>
      <c r="I208" s="478"/>
      <c r="J208" s="267">
        <f>J177*Wages!$L$19</f>
        <v>252.15706047083242</v>
      </c>
      <c r="K208" s="267">
        <f>K177*Wages!$L$19</f>
        <v>1489.5944868554727</v>
      </c>
      <c r="L208" s="267">
        <f>L177*Wages!$L$19</f>
        <v>223.50284905369239</v>
      </c>
      <c r="M208" s="267">
        <f>M177*Wages!$L$19</f>
        <v>223.50284905369239</v>
      </c>
      <c r="N208" s="267">
        <f>N177*Wages!$L$19</f>
        <v>674.96586893707672</v>
      </c>
    </row>
    <row r="209" spans="1:14" ht="30" x14ac:dyDescent="0.25">
      <c r="A209" t="s">
        <v>318</v>
      </c>
      <c r="B209" s="210" t="s">
        <v>323</v>
      </c>
      <c r="C209" s="231"/>
      <c r="D209" s="187"/>
      <c r="E209" s="491"/>
      <c r="F209" s="187"/>
      <c r="G209" s="187"/>
      <c r="H209" s="416"/>
      <c r="J209" s="415">
        <f>Respondents!E26</f>
        <v>6</v>
      </c>
      <c r="K209" s="211">
        <f>Respondents!E13</f>
        <v>3</v>
      </c>
      <c r="L209" s="211">
        <f>Respondents!E13</f>
        <v>3</v>
      </c>
      <c r="M209" s="211">
        <f>Respondents!E13</f>
        <v>3</v>
      </c>
      <c r="N209" s="211">
        <f>Respondents!E13</f>
        <v>3</v>
      </c>
    </row>
    <row r="210" spans="1:14" ht="30" x14ac:dyDescent="0.25">
      <c r="A210" s="157" t="s">
        <v>320</v>
      </c>
      <c r="B210" s="229" t="s">
        <v>355</v>
      </c>
      <c r="C210" s="191"/>
      <c r="D210" s="157"/>
      <c r="E210" s="490"/>
      <c r="F210" s="157"/>
      <c r="G210" s="157"/>
      <c r="H210" s="396"/>
      <c r="I210" s="389"/>
      <c r="J210" s="397">
        <f>J208*J209</f>
        <v>1512.9423628249945</v>
      </c>
      <c r="K210" s="397">
        <f t="shared" ref="K210:N210" si="121">K208*K209</f>
        <v>4468.7834605664184</v>
      </c>
      <c r="L210" s="397">
        <f t="shared" si="121"/>
        <v>670.5085471610771</v>
      </c>
      <c r="M210" s="397">
        <f t="shared" si="121"/>
        <v>670.5085471610771</v>
      </c>
      <c r="N210" s="397">
        <f t="shared" si="121"/>
        <v>2024.8976068112302</v>
      </c>
    </row>
    <row r="211" spans="1:14" ht="32.25" x14ac:dyDescent="0.4">
      <c r="A211" t="s">
        <v>356</v>
      </c>
      <c r="B211" s="228" t="s">
        <v>359</v>
      </c>
      <c r="H211" s="390"/>
      <c r="J211" s="398"/>
      <c r="K211" s="398"/>
      <c r="L211" s="398"/>
      <c r="M211" s="399"/>
      <c r="N211" s="399">
        <f>SUM(J210:N210)</f>
        <v>9347.640524524797</v>
      </c>
    </row>
  </sheetData>
  <sheetProtection sheet="1" objects="1" scenarios="1"/>
  <mergeCells count="27">
    <mergeCell ref="A179:I179"/>
    <mergeCell ref="A196:I196"/>
    <mergeCell ref="A117:I117"/>
    <mergeCell ref="A132:I132"/>
    <mergeCell ref="A141:I141"/>
    <mergeCell ref="A153:I153"/>
    <mergeCell ref="A165:I165"/>
    <mergeCell ref="A48:I48"/>
    <mergeCell ref="A60:I60"/>
    <mergeCell ref="A75:I75"/>
    <mergeCell ref="A90:I90"/>
    <mergeCell ref="A102:I102"/>
    <mergeCell ref="J196:N196"/>
    <mergeCell ref="J153:M153"/>
    <mergeCell ref="J165:N165"/>
    <mergeCell ref="J3:N3"/>
    <mergeCell ref="J16:N16"/>
    <mergeCell ref="J32:N32"/>
    <mergeCell ref="J48:M48"/>
    <mergeCell ref="J60:M60"/>
    <mergeCell ref="J75:M75"/>
    <mergeCell ref="J132:M132"/>
    <mergeCell ref="J141:M141"/>
    <mergeCell ref="J179:N179"/>
    <mergeCell ref="J117:M117"/>
    <mergeCell ref="J90:M90"/>
    <mergeCell ref="J102:M102"/>
  </mergeCells>
  <phoneticPr fontId="34" type="noConversion"/>
  <conditionalFormatting sqref="J50:M55">
    <cfRule type="cellIs" dxfId="21" priority="2" operator="equal">
      <formula>0</formula>
    </cfRule>
  </conditionalFormatting>
  <conditionalFormatting sqref="J62:M67">
    <cfRule type="cellIs" dxfId="20" priority="12" operator="equal">
      <formula>0</formula>
    </cfRule>
  </conditionalFormatting>
  <conditionalFormatting sqref="J77:M82">
    <cfRule type="cellIs" dxfId="19" priority="11" operator="equal">
      <formula>0</formula>
    </cfRule>
  </conditionalFormatting>
  <conditionalFormatting sqref="J92:M97">
    <cfRule type="cellIs" dxfId="18" priority="10" operator="equal">
      <formula>0</formula>
    </cfRule>
  </conditionalFormatting>
  <conditionalFormatting sqref="J104:M109">
    <cfRule type="cellIs" dxfId="17" priority="9" operator="equal">
      <formula>0</formula>
    </cfRule>
  </conditionalFormatting>
  <conditionalFormatting sqref="J119:M124">
    <cfRule type="cellIs" dxfId="16" priority="8" operator="equal">
      <formula>0</formula>
    </cfRule>
  </conditionalFormatting>
  <conditionalFormatting sqref="J134:M136">
    <cfRule type="cellIs" dxfId="15" priority="7" operator="equal">
      <formula>0</formula>
    </cfRule>
  </conditionalFormatting>
  <conditionalFormatting sqref="J143:M145">
    <cfRule type="cellIs" dxfId="14" priority="6" operator="equal">
      <formula>0</formula>
    </cfRule>
  </conditionalFormatting>
  <conditionalFormatting sqref="J155:M157">
    <cfRule type="cellIs" dxfId="13" priority="5" operator="equal">
      <formula>0</formula>
    </cfRule>
  </conditionalFormatting>
  <conditionalFormatting sqref="J5:N10">
    <cfRule type="cellIs" dxfId="12" priority="1" operator="equal">
      <formula>0</formula>
    </cfRule>
  </conditionalFormatting>
  <conditionalFormatting sqref="J18:N24">
    <cfRule type="cellIs" dxfId="11" priority="15" operator="equal">
      <formula>0</formula>
    </cfRule>
  </conditionalFormatting>
  <conditionalFormatting sqref="J34:N40">
    <cfRule type="cellIs" dxfId="10" priority="14" operator="equal">
      <formula>0</formula>
    </cfRule>
  </conditionalFormatting>
  <conditionalFormatting sqref="J167:N174">
    <cfRule type="cellIs" dxfId="9" priority="4" operator="equal">
      <formula>0</formula>
    </cfRule>
  </conditionalFormatting>
  <conditionalFormatting sqref="J181:N188">
    <cfRule type="cellIs" dxfId="8" priority="3" operator="equal">
      <formula>0</formula>
    </cfRule>
  </conditionalFormatting>
  <conditionalFormatting sqref="J198:N205">
    <cfRule type="cellIs" dxfId="7" priority="17" operator="equal">
      <formula>0</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25" operator="containsText" id="{59DF0928-168D-47FD-9556-BA8EC67F2125}">
            <xm:f>NOT(ISERROR(SEARCH("-",K140)))</xm:f>
            <xm:f>"-"</xm:f>
            <x14:dxf>
              <fill>
                <patternFill>
                  <bgColor theme="0" tint="-0.14996795556505021"/>
                </patternFill>
              </fill>
            </x14:dxf>
          </x14:cfRule>
          <xm:sqref>K140:M140 N143:N145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R12"/>
  <sheetViews>
    <sheetView workbookViewId="0">
      <selection activeCell="B22" sqref="B22:F22"/>
    </sheetView>
  </sheetViews>
  <sheetFormatPr defaultColWidth="9.140625" defaultRowHeight="15" customHeight="1" x14ac:dyDescent="0.2"/>
  <cols>
    <col min="1" max="1" width="1.85546875" style="114" customWidth="1"/>
    <col min="2" max="2" width="61" style="53" customWidth="1"/>
    <col min="3" max="4" width="14.28515625" style="52" customWidth="1"/>
    <col min="5" max="5" width="17.85546875" style="52" customWidth="1"/>
    <col min="6" max="6" width="19.28515625" style="52" customWidth="1"/>
    <col min="7" max="7" width="12.140625" style="52" customWidth="1"/>
    <col min="8" max="8" width="16.5703125" style="52" customWidth="1"/>
    <col min="9" max="10" width="17.140625" style="54" customWidth="1"/>
    <col min="11" max="11" width="11" style="54" customWidth="1"/>
    <col min="12" max="12" width="8.28515625" style="114" customWidth="1"/>
    <col min="13" max="13" width="14.7109375" style="114" customWidth="1"/>
    <col min="14" max="14" width="14" style="114" customWidth="1"/>
    <col min="15" max="15" width="15.7109375" style="114" customWidth="1"/>
    <col min="16" max="16" width="12.140625" style="114" customWidth="1"/>
    <col min="17" max="17" width="20" style="114" customWidth="1"/>
    <col min="18" max="16384" width="9.140625" style="114"/>
  </cols>
  <sheetData>
    <row r="2" spans="2:18" ht="15" customHeight="1" x14ac:dyDescent="0.3">
      <c r="B2" s="108"/>
      <c r="C2" s="109"/>
      <c r="D2" s="109"/>
      <c r="E2" s="110"/>
      <c r="F2" s="110"/>
      <c r="G2" s="110"/>
      <c r="H2" s="110"/>
      <c r="I2" s="111"/>
      <c r="J2" s="111"/>
      <c r="K2" s="111"/>
      <c r="L2" s="112"/>
      <c r="M2" s="108"/>
      <c r="N2" s="113"/>
      <c r="O2" s="113"/>
      <c r="P2" s="113"/>
      <c r="Q2" s="113"/>
    </row>
    <row r="3" spans="2:18" ht="15" customHeight="1" x14ac:dyDescent="0.25">
      <c r="B3" s="259" t="s">
        <v>360</v>
      </c>
      <c r="C3" s="259"/>
      <c r="D3" s="259"/>
      <c r="E3" s="259"/>
      <c r="F3" s="259"/>
      <c r="G3" s="259"/>
      <c r="H3" s="259"/>
      <c r="I3" s="259"/>
      <c r="J3" s="259"/>
      <c r="K3" s="115"/>
      <c r="L3" s="112"/>
      <c r="M3" s="113"/>
      <c r="N3" s="113"/>
      <c r="O3" s="113"/>
      <c r="P3" s="113"/>
      <c r="Q3" s="113"/>
    </row>
    <row r="4" spans="2:18" s="247" customFormat="1" ht="72" customHeight="1" x14ac:dyDescent="0.25">
      <c r="B4" s="239" t="s">
        <v>361</v>
      </c>
      <c r="C4" s="240" t="s">
        <v>362</v>
      </c>
      <c r="D4" s="240" t="s">
        <v>363</v>
      </c>
      <c r="E4" s="241" t="s">
        <v>364</v>
      </c>
      <c r="F4" s="241" t="s">
        <v>365</v>
      </c>
      <c r="G4" s="241" t="s">
        <v>366</v>
      </c>
      <c r="H4" s="241" t="s">
        <v>367</v>
      </c>
      <c r="I4" s="241" t="s">
        <v>368</v>
      </c>
      <c r="J4" s="242" t="s">
        <v>369</v>
      </c>
      <c r="K4" s="243"/>
      <c r="L4" s="243"/>
      <c r="M4" s="244"/>
      <c r="N4" s="245"/>
      <c r="O4" s="246"/>
      <c r="P4" s="246"/>
      <c r="Q4" s="243"/>
      <c r="R4" s="243"/>
    </row>
    <row r="5" spans="2:18" ht="15" customHeight="1" x14ac:dyDescent="0.25">
      <c r="B5" s="117" t="s">
        <v>370</v>
      </c>
      <c r="C5" s="238">
        <v>2</v>
      </c>
      <c r="D5" s="238">
        <f>Respondents!F18</f>
        <v>175</v>
      </c>
      <c r="E5" s="118">
        <f>Respondents_Recipients[[#This Row],[Total Recipients]]</f>
        <v>112</v>
      </c>
      <c r="F5" s="118">
        <v>4</v>
      </c>
      <c r="G5" s="274">
        <f>(C5*D5)+(C5*E5*F5)</f>
        <v>1246</v>
      </c>
      <c r="H5" s="223">
        <f>G5*Wages!$S$5</f>
        <v>180679.97231307693</v>
      </c>
      <c r="I5" s="119">
        <f>G5*3</f>
        <v>3738</v>
      </c>
      <c r="J5" s="223">
        <f>I5*Wages!$S$5</f>
        <v>542039.91693923075</v>
      </c>
      <c r="K5" s="111"/>
      <c r="L5" s="111"/>
      <c r="M5" s="112"/>
      <c r="N5" s="116"/>
      <c r="O5" s="116"/>
      <c r="P5" s="116"/>
      <c r="Q5" s="116"/>
      <c r="R5" s="116"/>
    </row>
    <row r="6" spans="2:18" ht="15" customHeight="1" x14ac:dyDescent="0.25">
      <c r="B6" s="117" t="s">
        <v>371</v>
      </c>
      <c r="C6" s="238">
        <v>2</v>
      </c>
      <c r="D6" s="238">
        <f>Respondents!F22</f>
        <v>200</v>
      </c>
      <c r="E6" s="118">
        <f>Respondents_Recipients[[#This Row],[Total Recipients]]</f>
        <v>50</v>
      </c>
      <c r="F6" s="118">
        <v>4</v>
      </c>
      <c r="G6" s="274">
        <f t="shared" ref="G6:G9" si="0">(C6*D6)+(C6*E6*F6)</f>
        <v>800</v>
      </c>
      <c r="H6" s="223">
        <f>G6*Wages!$S$5</f>
        <v>116006.40276923077</v>
      </c>
      <c r="I6" s="119">
        <f>G6*3</f>
        <v>2400</v>
      </c>
      <c r="J6" s="223">
        <f>I6*Wages!$S$5</f>
        <v>348019.20830769232</v>
      </c>
      <c r="K6" s="111"/>
      <c r="L6" s="111"/>
      <c r="M6" s="112"/>
      <c r="N6" s="116"/>
      <c r="O6" s="116"/>
      <c r="P6" s="116"/>
      <c r="Q6" s="116"/>
      <c r="R6" s="116"/>
    </row>
    <row r="7" spans="2:18" ht="15" customHeight="1" x14ac:dyDescent="0.25">
      <c r="B7" s="117" t="s">
        <v>372</v>
      </c>
      <c r="C7" s="238">
        <v>2</v>
      </c>
      <c r="D7" s="238">
        <v>0</v>
      </c>
      <c r="E7" s="118">
        <f>Respondents!F10</f>
        <v>70</v>
      </c>
      <c r="F7" s="118">
        <v>4</v>
      </c>
      <c r="G7" s="274">
        <f t="shared" si="0"/>
        <v>560</v>
      </c>
      <c r="H7" s="223">
        <f>G7*Wages!$S$5</f>
        <v>81204.48193846154</v>
      </c>
      <c r="I7" s="119">
        <f>(C7*D7)+(3*E7*F7)</f>
        <v>840</v>
      </c>
      <c r="J7" s="223">
        <f>I7*Wages!$S$5</f>
        <v>121806.72290769231</v>
      </c>
      <c r="K7" s="111"/>
      <c r="L7" s="111"/>
      <c r="M7" s="112"/>
      <c r="N7" s="116"/>
      <c r="O7" s="116"/>
      <c r="P7" s="116"/>
      <c r="Q7" s="116"/>
      <c r="R7" s="116"/>
    </row>
    <row r="8" spans="2:18" ht="15" customHeight="1" x14ac:dyDescent="0.25">
      <c r="B8" s="117" t="s">
        <v>373</v>
      </c>
      <c r="C8" s="238">
        <v>2</v>
      </c>
      <c r="D8" s="238">
        <v>0</v>
      </c>
      <c r="E8" s="118">
        <f>Respondents!F12</f>
        <v>30</v>
      </c>
      <c r="F8" s="118">
        <v>2</v>
      </c>
      <c r="G8" s="274">
        <f t="shared" si="0"/>
        <v>120</v>
      </c>
      <c r="H8" s="223">
        <f>G8*Wages!$S$5</f>
        <v>17400.960415384616</v>
      </c>
      <c r="I8" s="119">
        <f>(C8*D8)+(3*E8*F8)</f>
        <v>180</v>
      </c>
      <c r="J8" s="223">
        <f>I8*Wages!$S$5</f>
        <v>26101.440623076924</v>
      </c>
      <c r="K8" s="111"/>
      <c r="L8" s="111"/>
      <c r="M8" s="112"/>
      <c r="N8" s="116"/>
      <c r="O8" s="116"/>
      <c r="P8" s="116"/>
      <c r="Q8" s="116"/>
      <c r="R8" s="116"/>
    </row>
    <row r="9" spans="2:18" ht="15" customHeight="1" thickBot="1" x14ac:dyDescent="0.3">
      <c r="B9" s="253" t="s">
        <v>374</v>
      </c>
      <c r="C9" s="254">
        <v>2</v>
      </c>
      <c r="D9" s="254">
        <v>0</v>
      </c>
      <c r="E9" s="255">
        <f>Respondents!F13</f>
        <v>25</v>
      </c>
      <c r="F9" s="255">
        <v>2</v>
      </c>
      <c r="G9" s="275">
        <f t="shared" si="0"/>
        <v>100</v>
      </c>
      <c r="H9" s="256">
        <f>G9*Wages!$S$5</f>
        <v>14500.800346153846</v>
      </c>
      <c r="I9" s="257">
        <f>(C9*D9)+(3*E9*F9)</f>
        <v>150</v>
      </c>
      <c r="J9" s="256">
        <f>I9*Wages!$S$5</f>
        <v>21751.20051923077</v>
      </c>
      <c r="K9" s="111"/>
      <c r="L9" s="111"/>
      <c r="M9" s="112"/>
      <c r="N9" s="116"/>
      <c r="O9" s="116"/>
      <c r="P9" s="116"/>
      <c r="Q9" s="116"/>
      <c r="R9" s="116"/>
    </row>
    <row r="10" spans="2:18" ht="15" customHeight="1" x14ac:dyDescent="0.25">
      <c r="B10" s="248" t="s">
        <v>375</v>
      </c>
      <c r="C10" s="249"/>
      <c r="D10" s="258">
        <f>SUM(D5:D9)</f>
        <v>375</v>
      </c>
      <c r="E10" s="258">
        <f>SUM(E5:E9)</f>
        <v>287</v>
      </c>
      <c r="F10" s="250"/>
      <c r="G10" s="251">
        <f>SUM(G5:G9)</f>
        <v>2826</v>
      </c>
      <c r="H10" s="252">
        <f>SUM(H5:H9)</f>
        <v>409792.61778230773</v>
      </c>
      <c r="I10" s="251">
        <f>SUM(I5:I9)</f>
        <v>7308</v>
      </c>
      <c r="J10" s="252">
        <f>SUM(J5:J9)</f>
        <v>1059718.4892969229</v>
      </c>
      <c r="K10" s="111"/>
      <c r="L10" s="111"/>
      <c r="M10" s="112"/>
      <c r="N10" s="116"/>
      <c r="O10" s="116"/>
      <c r="P10" s="116"/>
      <c r="Q10" s="116"/>
      <c r="R10" s="116"/>
    </row>
    <row r="11" spans="2:18" ht="33" customHeight="1" x14ac:dyDescent="0.2">
      <c r="B11" s="579" t="s">
        <v>376</v>
      </c>
      <c r="C11" s="580"/>
      <c r="D11" s="580"/>
      <c r="E11" s="580"/>
      <c r="F11" s="580"/>
      <c r="G11" s="580"/>
      <c r="H11" s="580"/>
      <c r="I11" s="580"/>
      <c r="J11" s="580"/>
      <c r="K11" s="120"/>
      <c r="L11" s="112"/>
      <c r="M11" s="121"/>
      <c r="N11" s="122"/>
      <c r="O11" s="112"/>
      <c r="P11" s="112"/>
      <c r="Q11" s="123"/>
    </row>
    <row r="12" spans="2:18" ht="15" customHeight="1" x14ac:dyDescent="0.2">
      <c r="B12" s="116"/>
      <c r="C12" s="109"/>
      <c r="D12" s="109"/>
      <c r="E12" s="110"/>
      <c r="F12" s="110"/>
      <c r="G12" s="110"/>
      <c r="H12" s="110"/>
      <c r="I12" s="111"/>
      <c r="J12" s="111"/>
      <c r="K12" s="111"/>
      <c r="L12" s="112"/>
      <c r="M12" s="121"/>
      <c r="N12" s="122"/>
      <c r="O12" s="112"/>
      <c r="P12" s="112"/>
      <c r="Q12" s="123"/>
    </row>
  </sheetData>
  <sheetProtection sheet="1" objects="1" scenarios="1"/>
  <mergeCells count="1">
    <mergeCell ref="B11:J11"/>
  </mergeCells>
  <pageMargins left="0.7" right="0.7" top="0.75" bottom="0.75" header="0.3" footer="0.3"/>
  <pageSetup paperSize="5"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0B509-EA33-4D05-9630-E34351962BC3}">
  <sheetPr>
    <pageSetUpPr fitToPage="1"/>
  </sheetPr>
  <dimension ref="A1:AE27"/>
  <sheetViews>
    <sheetView zoomScale="80" zoomScaleNormal="80" workbookViewId="0">
      <selection activeCell="B23" sqref="B23"/>
    </sheetView>
  </sheetViews>
  <sheetFormatPr defaultColWidth="9.140625" defaultRowHeight="12.75" x14ac:dyDescent="0.25"/>
  <cols>
    <col min="1" max="1" width="3.7109375" style="99" customWidth="1"/>
    <col min="2" max="3" width="53.140625" style="104" customWidth="1"/>
    <col min="4" max="4" width="47" style="99" customWidth="1"/>
    <col min="5" max="5" width="20.5703125" style="99" customWidth="1"/>
    <col min="6" max="6" width="16.140625" style="99" customWidth="1"/>
    <col min="7" max="7" width="11.28515625" style="99" customWidth="1"/>
    <col min="8" max="8" width="16.85546875" style="99" customWidth="1"/>
    <col min="9" max="9" width="24.140625" style="99" hidden="1" customWidth="1"/>
    <col min="10" max="10" width="20.28515625" style="99" hidden="1" customWidth="1"/>
    <col min="11" max="11" width="11.42578125" style="99" hidden="1" customWidth="1"/>
    <col min="12" max="12" width="16" style="99" hidden="1" customWidth="1"/>
    <col min="13" max="14" width="9.5703125" style="99" customWidth="1"/>
    <col min="15" max="16" width="10.42578125" style="99" customWidth="1"/>
    <col min="17" max="17" width="12" style="99" customWidth="1"/>
    <col min="18" max="18" width="14.140625" style="99" customWidth="1"/>
    <col min="19" max="19" width="14.7109375" style="99" hidden="1" customWidth="1"/>
    <col min="20" max="20" width="14.7109375" style="99" customWidth="1"/>
    <col min="21" max="24" width="17.7109375" style="99" customWidth="1"/>
    <col min="25" max="25" width="11.5703125" style="99" hidden="1" customWidth="1"/>
    <col min="26" max="26" width="19.42578125" style="99" hidden="1" customWidth="1"/>
    <col min="27" max="29" width="25.85546875" style="99" hidden="1" customWidth="1"/>
    <col min="30" max="30" width="10.5703125" style="99" hidden="1" customWidth="1"/>
    <col min="31" max="31" width="10.28515625" style="99" hidden="1" customWidth="1"/>
    <col min="32" max="16384" width="9.140625" style="99"/>
  </cols>
  <sheetData>
    <row r="1" spans="1:31" ht="15.75" x14ac:dyDescent="0.25">
      <c r="A1" s="138" t="s">
        <v>377</v>
      </c>
    </row>
    <row r="2" spans="1:31" ht="96" x14ac:dyDescent="0.25">
      <c r="A2" s="93" t="s">
        <v>378</v>
      </c>
      <c r="B2" s="163" t="s">
        <v>109</v>
      </c>
      <c r="C2" s="163" t="s">
        <v>379</v>
      </c>
      <c r="D2" s="163" t="s">
        <v>380</v>
      </c>
      <c r="E2" s="163" t="s">
        <v>381</v>
      </c>
      <c r="F2" s="163" t="s">
        <v>110</v>
      </c>
      <c r="G2" s="163" t="s">
        <v>111</v>
      </c>
      <c r="H2" s="163" t="s">
        <v>382</v>
      </c>
      <c r="I2" s="163" t="s">
        <v>383</v>
      </c>
      <c r="J2" s="163" t="s">
        <v>384</v>
      </c>
      <c r="K2" s="163" t="s">
        <v>385</v>
      </c>
      <c r="L2" s="163" t="s">
        <v>386</v>
      </c>
      <c r="M2" s="163" t="s">
        <v>387</v>
      </c>
      <c r="N2" s="163" t="s">
        <v>388</v>
      </c>
      <c r="O2" s="163" t="s">
        <v>389</v>
      </c>
      <c r="P2" s="163" t="s">
        <v>390</v>
      </c>
      <c r="Q2" s="163" t="s">
        <v>391</v>
      </c>
      <c r="R2" s="163" t="s">
        <v>392</v>
      </c>
      <c r="S2" s="163" t="s">
        <v>393</v>
      </c>
      <c r="T2" s="163" t="s">
        <v>394</v>
      </c>
      <c r="U2" s="163" t="s">
        <v>395</v>
      </c>
      <c r="V2" s="163" t="s">
        <v>396</v>
      </c>
      <c r="W2" s="163" t="s">
        <v>397</v>
      </c>
      <c r="X2" s="499" t="s">
        <v>398</v>
      </c>
      <c r="Y2" s="93" t="s">
        <v>399</v>
      </c>
      <c r="Z2" s="163" t="s">
        <v>400</v>
      </c>
      <c r="AA2" s="163" t="s">
        <v>401</v>
      </c>
      <c r="AB2" s="163" t="s">
        <v>229</v>
      </c>
      <c r="AC2" s="163" t="s">
        <v>402</v>
      </c>
      <c r="AD2" s="163" t="s">
        <v>403</v>
      </c>
      <c r="AE2" s="163" t="s">
        <v>404</v>
      </c>
    </row>
    <row r="3" spans="1:31" ht="48" x14ac:dyDescent="0.25">
      <c r="A3" s="99">
        <v>1</v>
      </c>
      <c r="B3" s="94" t="s">
        <v>156</v>
      </c>
      <c r="C3" s="94" t="str">
        <f>Time_by_Instrument[[#This Row],[EPA Form Name]]</f>
        <v>Clean Ports Supplemental Application Template</v>
      </c>
      <c r="D3" s="224" t="s">
        <v>405</v>
      </c>
      <c r="E3" s="96" t="s">
        <v>406</v>
      </c>
      <c r="F3" s="96" t="s">
        <v>157</v>
      </c>
      <c r="G3" s="96" t="s">
        <v>125</v>
      </c>
      <c r="H3" s="106">
        <v>1</v>
      </c>
      <c r="I3" s="97" t="s">
        <v>407</v>
      </c>
      <c r="J3" s="97">
        <v>4.1500000000000004</v>
      </c>
      <c r="K3" s="97" t="s">
        <v>408</v>
      </c>
      <c r="L3" s="97" t="s">
        <v>408</v>
      </c>
      <c r="M3" s="126">
        <f>'CPP Template Testing 2024'!D10</f>
        <v>2.15</v>
      </c>
      <c r="N3" s="126">
        <f>'CPP Template Testing 2024'!E10</f>
        <v>6.1</v>
      </c>
      <c r="O3" s="126">
        <f>'CPP Template Testing 2024'!K10</f>
        <v>4.2</v>
      </c>
      <c r="P3" s="497">
        <f>Time_by_Instrument[[#This Row],[Average Estimate (h)]]*Time_by_Instrument[[#This Row],[If Optional, share of participants expected to participate]]</f>
        <v>4.2</v>
      </c>
      <c r="Q3" s="130" t="str">
        <f t="shared" ref="Q3:Q19" si="0">_xlfn.TEXTJOIN(" - ",TRUE,ROUND(M3,1),ROUND(N3,1))</f>
        <v>2.2 - 6.1</v>
      </c>
      <c r="R3" s="135">
        <f>Time_by_Instrument[[#This Row],[Average Estimate (h)]]-Time_by_Instrument[[#This Row],[Original Average Estimated Time to Complete (hours)
As estimated Dec 2023]]</f>
        <v>4.9999999999999822E-2</v>
      </c>
      <c r="S3" s="96" t="s">
        <v>408</v>
      </c>
      <c r="T3" s="307">
        <f>IF(Time_by_Instrument[[#This Row],[Applicant?]]=TRUE, Time_by_Instrument[[#This Row],[Weighted Average Time (h)]], 0)</f>
        <v>4.2</v>
      </c>
      <c r="U3" s="130" t="str">
        <f>IF($S3="No", "-", "")</f>
        <v>-</v>
      </c>
      <c r="V3" s="130" t="str">
        <f t="shared" ref="V3:X3" si="1">IF($S3="No", "-", "")</f>
        <v>-</v>
      </c>
      <c r="W3" s="130" t="str">
        <f t="shared" si="1"/>
        <v>-</v>
      </c>
      <c r="X3" s="130" t="str">
        <f t="shared" si="1"/>
        <v>-</v>
      </c>
      <c r="Y3" s="99" t="b">
        <f t="shared" ref="Y3:AA12" si="2">IF(ISNUMBER(SEARCH(Y$2,$D3)), TRUE, FALSE)</f>
        <v>0</v>
      </c>
      <c r="Z3" s="99" t="b">
        <f t="shared" si="2"/>
        <v>0</v>
      </c>
      <c r="AA3" s="99" t="b">
        <f>IF(ISNUMBER(SEARCH(AA$2,$D3)), TRUE, FALSE)</f>
        <v>0</v>
      </c>
      <c r="AB3" s="99" t="b">
        <f>IF(ISNUMBER(SEARCH(AB$2,$D3)), TRUE, FALSE)</f>
        <v>1</v>
      </c>
      <c r="AC3" s="99" t="b">
        <f>IF(ISNUMBER(SEARCH(AC$2,$D3)), TRUE, FALSE)</f>
        <v>1</v>
      </c>
      <c r="AD3" s="99" t="b">
        <f t="shared" ref="AD3:AE21" si="3">IF(ISNUMBER(SEARCH(AD$2,$E3)), TRUE, FALSE)</f>
        <v>1</v>
      </c>
      <c r="AE3" s="99" t="b">
        <f t="shared" si="3"/>
        <v>0</v>
      </c>
    </row>
    <row r="4" spans="1:31" ht="15" x14ac:dyDescent="0.25">
      <c r="A4" s="99">
        <v>2</v>
      </c>
      <c r="B4" s="94" t="s">
        <v>140</v>
      </c>
      <c r="C4" s="94" t="str">
        <f>Time_by_Instrument[[#This Row],[EPA Form Name]]</f>
        <v>CSB Supplemental Application Template</v>
      </c>
      <c r="D4" s="224" t="s">
        <v>67</v>
      </c>
      <c r="E4" s="96" t="s">
        <v>406</v>
      </c>
      <c r="F4" s="96" t="s">
        <v>141</v>
      </c>
      <c r="G4" s="96" t="s">
        <v>125</v>
      </c>
      <c r="H4" s="106">
        <v>1</v>
      </c>
      <c r="I4" s="97">
        <v>7.4</v>
      </c>
      <c r="J4" s="97">
        <f>Time_by_Instrument[[#This Row],[Original Estimated Time to Complete (hours)
As estimated Dec 2023]]</f>
        <v>7.4</v>
      </c>
      <c r="K4" s="97" t="s">
        <v>408</v>
      </c>
      <c r="L4" s="97" t="s">
        <v>408</v>
      </c>
      <c r="M4" s="126">
        <f>'CSB Template Testing 2024'!D7</f>
        <v>7.15</v>
      </c>
      <c r="N4" s="126">
        <f>'CSB Template Testing 2024'!E7</f>
        <v>7.55</v>
      </c>
      <c r="O4" s="126">
        <f>'CSB Template Testing 2024'!F7</f>
        <v>7.35</v>
      </c>
      <c r="P4" s="497">
        <f>Time_by_Instrument[[#This Row],[Average Estimate (h)]]*Time_by_Instrument[[#This Row],[If Optional, share of participants expected to participate]]</f>
        <v>7.35</v>
      </c>
      <c r="Q4" s="130" t="str">
        <f t="shared" si="0"/>
        <v>7.2 - 7.6</v>
      </c>
      <c r="R4" s="135">
        <f>Time_by_Instrument[[#This Row],[Average Estimate (h)]]-Time_by_Instrument[[#This Row],[Original Average Estimated Time to Complete (hours)
As estimated Dec 2023]]</f>
        <v>-5.0000000000000711E-2</v>
      </c>
      <c r="S4" s="96" t="s">
        <v>408</v>
      </c>
      <c r="T4" s="307">
        <f>IF(Time_by_Instrument[[#This Row],[Applicant?]]=TRUE, Time_by_Instrument[[#This Row],[Weighted Average Time (h)]], 0)</f>
        <v>7.35</v>
      </c>
      <c r="U4" s="130" t="str">
        <f>IF(S4="No", "-", "")</f>
        <v>-</v>
      </c>
      <c r="V4" s="130" t="s">
        <v>409</v>
      </c>
      <c r="W4" s="130" t="s">
        <v>409</v>
      </c>
      <c r="X4" s="130" t="s">
        <v>409</v>
      </c>
      <c r="Y4" s="99" t="b">
        <f t="shared" si="2"/>
        <v>0</v>
      </c>
      <c r="Z4" s="99" t="b">
        <f t="shared" si="2"/>
        <v>1</v>
      </c>
      <c r="AA4" s="99" t="b">
        <f t="shared" si="2"/>
        <v>0</v>
      </c>
      <c r="AB4" s="99" t="b">
        <f t="shared" ref="AB4:AC21" si="4">IF(ISNUMBER(SEARCH(AB$2,$D4)), TRUE, FALSE)</f>
        <v>0</v>
      </c>
      <c r="AC4" s="99" t="b">
        <f t="shared" si="4"/>
        <v>0</v>
      </c>
      <c r="AD4" s="99" t="b">
        <f t="shared" si="3"/>
        <v>1</v>
      </c>
      <c r="AE4" s="99" t="b">
        <f t="shared" si="3"/>
        <v>0</v>
      </c>
    </row>
    <row r="5" spans="1:31" ht="15" x14ac:dyDescent="0.25">
      <c r="A5" s="99">
        <v>3</v>
      </c>
      <c r="B5" s="94" t="s">
        <v>123</v>
      </c>
      <c r="C5" s="94" t="str">
        <f>Time_by_Instrument[[#This Row],[EPA Form Name]]</f>
        <v>DERA Supplemental Application Template</v>
      </c>
      <c r="D5" s="224" t="s">
        <v>101</v>
      </c>
      <c r="E5" s="96" t="s">
        <v>406</v>
      </c>
      <c r="F5" s="96" t="s">
        <v>124</v>
      </c>
      <c r="G5" s="96" t="s">
        <v>125</v>
      </c>
      <c r="H5" s="106">
        <v>1</v>
      </c>
      <c r="I5" s="97">
        <v>8.6</v>
      </c>
      <c r="J5" s="97">
        <v>8.6</v>
      </c>
      <c r="K5" s="97" t="s">
        <v>408</v>
      </c>
      <c r="L5" s="97" t="s">
        <v>408</v>
      </c>
      <c r="M5" s="126">
        <f>'DERA Template Testing 2024'!D7</f>
        <v>5.15</v>
      </c>
      <c r="N5" s="126">
        <f>'DERA Template Testing 2024'!E7</f>
        <v>7.55</v>
      </c>
      <c r="O5" s="126">
        <f>'DERA Template Testing 2024'!F7</f>
        <v>6.35</v>
      </c>
      <c r="P5" s="497">
        <f>Time_by_Instrument[[#This Row],[Average Estimate (h)]]*Time_by_Instrument[[#This Row],[If Optional, share of participants expected to participate]]</f>
        <v>6.35</v>
      </c>
      <c r="Q5" s="130" t="str">
        <f t="shared" si="0"/>
        <v>5.2 - 7.6</v>
      </c>
      <c r="R5" s="135">
        <f>Time_by_Instrument[[#This Row],[Average Estimate (h)]]-Time_by_Instrument[[#This Row],[Original Average Estimated Time to Complete (hours)
As estimated Dec 2023]]</f>
        <v>-2.25</v>
      </c>
      <c r="S5" s="96" t="s">
        <v>408</v>
      </c>
      <c r="T5" s="307">
        <f>IF(Time_by_Instrument[[#This Row],[Applicant?]]=TRUE, Time_by_Instrument[[#This Row],[Weighted Average Time (h)]], 0)</f>
        <v>6.35</v>
      </c>
      <c r="U5" s="130" t="str">
        <f>IF(S5="No", "-", "")</f>
        <v>-</v>
      </c>
      <c r="V5" s="130" t="s">
        <v>409</v>
      </c>
      <c r="W5" s="130" t="s">
        <v>409</v>
      </c>
      <c r="X5" s="130" t="s">
        <v>409</v>
      </c>
      <c r="Y5" s="99" t="b">
        <f t="shared" si="2"/>
        <v>1</v>
      </c>
      <c r="Z5" s="99" t="b">
        <f t="shared" si="2"/>
        <v>0</v>
      </c>
      <c r="AA5" s="99" t="b">
        <f t="shared" si="2"/>
        <v>0</v>
      </c>
      <c r="AB5" s="99" t="b">
        <f t="shared" si="4"/>
        <v>0</v>
      </c>
      <c r="AC5" s="99" t="b">
        <f t="shared" si="4"/>
        <v>0</v>
      </c>
      <c r="AD5" s="99" t="b">
        <f t="shared" si="3"/>
        <v>1</v>
      </c>
      <c r="AE5" s="99" t="b">
        <f t="shared" si="3"/>
        <v>0</v>
      </c>
    </row>
    <row r="6" spans="1:31" ht="15" x14ac:dyDescent="0.25">
      <c r="A6" s="99">
        <v>4</v>
      </c>
      <c r="B6" s="94" t="s">
        <v>151</v>
      </c>
      <c r="C6" s="94" t="str">
        <f>Time_by_Instrument[[#This Row],[EPA Form Name]]</f>
        <v>CHDV Eligibility and Scrappage Statement</v>
      </c>
      <c r="D6" s="224" t="s">
        <v>68</v>
      </c>
      <c r="E6" s="96" t="s">
        <v>410</v>
      </c>
      <c r="F6" s="96" t="s">
        <v>152</v>
      </c>
      <c r="G6" s="96" t="s">
        <v>125</v>
      </c>
      <c r="H6" s="106">
        <v>1</v>
      </c>
      <c r="I6" s="97">
        <v>2</v>
      </c>
      <c r="J6" s="97">
        <v>2</v>
      </c>
      <c r="K6" s="97" t="s">
        <v>411</v>
      </c>
      <c r="L6" s="97" t="s">
        <v>408</v>
      </c>
      <c r="M6" s="126">
        <v>1</v>
      </c>
      <c r="N6" s="126">
        <v>12</v>
      </c>
      <c r="O6" s="126">
        <f>AVERAGE(Time_by_Instrument[[#This Row],[Low End Estimate (h)]],Time_by_Instrument[[#This Row],[High End Estimate (h)]])</f>
        <v>6.5</v>
      </c>
      <c r="P6" s="497">
        <f>Time_by_Instrument[[#This Row],[Average Estimate (h)]]*Time_by_Instrument[[#This Row],[If Optional, share of participants expected to participate]]</f>
        <v>6.5</v>
      </c>
      <c r="Q6" s="130" t="str">
        <f t="shared" si="0"/>
        <v>1 - 12</v>
      </c>
      <c r="R6" s="135">
        <f>Time_by_Instrument[[#This Row],[Average Estimate (h)]]-Time_by_Instrument[[#This Row],[Original Average Estimated Time to Complete (hours)
As estimated Dec 2023]]</f>
        <v>4.5</v>
      </c>
      <c r="S6" s="96" t="s">
        <v>411</v>
      </c>
      <c r="T6" s="307">
        <v>1</v>
      </c>
      <c r="U6" s="135">
        <f>Time_by_Instrument[[#This Row],[Weighted Average Time (h)]]</f>
        <v>6.5</v>
      </c>
      <c r="V6" s="130" t="s">
        <v>409</v>
      </c>
      <c r="W6" s="130" t="s">
        <v>409</v>
      </c>
      <c r="X6" s="130" t="s">
        <v>409</v>
      </c>
      <c r="Y6" s="99" t="b">
        <f t="shared" si="2"/>
        <v>0</v>
      </c>
      <c r="Z6" s="99" t="b">
        <f t="shared" si="2"/>
        <v>0</v>
      </c>
      <c r="AA6" s="99" t="b">
        <f t="shared" si="2"/>
        <v>1</v>
      </c>
      <c r="AB6" s="99" t="b">
        <f t="shared" si="4"/>
        <v>0</v>
      </c>
      <c r="AC6" s="99" t="b">
        <f t="shared" si="4"/>
        <v>0</v>
      </c>
      <c r="AD6" s="99" t="b">
        <f t="shared" si="3"/>
        <v>1</v>
      </c>
      <c r="AE6" s="99" t="b">
        <f t="shared" si="3"/>
        <v>1</v>
      </c>
    </row>
    <row r="7" spans="1:31" ht="15" x14ac:dyDescent="0.25">
      <c r="A7" s="99">
        <v>5</v>
      </c>
      <c r="B7" s="94" t="s">
        <v>153</v>
      </c>
      <c r="C7" s="94" t="str">
        <f>Time_by_Instrument[[#This Row],[EPA Form Name]]</f>
        <v>CHDV Project Reporting Template</v>
      </c>
      <c r="D7" s="224" t="s">
        <v>68</v>
      </c>
      <c r="E7" s="96" t="s">
        <v>412</v>
      </c>
      <c r="F7" s="96" t="s">
        <v>154</v>
      </c>
      <c r="G7" s="96" t="s">
        <v>125</v>
      </c>
      <c r="H7" s="106">
        <v>1</v>
      </c>
      <c r="I7" s="131" t="s">
        <v>413</v>
      </c>
      <c r="J7" s="97">
        <f>(1.5+7.2)/2</f>
        <v>4.3499999999999996</v>
      </c>
      <c r="K7" s="97" t="s">
        <v>411</v>
      </c>
      <c r="L7" s="97" t="s">
        <v>408</v>
      </c>
      <c r="M7" s="126">
        <f>'CHDV Template Testing 2024'!E23</f>
        <v>11.308333333333334</v>
      </c>
      <c r="N7" s="126">
        <f>'CHDV Template Testing 2024'!D23</f>
        <v>14.05</v>
      </c>
      <c r="O7" s="126">
        <f>'CHDV Template Testing 2024'!F23</f>
        <v>12.679166666666667</v>
      </c>
      <c r="P7" s="497">
        <f>Time_by_Instrument[[#This Row],[Average Estimate (h)]]*Time_by_Instrument[[#This Row],[If Optional, share of participants expected to participate]]</f>
        <v>12.679166666666667</v>
      </c>
      <c r="Q7" s="130" t="str">
        <f t="shared" si="0"/>
        <v>11.3 - 14.1</v>
      </c>
      <c r="R7" s="135">
        <f>Time_by_Instrument[[#This Row],[Average Estimate (h)]]-Time_by_Instrument[[#This Row],[Original Average Estimated Time to Complete (hours)
As estimated Dec 2023]]</f>
        <v>8.3291666666666675</v>
      </c>
      <c r="S7" s="96" t="s">
        <v>411</v>
      </c>
      <c r="T7" s="307">
        <f>IF(Time_by_Instrument[[#This Row],[Applicant?]]=TRUE, Time_by_Instrument[[#This Row],[Weighted Average Time (h)]], 0)</f>
        <v>0</v>
      </c>
      <c r="U7" s="130">
        <v>8.4</v>
      </c>
      <c r="V7" s="130">
        <v>1.4</v>
      </c>
      <c r="W7" s="130">
        <v>2.9</v>
      </c>
      <c r="X7" s="130" t="s">
        <v>409</v>
      </c>
      <c r="Y7" s="99" t="b">
        <f t="shared" si="2"/>
        <v>0</v>
      </c>
      <c r="Z7" s="99" t="b">
        <f t="shared" si="2"/>
        <v>0</v>
      </c>
      <c r="AA7" s="99" t="b">
        <f t="shared" si="2"/>
        <v>1</v>
      </c>
      <c r="AB7" s="99" t="b">
        <f t="shared" si="4"/>
        <v>0</v>
      </c>
      <c r="AC7" s="99" t="b">
        <f t="shared" si="4"/>
        <v>0</v>
      </c>
      <c r="AD7" s="99" t="b">
        <f t="shared" si="3"/>
        <v>0</v>
      </c>
      <c r="AE7" s="99" t="b">
        <f t="shared" si="3"/>
        <v>1</v>
      </c>
    </row>
    <row r="8" spans="1:31" ht="24" x14ac:dyDescent="0.25">
      <c r="A8" s="99">
        <v>6</v>
      </c>
      <c r="B8" s="506" t="s">
        <v>160</v>
      </c>
      <c r="C8" s="506" t="s">
        <v>414</v>
      </c>
      <c r="D8" s="224" t="s">
        <v>415</v>
      </c>
      <c r="E8" s="96" t="s">
        <v>412</v>
      </c>
      <c r="F8" s="96" t="s">
        <v>161</v>
      </c>
      <c r="G8" s="96" t="s">
        <v>125</v>
      </c>
      <c r="H8" s="106">
        <v>1</v>
      </c>
      <c r="I8" s="97">
        <v>2</v>
      </c>
      <c r="J8" s="97">
        <v>2</v>
      </c>
      <c r="K8" s="97" t="s">
        <v>408</v>
      </c>
      <c r="L8" s="97" t="s">
        <v>408</v>
      </c>
      <c r="M8" s="126">
        <v>1.5</v>
      </c>
      <c r="N8" s="126">
        <v>12</v>
      </c>
      <c r="O8" s="126">
        <f>AVERAGE(Time_by_Instrument[[#This Row],[Low End Estimate (h)]],Time_by_Instrument[[#This Row],[High End Estimate (h)]])</f>
        <v>6.75</v>
      </c>
      <c r="P8" s="497">
        <f>Time_by_Instrument[[#This Row],[Average Estimate (h)]]*Time_by_Instrument[[#This Row],[If Optional, share of participants expected to participate]]</f>
        <v>6.75</v>
      </c>
      <c r="Q8" s="130" t="str">
        <f t="shared" si="0"/>
        <v>1.5 - 12</v>
      </c>
      <c r="R8" s="135">
        <f>Time_by_Instrument[[#This Row],[Average Estimate (h)]]-Time_by_Instrument[[#This Row],[Original Average Estimated Time to Complete (hours)
As estimated Dec 2023]]</f>
        <v>4.75</v>
      </c>
      <c r="S8" s="96" t="s">
        <v>408</v>
      </c>
      <c r="T8" s="307">
        <f>IF(Time_by_Instrument[[#This Row],[Applicant?]]=TRUE, Time_by_Instrument[[#This Row],[Weighted Average Time (h)]], 0)</f>
        <v>0</v>
      </c>
      <c r="U8" s="135">
        <f>Time_by_Instrument[[#This Row],[Weighted Average Time (h)]]</f>
        <v>6.75</v>
      </c>
      <c r="V8" s="130" t="s">
        <v>409</v>
      </c>
      <c r="W8" s="130" t="s">
        <v>409</v>
      </c>
      <c r="X8" s="130" t="s">
        <v>409</v>
      </c>
      <c r="Y8" s="99" t="b">
        <f t="shared" si="2"/>
        <v>0</v>
      </c>
      <c r="Z8" s="99" t="b">
        <f t="shared" si="2"/>
        <v>0</v>
      </c>
      <c r="AA8" s="99" t="b">
        <f t="shared" si="2"/>
        <v>0</v>
      </c>
      <c r="AB8" s="99" t="b">
        <f t="shared" si="4"/>
        <v>0</v>
      </c>
      <c r="AC8" s="99" t="b">
        <f t="shared" si="4"/>
        <v>1</v>
      </c>
      <c r="AD8" s="99" t="b">
        <f t="shared" si="3"/>
        <v>0</v>
      </c>
      <c r="AE8" s="99" t="b">
        <f t="shared" si="3"/>
        <v>1</v>
      </c>
    </row>
    <row r="9" spans="1:31" ht="48" x14ac:dyDescent="0.25">
      <c r="A9" s="99">
        <v>7</v>
      </c>
      <c r="B9" s="506" t="s">
        <v>132</v>
      </c>
      <c r="C9" s="506" t="s">
        <v>416</v>
      </c>
      <c r="D9" s="224" t="s">
        <v>417</v>
      </c>
      <c r="E9" s="96" t="s">
        <v>410</v>
      </c>
      <c r="F9" s="96" t="s">
        <v>133</v>
      </c>
      <c r="G9" s="96" t="s">
        <v>134</v>
      </c>
      <c r="H9" s="106">
        <v>0.25</v>
      </c>
      <c r="I9" s="97">
        <v>2</v>
      </c>
      <c r="J9" s="97">
        <v>2</v>
      </c>
      <c r="K9" s="97" t="s">
        <v>408</v>
      </c>
      <c r="L9" s="97" t="s">
        <v>408</v>
      </c>
      <c r="M9" s="126">
        <v>1.5</v>
      </c>
      <c r="N9" s="126">
        <v>6</v>
      </c>
      <c r="O9" s="126">
        <f>AVERAGE(Time_by_Instrument[[#This Row],[Low End Estimate (h)]],Time_by_Instrument[[#This Row],[High End Estimate (h)]])</f>
        <v>3.75</v>
      </c>
      <c r="P9" s="497">
        <f>Time_by_Instrument[[#This Row],[Average Estimate (h)]]*Time_by_Instrument[[#This Row],[If Optional, share of participants expected to participate]]</f>
        <v>0.9375</v>
      </c>
      <c r="Q9" s="130" t="str">
        <f t="shared" si="0"/>
        <v>1.5 - 6</v>
      </c>
      <c r="R9" s="135">
        <f>Time_by_Instrument[[#This Row],[Average Estimate (h)]]-Time_by_Instrument[[#This Row],[Original Average Estimated Time to Complete (hours)
As estimated Dec 2023]]</f>
        <v>1.75</v>
      </c>
      <c r="S9" s="96" t="s">
        <v>408</v>
      </c>
      <c r="T9" s="307">
        <f>IF(Time_by_Instrument[[#This Row],[Applicant?]]=TRUE, Time_by_Instrument[[#This Row],[Low End Estimate (h)]], 0)</f>
        <v>1.5</v>
      </c>
      <c r="U9" s="135">
        <v>3.8</v>
      </c>
      <c r="V9" s="130" t="s">
        <v>409</v>
      </c>
      <c r="W9" s="130" t="s">
        <v>409</v>
      </c>
      <c r="X9" s="130" t="s">
        <v>409</v>
      </c>
      <c r="Y9" s="99" t="b">
        <f t="shared" si="2"/>
        <v>1</v>
      </c>
      <c r="Z9" s="99" t="b">
        <f t="shared" si="2"/>
        <v>0</v>
      </c>
      <c r="AA9" s="99" t="b">
        <f t="shared" si="2"/>
        <v>1</v>
      </c>
      <c r="AB9" s="99" t="b">
        <f t="shared" si="4"/>
        <v>0</v>
      </c>
      <c r="AC9" s="99" t="b">
        <f t="shared" si="4"/>
        <v>1</v>
      </c>
      <c r="AD9" s="99" t="b">
        <f t="shared" si="3"/>
        <v>1</v>
      </c>
      <c r="AE9" s="99" t="b">
        <f t="shared" si="3"/>
        <v>1</v>
      </c>
    </row>
    <row r="10" spans="1:31" ht="15" x14ac:dyDescent="0.25">
      <c r="A10" s="99">
        <v>8</v>
      </c>
      <c r="B10" s="94" t="s">
        <v>142</v>
      </c>
      <c r="C10" s="94" t="str">
        <f>Time_by_Instrument[[#This Row],[EPA Form Name]]</f>
        <v>CSB Eligibility and Scrap Sell Donate Statement</v>
      </c>
      <c r="D10" s="224" t="s">
        <v>67</v>
      </c>
      <c r="E10" s="96" t="s">
        <v>410</v>
      </c>
      <c r="F10" s="96" t="s">
        <v>143</v>
      </c>
      <c r="G10" s="96" t="s">
        <v>125</v>
      </c>
      <c r="H10" s="106">
        <v>1</v>
      </c>
      <c r="I10" s="97">
        <v>2.25</v>
      </c>
      <c r="J10" s="97">
        <v>2.25</v>
      </c>
      <c r="K10" s="97" t="s">
        <v>408</v>
      </c>
      <c r="L10" s="97" t="s">
        <v>408</v>
      </c>
      <c r="M10" s="126">
        <v>1.5</v>
      </c>
      <c r="N10" s="126">
        <v>12</v>
      </c>
      <c r="O10" s="126">
        <f>AVERAGE(Time_by_Instrument[[#This Row],[Low End Estimate (h)]],Time_by_Instrument[[#This Row],[High End Estimate (h)]])</f>
        <v>6.75</v>
      </c>
      <c r="P10" s="497">
        <f>Time_by_Instrument[[#This Row],[Average Estimate (h)]]*Time_by_Instrument[[#This Row],[If Optional, share of participants expected to participate]]</f>
        <v>6.75</v>
      </c>
      <c r="Q10" s="130" t="str">
        <f t="shared" si="0"/>
        <v>1.5 - 12</v>
      </c>
      <c r="R10" s="135">
        <f>Time_by_Instrument[[#This Row],[Average Estimate (h)]]-Time_by_Instrument[[#This Row],[Original Average Estimated Time to Complete (hours)
As estimated Dec 2023]]</f>
        <v>4.5</v>
      </c>
      <c r="S10" s="96" t="s">
        <v>411</v>
      </c>
      <c r="T10" s="307">
        <v>1.5</v>
      </c>
      <c r="U10" s="135">
        <f>Time_by_Instrument[[#This Row],[Weighted Average Time (h)]]</f>
        <v>6.75</v>
      </c>
      <c r="V10" s="130" t="s">
        <v>409</v>
      </c>
      <c r="W10" s="130" t="s">
        <v>409</v>
      </c>
      <c r="X10" s="130" t="s">
        <v>409</v>
      </c>
      <c r="Y10" s="99" t="b">
        <f t="shared" si="2"/>
        <v>0</v>
      </c>
      <c r="Z10" s="99" t="b">
        <f t="shared" si="2"/>
        <v>1</v>
      </c>
      <c r="AA10" s="99" t="b">
        <f t="shared" si="2"/>
        <v>0</v>
      </c>
      <c r="AB10" s="99" t="b">
        <f t="shared" si="4"/>
        <v>0</v>
      </c>
      <c r="AC10" s="99" t="b">
        <f t="shared" si="4"/>
        <v>0</v>
      </c>
      <c r="AD10" s="99" t="b">
        <f t="shared" si="3"/>
        <v>1</v>
      </c>
      <c r="AE10" s="99" t="b">
        <f t="shared" si="3"/>
        <v>1</v>
      </c>
    </row>
    <row r="11" spans="1:31" ht="15" x14ac:dyDescent="0.25">
      <c r="A11" s="99">
        <v>9</v>
      </c>
      <c r="B11" s="94" t="s">
        <v>126</v>
      </c>
      <c r="C11" s="94" t="str">
        <f>Time_by_Instrument[[#This Row],[EPA Form Name]]</f>
        <v>DERA Eligibility Statement</v>
      </c>
      <c r="D11" s="224" t="s">
        <v>101</v>
      </c>
      <c r="E11" s="96" t="s">
        <v>410</v>
      </c>
      <c r="F11" s="96" t="s">
        <v>127</v>
      </c>
      <c r="G11" s="96" t="s">
        <v>125</v>
      </c>
      <c r="H11" s="106">
        <v>1</v>
      </c>
      <c r="I11" s="97">
        <v>2</v>
      </c>
      <c r="J11" s="97">
        <v>2</v>
      </c>
      <c r="K11" s="97" t="s">
        <v>411</v>
      </c>
      <c r="L11" s="97" t="s">
        <v>408</v>
      </c>
      <c r="M11" s="126">
        <v>1.5</v>
      </c>
      <c r="N11" s="126">
        <v>12</v>
      </c>
      <c r="O11" s="126">
        <f>AVERAGE(Time_by_Instrument[[#This Row],[Low End Estimate (h)]],Time_by_Instrument[[#This Row],[High End Estimate (h)]])</f>
        <v>6.75</v>
      </c>
      <c r="P11" s="497">
        <f>Time_by_Instrument[[#This Row],[Average Estimate (h)]]*Time_by_Instrument[[#This Row],[If Optional, share of participants expected to participate]]</f>
        <v>6.75</v>
      </c>
      <c r="Q11" s="130" t="str">
        <f t="shared" si="0"/>
        <v>1.5 - 12</v>
      </c>
      <c r="R11" s="135">
        <f>Time_by_Instrument[[#This Row],[Average Estimate (h)]]-Time_by_Instrument[[#This Row],[Original Average Estimated Time to Complete (hours)
As estimated Dec 2023]]</f>
        <v>4.75</v>
      </c>
      <c r="S11" s="96" t="s">
        <v>411</v>
      </c>
      <c r="T11" s="307">
        <f>IF(Time_by_Instrument[[#This Row],[Applicant?]]=TRUE, Time_by_Instrument[[#This Row],[Low End Estimate (h)]], 0)</f>
        <v>1.5</v>
      </c>
      <c r="U11" s="135">
        <f>Time_by_Instrument[[#This Row],[Weighted Average Time (h)]]</f>
        <v>6.75</v>
      </c>
      <c r="V11" s="130" t="s">
        <v>409</v>
      </c>
      <c r="W11" s="130" t="s">
        <v>409</v>
      </c>
      <c r="X11" s="130" t="s">
        <v>409</v>
      </c>
      <c r="Y11" s="99" t="b">
        <f t="shared" si="2"/>
        <v>1</v>
      </c>
      <c r="Z11" s="99" t="b">
        <f t="shared" si="2"/>
        <v>0</v>
      </c>
      <c r="AA11" s="99" t="b">
        <f t="shared" si="2"/>
        <v>0</v>
      </c>
      <c r="AB11" s="99" t="b">
        <f t="shared" si="4"/>
        <v>0</v>
      </c>
      <c r="AC11" s="99" t="b">
        <f t="shared" si="4"/>
        <v>0</v>
      </c>
      <c r="AD11" s="99" t="b">
        <f t="shared" si="3"/>
        <v>1</v>
      </c>
      <c r="AE11" s="99" t="b">
        <f t="shared" si="3"/>
        <v>1</v>
      </c>
    </row>
    <row r="12" spans="1:31" ht="15" x14ac:dyDescent="0.25">
      <c r="A12" s="99">
        <v>10</v>
      </c>
      <c r="B12" s="94" t="s">
        <v>128</v>
      </c>
      <c r="C12" s="94" t="str">
        <f>Time_by_Instrument[[#This Row],[EPA Form Name]]</f>
        <v>DERA Scrappage Statement</v>
      </c>
      <c r="D12" s="224" t="s">
        <v>101</v>
      </c>
      <c r="E12" s="96" t="s">
        <v>412</v>
      </c>
      <c r="F12" s="96" t="s">
        <v>129</v>
      </c>
      <c r="G12" s="96" t="s">
        <v>125</v>
      </c>
      <c r="H12" s="106">
        <v>1</v>
      </c>
      <c r="I12" s="97">
        <v>2</v>
      </c>
      <c r="J12" s="97">
        <v>2</v>
      </c>
      <c r="K12" s="97" t="s">
        <v>408</v>
      </c>
      <c r="L12" s="97" t="s">
        <v>408</v>
      </c>
      <c r="M12" s="126">
        <v>1.5</v>
      </c>
      <c r="N12" s="126">
        <v>12</v>
      </c>
      <c r="O12" s="126">
        <f>AVERAGE(Time_by_Instrument[[#This Row],[Low End Estimate (h)]],Time_by_Instrument[[#This Row],[High End Estimate (h)]])</f>
        <v>6.75</v>
      </c>
      <c r="P12" s="497">
        <f>Time_by_Instrument[[#This Row],[Average Estimate (h)]]*Time_by_Instrument[[#This Row],[If Optional, share of participants expected to participate]]</f>
        <v>6.75</v>
      </c>
      <c r="Q12" s="130" t="str">
        <f t="shared" si="0"/>
        <v>1.5 - 12</v>
      </c>
      <c r="R12" s="135">
        <f>Time_by_Instrument[[#This Row],[Average Estimate (h)]]-Time_by_Instrument[[#This Row],[Original Average Estimated Time to Complete (hours)
As estimated Dec 2023]]</f>
        <v>4.75</v>
      </c>
      <c r="S12" s="96" t="s">
        <v>411</v>
      </c>
      <c r="T12" s="501">
        <f>IF(Time_by_Instrument[[#This Row],[Applicant?]]=TRUE, Time_by_Instrument[[#This Row],[Weighted Average Time (h)]], 0)</f>
        <v>0</v>
      </c>
      <c r="U12" s="135">
        <f>Time_by_Instrument[[#This Row],[Average Estimate (h)]]</f>
        <v>6.75</v>
      </c>
      <c r="V12" s="130" t="s">
        <v>409</v>
      </c>
      <c r="W12" s="130" t="s">
        <v>409</v>
      </c>
      <c r="X12" s="130" t="s">
        <v>409</v>
      </c>
      <c r="Y12" s="99" t="b">
        <f t="shared" si="2"/>
        <v>1</v>
      </c>
      <c r="Z12" s="99" t="b">
        <f t="shared" si="2"/>
        <v>0</v>
      </c>
      <c r="AA12" s="99" t="b">
        <f t="shared" si="2"/>
        <v>0</v>
      </c>
      <c r="AB12" s="99" t="b">
        <f t="shared" si="4"/>
        <v>0</v>
      </c>
      <c r="AC12" s="99" t="b">
        <f t="shared" si="4"/>
        <v>0</v>
      </c>
      <c r="AD12" s="99" t="b">
        <f t="shared" si="3"/>
        <v>0</v>
      </c>
      <c r="AE12" s="99" t="b">
        <f t="shared" si="3"/>
        <v>1</v>
      </c>
    </row>
    <row r="13" spans="1:31" ht="15" x14ac:dyDescent="0.25">
      <c r="A13" s="99">
        <v>11</v>
      </c>
      <c r="B13" s="94" t="s">
        <v>149</v>
      </c>
      <c r="C13" s="94" t="str">
        <f>Time_by_Instrument[[#This Row],[EPA Form Name]]</f>
        <v>CHDV Supplemental Application Template</v>
      </c>
      <c r="D13" s="224" t="s">
        <v>68</v>
      </c>
      <c r="E13" s="96" t="s">
        <v>406</v>
      </c>
      <c r="F13" s="96" t="s">
        <v>150</v>
      </c>
      <c r="G13" s="96" t="s">
        <v>125</v>
      </c>
      <c r="H13" s="106">
        <v>1</v>
      </c>
      <c r="I13" s="97">
        <v>7.2</v>
      </c>
      <c r="J13" s="97">
        <v>7.2</v>
      </c>
      <c r="K13" s="97" t="s">
        <v>408</v>
      </c>
      <c r="L13" s="97" t="s">
        <v>408</v>
      </c>
      <c r="M13" s="126">
        <f>'CHDV Template Testing 2024'!D7</f>
        <v>6.75</v>
      </c>
      <c r="N13" s="126">
        <f>'CHDV Template Testing 2024'!E7</f>
        <v>7.55</v>
      </c>
      <c r="O13" s="126">
        <f>'CHDV Template Testing 2024'!F7</f>
        <v>7.15</v>
      </c>
      <c r="P13" s="497">
        <f>Time_by_Instrument[[#This Row],[Average Estimate (h)]]*Time_by_Instrument[[#This Row],[If Optional, share of participants expected to participate]]</f>
        <v>7.15</v>
      </c>
      <c r="Q13" s="130" t="str">
        <f t="shared" si="0"/>
        <v>6.8 - 7.6</v>
      </c>
      <c r="R13" s="135">
        <f>Time_by_Instrument[[#This Row],[Average Estimate (h)]]-Time_by_Instrument[[#This Row],[Original Average Estimated Time to Complete (hours)
As estimated Dec 2023]]</f>
        <v>-4.9999999999999822E-2</v>
      </c>
      <c r="S13" s="96" t="s">
        <v>408</v>
      </c>
      <c r="T13" s="307">
        <f>IF(Time_by_Instrument[[#This Row],[Applicant?]]=TRUE, Time_by_Instrument[[#This Row],[Weighted Average Time (h)]], 0)</f>
        <v>7.15</v>
      </c>
      <c r="U13" s="130" t="str">
        <f>IF(S13="No", "-", "")</f>
        <v>-</v>
      </c>
      <c r="V13" s="130" t="s">
        <v>409</v>
      </c>
      <c r="W13" s="130" t="s">
        <v>409</v>
      </c>
      <c r="X13" s="130" t="s">
        <v>409</v>
      </c>
      <c r="Y13" s="99" t="b">
        <f t="shared" ref="Y13:AA21" si="5">IF(ISNUMBER(SEARCH(Y$2,$D13)), TRUE, FALSE)</f>
        <v>0</v>
      </c>
      <c r="Z13" s="99" t="b">
        <f t="shared" si="5"/>
        <v>0</v>
      </c>
      <c r="AA13" s="99" t="b">
        <f t="shared" si="5"/>
        <v>1</v>
      </c>
      <c r="AB13" s="99" t="b">
        <f t="shared" si="4"/>
        <v>0</v>
      </c>
      <c r="AC13" s="99" t="b">
        <f t="shared" si="4"/>
        <v>0</v>
      </c>
      <c r="AD13" s="99" t="b">
        <f t="shared" si="3"/>
        <v>1</v>
      </c>
      <c r="AE13" s="99" t="b">
        <f t="shared" si="3"/>
        <v>0</v>
      </c>
    </row>
    <row r="14" spans="1:31" ht="36" x14ac:dyDescent="0.25">
      <c r="A14" s="99">
        <v>12</v>
      </c>
      <c r="B14" s="128" t="s">
        <v>418</v>
      </c>
      <c r="C14" s="94" t="str">
        <f>Time_by_Instrument[[#This Row],[EPA Form Name]]</f>
        <v>Clean Ports Project Reporting Template*</v>
      </c>
      <c r="D14" s="225" t="s">
        <v>419</v>
      </c>
      <c r="E14" s="129" t="s">
        <v>412</v>
      </c>
      <c r="F14" s="129" t="s">
        <v>420</v>
      </c>
      <c r="G14" s="96" t="s">
        <v>125</v>
      </c>
      <c r="H14" s="106">
        <v>1</v>
      </c>
      <c r="I14" s="98">
        <v>6.8</v>
      </c>
      <c r="J14" s="98">
        <v>6.8</v>
      </c>
      <c r="K14" s="98" t="s">
        <v>408</v>
      </c>
      <c r="L14" s="102" t="s">
        <v>421</v>
      </c>
      <c r="M14" s="127"/>
      <c r="N14" s="127"/>
      <c r="O14" s="127"/>
      <c r="P14" s="498">
        <f>Time_by_Instrument[[#This Row],[Average Estimate (h)]]*Time_by_Instrument[[#This Row],[If Optional, share of participants expected to participate]]</f>
        <v>0</v>
      </c>
      <c r="Q14" s="127"/>
      <c r="R14" s="127"/>
      <c r="S14" s="96" t="s">
        <v>102</v>
      </c>
      <c r="T14" s="307">
        <f>IF(Time_by_Instrument[[#This Row],[Applicant?]]=TRUE, Time_by_Instrument[[#This Row],[Weighted Average Time (h)]], 0)</f>
        <v>0</v>
      </c>
      <c r="U14" s="130">
        <v>0</v>
      </c>
      <c r="V14" s="130" t="s">
        <v>409</v>
      </c>
      <c r="W14" s="130" t="s">
        <v>409</v>
      </c>
      <c r="X14" s="130" t="s">
        <v>409</v>
      </c>
      <c r="Y14" s="103" t="b">
        <f t="shared" si="5"/>
        <v>0</v>
      </c>
      <c r="Z14" s="103" t="b">
        <f t="shared" si="5"/>
        <v>0</v>
      </c>
      <c r="AA14" s="103" t="b">
        <f t="shared" si="5"/>
        <v>0</v>
      </c>
      <c r="AB14" s="103" t="b">
        <f t="shared" si="4"/>
        <v>1</v>
      </c>
      <c r="AC14" s="103" t="b">
        <f t="shared" si="4"/>
        <v>1</v>
      </c>
      <c r="AD14" s="103" t="b">
        <f t="shared" si="3"/>
        <v>0</v>
      </c>
      <c r="AE14" s="103" t="b">
        <f t="shared" si="3"/>
        <v>1</v>
      </c>
    </row>
    <row r="15" spans="1:31" ht="15" x14ac:dyDescent="0.25">
      <c r="A15" s="99">
        <v>13</v>
      </c>
      <c r="B15" s="94" t="s">
        <v>130</v>
      </c>
      <c r="C15" s="94" t="str">
        <f>Time_by_Instrument[[#This Row],[EPA Form Name]]</f>
        <v>DERA Project Reporting Template</v>
      </c>
      <c r="D15" s="224" t="s">
        <v>101</v>
      </c>
      <c r="E15" s="96" t="s">
        <v>412</v>
      </c>
      <c r="F15" s="96" t="s">
        <v>131</v>
      </c>
      <c r="G15" s="96" t="s">
        <v>125</v>
      </c>
      <c r="H15" s="106">
        <v>1</v>
      </c>
      <c r="I15" s="97" t="s">
        <v>102</v>
      </c>
      <c r="J15" s="97">
        <f>(8.6 +13.4)/2</f>
        <v>11</v>
      </c>
      <c r="K15" s="97" t="s">
        <v>411</v>
      </c>
      <c r="L15" s="97" t="s">
        <v>408</v>
      </c>
      <c r="M15" s="126">
        <f>'DERA Template Testing 2024'!D23</f>
        <v>12.373333333333333</v>
      </c>
      <c r="N15" s="126">
        <f>'DERA Template Testing 2024'!E23</f>
        <v>15.683333333333332</v>
      </c>
      <c r="O15" s="126">
        <f>'DERA Template Testing 2024'!F23</f>
        <v>14.028333333333332</v>
      </c>
      <c r="P15" s="497">
        <f>Time_by_Instrument[[#This Row],[Average Estimate (h)]]*Time_by_Instrument[[#This Row],[If Optional, share of participants expected to participate]]</f>
        <v>14.028333333333332</v>
      </c>
      <c r="Q15" s="130" t="str">
        <f t="shared" si="0"/>
        <v>12.4 - 15.7</v>
      </c>
      <c r="R15" s="135">
        <f>Time_by_Instrument[[#This Row],[Average Estimate (h)]]-Time_by_Instrument[[#This Row],[Original Average Estimated Time to Complete (hours)
As estimated Dec 2023]]</f>
        <v>3.0283333333333324</v>
      </c>
      <c r="S15" s="96" t="s">
        <v>411</v>
      </c>
      <c r="T15" s="501">
        <f>IF(Time_by_Instrument[[#This Row],[Applicant?]]=TRUE, Time_by_Instrument[[#This Row],[Weighted Average Time (h)]], 0)</f>
        <v>0</v>
      </c>
      <c r="U15" s="135">
        <f>'Reporting Burden by Program'!K17</f>
        <v>7.0283333333333324</v>
      </c>
      <c r="V15" s="130">
        <f>'Reporting Burden by Program'!L17</f>
        <v>1.5</v>
      </c>
      <c r="W15" s="130">
        <f>'Reporting Burden by Program'!M17</f>
        <v>1.5</v>
      </c>
      <c r="X15" s="130">
        <f>'Reporting Burden by Program'!N17</f>
        <v>4</v>
      </c>
      <c r="Y15" s="99" t="b">
        <f t="shared" si="5"/>
        <v>1</v>
      </c>
      <c r="Z15" s="99" t="b">
        <f t="shared" si="5"/>
        <v>0</v>
      </c>
      <c r="AA15" s="99" t="b">
        <f t="shared" si="5"/>
        <v>0</v>
      </c>
      <c r="AB15" s="99" t="b">
        <f t="shared" si="4"/>
        <v>0</v>
      </c>
      <c r="AC15" s="99" t="b">
        <f t="shared" si="4"/>
        <v>0</v>
      </c>
      <c r="AD15" s="99" t="b">
        <f t="shared" si="3"/>
        <v>0</v>
      </c>
      <c r="AE15" s="99" t="b">
        <f t="shared" si="3"/>
        <v>1</v>
      </c>
    </row>
    <row r="16" spans="1:31" ht="15" x14ac:dyDescent="0.25">
      <c r="A16" s="99">
        <v>14</v>
      </c>
      <c r="B16" s="94" t="s">
        <v>144</v>
      </c>
      <c r="C16" s="94" t="str">
        <f>Time_by_Instrument[[#This Row],[EPA Form Name]]</f>
        <v>CSB Project Reporting Template</v>
      </c>
      <c r="D16" s="224" t="s">
        <v>67</v>
      </c>
      <c r="E16" s="96" t="s">
        <v>412</v>
      </c>
      <c r="F16" s="96" t="s">
        <v>145</v>
      </c>
      <c r="G16" s="96" t="s">
        <v>125</v>
      </c>
      <c r="H16" s="106">
        <v>1</v>
      </c>
      <c r="I16" s="97" t="s">
        <v>422</v>
      </c>
      <c r="J16" s="97">
        <f>(7.4+13.5)/2</f>
        <v>10.45</v>
      </c>
      <c r="K16" s="97" t="s">
        <v>411</v>
      </c>
      <c r="L16" s="97" t="s">
        <v>408</v>
      </c>
      <c r="M16" s="126">
        <f>'CSB Template Testing 2024'!E23</f>
        <v>12.608333333333334</v>
      </c>
      <c r="N16" s="126">
        <f>'CSB Template Testing 2024'!D23</f>
        <v>14.2</v>
      </c>
      <c r="O16" s="126">
        <f>'CSB Template Testing 2024'!F23</f>
        <v>13.404166666666667</v>
      </c>
      <c r="P16" s="497">
        <f>Time_by_Instrument[[#This Row],[Average Estimate (h)]]*Time_by_Instrument[[#This Row],[If Optional, share of participants expected to participate]]</f>
        <v>13.404166666666667</v>
      </c>
      <c r="Q16" s="130" t="str">
        <f t="shared" si="0"/>
        <v>12.6 - 14.2</v>
      </c>
      <c r="R16" s="135">
        <f>Time_by_Instrument[[#This Row],[Average Estimate (h)]]-Time_by_Instrument[[#This Row],[Original Average Estimated Time to Complete (hours)
As estimated Dec 2023]]</f>
        <v>2.9541666666666675</v>
      </c>
      <c r="S16" s="96" t="s">
        <v>411</v>
      </c>
      <c r="T16" s="307">
        <f>IF(Time_by_Instrument[[#This Row],[Applicant?]]=TRUE, Time_by_Instrument[[#This Row],[Weighted Average Time (h)]], 0)</f>
        <v>0</v>
      </c>
      <c r="U16" s="130">
        <v>9.1</v>
      </c>
      <c r="V16" s="130">
        <v>1.4</v>
      </c>
      <c r="W16" s="130">
        <v>2.9</v>
      </c>
      <c r="X16" s="130" t="s">
        <v>409</v>
      </c>
      <c r="Y16" s="99" t="b">
        <f t="shared" si="5"/>
        <v>0</v>
      </c>
      <c r="Z16" s="99" t="b">
        <f t="shared" si="5"/>
        <v>1</v>
      </c>
      <c r="AA16" s="99" t="b">
        <f t="shared" si="5"/>
        <v>0</v>
      </c>
      <c r="AB16" s="99" t="b">
        <f t="shared" si="4"/>
        <v>0</v>
      </c>
      <c r="AC16" s="99" t="b">
        <f t="shared" si="4"/>
        <v>0</v>
      </c>
      <c r="AD16" s="99" t="b">
        <f t="shared" si="3"/>
        <v>0</v>
      </c>
      <c r="AE16" s="99" t="b">
        <f t="shared" si="3"/>
        <v>1</v>
      </c>
    </row>
    <row r="17" spans="1:31" ht="15" x14ac:dyDescent="0.25">
      <c r="A17" s="99">
        <v>15</v>
      </c>
      <c r="B17" s="94" t="s">
        <v>146</v>
      </c>
      <c r="C17" s="94" t="str">
        <f>Time_by_Instrument[[#This Row],[EPA Form Name]]</f>
        <v>CSB Utility Partnership Statement</v>
      </c>
      <c r="D17" s="224" t="s">
        <v>67</v>
      </c>
      <c r="E17" s="96" t="s">
        <v>410</v>
      </c>
      <c r="F17" s="96" t="s">
        <v>147</v>
      </c>
      <c r="G17" s="96" t="s">
        <v>125</v>
      </c>
      <c r="H17" s="106">
        <v>1</v>
      </c>
      <c r="I17" s="97">
        <v>2</v>
      </c>
      <c r="J17" s="97">
        <v>2</v>
      </c>
      <c r="K17" s="97" t="s">
        <v>408</v>
      </c>
      <c r="L17" s="97" t="s">
        <v>408</v>
      </c>
      <c r="M17" s="126">
        <v>1.5</v>
      </c>
      <c r="N17" s="126">
        <v>6</v>
      </c>
      <c r="O17" s="126">
        <f>AVERAGE(Time_by_Instrument[[#This Row],[Low End Estimate (h)]],Time_by_Instrument[[#This Row],[High End Estimate (h)]])</f>
        <v>3.75</v>
      </c>
      <c r="P17" s="497">
        <f>Time_by_Instrument[[#This Row],[Average Estimate (h)]]*Time_by_Instrument[[#This Row],[If Optional, share of participants expected to participate]]</f>
        <v>3.75</v>
      </c>
      <c r="Q17" s="130" t="str">
        <f t="shared" si="0"/>
        <v>1.5 - 6</v>
      </c>
      <c r="R17" s="135">
        <f>Time_by_Instrument[[#This Row],[Average Estimate (h)]]-Time_by_Instrument[[#This Row],[Original Average Estimated Time to Complete (hours)
As estimated Dec 2023]]</f>
        <v>1.75</v>
      </c>
      <c r="S17" s="96" t="s">
        <v>408</v>
      </c>
      <c r="T17" s="307">
        <v>1.5</v>
      </c>
      <c r="U17" s="135">
        <f>Time_by_Instrument[[#This Row],[Weighted Average Time (h)]]</f>
        <v>3.75</v>
      </c>
      <c r="V17" s="130" t="s">
        <v>409</v>
      </c>
      <c r="W17" s="130" t="s">
        <v>409</v>
      </c>
      <c r="X17" s="130" t="s">
        <v>409</v>
      </c>
      <c r="Y17" s="99" t="b">
        <f t="shared" si="5"/>
        <v>0</v>
      </c>
      <c r="Z17" s="99" t="b">
        <f t="shared" si="5"/>
        <v>1</v>
      </c>
      <c r="AA17" s="99" t="b">
        <f t="shared" si="5"/>
        <v>0</v>
      </c>
      <c r="AB17" s="99" t="b">
        <f t="shared" si="4"/>
        <v>0</v>
      </c>
      <c r="AC17" s="99" t="b">
        <f t="shared" si="4"/>
        <v>0</v>
      </c>
      <c r="AD17" s="99" t="b">
        <f t="shared" si="3"/>
        <v>1</v>
      </c>
      <c r="AE17" s="99" t="b">
        <f t="shared" si="3"/>
        <v>1</v>
      </c>
    </row>
    <row r="18" spans="1:31" ht="30" x14ac:dyDescent="0.25">
      <c r="A18" s="99">
        <v>16</v>
      </c>
      <c r="B18" s="94" t="s">
        <v>158</v>
      </c>
      <c r="C18" s="94" t="str">
        <f>Time_by_Instrument[[#This Row],[EPA Form Name]]</f>
        <v>Clean Ports Climate and Air Quality Planning Project Reporting Template</v>
      </c>
      <c r="D18" s="224" t="s">
        <v>423</v>
      </c>
      <c r="E18" s="96" t="s">
        <v>412</v>
      </c>
      <c r="F18" s="96" t="s">
        <v>136</v>
      </c>
      <c r="G18" s="96" t="s">
        <v>125</v>
      </c>
      <c r="H18" s="106">
        <v>1</v>
      </c>
      <c r="I18" s="97" t="s">
        <v>424</v>
      </c>
      <c r="J18" s="98">
        <v>6.8</v>
      </c>
      <c r="K18" s="97" t="s">
        <v>102</v>
      </c>
      <c r="L18" s="97" t="s">
        <v>425</v>
      </c>
      <c r="M18" s="126">
        <f>'CPP Template Testing 2024'!D58</f>
        <v>13.033333333333333</v>
      </c>
      <c r="N18" s="126">
        <f>'CPP Template Testing 2024'!E58</f>
        <v>14.987500000000001</v>
      </c>
      <c r="O18" s="126">
        <f>'CPP Template Testing 2024'!F58</f>
        <v>14</v>
      </c>
      <c r="P18" s="497">
        <f>Time_by_Instrument[[#This Row],[Average Estimate (h)]]*Time_by_Instrument[[#This Row],[If Optional, share of participants expected to participate]]</f>
        <v>14</v>
      </c>
      <c r="Q18" s="130" t="str">
        <f t="shared" si="0"/>
        <v>13 - 15</v>
      </c>
      <c r="R18" s="135">
        <f>Time_by_Instrument[[#This Row],[Average Estimate (h)]]-Time_by_Instrument[[#This Row],[Original Average Estimated Time to Complete (hours)
As estimated Dec 2023]]</f>
        <v>7.2</v>
      </c>
      <c r="S18" s="96" t="s">
        <v>411</v>
      </c>
      <c r="T18" s="307">
        <f>IF(Time_by_Instrument[[#This Row],[Applicant?]]=TRUE, Time_by_Instrument[[#This Row],[Weighted Average Time (h)]], 0)</f>
        <v>0</v>
      </c>
      <c r="U18" s="130">
        <f>'CPP Template Testing 2024'!G58</f>
        <v>6.2</v>
      </c>
      <c r="V18" s="130">
        <f>'CPP Template Testing 2024'!H58</f>
        <v>2.5</v>
      </c>
      <c r="W18" s="130">
        <v>5</v>
      </c>
      <c r="X18" s="130" t="s">
        <v>409</v>
      </c>
      <c r="Y18" s="99" t="b">
        <f t="shared" si="5"/>
        <v>0</v>
      </c>
      <c r="Z18" s="99" t="b">
        <f t="shared" si="5"/>
        <v>0</v>
      </c>
      <c r="AA18" s="99" t="b">
        <f t="shared" si="5"/>
        <v>0</v>
      </c>
      <c r="AB18" s="99" t="b">
        <f t="shared" si="4"/>
        <v>1</v>
      </c>
      <c r="AC18" s="99" t="b">
        <f t="shared" si="4"/>
        <v>0</v>
      </c>
      <c r="AD18" s="99" t="b">
        <f t="shared" si="3"/>
        <v>0</v>
      </c>
      <c r="AE18" s="99" t="b">
        <f t="shared" si="3"/>
        <v>1</v>
      </c>
    </row>
    <row r="19" spans="1:31" ht="30" x14ac:dyDescent="0.25">
      <c r="A19" s="99">
        <v>17</v>
      </c>
      <c r="B19" s="94" t="s">
        <v>162</v>
      </c>
      <c r="C19" s="94" t="str">
        <f>Time_by_Instrument[[#This Row],[EPA Form Name]]</f>
        <v>Clean Ports Zero-Emission Technology Project Reporting Template</v>
      </c>
      <c r="D19" s="224" t="s">
        <v>415</v>
      </c>
      <c r="E19" s="96" t="s">
        <v>412</v>
      </c>
      <c r="F19" s="96" t="s">
        <v>136</v>
      </c>
      <c r="G19" s="96" t="s">
        <v>125</v>
      </c>
      <c r="H19" s="106">
        <v>1</v>
      </c>
      <c r="I19" s="97" t="s">
        <v>424</v>
      </c>
      <c r="J19" s="98">
        <v>6.8</v>
      </c>
      <c r="K19" s="97" t="s">
        <v>102</v>
      </c>
      <c r="L19" s="97" t="s">
        <v>425</v>
      </c>
      <c r="M19" s="126">
        <f>'CPP Template Testing 2024'!E38</f>
        <v>22.441666666666674</v>
      </c>
      <c r="N19" s="126">
        <f>'CPP Template Testing 2024'!D38</f>
        <v>29.616666666666667</v>
      </c>
      <c r="O19" s="126">
        <f>'CPP Template Testing 2024'!F38</f>
        <v>26.029166666666665</v>
      </c>
      <c r="P19" s="497">
        <f>Time_by_Instrument[[#This Row],[Average Estimate (h)]]*Time_by_Instrument[[#This Row],[If Optional, share of participants expected to participate]]</f>
        <v>26.029166666666665</v>
      </c>
      <c r="Q19" s="130" t="str">
        <f t="shared" si="0"/>
        <v>22.4 - 29.6</v>
      </c>
      <c r="R19" s="135">
        <f>Time_by_Instrument[[#This Row],[Average Estimate (h)]]-Time_by_Instrument[[#This Row],[Original Average Estimated Time to Complete (hours)
As estimated Dec 2023]]</f>
        <v>19.229166666666664</v>
      </c>
      <c r="S19" s="96" t="s">
        <v>411</v>
      </c>
      <c r="T19" s="307">
        <f>IF(Time_by_Instrument[[#This Row],[Applicant?]]=TRUE, Time_by_Instrument[[#This Row],[Weighted Average Time (h)]], 0)</f>
        <v>0</v>
      </c>
      <c r="U19" s="135">
        <v>15.9</v>
      </c>
      <c r="V19" s="130">
        <v>2.7</v>
      </c>
      <c r="W19" s="130">
        <v>2.7</v>
      </c>
      <c r="X19" s="130">
        <v>4.7</v>
      </c>
      <c r="Y19" s="99" t="b">
        <f t="shared" si="5"/>
        <v>0</v>
      </c>
      <c r="Z19" s="99" t="b">
        <f t="shared" si="5"/>
        <v>0</v>
      </c>
      <c r="AA19" s="99" t="b">
        <f t="shared" si="5"/>
        <v>0</v>
      </c>
      <c r="AB19" s="99" t="b">
        <f t="shared" si="4"/>
        <v>0</v>
      </c>
      <c r="AC19" s="99" t="b">
        <f t="shared" si="4"/>
        <v>1</v>
      </c>
      <c r="AD19" s="99" t="b">
        <f t="shared" si="3"/>
        <v>0</v>
      </c>
      <c r="AE19" s="99" t="b">
        <f t="shared" si="3"/>
        <v>1</v>
      </c>
    </row>
    <row r="20" spans="1:31" ht="84" x14ac:dyDescent="0.25">
      <c r="A20" s="99">
        <v>18</v>
      </c>
      <c r="B20" s="94" t="s">
        <v>135</v>
      </c>
      <c r="C20" s="94" t="str">
        <f>Time_by_Instrument[[#This Row],[EPA Form Name]]</f>
        <v>OTAQ Funding Program Recipient Story Collection Form</v>
      </c>
      <c r="D20" s="224" t="s">
        <v>426</v>
      </c>
      <c r="E20" s="96" t="s">
        <v>412</v>
      </c>
      <c r="F20" s="96" t="s">
        <v>136</v>
      </c>
      <c r="G20" s="96" t="s">
        <v>134</v>
      </c>
      <c r="H20" s="106">
        <v>0.1</v>
      </c>
      <c r="I20" s="97" t="s">
        <v>102</v>
      </c>
      <c r="J20" s="97">
        <v>0</v>
      </c>
      <c r="K20" s="97" t="s">
        <v>102</v>
      </c>
      <c r="L20" s="97" t="s">
        <v>425</v>
      </c>
      <c r="M20" s="126">
        <v>1.5</v>
      </c>
      <c r="N20" s="126">
        <v>3</v>
      </c>
      <c r="O20" s="126">
        <f>AVERAGE(Time_by_Instrument[[#This Row],[Low End Estimate (h)]],Time_by_Instrument[[#This Row],[High End Estimate (h)]])</f>
        <v>2.25</v>
      </c>
      <c r="P20" s="497">
        <f>Time_by_Instrument[[#This Row],[Average Estimate (h)]]*Time_by_Instrument[[#This Row],[If Optional, share of participants expected to participate]]</f>
        <v>0.22500000000000001</v>
      </c>
      <c r="Q20" s="130" t="str">
        <f>_xlfn.TEXTJOIN(" - ",TRUE,ROUND(M20,1),ROUND(N20,1))</f>
        <v>1.5 - 3</v>
      </c>
      <c r="R20" s="135">
        <f>Time_by_Instrument[[#This Row],[Average Estimate (h)]]-Time_by_Instrument[[#This Row],[Original Average Estimated Time to Complete (hours)
As estimated Dec 2023]]</f>
        <v>2.25</v>
      </c>
      <c r="S20" s="96" t="s">
        <v>408</v>
      </c>
      <c r="T20" s="501">
        <f>IF(Time_by_Instrument[[#This Row],[Applicant?]]=TRUE, Time_by_Instrument[[#This Row],[Weighted Average Time (h)]], 0)</f>
        <v>0</v>
      </c>
      <c r="U20" s="135">
        <f>Time_by_Instrument[[#This Row],[Weighted Average Time (h)]]</f>
        <v>0.22500000000000001</v>
      </c>
      <c r="V20" s="130" t="s">
        <v>409</v>
      </c>
      <c r="W20" s="130" t="s">
        <v>409</v>
      </c>
      <c r="X20" s="130" t="s">
        <v>409</v>
      </c>
      <c r="Y20" s="99" t="b">
        <f t="shared" si="5"/>
        <v>1</v>
      </c>
      <c r="Z20" s="99" t="b">
        <f t="shared" si="5"/>
        <v>1</v>
      </c>
      <c r="AA20" s="99" t="b">
        <f t="shared" si="5"/>
        <v>1</v>
      </c>
      <c r="AB20" s="99" t="b">
        <f t="shared" si="4"/>
        <v>1</v>
      </c>
      <c r="AC20" s="99" t="b">
        <f t="shared" si="4"/>
        <v>1</v>
      </c>
      <c r="AD20" s="99" t="b">
        <f t="shared" si="3"/>
        <v>0</v>
      </c>
      <c r="AE20" s="99" t="b">
        <f t="shared" si="3"/>
        <v>1</v>
      </c>
    </row>
    <row r="21" spans="1:31" ht="30" x14ac:dyDescent="0.25">
      <c r="A21" s="99">
        <v>19</v>
      </c>
      <c r="B21" s="507" t="s">
        <v>164</v>
      </c>
      <c r="C21" s="507" t="s">
        <v>427</v>
      </c>
      <c r="D21" s="226" t="s">
        <v>415</v>
      </c>
      <c r="E21" s="99" t="s">
        <v>412</v>
      </c>
      <c r="F21" s="99" t="s">
        <v>136</v>
      </c>
      <c r="G21" s="99" t="s">
        <v>125</v>
      </c>
      <c r="H21" s="161">
        <v>1</v>
      </c>
      <c r="I21" s="99" t="s">
        <v>102</v>
      </c>
      <c r="J21" s="99">
        <v>2</v>
      </c>
      <c r="K21" s="99" t="s">
        <v>102</v>
      </c>
      <c r="L21" s="99" t="s">
        <v>428</v>
      </c>
      <c r="M21" s="162">
        <v>1.5</v>
      </c>
      <c r="N21" s="162">
        <v>12</v>
      </c>
      <c r="O21" s="126">
        <f>AVERAGE(Time_by_Instrument[[#This Row],[Low End Estimate (h)]],Time_by_Instrument[[#This Row],[High End Estimate (h)]])</f>
        <v>6.75</v>
      </c>
      <c r="P21" s="497">
        <f>Time_by_Instrument[[#This Row],[Average Estimate (h)]]*Time_by_Instrument[[#This Row],[If Optional, share of participants expected to participate]]</f>
        <v>6.75</v>
      </c>
      <c r="Q21" s="130" t="str">
        <f>_xlfn.TEXTJOIN(" - ",TRUE,ROUND(M21,1),ROUND(N21,1))</f>
        <v>1.5 - 12</v>
      </c>
      <c r="R21" s="135">
        <f>Time_by_Instrument[[#This Row],[Average Estimate (h)]]-Time_by_Instrument[[#This Row],[Original Average Estimated Time to Complete (hours)
As estimated Dec 2023]]</f>
        <v>4.75</v>
      </c>
      <c r="S21" s="99" t="s">
        <v>408</v>
      </c>
      <c r="T21" s="307">
        <f>IF(Time_by_Instrument[[#This Row],[Applicant?]]=TRUE, Time_by_Instrument[[#This Row],[Weighted Average Time (h)]], 0)</f>
        <v>0</v>
      </c>
      <c r="U21" s="162">
        <f>Time_by_Instrument[[#This Row],[Weighted Average Time (h)]]/4</f>
        <v>1.6875</v>
      </c>
      <c r="V21" s="162">
        <f>Time_by_Instrument[[#This Row],[Weighted Average Time (h)]]/4</f>
        <v>1.6875</v>
      </c>
      <c r="W21" s="162">
        <f>Time_by_Instrument[[#This Row],[Weighted Average Time (h)]]/4</f>
        <v>1.6875</v>
      </c>
      <c r="X21" s="162">
        <f>Time_by_Instrument[[#This Row],[Weighted Average Time (h)]]/4</f>
        <v>1.6875</v>
      </c>
      <c r="Y21" s="99" t="b">
        <f t="shared" si="5"/>
        <v>0</v>
      </c>
      <c r="Z21" s="99" t="b">
        <f t="shared" si="5"/>
        <v>0</v>
      </c>
      <c r="AA21" s="99" t="b">
        <f t="shared" si="5"/>
        <v>0</v>
      </c>
      <c r="AB21" s="99" t="b">
        <f t="shared" si="4"/>
        <v>0</v>
      </c>
      <c r="AC21" s="99" t="b">
        <f t="shared" si="4"/>
        <v>1</v>
      </c>
      <c r="AD21" s="99" t="b">
        <f t="shared" si="3"/>
        <v>0</v>
      </c>
      <c r="AE21" s="99" t="b">
        <f t="shared" si="3"/>
        <v>1</v>
      </c>
    </row>
    <row r="22" spans="1:31" ht="24" x14ac:dyDescent="0.25">
      <c r="A22" s="99">
        <v>20</v>
      </c>
      <c r="B22" s="445" t="s">
        <v>163</v>
      </c>
      <c r="C22" s="445" t="s">
        <v>429</v>
      </c>
      <c r="D22" s="226" t="s">
        <v>415</v>
      </c>
      <c r="E22" s="96" t="s">
        <v>412</v>
      </c>
      <c r="F22" s="96" t="s">
        <v>136</v>
      </c>
      <c r="G22" s="96" t="s">
        <v>125</v>
      </c>
      <c r="H22" s="106">
        <v>1</v>
      </c>
      <c r="I22" s="97" t="s">
        <v>102</v>
      </c>
      <c r="J22" s="227">
        <f>(2.2+6.1)/2</f>
        <v>4.1500000000000004</v>
      </c>
      <c r="K22" s="97"/>
      <c r="L22" s="97"/>
      <c r="M22" s="126">
        <v>1.5</v>
      </c>
      <c r="N22" s="126">
        <v>12</v>
      </c>
      <c r="O22" s="126">
        <f>AVERAGE(Time_by_Instrument[[#This Row],[Low End Estimate (h)]],Time_by_Instrument[[#This Row],[High End Estimate (h)]])</f>
        <v>6.75</v>
      </c>
      <c r="P22" s="497">
        <f>Time_by_Instrument[[#This Row],[Average Estimate (h)]]*Time_by_Instrument[[#This Row],[If Optional, share of participants expected to participate]]</f>
        <v>6.75</v>
      </c>
      <c r="Q22" s="130" t="str">
        <f t="shared" ref="Q22" si="6">_xlfn.TEXTJOIN(" - ",TRUE,ROUND(M22,1),ROUND(N22,1))</f>
        <v>1.5 - 12</v>
      </c>
      <c r="R22" s="135">
        <f>Time_by_Instrument[[#This Row],[Average Estimate (h)]]-Time_by_Instrument[[#This Row],[Original Average Estimated Time to Complete (hours)
As estimated Dec 2023]]</f>
        <v>2.5999999999999996</v>
      </c>
      <c r="S22" s="96" t="s">
        <v>408</v>
      </c>
      <c r="T22" s="307">
        <f>IF(Time_by_Instrument[[#This Row],[Applicant?]]=TRUE, Time_by_Instrument[[#This Row],[Weighted Average Time (h)]], 0)</f>
        <v>0</v>
      </c>
      <c r="U22" s="130" t="s">
        <v>409</v>
      </c>
      <c r="V22" s="130" t="s">
        <v>409</v>
      </c>
      <c r="W22" s="130" t="s">
        <v>409</v>
      </c>
      <c r="X22" s="135">
        <f>Time_by_Instrument[[#This Row],[Average Estimate (h)]]</f>
        <v>6.75</v>
      </c>
      <c r="Y22" s="99" t="b">
        <f t="shared" ref="Y22:AC26" si="7">IF(ISNUMBER(SEARCH(Y$2,$D22)), TRUE, FALSE)</f>
        <v>0</v>
      </c>
      <c r="Z22" s="99" t="b">
        <f t="shared" si="7"/>
        <v>0</v>
      </c>
      <c r="AA22" s="99" t="b">
        <f t="shared" si="7"/>
        <v>0</v>
      </c>
      <c r="AB22" s="99" t="b">
        <f t="shared" si="7"/>
        <v>0</v>
      </c>
      <c r="AC22" s="99" t="b">
        <f t="shared" si="7"/>
        <v>1</v>
      </c>
      <c r="AD22" s="99" t="b">
        <f t="shared" ref="AD22:AE26" si="8">IF(ISNUMBER(SEARCH(AD$2,$E22)), TRUE, FALSE)</f>
        <v>0</v>
      </c>
      <c r="AE22" s="99" t="b">
        <f t="shared" si="8"/>
        <v>1</v>
      </c>
    </row>
    <row r="23" spans="1:31" ht="15" x14ac:dyDescent="0.25">
      <c r="A23" s="99">
        <v>21</v>
      </c>
      <c r="B23" s="94" t="s">
        <v>137</v>
      </c>
      <c r="C23" s="94" t="str">
        <f>Time_by_Instrument[[#This Row],[EPA Form Name]]</f>
        <v>BABA Waiver Request (non-form information collection)</v>
      </c>
      <c r="D23" s="224" t="s">
        <v>101</v>
      </c>
      <c r="E23" s="96" t="s">
        <v>412</v>
      </c>
      <c r="F23" s="96" t="s">
        <v>102</v>
      </c>
      <c r="G23" s="96" t="s">
        <v>134</v>
      </c>
      <c r="H23" s="106">
        <f>'Reporting Burden by Program'!D20</f>
        <v>8.9285714285714288E-2</v>
      </c>
      <c r="I23" s="97"/>
      <c r="J23" s="227">
        <f>(2.2+6.1)/2</f>
        <v>4.1500000000000004</v>
      </c>
      <c r="K23" s="97"/>
      <c r="L23" s="97"/>
      <c r="M23" s="126">
        <v>4</v>
      </c>
      <c r="N23" s="126">
        <v>6</v>
      </c>
      <c r="O23" s="126">
        <f>AVERAGE(Time_by_Instrument[[#This Row],[Low End Estimate (h)]],Time_by_Instrument[[#This Row],[High End Estimate (h)]])</f>
        <v>5</v>
      </c>
      <c r="P23" s="497">
        <f>Time_by_Instrument[[#This Row],[Average Estimate (h)]]*Time_by_Instrument[[#This Row],[If Optional, share of participants expected to participate]]</f>
        <v>0.44642857142857145</v>
      </c>
      <c r="Q23" s="130" t="str">
        <f>_xlfn.TEXTJOIN(" - ",TRUE,ROUND(M23,1),ROUND(N23,1))</f>
        <v>4 - 6</v>
      </c>
      <c r="R23" s="135">
        <f>Time_by_Instrument[[#This Row],[Average Estimate (h)]]-Time_by_Instrument[[#This Row],[Original Average Estimated Time to Complete (hours)
As estimated Dec 2023]]</f>
        <v>0.84999999999999964</v>
      </c>
      <c r="S23" s="96" t="s">
        <v>408</v>
      </c>
      <c r="T23" s="501">
        <f>IF(Time_by_Instrument[[#This Row],[Applicant?]]=TRUE, Time_by_Instrument[[#This Row],[Weighted Average Time (h)]], 0)</f>
        <v>0</v>
      </c>
      <c r="U23" s="135">
        <f>Time_by_Instrument[[#This Row],[Weighted Average Time (h)]]</f>
        <v>0.44642857142857145</v>
      </c>
      <c r="V23" s="130" t="s">
        <v>409</v>
      </c>
      <c r="W23" s="130" t="s">
        <v>409</v>
      </c>
      <c r="X23" s="130" t="s">
        <v>409</v>
      </c>
      <c r="Y23" s="99" t="b">
        <f t="shared" si="7"/>
        <v>1</v>
      </c>
      <c r="Z23" s="99" t="b">
        <f t="shared" si="7"/>
        <v>0</v>
      </c>
      <c r="AA23" s="99" t="b">
        <f t="shared" si="7"/>
        <v>0</v>
      </c>
      <c r="AB23" s="99" t="b">
        <f t="shared" si="7"/>
        <v>0</v>
      </c>
      <c r="AC23" s="99" t="b">
        <f t="shared" si="7"/>
        <v>0</v>
      </c>
      <c r="AD23" s="99" t="b">
        <f t="shared" si="8"/>
        <v>0</v>
      </c>
      <c r="AE23" s="99" t="b">
        <f t="shared" si="8"/>
        <v>1</v>
      </c>
    </row>
    <row r="24" spans="1:31" ht="15" x14ac:dyDescent="0.25">
      <c r="A24" s="99">
        <v>22</v>
      </c>
      <c r="B24" s="94" t="s">
        <v>137</v>
      </c>
      <c r="C24" s="94" t="str">
        <f>Time_by_Instrument[[#This Row],[EPA Form Name]]</f>
        <v>BABA Waiver Request (non-form information collection)</v>
      </c>
      <c r="D24" s="224" t="s">
        <v>430</v>
      </c>
      <c r="E24" s="96" t="s">
        <v>412</v>
      </c>
      <c r="F24" s="96" t="s">
        <v>102</v>
      </c>
      <c r="G24" s="96" t="s">
        <v>134</v>
      </c>
      <c r="H24" s="106">
        <f>'Reporting Burden by Program'!D30</f>
        <v>0.2</v>
      </c>
      <c r="I24" s="97"/>
      <c r="J24" s="227">
        <f>(2.2+6.1)/2</f>
        <v>4.1500000000000004</v>
      </c>
      <c r="K24" s="97"/>
      <c r="L24" s="97"/>
      <c r="M24" s="126">
        <v>4</v>
      </c>
      <c r="N24" s="126">
        <v>6</v>
      </c>
      <c r="O24" s="126">
        <f>AVERAGE(Time_by_Instrument[[#This Row],[Low End Estimate (h)]],Time_by_Instrument[[#This Row],[High End Estimate (h)]])</f>
        <v>5</v>
      </c>
      <c r="P24" s="497">
        <f>Time_by_Instrument[[#This Row],[Average Estimate (h)]]*Time_by_Instrument[[#This Row],[If Optional, share of participants expected to participate]]</f>
        <v>1</v>
      </c>
      <c r="Q24" s="130" t="str">
        <f>_xlfn.TEXTJOIN(" - ",TRUE,ROUND(M24,1),ROUND(N24,1))</f>
        <v>4 - 6</v>
      </c>
      <c r="R24" s="135">
        <f>Time_by_Instrument[[#This Row],[Average Estimate (h)]]-Time_by_Instrument[[#This Row],[Original Average Estimated Time to Complete (hours)
As estimated Dec 2023]]</f>
        <v>0.84999999999999964</v>
      </c>
      <c r="S24" s="96" t="s">
        <v>408</v>
      </c>
      <c r="T24" s="307">
        <f>IF(Time_by_Instrument[[#This Row],[Applicant?]]=TRUE, Time_by_Instrument[[#This Row],[Weighted Average Time (h)]], 0)</f>
        <v>0</v>
      </c>
      <c r="U24" s="135">
        <f>Time_by_Instrument[[#This Row],[Weighted Average Time (h)]]</f>
        <v>1</v>
      </c>
      <c r="V24" s="130" t="s">
        <v>409</v>
      </c>
      <c r="W24" s="130" t="s">
        <v>409</v>
      </c>
      <c r="X24" s="130" t="s">
        <v>409</v>
      </c>
      <c r="Y24" s="99" t="b">
        <f t="shared" si="7"/>
        <v>0</v>
      </c>
      <c r="Z24" s="99" t="b">
        <f t="shared" si="7"/>
        <v>1</v>
      </c>
      <c r="AA24" s="99" t="b">
        <f t="shared" si="7"/>
        <v>0</v>
      </c>
      <c r="AB24" s="99" t="b">
        <f t="shared" si="7"/>
        <v>0</v>
      </c>
      <c r="AC24" s="99" t="b">
        <f t="shared" si="7"/>
        <v>0</v>
      </c>
      <c r="AD24" s="99" t="b">
        <f t="shared" si="8"/>
        <v>0</v>
      </c>
      <c r="AE24" s="99" t="b">
        <f t="shared" si="8"/>
        <v>1</v>
      </c>
    </row>
    <row r="25" spans="1:31" ht="15" x14ac:dyDescent="0.25">
      <c r="A25" s="99">
        <v>23</v>
      </c>
      <c r="B25" s="94" t="s">
        <v>137</v>
      </c>
      <c r="C25" s="94" t="str">
        <f>Time_by_Instrument[[#This Row],[EPA Form Name]]</f>
        <v>BABA Waiver Request (non-form information collection)</v>
      </c>
      <c r="D25" s="224" t="s">
        <v>431</v>
      </c>
      <c r="E25" s="96" t="s">
        <v>412</v>
      </c>
      <c r="F25" s="96" t="s">
        <v>102</v>
      </c>
      <c r="G25" s="96" t="s">
        <v>134</v>
      </c>
      <c r="H25" s="106">
        <f>'Reporting Burden by Program'!D40</f>
        <v>0.5714285714285714</v>
      </c>
      <c r="I25" s="97"/>
      <c r="J25" s="227">
        <f>(2.2+6.1)/2</f>
        <v>4.1500000000000004</v>
      </c>
      <c r="K25" s="97"/>
      <c r="L25" s="97"/>
      <c r="M25" s="126">
        <v>4</v>
      </c>
      <c r="N25" s="126">
        <v>6</v>
      </c>
      <c r="O25" s="126">
        <f>AVERAGE(Time_by_Instrument[[#This Row],[Low End Estimate (h)]],Time_by_Instrument[[#This Row],[High End Estimate (h)]])</f>
        <v>5</v>
      </c>
      <c r="P25" s="497">
        <f>Time_by_Instrument[[#This Row],[Average Estimate (h)]]*Time_by_Instrument[[#This Row],[If Optional, share of participants expected to participate]]</f>
        <v>2.8571428571428568</v>
      </c>
      <c r="Q25" s="130" t="str">
        <f>_xlfn.TEXTJOIN(" - ",TRUE,ROUND(M25,1),ROUND(N25,1))</f>
        <v>4 - 6</v>
      </c>
      <c r="R25" s="135">
        <f>Time_by_Instrument[[#This Row],[Average Estimate (h)]]-Time_by_Instrument[[#This Row],[Original Average Estimated Time to Complete (hours)
As estimated Dec 2023]]</f>
        <v>0.84999999999999964</v>
      </c>
      <c r="S25" s="96" t="s">
        <v>408</v>
      </c>
      <c r="T25" s="307">
        <f>IF(Time_by_Instrument[[#This Row],[Applicant?]]=TRUE, Time_by_Instrument[[#This Row],[Weighted Average Time (h)]], 0)</f>
        <v>0</v>
      </c>
      <c r="U25" s="135">
        <f>Time_by_Instrument[[#This Row],[Weighted Average Time (h)]]</f>
        <v>2.8571428571428568</v>
      </c>
      <c r="V25" s="130" t="s">
        <v>409</v>
      </c>
      <c r="W25" s="130" t="s">
        <v>409</v>
      </c>
      <c r="X25" s="130" t="s">
        <v>409</v>
      </c>
      <c r="Y25" s="99" t="b">
        <f t="shared" si="7"/>
        <v>0</v>
      </c>
      <c r="Z25" s="99" t="b">
        <f t="shared" si="7"/>
        <v>0</v>
      </c>
      <c r="AA25" s="99" t="b">
        <f t="shared" si="7"/>
        <v>1</v>
      </c>
      <c r="AB25" s="99" t="b">
        <f t="shared" si="7"/>
        <v>0</v>
      </c>
      <c r="AC25" s="99" t="b">
        <f t="shared" si="7"/>
        <v>0</v>
      </c>
      <c r="AD25" s="99" t="b">
        <f t="shared" si="8"/>
        <v>0</v>
      </c>
      <c r="AE25" s="99" t="b">
        <f t="shared" si="8"/>
        <v>1</v>
      </c>
    </row>
    <row r="26" spans="1:31" ht="24" x14ac:dyDescent="0.25">
      <c r="A26" s="99">
        <v>24</v>
      </c>
      <c r="B26" s="94" t="s">
        <v>137</v>
      </c>
      <c r="C26" s="94" t="str">
        <f>Time_by_Instrument[[#This Row],[EPA Form Name]]</f>
        <v>BABA Waiver Request (non-form information collection)</v>
      </c>
      <c r="D26" s="224" t="s">
        <v>432</v>
      </c>
      <c r="E26" s="96" t="s">
        <v>412</v>
      </c>
      <c r="F26" s="96" t="s">
        <v>102</v>
      </c>
      <c r="G26" s="96" t="s">
        <v>134</v>
      </c>
      <c r="H26" s="496">
        <f>'Reporting Burden by Program'!D59</f>
        <v>0.6</v>
      </c>
      <c r="I26" s="97" t="s">
        <v>102</v>
      </c>
      <c r="J26" s="227"/>
      <c r="K26" s="97"/>
      <c r="L26" s="97"/>
      <c r="M26" s="126">
        <v>4</v>
      </c>
      <c r="N26" s="126">
        <v>6</v>
      </c>
      <c r="O26" s="126">
        <f>AVERAGE(Time_by_Instrument[[#This Row],[Low End Estimate (h)]],Time_by_Instrument[[#This Row],[High End Estimate (h)]])</f>
        <v>5</v>
      </c>
      <c r="P26" s="497">
        <f>Time_by_Instrument[[#This Row],[Average Estimate (h)]]*Time_by_Instrument[[#This Row],[If Optional, share of participants expected to participate]]</f>
        <v>3</v>
      </c>
      <c r="Q26" s="130" t="str">
        <f>_xlfn.TEXTJOIN(" - ",TRUE,ROUND(M26,1),ROUND(N26,1))</f>
        <v>4 - 6</v>
      </c>
      <c r="R26" s="135">
        <f>Time_by_Instrument[[#This Row],[Average Estimate (h)]]-Time_by_Instrument[[#This Row],[Original Average Estimated Time to Complete (hours)
As estimated Dec 2023]]</f>
        <v>5</v>
      </c>
      <c r="S26" s="99" t="s">
        <v>408</v>
      </c>
      <c r="T26" s="307">
        <f>IF(Time_by_Instrument[[#This Row],[Applicant?]]=TRUE, Time_by_Instrument[[#This Row],[Weighted Average Time (h)]], 0)</f>
        <v>0</v>
      </c>
      <c r="U26" s="135">
        <f>Time_by_Instrument[[#This Row],[Weighted Average Time (h)]]</f>
        <v>3</v>
      </c>
      <c r="V26" s="130" t="s">
        <v>409</v>
      </c>
      <c r="W26" s="130" t="s">
        <v>409</v>
      </c>
      <c r="X26" s="130" t="s">
        <v>409</v>
      </c>
      <c r="Y26" s="99" t="b">
        <f t="shared" si="7"/>
        <v>0</v>
      </c>
      <c r="Z26" s="99" t="b">
        <f t="shared" si="7"/>
        <v>0</v>
      </c>
      <c r="AA26" s="99" t="b">
        <f t="shared" si="7"/>
        <v>0</v>
      </c>
      <c r="AB26" s="99" t="b">
        <f t="shared" si="7"/>
        <v>0</v>
      </c>
      <c r="AC26" s="99" t="b">
        <f t="shared" si="7"/>
        <v>1</v>
      </c>
      <c r="AD26" s="99" t="b">
        <f t="shared" si="8"/>
        <v>0</v>
      </c>
      <c r="AE26" s="99" t="b">
        <f t="shared" si="8"/>
        <v>1</v>
      </c>
    </row>
    <row r="27" spans="1:31" ht="61.5" customHeight="1" x14ac:dyDescent="0.25">
      <c r="B27" s="581" t="s">
        <v>433</v>
      </c>
      <c r="C27" s="581"/>
      <c r="D27" s="581"/>
      <c r="E27" s="581"/>
      <c r="F27" s="581"/>
      <c r="G27" s="581"/>
    </row>
  </sheetData>
  <sheetProtection sheet="1" objects="1" scenarios="1"/>
  <mergeCells count="1">
    <mergeCell ref="B27:G27"/>
  </mergeCells>
  <phoneticPr fontId="34" type="noConversion"/>
  <conditionalFormatting sqref="R3:R13 R15:R26">
    <cfRule type="iconSet" priority="9">
      <iconSet iconSet="3Arrows">
        <cfvo type="percent" val="0"/>
        <cfvo type="num" val="0"/>
        <cfvo type="num" val="1"/>
      </iconSet>
    </cfRule>
  </conditionalFormatting>
  <conditionalFormatting sqref="Y3:AE26">
    <cfRule type="cellIs" dxfId="0" priority="10" operator="equal">
      <formula>TRUE</formula>
    </cfRule>
  </conditionalFormatting>
  <pageMargins left="0.7" right="0.7" top="0.75" bottom="0.75" header="0.3" footer="0.3"/>
  <pageSetup paperSize="5" scale="28"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4" operator="containsText" id="{F43D6E7A-D739-4310-B381-CF39AAB6EB70}">
            <xm:f>NOT(ISERROR(SEARCH("-",U23)))</xm:f>
            <xm:f>"-"</xm:f>
            <x14:dxf>
              <fill>
                <patternFill>
                  <bgColor theme="0" tint="-0.14996795556505021"/>
                </patternFill>
              </fill>
            </x14:dxf>
          </x14:cfRule>
          <xm:sqref>U23:U25</xm:sqref>
        </x14:conditionalFormatting>
        <x14:conditionalFormatting xmlns:xm="http://schemas.microsoft.com/office/excel/2006/main">
          <x14:cfRule type="containsText" priority="8" operator="containsText" id="{BD58AE4C-04BD-4A1C-9A36-39F0FE903EEA}">
            <xm:f>NOT(ISERROR(SEARCH("-",U22)))</xm:f>
            <xm:f>"-"</xm:f>
            <x14:dxf>
              <fill>
                <patternFill>
                  <bgColor theme="0" tint="-0.14996795556505021"/>
                </patternFill>
              </fill>
            </x14:dxf>
          </x14:cfRule>
          <xm:sqref>U22:W22</xm:sqref>
        </x14:conditionalFormatting>
        <x14:conditionalFormatting xmlns:xm="http://schemas.microsoft.com/office/excel/2006/main">
          <x14:cfRule type="containsText" priority="15" operator="containsText" id="{C0198148-E6D6-466B-876F-64B87D1643A9}">
            <xm:f>NOT(ISERROR(SEARCH("-",U3)))</xm:f>
            <xm:f>"-"</xm:f>
            <x14:dxf>
              <fill>
                <patternFill>
                  <bgColor theme="0" tint="-0.14996795556505021"/>
                </patternFill>
              </fill>
            </x14:dxf>
          </x14:cfRule>
          <xm:sqref>U3:X20</xm:sqref>
        </x14:conditionalFormatting>
        <x14:conditionalFormatting xmlns:xm="http://schemas.microsoft.com/office/excel/2006/main">
          <x14:cfRule type="containsText" priority="7" operator="containsText" id="{BF56E7AD-19ED-43C3-8433-BC4B3EAD8F3E}">
            <xm:f>NOT(ISERROR(SEARCH("-",U26)))</xm:f>
            <xm:f>"-"</xm:f>
            <x14:dxf>
              <fill>
                <patternFill>
                  <bgColor theme="0" tint="-0.14996795556505021"/>
                </patternFill>
              </fill>
            </x14:dxf>
          </x14:cfRule>
          <xm:sqref>U26:X26</xm:sqref>
        </x14:conditionalFormatting>
        <x14:conditionalFormatting xmlns:xm="http://schemas.microsoft.com/office/excel/2006/main">
          <x14:cfRule type="containsText" priority="1" operator="containsText" id="{465DD4B1-E6D4-4D83-AB1B-BC073E2B7D4C}">
            <xm:f>NOT(ISERROR(SEARCH("-",V23)))</xm:f>
            <xm:f>"-"</xm:f>
            <x14:dxf>
              <fill>
                <patternFill>
                  <bgColor theme="0" tint="-0.14996795556505021"/>
                </patternFill>
              </fill>
            </x14:dxf>
          </x14:cfRule>
          <xm:sqref>V23:X25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ord xmlns="4ffa91fb-a0ff-4ac5-b2db-65c790d184a4">Shared</Record>
    <Language xmlns="http://schemas.microsoft.com/sharepoint/v3">English</Language>
    <Document_x0020_Creation_x0020_Date xmlns="4ffa91fb-a0ff-4ac5-b2db-65c790d184a4">2021-12-27T11:24:16+00:00</Document_x0020_Creation_x0020_Date>
    <_Source xmlns="http://schemas.microsoft.com/sharepoint/v3/fields"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ights xmlns="4ffa91fb-a0ff-4ac5-b2db-65c790d184a4" xsi:nil="tru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lcf76f155ced4ddcb4097134ff3c332f xmlns="8faf114f-24f1-482f-9773-8f0d7d5925f2">
      <Terms xmlns="http://schemas.microsoft.com/office/infopath/2007/PartnerControls"/>
    </lcf76f155ced4ddcb4097134ff3c332f>
    <Shorthand xmlns="8faf114f-24f1-482f-9773-8f0d7d5925f2" xsi:nil="true"/>
    <FileDescription xmlns="8faf114f-24f1-482f-9773-8f0d7d5925f2" xsi:nil="true"/>
    <Tag xmlns="8faf114f-24f1-482f-9773-8f0d7d5925f2" xsi:nil="true"/>
  </documentManagement>
</p:properties>
</file>

<file path=customXml/item2.xml>��< ? x m l   v e r s i o n = " 1 . 0 "   e n c o d i n g = " u t f - 1 6 " ? > < D a t a M a s h u p   x m l n s = " h t t p : / / s c h e m a s . m i c r o s o f t . c o m / D a t a M a s h u p " > A A A A A B U D A A B Q S w M E F A A C A A g A E l x 1 W a X l P 5 C l A A A A 9 w A A A B I A H A B D b 2 5 m a W c v U G F j a 2 F n Z S 5 4 b W w g o h g A K K A U A A A A A A A A A A A A A A A A A A A A A A A A A A A A h Y 9 B D o I w F E S v Q r q n L d U Y Q z 5 l 4 V Y S E 6 J x S 2 q F R v g Y W i x 3 c + G R v I I Y R d 2 5 n D d v M X O / 3 i A d m j q 4 6 M 6 a F h M S U U 4 C j a o 9 G C w T 0 r t j u C S p h E 2 h T k W p g 1 F G G w / 2 k J D K u X P M m P e e + h l t u 5 I J z i O 2 z 9 a 5 q n R T k I 9 s / s u h Q e s K V J p I 2 L 3 G S E E j s a B i z g X l w C Y K m c G v I c b B z / Y H w q q v X d 9 p q T H c 5 s C m C O x 9 Q j 4 A U E s D B B Q A A g A I A B J c d V 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S X H V Z K I p H u A 4 A A A A R A A A A E w A c A E Z v c m 1 1 b G F z L 1 N l Y 3 R p b 2 4 x L m 0 g o h g A K K A U A A A A A A A A A A A A A A A A A A A A A A A A A A A A K 0 5 N L s n M z 1 M I h t C G 1 g B Q S w E C L Q A U A A I A C A A S X H V Z p e U / k K U A A A D 3 A A A A E g A A A A A A A A A A A A A A A A A A A A A A Q 2 9 u Z m l n L 1 B h Y 2 t h Z 2 U u e G 1 s U E s B A i 0 A F A A C A A g A E l x 1 W Q / K 6 a u k A A A A 6 Q A A A B M A A A A A A A A A A A A A A A A A 8 Q A A A F t D b 2 5 0 Z W 5 0 X 1 R 5 c G V z X S 5 4 b W x Q S w E C L Q A U A A I A C A A S X H V 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i V L A J p 7 S 0 a m n + L X L n N h i Q A A A A A C A A A A A A A D Z g A A w A A A A B A A A A B M q w e E / 8 E / T J Q T A I A y p O g y A A A A A A S A A A C g A A A A E A A A A E z 2 o 5 y 8 G U C G R E N x m 7 n Y z D R Q A A A A Q A X w X q B n D P K W q E 3 q A N d z / q h U V K t A U G q 7 C N m z Q b c p r y U p o + 6 K p Y c V Z k U X f D 3 N 4 D b N L R G k b y l F + / Y i B 1 z O 9 P 0 c Z d E P R q n R m O 0 9 G p t P V w r H U W 4 U A A A A a z l 2 s Z C j P u 2 z R i Y t J s 1 4 m 6 7 L p f o = < / 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0F6F5E0477126478E62287FA2D110D3" ma:contentTypeVersion="22" ma:contentTypeDescription="Create a new document." ma:contentTypeScope="" ma:versionID="92266cdf061a1a1dd03eb161ace8a52b">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8faf114f-24f1-482f-9773-8f0d7d5925f2" xmlns:ns6="29a45733-a9b9-4c02-8fe0-94fe8fccf802" targetNamespace="http://schemas.microsoft.com/office/2006/metadata/properties" ma:root="true" ma:fieldsID="f84e0af2500b1e9a336c3e65214ffc3f" ns1:_="" ns2:_="" ns3:_="" ns4:_="" ns5:_="" ns6:_="">
    <xsd:import namespace="http://schemas.microsoft.com/sharepoint/v3"/>
    <xsd:import namespace="4ffa91fb-a0ff-4ac5-b2db-65c790d184a4"/>
    <xsd:import namespace="http://schemas.microsoft.com/sharepoint.v3"/>
    <xsd:import namespace="http://schemas.microsoft.com/sharepoint/v3/fields"/>
    <xsd:import namespace="8faf114f-24f1-482f-9773-8f0d7d5925f2"/>
    <xsd:import namespace="29a45733-a9b9-4c02-8fe0-94fe8fccf80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LengthInSeconds" minOccurs="0"/>
                <xsd:element ref="ns1:_ip_UnifiedCompliancePolicyProperties" minOccurs="0"/>
                <xsd:element ref="ns1:_ip_UnifiedCompliancePolicyUIAction" minOccurs="0"/>
                <xsd:element ref="ns5:lcf76f155ced4ddcb4097134ff3c332f" minOccurs="0"/>
                <xsd:element ref="ns5:FileDescription" minOccurs="0"/>
                <xsd:element ref="ns5:Shorthand" minOccurs="0"/>
                <xsd:element ref="ns5:MediaServiceObjectDetectorVersions" minOccurs="0"/>
                <xsd:element ref="ns5:MediaServiceSearchProperties" minOccurs="0"/>
                <xsd:element ref="ns5:T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1496ec5-003c-4747-86a2-890b1475f6bc}" ma:internalName="TaxCatchAllLabel" ma:readOnly="true" ma:showField="CatchAllDataLabel" ma:web="29a45733-a9b9-4c02-8fe0-94fe8fccf80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1496ec5-003c-4747-86a2-890b1475f6bc}" ma:internalName="TaxCatchAll" ma:showField="CatchAllData" ma:web="29a45733-a9b9-4c02-8fe0-94fe8fccf8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af114f-24f1-482f-9773-8f0d7d5925f2"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2" nillable="true" ma:displayName="Tags" ma:internalName="MediaServiceAutoTags"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MediaServiceLocation" ma:index="37"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FileDescription" ma:index="43" nillable="true" ma:displayName="File Description" ma:format="Dropdown" ma:internalName="FileDescription">
      <xsd:simpleType>
        <xsd:restriction base="dms:Note">
          <xsd:maxLength value="255"/>
        </xsd:restriction>
      </xsd:simpleType>
    </xsd:element>
    <xsd:element name="Shorthand" ma:index="44" nillable="true" ma:displayName="Record Category" ma:format="RadioButtons" ma:internalName="Shorthand">
      <xsd:simpleType>
        <xsd:restriction base="dms:Choice">
          <xsd:enumeration value="Input File"/>
          <xsd:enumeration value="QA File"/>
          <xsd:enumeration value="Lottery &amp; Selection Workbook"/>
          <xsd:enumeration value="Output File"/>
          <xsd:enumeration value="Recording"/>
        </xsd:restriction>
      </xsd:simpleType>
    </xsd:element>
    <xsd:element name="MediaServiceObjectDetectorVersions" ma:index="4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6" nillable="true" ma:displayName="MediaServiceSearchProperties" ma:hidden="true" ma:internalName="MediaServiceSearchProperties" ma:readOnly="true">
      <xsd:simpleType>
        <xsd:restriction base="dms:Note"/>
      </xsd:simpleType>
    </xsd:element>
    <xsd:element name="Tag" ma:index="47" nillable="true" ma:displayName="Tag" ma:format="Dropdown" ma:internalName="Tag">
      <xsd:simpleType>
        <xsd:restriction base="dms:Choice">
          <xsd:enumeration value="General Program Questions "/>
          <xsd:enumeration value="Application Process"/>
          <xsd:enumeration value="Bus Changes"/>
          <xsd:enumeration value="Payment Request Form"/>
          <xsd:enumeration value="Close Out Form"/>
          <xsd:enumeration value="Technical Difficulties"/>
          <xsd:enumeration value="Withdrawals/Extensions"/>
        </xsd:restriction>
      </xsd:simpleType>
    </xsd:element>
  </xsd:schema>
  <xsd:schema xmlns:xsd="http://www.w3.org/2001/XMLSchema" xmlns:xs="http://www.w3.org/2001/XMLSchema" xmlns:dms="http://schemas.microsoft.com/office/2006/documentManagement/types" xmlns:pc="http://schemas.microsoft.com/office/infopath/2007/PartnerControls" targetNamespace="29a45733-a9b9-4c02-8fe0-94fe8fccf802"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A76866-8EB1-41BE-84FF-55545276E8FC}">
  <ds:schemaRefs>
    <ds:schemaRef ds:uri="http://www.w3.org/XML/1998/namespace"/>
    <ds:schemaRef ds:uri="http://schemas.microsoft.com/office/2006/documentManagement/types"/>
    <ds:schemaRef ds:uri="http://schemas.microsoft.com/office/2006/metadata/properties"/>
    <ds:schemaRef ds:uri="4ffa91fb-a0ff-4ac5-b2db-65c790d184a4"/>
    <ds:schemaRef ds:uri="http://schemas.microsoft.com/office/infopath/2007/PartnerControls"/>
    <ds:schemaRef ds:uri="http://purl.org/dc/dcmitype/"/>
    <ds:schemaRef ds:uri="http://schemas.openxmlformats.org/package/2006/metadata/core-properties"/>
    <ds:schemaRef ds:uri="8faf114f-24f1-482f-9773-8f0d7d5925f2"/>
    <ds:schemaRef ds:uri="29a45733-a9b9-4c02-8fe0-94fe8fccf802"/>
    <ds:schemaRef ds:uri="http://schemas.microsoft.com/sharepoint/v3/fields"/>
    <ds:schemaRef ds:uri="http://purl.org/dc/terms/"/>
    <ds:schemaRef ds:uri="http://schemas.microsoft.com/sharepoint.v3"/>
    <ds:schemaRef ds:uri="http://schemas.microsoft.com/sharepoint/v3"/>
    <ds:schemaRef ds:uri="http://purl.org/dc/elements/1.1/"/>
  </ds:schemaRefs>
</ds:datastoreItem>
</file>

<file path=customXml/itemProps2.xml><?xml version="1.0" encoding="utf-8"?>
<ds:datastoreItem xmlns:ds="http://schemas.openxmlformats.org/officeDocument/2006/customXml" ds:itemID="{30CF2E88-D078-4747-ADB8-0B5E89B5FCD8}">
  <ds:schemaRefs>
    <ds:schemaRef ds:uri="http://schemas.microsoft.com/DataMashup"/>
  </ds:schemaRefs>
</ds:datastoreItem>
</file>

<file path=customXml/itemProps3.xml><?xml version="1.0" encoding="utf-8"?>
<ds:datastoreItem xmlns:ds="http://schemas.openxmlformats.org/officeDocument/2006/customXml" ds:itemID="{4DE16AB0-B277-4792-BC30-D23CA53FF7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8faf114f-24f1-482f-9773-8f0d7d5925f2"/>
    <ds:schemaRef ds:uri="29a45733-a9b9-4c02-8fe0-94fe8fccf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AB07D5-1FFA-4586-AB03-6FAE1409DB7B}">
  <ds:schemaRefs>
    <ds:schemaRef ds:uri="Microsoft.SharePoint.Taxonomy.ContentTypeSync"/>
  </ds:schemaRefs>
</ds:datastoreItem>
</file>

<file path=customXml/itemProps5.xml><?xml version="1.0" encoding="utf-8"?>
<ds:datastoreItem xmlns:ds="http://schemas.openxmlformats.org/officeDocument/2006/customXml" ds:itemID="{5255DD58-939B-467E-B167-039ADD1ECA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Table of Contents</vt:lpstr>
      <vt:lpstr>Total and Summary</vt:lpstr>
      <vt:lpstr>Reporting Burden by Program</vt:lpstr>
      <vt:lpstr>Wages</vt:lpstr>
      <vt:lpstr>Respondents</vt:lpstr>
      <vt:lpstr>Grant Cycle Raw Data</vt:lpstr>
      <vt:lpstr>Respondent Burden and Costs</vt:lpstr>
      <vt:lpstr> EPA burden</vt:lpstr>
      <vt:lpstr>Reporting Burden by Instrument</vt:lpstr>
      <vt:lpstr>Appendix Table_IU</vt:lpstr>
      <vt:lpstr>DERA Template Testing 2024</vt:lpstr>
      <vt:lpstr>CPP Template Testing 2024</vt:lpstr>
      <vt:lpstr>CHDV Template Testing 2024</vt:lpstr>
      <vt:lpstr>CSB Template Testing 2024</vt:lpstr>
      <vt:lpstr>Other Instrument Tester Data_24</vt:lpstr>
      <vt:lpstr>Sources</vt:lpstr>
      <vt:lpstr>cler_private</vt:lpstr>
      <vt:lpstr>cler_state_local</vt:lpstr>
      <vt:lpstr>man_private</vt:lpstr>
      <vt:lpstr>man_state_local</vt:lpstr>
      <vt:lpstr>' EPA burden'!Print_Area</vt:lpstr>
      <vt:lpstr>Wages!Print_Area</vt:lpstr>
      <vt:lpstr>tech_private</vt:lpstr>
      <vt:lpstr>tech_state_local</vt:lpstr>
    </vt:vector>
  </TitlesOfParts>
  <Manager/>
  <Company>US-EPA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OAR-OTAQ</dc:creator>
  <cp:keywords/>
  <dc:description/>
  <cp:lastModifiedBy>Harrison, Sarah</cp:lastModifiedBy>
  <cp:revision/>
  <dcterms:created xsi:type="dcterms:W3CDTF">2012-01-12T14:29:35Z</dcterms:created>
  <dcterms:modified xsi:type="dcterms:W3CDTF">2025-04-02T19:35:22Z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0x010100B0F6F5E0477126478E62287FA2D110D3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y fmtid="{D5CDD505-2E9C-101B-9397-08002B2CF9AE}" pid="9" name="Document_x0020_Type">
    <vt:lpwstr/>
  </property>
</Properties>
</file>