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5F6202A3-6A8F-4BA1-A261-8990705A3478}" xr6:coauthVersionLast="47" xr6:coauthVersionMax="47" xr10:uidLastSave="{00000000-0000-0000-0000-000000000000}"/>
  <bookViews>
    <workbookView xWindow="-110" yWindow="-110" windowWidth="19420" windowHeight="10300" xr2:uid="{D855CF00-F869-48B3-9963-4AD001D31E8A}"/>
  </bookViews>
  <sheets>
    <sheet name="Summary" sheetId="6" r:id="rId1"/>
    <sheet name="Table 1" sheetId="1" r:id="rId2"/>
    <sheet name="Table 2" sheetId="2" r:id="rId3"/>
    <sheet name="Capital O&amp;M" sheetId="3" r:id="rId4"/>
    <sheet name="Responses" sheetId="5" r:id="rId5"/>
    <sheet name="Respondents" sheetId="4"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5" i="3" l="1"/>
  <c r="G6" i="3"/>
  <c r="I16" i="2" l="1"/>
  <c r="F16" i="2"/>
  <c r="I33" i="1"/>
  <c r="F33" i="1"/>
  <c r="F32" i="1"/>
  <c r="I22" i="1"/>
  <c r="I21" i="1"/>
  <c r="F22" i="1"/>
  <c r="F21" i="1"/>
  <c r="F12" i="1"/>
  <c r="B7" i="6" l="1"/>
  <c r="B3" i="6"/>
  <c r="D9" i="2"/>
  <c r="D8" i="2"/>
  <c r="D7" i="2"/>
  <c r="F8" i="4" l="1"/>
  <c r="F6" i="4"/>
  <c r="F7" i="4"/>
  <c r="F5" i="4"/>
  <c r="E7" i="5"/>
  <c r="E5" i="5"/>
  <c r="E6" i="5"/>
  <c r="E4" i="5"/>
  <c r="G5" i="3"/>
  <c r="D15" i="2"/>
  <c r="F15" i="2" s="1"/>
  <c r="F14" i="2"/>
  <c r="D14" i="2"/>
  <c r="D13" i="2"/>
  <c r="F13" i="2" s="1"/>
  <c r="F11" i="2"/>
  <c r="G11" i="2" s="1"/>
  <c r="D11" i="2"/>
  <c r="D10" i="2"/>
  <c r="F10" i="2" s="1"/>
  <c r="F9" i="2"/>
  <c r="F8" i="2"/>
  <c r="F7" i="2"/>
  <c r="D5" i="2"/>
  <c r="F5" i="2" s="1"/>
  <c r="D29" i="1"/>
  <c r="F29" i="1" s="1"/>
  <c r="D21" i="1"/>
  <c r="D20" i="1"/>
  <c r="F20" i="1" s="1"/>
  <c r="F19" i="1"/>
  <c r="H19" i="1" s="1"/>
  <c r="D19" i="1"/>
  <c r="F18" i="1"/>
  <c r="D18" i="1"/>
  <c r="D17" i="1"/>
  <c r="F17" i="1" s="1"/>
  <c r="D12" i="1"/>
  <c r="D11" i="1"/>
  <c r="F11" i="1" s="1"/>
  <c r="D9" i="1"/>
  <c r="F9" i="1" s="1"/>
  <c r="D6" i="1"/>
  <c r="F6" i="1" s="1"/>
  <c r="D5" i="1"/>
  <c r="F5" i="1" s="1"/>
  <c r="H11" i="2" l="1"/>
  <c r="I11" i="2" s="1"/>
  <c r="G7" i="2"/>
  <c r="H7" i="2"/>
  <c r="H10" i="2"/>
  <c r="G10" i="2"/>
  <c r="I10" i="2" s="1"/>
  <c r="H8" i="2"/>
  <c r="I8" i="2" s="1"/>
  <c r="G8" i="2"/>
  <c r="H15" i="2"/>
  <c r="I15" i="2" s="1"/>
  <c r="G15" i="2"/>
  <c r="H9" i="2"/>
  <c r="G9" i="2"/>
  <c r="I9" i="2" s="1"/>
  <c r="H5" i="2"/>
  <c r="G5" i="2"/>
  <c r="I5" i="2"/>
  <c r="H13" i="2"/>
  <c r="G13" i="2"/>
  <c r="H14" i="2"/>
  <c r="G14" i="2"/>
  <c r="I14" i="2" s="1"/>
  <c r="G9" i="1"/>
  <c r="I9" i="1" s="1"/>
  <c r="H9" i="1"/>
  <c r="H20" i="1"/>
  <c r="G20" i="1"/>
  <c r="I20" i="1" s="1"/>
  <c r="I6" i="1"/>
  <c r="H6" i="1"/>
  <c r="G6" i="1"/>
  <c r="H11" i="1"/>
  <c r="G11" i="1"/>
  <c r="I11" i="1" s="1"/>
  <c r="H21" i="1"/>
  <c r="G21" i="1"/>
  <c r="H17" i="1"/>
  <c r="G17" i="1"/>
  <c r="I17" i="1" s="1"/>
  <c r="H5" i="1"/>
  <c r="G5" i="1"/>
  <c r="G12" i="1"/>
  <c r="I12" i="1" s="1"/>
  <c r="H12" i="1"/>
  <c r="G29" i="1"/>
  <c r="H29" i="1"/>
  <c r="I29" i="1"/>
  <c r="I32" i="1" s="1"/>
  <c r="I19" i="1"/>
  <c r="G18" i="1"/>
  <c r="I18" i="1" s="1"/>
  <c r="H18" i="1"/>
  <c r="G19" i="1"/>
  <c r="L33" i="1" l="1"/>
  <c r="B2" i="6" s="1"/>
  <c r="B4" i="6"/>
  <c r="I13" i="2"/>
  <c r="I7" i="2"/>
  <c r="I5" i="1"/>
  <c r="D6" i="3" l="1"/>
  <c r="B6" i="6" l="1"/>
  <c r="I6" i="3" l="1"/>
  <c r="I34" i="1" s="1"/>
  <c r="I35" i="1" s="1"/>
  <c r="B5" i="6" s="1"/>
</calcChain>
</file>

<file path=xl/sharedStrings.xml><?xml version="1.0" encoding="utf-8"?>
<sst xmlns="http://schemas.openxmlformats.org/spreadsheetml/2006/main" count="163" uniqueCount="138">
  <si>
    <t>ICR Summary Information</t>
  </si>
  <si>
    <t>Hours per Response</t>
  </si>
  <si>
    <t>Number of Respondents</t>
  </si>
  <si>
    <t>Total Estimated Burden Hours</t>
  </si>
  <si>
    <t>Total Estimated Costs</t>
  </si>
  <si>
    <t>Annualized Capital O&amp;M</t>
  </si>
  <si>
    <t>Total Annual Responses</t>
  </si>
  <si>
    <t>Form Number</t>
  </si>
  <si>
    <t>Burden Item</t>
  </si>
  <si>
    <t>(B)
No. of occurrences per respondent per year</t>
  </si>
  <si>
    <t>Labor Rates</t>
  </si>
  <si>
    <t>Management</t>
  </si>
  <si>
    <t>Technical</t>
  </si>
  <si>
    <t>Clerical</t>
  </si>
  <si>
    <t>Subtotal for Reporting Requirements</t>
  </si>
  <si>
    <t>hr/response</t>
  </si>
  <si>
    <t>Assumptions:</t>
  </si>
  <si>
    <t xml:space="preserve">Technical </t>
  </si>
  <si>
    <r>
      <t>Capital/Startup vs. Operation and Maintenance (O&amp;M) Costs</t>
    </r>
    <r>
      <rPr>
        <sz val="10"/>
        <color theme="1"/>
        <rFont val="Times New Roman"/>
        <family val="1"/>
      </rPr>
      <t> </t>
    </r>
  </si>
  <si>
    <t>(A)</t>
  </si>
  <si>
    <t>(B)</t>
  </si>
  <si>
    <t>(C)</t>
  </si>
  <si>
    <t>(D)</t>
  </si>
  <si>
    <t>(E)</t>
  </si>
  <si>
    <t>(F)</t>
  </si>
  <si>
    <t>(G)</t>
  </si>
  <si>
    <t>Continuous Monitoring Device</t>
  </si>
  <si>
    <t>Capital/Startup Cost for One Respondent</t>
  </si>
  <si>
    <t>Total Capital/Startup Cost,  (B X C)</t>
  </si>
  <si>
    <t>Total O&amp;M, 
(E X F)</t>
  </si>
  <si>
    <t>Information Collection Activity</t>
  </si>
  <si>
    <r>
      <t xml:space="preserve">Number of Respondents </t>
    </r>
    <r>
      <rPr>
        <vertAlign val="superscript"/>
        <sz val="10"/>
        <color rgb="FF000000"/>
        <rFont val="Times New Roman"/>
        <family val="1"/>
      </rPr>
      <t>a</t>
    </r>
  </si>
  <si>
    <t>Number of Responses</t>
  </si>
  <si>
    <t>Number of Existing Respondents That Keep Records But Do Not Submit Reports</t>
  </si>
  <si>
    <t>Total Annual Responses E=(BxC)+D</t>
  </si>
  <si>
    <t>Total</t>
  </si>
  <si>
    <t>Respondents That Submit Reports</t>
  </si>
  <si>
    <t>Respondents That Do Not Submit Any Reports</t>
  </si>
  <si>
    <t>Year</t>
  </si>
  <si>
    <r>
      <t xml:space="preserve">Number of New Respondents </t>
    </r>
    <r>
      <rPr>
        <b/>
        <vertAlign val="superscript"/>
        <sz val="10"/>
        <color rgb="FF000000"/>
        <rFont val="Times New Roman"/>
        <family val="1"/>
      </rPr>
      <t>a</t>
    </r>
  </si>
  <si>
    <t>Number of Existing Respondents</t>
  </si>
  <si>
    <t>Number of Existing Respondents that keep records but do not submit reports</t>
  </si>
  <si>
    <t>Number of Existing Respondents That Are Also New Respondents</t>
  </si>
  <si>
    <t>Number of Respondents (E=A+B+C-D)</t>
  </si>
  <si>
    <t>Average</t>
  </si>
  <si>
    <t>Table 1: Annual Respondent Burden and Cost – NESHAP for Beryllium (40 CFR Part 61, Subpart C) (Renewal)</t>
  </si>
  <si>
    <t>(A) 
Person hours per occurrence</t>
  </si>
  <si>
    <t>(C)
Person hours per respondent per year
(C=AxB)</t>
  </si>
  <si>
    <r>
      <t xml:space="preserve">(D)
Respondents per year </t>
    </r>
    <r>
      <rPr>
        <b/>
        <vertAlign val="superscript"/>
        <sz val="10"/>
        <color theme="1"/>
        <rFont val="Times New Roman"/>
        <family val="1"/>
      </rPr>
      <t>a</t>
    </r>
  </si>
  <si>
    <t>(E)
Technical hours per year 
(E=CxD)</t>
  </si>
  <si>
    <t>(F)
Management hours per year
(F=Ex0.05)</t>
  </si>
  <si>
    <t>(G)
Clerical hours per year 
(G=Ex0.1)</t>
  </si>
  <si>
    <r>
      <t xml:space="preserve">(H)
Total cost per year </t>
    </r>
    <r>
      <rPr>
        <b/>
        <vertAlign val="superscript"/>
        <sz val="10"/>
        <color theme="1"/>
        <rFont val="Times New Roman"/>
        <family val="1"/>
      </rPr>
      <t>b</t>
    </r>
    <r>
      <rPr>
        <b/>
        <sz val="10"/>
        <color theme="1"/>
        <rFont val="Times New Roman"/>
        <family val="1"/>
      </rPr>
      <t xml:space="preserve"> ($)</t>
    </r>
  </si>
  <si>
    <t>1. Applications</t>
  </si>
  <si>
    <t>A. Application for approval of construction/modification</t>
  </si>
  <si>
    <t>B. Request for ambient air monitoring alternative</t>
  </si>
  <si>
    <t>2. Surveys and studies</t>
  </si>
  <si>
    <t>N/A</t>
  </si>
  <si>
    <t>3. Reporting requirements</t>
  </si>
  <si>
    <r>
      <t xml:space="preserve">A. Familiarize with regulatory requirements </t>
    </r>
    <r>
      <rPr>
        <vertAlign val="superscript"/>
        <sz val="10"/>
        <color theme="1"/>
        <rFont val="Times New Roman"/>
        <family val="1"/>
      </rPr>
      <t>c</t>
    </r>
  </si>
  <si>
    <t xml:space="preserve">B. Required activities </t>
  </si>
  <si>
    <t>i. Initial emissions test</t>
  </si>
  <si>
    <r>
      <t xml:space="preserve">ii. Determine emission level from stack test </t>
    </r>
    <r>
      <rPr>
        <vertAlign val="superscript"/>
        <sz val="10"/>
        <color theme="1"/>
        <rFont val="Times New Roman"/>
        <family val="1"/>
      </rPr>
      <t>d</t>
    </r>
  </si>
  <si>
    <t>iii. Monitoring of ambient beryllium concentrations</t>
  </si>
  <si>
    <t>See 3E</t>
  </si>
  <si>
    <t>C. Create information</t>
  </si>
  <si>
    <t>D. Gather existing information</t>
  </si>
  <si>
    <t>E. Write report</t>
  </si>
  <si>
    <t>i. Notification of actual startup</t>
  </si>
  <si>
    <r>
      <t xml:space="preserve">ii. Notification of stack test </t>
    </r>
    <r>
      <rPr>
        <vertAlign val="superscript"/>
        <sz val="10"/>
        <color theme="1"/>
        <rFont val="Times New Roman"/>
        <family val="1"/>
      </rPr>
      <t>e</t>
    </r>
  </si>
  <si>
    <r>
      <t xml:space="preserve">iii. Report of emission level determination/operational change </t>
    </r>
    <r>
      <rPr>
        <vertAlign val="superscript"/>
        <sz val="10"/>
        <color theme="1"/>
        <rFont val="Times New Roman"/>
        <family val="1"/>
      </rPr>
      <t>f</t>
    </r>
  </si>
  <si>
    <t>iv. Plan for locating monitors</t>
  </si>
  <si>
    <r>
      <t xml:space="preserve">v. Report monthly ambient concentrations </t>
    </r>
    <r>
      <rPr>
        <vertAlign val="superscript"/>
        <sz val="10"/>
        <color theme="1"/>
        <rFont val="Times New Roman"/>
        <family val="1"/>
      </rPr>
      <t>g</t>
    </r>
  </si>
  <si>
    <t>4. Recordkeeping requirements</t>
  </si>
  <si>
    <t>A. Read instructions</t>
  </si>
  <si>
    <t>See 3A</t>
  </si>
  <si>
    <t>B. Plan activities</t>
  </si>
  <si>
    <t>See 4C</t>
  </si>
  <si>
    <t>C. Implement activities</t>
  </si>
  <si>
    <t>See 3B</t>
  </si>
  <si>
    <t>D. Develop record system</t>
  </si>
  <si>
    <t>E. Time to enter information</t>
  </si>
  <si>
    <r>
      <t xml:space="preserve">i. Records of operating parameters and emissions </t>
    </r>
    <r>
      <rPr>
        <vertAlign val="superscript"/>
        <sz val="10"/>
        <color theme="1"/>
        <rFont val="Times New Roman"/>
        <family val="1"/>
      </rPr>
      <t>h</t>
    </r>
  </si>
  <si>
    <t>F. Time to train personnel</t>
  </si>
  <si>
    <t>G. Time for audits</t>
  </si>
  <si>
    <t>Subtotal for Recordkeeping Requirements</t>
  </si>
  <si>
    <t>responses</t>
  </si>
  <si>
    <r>
      <t>TOTAL LABOR BURDEN AND COST (rounded)</t>
    </r>
    <r>
      <rPr>
        <sz val="10"/>
        <color theme="1"/>
        <rFont val="Times New Roman"/>
        <family val="1"/>
      </rPr>
      <t> </t>
    </r>
    <r>
      <rPr>
        <vertAlign val="superscript"/>
        <sz val="10"/>
        <color theme="1"/>
        <rFont val="Times New Roman"/>
        <family val="1"/>
      </rPr>
      <t>i</t>
    </r>
  </si>
  <si>
    <r>
      <t xml:space="preserve">TOTAL CAPITAL AND O&amp;M COST (rounded) </t>
    </r>
    <r>
      <rPr>
        <b/>
        <vertAlign val="superscript"/>
        <sz val="10"/>
        <color theme="1"/>
        <rFont val="Times New Roman"/>
        <family val="1"/>
      </rPr>
      <t>i</t>
    </r>
  </si>
  <si>
    <r>
      <t xml:space="preserve">GRAND TOTAL (rounded) </t>
    </r>
    <r>
      <rPr>
        <b/>
        <vertAlign val="superscript"/>
        <sz val="10"/>
        <color theme="1"/>
        <rFont val="Times New Roman"/>
        <family val="1"/>
      </rPr>
      <t>i</t>
    </r>
  </si>
  <si>
    <r>
      <t>a</t>
    </r>
    <r>
      <rPr>
        <sz val="10"/>
        <color theme="1"/>
        <rFont val="Times New Roman"/>
        <family val="1"/>
      </rPr>
      <t xml:space="preserve">  For the purpose of determining recordkeeping and reporting burdens associated with this rule, we have assumed there are 33 respondents, and that no new additional sources will be subject over the three-year period of this ICR.  Of a total of approximately 236 existing sources, we have assumed approximately 10 sources have elected to comply with the rule by monitoring ambient air beryllium concentrations and that the remaining 226 sources have complied by conducting a one-time-only stack test.  We also have assumed that 10 percent of the 226 sources (i.e., 23 respondents) will engage in operational changes that will require them to repeat stack testing and to carry out subsequent recordkeeping and reporting requirements.</t>
    </r>
  </si>
  <si>
    <r>
      <t xml:space="preserve">c  </t>
    </r>
    <r>
      <rPr>
        <sz val="10"/>
        <color theme="1"/>
        <rFont val="Times New Roman"/>
        <family val="1"/>
      </rPr>
      <t>We have assumed that all existing respondents will have to familiarize with the regulatory requirements each year.</t>
    </r>
  </si>
  <si>
    <r>
      <t xml:space="preserve">d </t>
    </r>
    <r>
      <rPr>
        <sz val="10"/>
        <color theme="1"/>
        <rFont val="Times New Roman"/>
        <family val="1"/>
      </rPr>
      <t xml:space="preserve"> We have assumed that each respondent will take eight hours to determine the emission level from the stack test.</t>
    </r>
  </si>
  <si>
    <r>
      <t xml:space="preserve">e </t>
    </r>
    <r>
      <rPr>
        <sz val="10"/>
        <color theme="1"/>
        <rFont val="Times New Roman"/>
        <family val="1"/>
      </rPr>
      <t xml:space="preserve"> We have assumed that each respondent will take two hours to write notification report of stack test.</t>
    </r>
  </si>
  <si>
    <r>
      <t xml:space="preserve">f </t>
    </r>
    <r>
      <rPr>
        <sz val="10"/>
        <color theme="1"/>
        <rFont val="Times New Roman"/>
        <family val="1"/>
      </rPr>
      <t xml:space="preserve"> We have assumed that each respondent will take eight hours to complete the report of emission level determination/operational change.</t>
    </r>
  </si>
  <si>
    <r>
      <t xml:space="preserve">g </t>
    </r>
    <r>
      <rPr>
        <sz val="10"/>
        <color theme="1"/>
        <rFont val="Times New Roman"/>
        <family val="1"/>
      </rPr>
      <t xml:space="preserve"> We have assumed that each respondent will take eight hours once per month to write the monthly ambient concentrations report.</t>
    </r>
  </si>
  <si>
    <r>
      <t xml:space="preserve">h </t>
    </r>
    <r>
      <rPr>
        <sz val="10"/>
        <color theme="1"/>
        <rFont val="Times New Roman"/>
        <family val="1"/>
      </rPr>
      <t xml:space="preserve"> We have assumed that each of the ten respondents will take fifteen minutes each day to enter records of operating parameters and emissions information.</t>
    </r>
  </si>
  <si>
    <r>
      <t xml:space="preserve">i  </t>
    </r>
    <r>
      <rPr>
        <sz val="10"/>
        <color theme="1"/>
        <rFont val="Times New Roman"/>
        <family val="1"/>
      </rPr>
      <t>Totals have been rounded to 3 significant figures. Figures may not add exactly due to rounding.</t>
    </r>
  </si>
  <si>
    <t>Table 2: Average Annual EPA Burden and Cost – NESHAP for Beryllium (40 CFR Part 61, Subpart C) (Renewal)</t>
  </si>
  <si>
    <t>(A) 
Technical person-hours per occurrence</t>
  </si>
  <si>
    <t>(C)
Technical person-hours per respondent per year 
(C=AxB)</t>
  </si>
  <si>
    <r>
      <t xml:space="preserve">(D) 
Respondents per year </t>
    </r>
    <r>
      <rPr>
        <b/>
        <vertAlign val="superscript"/>
        <sz val="10"/>
        <color theme="1"/>
        <rFont val="Times New Roman"/>
        <family val="1"/>
      </rPr>
      <t>a</t>
    </r>
  </si>
  <si>
    <t>(F)
Management hours per year 
(F=Ex0.05)</t>
  </si>
  <si>
    <t>(G)
Clerical hours per year (G=Ex0.1)</t>
  </si>
  <si>
    <r>
      <t xml:space="preserve">Total cost per year ($) </t>
    </r>
    <r>
      <rPr>
        <b/>
        <vertAlign val="superscript"/>
        <sz val="10"/>
        <color theme="1"/>
        <rFont val="Times New Roman"/>
        <family val="1"/>
      </rPr>
      <t>b</t>
    </r>
    <r>
      <rPr>
        <b/>
        <sz val="10"/>
        <color theme="1"/>
        <rFont val="Times New Roman"/>
        <family val="1"/>
      </rPr>
      <t xml:space="preserve"> </t>
    </r>
  </si>
  <si>
    <t>Initial performance test</t>
  </si>
  <si>
    <t>New plant</t>
  </si>
  <si>
    <t>Report review</t>
  </si>
  <si>
    <t>Notification of construction</t>
  </si>
  <si>
    <t xml:space="preserve">Request to use ambient air concentration alternative </t>
  </si>
  <si>
    <t>Notification of actual startup</t>
  </si>
  <si>
    <t>Notification of initial stack test</t>
  </si>
  <si>
    <t>Report of initial analysis</t>
  </si>
  <si>
    <t>Existing plant</t>
  </si>
  <si>
    <t>Notification of stack test</t>
  </si>
  <si>
    <r>
      <t xml:space="preserve">Report of emission level determination/operational change </t>
    </r>
    <r>
      <rPr>
        <vertAlign val="superscript"/>
        <sz val="10"/>
        <color theme="1"/>
        <rFont val="Times New Roman"/>
        <family val="1"/>
      </rPr>
      <t>c</t>
    </r>
  </si>
  <si>
    <r>
      <t xml:space="preserve">Report of monthly ambient concentrations </t>
    </r>
    <r>
      <rPr>
        <vertAlign val="superscript"/>
        <sz val="10"/>
        <color theme="1"/>
        <rFont val="Times New Roman"/>
        <family val="1"/>
      </rPr>
      <t>d</t>
    </r>
  </si>
  <si>
    <r>
      <t xml:space="preserve">TOTAL (rounded) </t>
    </r>
    <r>
      <rPr>
        <b/>
        <vertAlign val="superscript"/>
        <sz val="10"/>
        <color theme="1"/>
        <rFont val="Times New Roman"/>
        <family val="1"/>
      </rPr>
      <t>e</t>
    </r>
  </si>
  <si>
    <r>
      <t xml:space="preserve">a  </t>
    </r>
    <r>
      <rPr>
        <sz val="10"/>
        <color theme="1"/>
        <rFont val="Times New Roman"/>
        <family val="1"/>
      </rPr>
      <t>For the purpose of determining recordkeeping and reporting burdens associated with this rule, we have assumed there are 33 respondents, and that no new additional sources will be subject over the three-year period of this ICR.  Of a total of approximately 236 existing sources, we have assumed approximately 10 sources have elected to comply with the rule by monitoring ambient air beryllium concentrations and that the remaining 226 sources have complied by conducting a one-time-only stack test.  We also have assumed that 10 percent of the 226 sources (i.e., 23 respondents) will engage in operational changes that will require them to repeat stack testing and to carry out subsequent recordkeeping and reporting requirements.</t>
    </r>
  </si>
  <si>
    <r>
      <t xml:space="preserve">c  </t>
    </r>
    <r>
      <rPr>
        <sz val="10"/>
        <color theme="1"/>
        <rFont val="Times New Roman"/>
        <family val="1"/>
      </rPr>
      <t>We have assumed it will take two hours per respondent to review the emission level determination/operational change report.</t>
    </r>
  </si>
  <si>
    <r>
      <t xml:space="preserve">d  </t>
    </r>
    <r>
      <rPr>
        <sz val="10"/>
        <color theme="1"/>
        <rFont val="Times New Roman"/>
        <family val="1"/>
      </rPr>
      <t>We have assumed it will take two hours per respondent per month to review the monthly ambient concentrations report.</t>
    </r>
  </si>
  <si>
    <r>
      <t xml:space="preserve">e  </t>
    </r>
    <r>
      <rPr>
        <sz val="10"/>
        <color theme="1"/>
        <rFont val="Times New Roman"/>
        <family val="1"/>
      </rPr>
      <t>Totals have been rounded to 3 significant figures. Figures may not add exactly due to rounding.</t>
    </r>
  </si>
  <si>
    <t>Ambient monitor</t>
  </si>
  <si>
    <t xml:space="preserve">Number of New  Respondents </t>
  </si>
  <si>
    <r>
      <t xml:space="preserve">a </t>
    </r>
    <r>
      <rPr>
        <sz val="10"/>
        <color rgb="FF000000"/>
        <rFont val="Times New Roman"/>
        <family val="1"/>
      </rPr>
      <t xml:space="preserve">  New respondents include sources with constructed, reconstructed, and modified affected facilities.</t>
    </r>
  </si>
  <si>
    <t>Emission level/operational changes</t>
  </si>
  <si>
    <t>Monthly ambient concentrations</t>
  </si>
  <si>
    <r>
      <rPr>
        <vertAlign val="superscript"/>
        <sz val="10"/>
        <rFont val="Times New Roman"/>
        <family val="1"/>
      </rPr>
      <t xml:space="preserve">b </t>
    </r>
    <r>
      <rPr>
        <sz val="10"/>
        <rFont val="Times New Roman"/>
        <family val="1"/>
      </rPr>
      <t xml:space="preserve"> This ICR uses the following labor rates: $163.17 ($77.70 + 110%) per hour for Executive, Administrative, and Managerial labor; $130.28 ($62.04 + 110%) per hour for Technical labor, and $65.71 ($31.29 + 110%) per hour for Clerical labor.  These rates are from the United States Department of Labor, Bureau of Labor Statistics, September 2022,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</si>
  <si>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t>Not Applicable</t>
  </si>
  <si>
    <r>
      <rPr>
        <vertAlign val="superscript"/>
        <sz val="10"/>
        <rFont val="Times New Roman"/>
        <family val="1"/>
      </rPr>
      <t xml:space="preserve">b </t>
    </r>
    <r>
      <rPr>
        <sz val="10"/>
        <rFont val="Times New Roman"/>
        <family val="1"/>
      </rPr>
      <t xml:space="preserve"> The cost is based on the following labor rates: Managerial rate of $73.46 (GS-13, Step 5, $45.91 + 60%), Technical rate of $54.51 (GS-12, Step 1, $34.07 + 60%), and Clerical rate of $29.50 (GS-6, Step 3, $18.44 + 60%).  These rates are from the Office of Personnel Management (OPM), 2023 General Schedule, which excludes locality, rates of pay. The rates have been increased by 60 percent to account for the benefit packages available to government employees. </t>
    </r>
  </si>
  <si>
    <t>2022 CEPCI</t>
  </si>
  <si>
    <t>2001 Average CEPCI</t>
  </si>
  <si>
    <r>
      <t xml:space="preserve">Annual O&amp;M Costs for One Respondent </t>
    </r>
    <r>
      <rPr>
        <b/>
        <vertAlign val="superscript"/>
        <sz val="10"/>
        <color theme="1"/>
        <rFont val="Times New Roman"/>
        <family val="1"/>
      </rPr>
      <t>a</t>
    </r>
  </si>
  <si>
    <r>
      <t>Number of Respondents with O&amp;M</t>
    </r>
    <r>
      <rPr>
        <b/>
        <vertAlign val="superscript"/>
        <sz val="10"/>
        <color theme="1"/>
        <rFont val="Times New Roman"/>
        <family val="1"/>
      </rPr>
      <t xml:space="preserve"> b</t>
    </r>
  </si>
  <si>
    <r>
      <t>Totals</t>
    </r>
    <r>
      <rPr>
        <sz val="10"/>
        <color theme="1"/>
        <rFont val="Times New Roman"/>
        <family val="1"/>
      </rPr>
      <t xml:space="preserve"> (rounded)</t>
    </r>
    <r>
      <rPr>
        <b/>
        <sz val="10"/>
        <color theme="1"/>
        <rFont val="Times New Roman"/>
        <family val="1"/>
      </rPr>
      <t xml:space="preserve"> </t>
    </r>
    <r>
      <rPr>
        <b/>
        <vertAlign val="superscript"/>
        <sz val="10"/>
        <color theme="1"/>
        <rFont val="Times New Roman"/>
        <family val="1"/>
      </rPr>
      <t>c</t>
    </r>
  </si>
  <si>
    <r>
      <rPr>
        <vertAlign val="superscript"/>
        <sz val="10"/>
        <color theme="1"/>
        <rFont val="Times New Roman"/>
        <family val="1"/>
      </rPr>
      <t>b</t>
    </r>
    <r>
      <rPr>
        <sz val="10"/>
        <color theme="1"/>
        <rFont val="Times New Roman"/>
        <family val="1"/>
      </rPr>
      <t xml:space="preserve"> We have assumed approximately 10 sources have elected to comply with the rule by monitoring ambient air  beryllium concentrations and that the remaining 226 sources have complied by conducting a one-time-only stack test. </t>
    </r>
  </si>
  <si>
    <r>
      <rPr>
        <vertAlign val="superscript"/>
        <sz val="10"/>
        <color theme="1"/>
        <rFont val="Times New Roman"/>
        <family val="1"/>
      </rPr>
      <t>c</t>
    </r>
    <r>
      <rPr>
        <sz val="10"/>
        <color theme="1"/>
        <rFont val="Times New Roman"/>
        <family val="1"/>
      </rPr>
      <t xml:space="preserve"> Totals have been rounded to 3 significant figures. Figures may not add exactly due to rounding.</t>
    </r>
  </si>
  <si>
    <r>
      <rPr>
        <vertAlign val="superscript"/>
        <sz val="10"/>
        <color theme="1"/>
        <rFont val="Times New Roman"/>
        <family val="1"/>
      </rPr>
      <t>a</t>
    </r>
    <r>
      <rPr>
        <sz val="10"/>
        <color theme="1"/>
        <rFont val="Times New Roman"/>
        <family val="1"/>
      </rPr>
      <t xml:space="preserve"> Costs have been increased from 2001 to 2022 $ using the CEPCI Equipment Cost Index.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</si>
</sst>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1" formatCode="_(* #,##0_);_(* \(#,##0\);_(* &quot;-&quot;_);_(@_)"/>
    <numFmt numFmtId="164" formatCode="General_)"/>
    <numFmt numFmtId="165" formatCode="&quot;$&quot;#,##0.00"/>
    <numFmt numFmtId="166" formatCode="0.0"/>
    <numFmt numFmtId="167" formatCode="&quot;$&quot;#,##0"/>
  </numFmts>
  <fonts count="21" x14ac:knownFonts="1">
    <font>
      <sz val="11"/>
      <color theme="1"/>
      <name val="Calibri"/>
      <family val="2"/>
      <scheme val="minor"/>
    </font>
    <font>
      <b/>
      <sz val="12"/>
      <color theme="1"/>
      <name val="Times New Roman"/>
      <family val="1"/>
    </font>
    <font>
      <sz val="10"/>
      <color theme="1"/>
      <name val="Times New Roman"/>
      <family val="1"/>
    </font>
    <font>
      <b/>
      <sz val="10"/>
      <color theme="1"/>
      <name val="Times New Roman"/>
      <family val="1"/>
    </font>
    <font>
      <b/>
      <vertAlign val="superscript"/>
      <sz val="10"/>
      <color theme="1"/>
      <name val="Times New Roman"/>
      <family val="1"/>
    </font>
    <font>
      <vertAlign val="superscript"/>
      <sz val="10"/>
      <color theme="1"/>
      <name val="Times New Roman"/>
      <family val="1"/>
    </font>
    <font>
      <b/>
      <i/>
      <sz val="10"/>
      <color theme="1"/>
      <name val="Times New Roman"/>
      <family val="1"/>
    </font>
    <font>
      <sz val="10"/>
      <name val="Times New Roman"/>
      <family val="1"/>
    </font>
    <font>
      <sz val="8"/>
      <name val="Helv"/>
    </font>
    <font>
      <b/>
      <sz val="12"/>
      <color rgb="FF000000"/>
      <name val="Times New Roman"/>
      <family val="1"/>
    </font>
    <font>
      <sz val="10"/>
      <color rgb="FF000000"/>
      <name val="Times New Roman"/>
      <family val="1"/>
    </font>
    <font>
      <b/>
      <sz val="10"/>
      <color rgb="FF000000"/>
      <name val="Times New Roman"/>
      <family val="1"/>
    </font>
    <font>
      <b/>
      <vertAlign val="superscript"/>
      <sz val="10"/>
      <color rgb="FF000000"/>
      <name val="Times New Roman"/>
      <family val="1"/>
    </font>
    <font>
      <vertAlign val="superscript"/>
      <sz val="10"/>
      <name val="Times New Roman"/>
      <family val="1"/>
    </font>
    <font>
      <vertAlign val="superscript"/>
      <sz val="10"/>
      <color rgb="FF000000"/>
      <name val="Times New Roman"/>
      <family val="1"/>
    </font>
    <font>
      <sz val="10"/>
      <color theme="1"/>
      <name val="Calibri"/>
      <family val="2"/>
      <scheme val="minor"/>
    </font>
    <font>
      <sz val="10"/>
      <color rgb="FFFF0000"/>
      <name val="Calibri"/>
      <family val="2"/>
      <scheme val="minor"/>
    </font>
    <font>
      <sz val="8"/>
      <name val="Calibri"/>
      <family val="2"/>
      <scheme val="minor"/>
    </font>
    <font>
      <sz val="9"/>
      <color theme="1"/>
      <name val="Times New Roman"/>
      <family val="1"/>
    </font>
    <font>
      <b/>
      <sz val="9"/>
      <color theme="1"/>
      <name val="Times New Roman"/>
      <family val="1"/>
    </font>
    <font>
      <b/>
      <sz val="11"/>
      <color theme="1"/>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164" fontId="8" fillId="0" borderId="0"/>
  </cellStyleXfs>
  <cellXfs count="72">
    <xf numFmtId="0" fontId="0" fillId="0" borderId="0" xfId="0"/>
    <xf numFmtId="164" fontId="7" fillId="0" borderId="0" xfId="1" applyFont="1" applyAlignment="1">
      <alignment horizontal="center" vertical="center" wrapText="1"/>
    </xf>
    <xf numFmtId="165" fontId="7" fillId="0" borderId="0" xfId="1" applyNumberFormat="1" applyFont="1" applyAlignment="1">
      <alignment horizontal="right" wrapText="1"/>
    </xf>
    <xf numFmtId="0" fontId="10" fillId="0" borderId="1" xfId="0" applyFont="1" applyBorder="1"/>
    <xf numFmtId="0" fontId="15" fillId="0" borderId="0" xfId="0" applyFont="1"/>
    <xf numFmtId="0" fontId="10"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4" fillId="0" borderId="0" xfId="0" applyFont="1" applyAlignment="1">
      <alignment vertical="center"/>
    </xf>
    <xf numFmtId="0" fontId="2" fillId="0" borderId="1" xfId="0" applyFont="1" applyBorder="1" applyAlignment="1">
      <alignment vertical="center" wrapText="1"/>
    </xf>
    <xf numFmtId="0" fontId="3" fillId="0" borderId="1" xfId="0" applyFont="1" applyBorder="1" applyAlignment="1">
      <alignment horizontal="center" vertical="center" wrapText="1"/>
    </xf>
    <xf numFmtId="6" fontId="2" fillId="0" borderId="1" xfId="0" applyNumberFormat="1" applyFont="1" applyBorder="1" applyAlignment="1">
      <alignment horizontal="center" vertical="center" wrapText="1"/>
    </xf>
    <xf numFmtId="0" fontId="3" fillId="0" borderId="1" xfId="0" applyFont="1" applyBorder="1" applyAlignment="1">
      <alignment vertical="center" wrapText="1"/>
    </xf>
    <xf numFmtId="6" fontId="3" fillId="0" borderId="1" xfId="0" applyNumberFormat="1" applyFont="1" applyBorder="1" applyAlignment="1">
      <alignment horizontal="center" vertical="center" wrapText="1"/>
    </xf>
    <xf numFmtId="0" fontId="3" fillId="0" borderId="0" xfId="0" applyFont="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indent="2"/>
    </xf>
    <xf numFmtId="0" fontId="1" fillId="0" borderId="0" xfId="0" applyFont="1"/>
    <xf numFmtId="0" fontId="2" fillId="0" borderId="1" xfId="0" applyFont="1" applyBorder="1" applyAlignment="1">
      <alignment horizontal="left" vertical="center" wrapText="1" indent="1"/>
    </xf>
    <xf numFmtId="8" fontId="2" fillId="0" borderId="1" xfId="0" applyNumberFormat="1" applyFont="1" applyBorder="1" applyAlignment="1">
      <alignment horizontal="right" vertical="center" wrapText="1"/>
    </xf>
    <xf numFmtId="0" fontId="2" fillId="0" borderId="1" xfId="0" applyFont="1" applyBorder="1" applyAlignment="1">
      <alignment horizontal="right" vertical="center" wrapText="1"/>
    </xf>
    <xf numFmtId="166" fontId="2" fillId="0" borderId="1" xfId="0" applyNumberFormat="1" applyFont="1" applyBorder="1" applyAlignment="1">
      <alignment horizontal="center" vertical="center" wrapText="1"/>
    </xf>
    <xf numFmtId="0" fontId="16" fillId="0" borderId="0" xfId="0" applyFont="1" applyAlignment="1">
      <alignment vertical="top" wrapText="1"/>
    </xf>
    <xf numFmtId="0" fontId="10" fillId="0" borderId="0" xfId="0" applyFont="1" applyAlignment="1">
      <alignment vertical="top"/>
    </xf>
    <xf numFmtId="6" fontId="15" fillId="0" borderId="0" xfId="0" applyNumberFormat="1" applyFont="1"/>
    <xf numFmtId="0" fontId="2" fillId="0" borderId="4" xfId="0" applyFont="1" applyBorder="1" applyAlignment="1">
      <alignment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1" fontId="3" fillId="0" borderId="4" xfId="0" applyNumberFormat="1" applyFont="1" applyBorder="1" applyAlignment="1">
      <alignment horizontal="center" vertical="center" wrapText="1"/>
    </xf>
    <xf numFmtId="41" fontId="0" fillId="0" borderId="0" xfId="0" applyNumberFormat="1"/>
    <xf numFmtId="3" fontId="0" fillId="0" borderId="0" xfId="0" applyNumberFormat="1"/>
    <xf numFmtId="6" fontId="0" fillId="0" borderId="0" xfId="0" applyNumberFormat="1"/>
    <xf numFmtId="1" fontId="0" fillId="0" borderId="0" xfId="0" applyNumberFormat="1"/>
    <xf numFmtId="0" fontId="2" fillId="0" borderId="1" xfId="0" applyFont="1" applyBorder="1" applyAlignment="1">
      <alignment vertical="top" wrapText="1"/>
    </xf>
    <xf numFmtId="6" fontId="2" fillId="0" borderId="1" xfId="0" applyNumberFormat="1" applyFont="1" applyBorder="1" applyAlignment="1">
      <alignment horizontal="right" vertical="center" wrapText="1"/>
    </xf>
    <xf numFmtId="165" fontId="2" fillId="0" borderId="1" xfId="0" applyNumberFormat="1" applyFont="1" applyBorder="1"/>
    <xf numFmtId="0" fontId="6" fillId="0" borderId="1" xfId="0" applyFont="1" applyBorder="1" applyAlignment="1">
      <alignment vertical="center" wrapText="1"/>
    </xf>
    <xf numFmtId="6" fontId="6" fillId="0" borderId="1" xfId="0" applyNumberFormat="1" applyFont="1" applyBorder="1" applyAlignment="1">
      <alignment horizontal="right" vertical="center" wrapText="1"/>
    </xf>
    <xf numFmtId="2" fontId="2" fillId="0" borderId="1" xfId="0" applyNumberFormat="1" applyFont="1" applyBorder="1" applyAlignment="1">
      <alignment horizontal="center" vertical="center" wrapText="1"/>
    </xf>
    <xf numFmtId="0" fontId="3" fillId="0" borderId="1" xfId="0" applyFont="1" applyBorder="1" applyAlignment="1">
      <alignment horizontal="right" vertical="center" wrapText="1"/>
    </xf>
    <xf numFmtId="3" fontId="3" fillId="0" borderId="1" xfId="0" applyNumberFormat="1" applyFont="1" applyBorder="1" applyAlignment="1">
      <alignment horizontal="center" vertical="center" wrapText="1"/>
    </xf>
    <xf numFmtId="6" fontId="3" fillId="0" borderId="1" xfId="0" applyNumberFormat="1" applyFont="1" applyBorder="1" applyAlignment="1">
      <alignment horizontal="right" vertical="center" wrapText="1"/>
    </xf>
    <xf numFmtId="0" fontId="3" fillId="0" borderId="0" xfId="0" applyFont="1" applyAlignment="1">
      <alignment vertical="center"/>
    </xf>
    <xf numFmtId="0" fontId="5" fillId="0" borderId="0" xfId="0" applyFont="1" applyAlignment="1">
      <alignment horizontal="left" vertical="center"/>
    </xf>
    <xf numFmtId="0" fontId="5" fillId="0" borderId="0" xfId="0" applyFont="1"/>
    <xf numFmtId="0" fontId="18" fillId="0" borderId="1" xfId="0" applyFont="1" applyBorder="1" applyAlignment="1">
      <alignment horizontal="center" vertical="center" wrapText="1"/>
    </xf>
    <xf numFmtId="0" fontId="10" fillId="0" borderId="5" xfId="0" applyFont="1" applyBorder="1" applyAlignment="1">
      <alignment horizontal="center" vertical="center" wrapText="1"/>
    </xf>
    <xf numFmtId="0" fontId="18" fillId="0" borderId="1" xfId="0" applyFont="1" applyBorder="1" applyAlignment="1">
      <alignment vertical="center" wrapText="1"/>
    </xf>
    <xf numFmtId="0" fontId="19" fillId="0" borderId="1" xfId="0" applyFont="1" applyBorder="1" applyAlignment="1">
      <alignment horizontal="center" vertical="center" wrapText="1"/>
    </xf>
    <xf numFmtId="164" fontId="7" fillId="0" borderId="0" xfId="1" applyFont="1" applyAlignment="1">
      <alignment vertical="top"/>
    </xf>
    <xf numFmtId="167" fontId="6" fillId="0" borderId="1" xfId="0" applyNumberFormat="1" applyFont="1" applyBorder="1" applyAlignment="1">
      <alignment horizontal="right" vertical="center" wrapText="1"/>
    </xf>
    <xf numFmtId="6" fontId="2" fillId="0" borderId="0" xfId="0" applyNumberFormat="1" applyFont="1" applyAlignment="1">
      <alignment horizontal="center" vertical="center" wrapText="1"/>
    </xf>
    <xf numFmtId="0" fontId="20" fillId="0" borderId="1" xfId="0" applyFont="1" applyBorder="1" applyAlignment="1">
      <alignment horizontal="center" vertical="center"/>
    </xf>
    <xf numFmtId="0" fontId="0" fillId="0" borderId="0" xfId="0" applyAlignment="1">
      <alignment horizontal="center"/>
    </xf>
    <xf numFmtId="0" fontId="7" fillId="0" borderId="0" xfId="0" applyFont="1" applyAlignment="1">
      <alignment horizontal="left" vertical="top" wrapText="1"/>
    </xf>
    <xf numFmtId="0" fontId="13" fillId="0" borderId="0" xfId="0" applyFont="1" applyAlignment="1">
      <alignment horizontal="left" vertical="top" wrapText="1"/>
    </xf>
    <xf numFmtId="0" fontId="10" fillId="0" borderId="2" xfId="0" applyFont="1" applyBorder="1" applyAlignment="1">
      <alignment horizontal="center"/>
    </xf>
    <xf numFmtId="0" fontId="10" fillId="0" borderId="3" xfId="0" applyFont="1" applyBorder="1" applyAlignment="1">
      <alignment horizontal="center"/>
    </xf>
    <xf numFmtId="3" fontId="6" fillId="0" borderId="1"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5" fillId="0" borderId="0" xfId="0" applyFont="1" applyAlignment="1">
      <alignment horizontal="left" vertical="top" wrapText="1"/>
    </xf>
    <xf numFmtId="0" fontId="10" fillId="0" borderId="1" xfId="0" applyFont="1" applyBorder="1" applyAlignment="1">
      <alignment horizontal="center"/>
    </xf>
    <xf numFmtId="0" fontId="7" fillId="0" borderId="0" xfId="0" applyFont="1" applyAlignment="1">
      <alignment vertical="center" wrapText="1"/>
    </xf>
    <xf numFmtId="0" fontId="13" fillId="0" borderId="0" xfId="0" applyFont="1" applyAlignment="1">
      <alignment vertical="center" wrapText="1"/>
    </xf>
    <xf numFmtId="0" fontId="2" fillId="0" borderId="0" xfId="0" applyFont="1" applyAlignment="1">
      <alignmen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0" xfId="0" applyFont="1" applyAlignment="1">
      <alignment horizontal="left"/>
    </xf>
    <xf numFmtId="0" fontId="2" fillId="0" borderId="4" xfId="0" applyFont="1" applyBorder="1" applyAlignment="1">
      <alignment horizontal="left" wrapText="1"/>
    </xf>
    <xf numFmtId="0" fontId="9" fillId="0" borderId="1" xfId="0" applyFont="1" applyBorder="1" applyAlignment="1">
      <alignment horizontal="center" vertical="center" wrapText="1"/>
    </xf>
    <xf numFmtId="0" fontId="11" fillId="0" borderId="1" xfId="0" applyFont="1" applyBorder="1" applyAlignment="1">
      <alignment vertical="center" wrapText="1"/>
    </xf>
  </cellXfs>
  <cellStyles count="2">
    <cellStyle name="Normal" xfId="0" builtinId="0"/>
    <cellStyle name="Normal_SSI Burden Estimate BML 060710" xfId="1" xr:uid="{A07D4530-980E-478C-AD05-99F0F1CD2970}"/>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11E90-6FAB-477D-9C4D-FB71EFB87D93}">
  <dimension ref="A1:B8"/>
  <sheetViews>
    <sheetView tabSelected="1" workbookViewId="0">
      <selection sqref="A1:B1"/>
    </sheetView>
  </sheetViews>
  <sheetFormatPr defaultRowHeight="14.5" x14ac:dyDescent="0.35"/>
  <cols>
    <col min="1" max="1" width="27.81640625" bestFit="1" customWidth="1"/>
    <col min="2" max="2" width="12.81640625" bestFit="1" customWidth="1"/>
  </cols>
  <sheetData>
    <row r="1" spans="1:2" x14ac:dyDescent="0.35">
      <c r="A1" s="54" t="s">
        <v>0</v>
      </c>
      <c r="B1" s="54"/>
    </row>
    <row r="2" spans="1:2" x14ac:dyDescent="0.35">
      <c r="A2" t="s">
        <v>1</v>
      </c>
      <c r="B2" s="30">
        <f>'Table 1'!L33</f>
        <v>16.08433734939759</v>
      </c>
    </row>
    <row r="3" spans="1:2" x14ac:dyDescent="0.35">
      <c r="A3" t="s">
        <v>2</v>
      </c>
      <c r="B3">
        <f>Respondents!F8</f>
        <v>33</v>
      </c>
    </row>
    <row r="4" spans="1:2" x14ac:dyDescent="0.35">
      <c r="A4" t="s">
        <v>3</v>
      </c>
      <c r="B4" s="31">
        <f>'Table 1'!F33</f>
        <v>2670</v>
      </c>
    </row>
    <row r="5" spans="1:2" x14ac:dyDescent="0.35">
      <c r="A5" t="s">
        <v>4</v>
      </c>
      <c r="B5" s="32">
        <f>'Table 1'!I35</f>
        <v>408000</v>
      </c>
    </row>
    <row r="6" spans="1:2" x14ac:dyDescent="0.35">
      <c r="A6" t="s">
        <v>5</v>
      </c>
      <c r="B6" s="32">
        <f>'Capital O&amp;M'!D6+'Capital O&amp;M'!G6</f>
        <v>72400</v>
      </c>
    </row>
    <row r="7" spans="1:2" x14ac:dyDescent="0.35">
      <c r="A7" t="s">
        <v>6</v>
      </c>
      <c r="B7" s="33">
        <f>Responses!E7</f>
        <v>166</v>
      </c>
    </row>
    <row r="8" spans="1:2" x14ac:dyDescent="0.35">
      <c r="A8" t="s">
        <v>7</v>
      </c>
      <c r="B8" t="s">
        <v>128</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54DA1-2EC2-470A-B0BB-BC64BD0BE2BC}">
  <dimension ref="A1:L46"/>
  <sheetViews>
    <sheetView zoomScale="87" zoomScaleNormal="87" workbookViewId="0">
      <selection activeCell="A2" sqref="A2"/>
    </sheetView>
  </sheetViews>
  <sheetFormatPr defaultRowHeight="14.5" x14ac:dyDescent="0.35"/>
  <cols>
    <col min="1" max="1" width="54.26953125" customWidth="1"/>
    <col min="2" max="2" width="10" customWidth="1"/>
    <col min="3" max="3" width="10.54296875" customWidth="1"/>
    <col min="4" max="4" width="9.81640625" customWidth="1"/>
    <col min="5" max="5" width="10.7265625" customWidth="1"/>
    <col min="7" max="7" width="10.81640625" customWidth="1"/>
    <col min="8" max="8" width="10" customWidth="1"/>
    <col min="9" max="9" width="11.54296875" customWidth="1"/>
    <col min="11" max="11" width="14.453125" customWidth="1"/>
  </cols>
  <sheetData>
    <row r="1" spans="1:12" ht="15.5" x14ac:dyDescent="0.35">
      <c r="A1" s="18" t="s">
        <v>45</v>
      </c>
    </row>
    <row r="3" spans="1:12" ht="83.25" customHeight="1" x14ac:dyDescent="0.35">
      <c r="A3" s="9" t="s">
        <v>8</v>
      </c>
      <c r="B3" s="9" t="s">
        <v>46</v>
      </c>
      <c r="C3" s="9" t="s">
        <v>9</v>
      </c>
      <c r="D3" s="9" t="s">
        <v>47</v>
      </c>
      <c r="E3" s="9" t="s">
        <v>48</v>
      </c>
      <c r="F3" s="9" t="s">
        <v>49</v>
      </c>
      <c r="G3" s="9" t="s">
        <v>50</v>
      </c>
      <c r="H3" s="9" t="s">
        <v>51</v>
      </c>
      <c r="I3" s="9" t="s">
        <v>52</v>
      </c>
    </row>
    <row r="4" spans="1:12" x14ac:dyDescent="0.35">
      <c r="A4" s="8" t="s">
        <v>53</v>
      </c>
      <c r="B4" s="34"/>
      <c r="C4" s="34"/>
      <c r="D4" s="34"/>
      <c r="E4" s="34"/>
      <c r="F4" s="34"/>
      <c r="G4" s="34"/>
      <c r="H4" s="34"/>
      <c r="I4" s="34"/>
      <c r="K4" s="57" t="s">
        <v>10</v>
      </c>
      <c r="L4" s="58"/>
    </row>
    <row r="5" spans="1:12" x14ac:dyDescent="0.35">
      <c r="A5" s="19" t="s">
        <v>54</v>
      </c>
      <c r="B5" s="6">
        <v>4</v>
      </c>
      <c r="C5" s="6">
        <v>1</v>
      </c>
      <c r="D5" s="6">
        <f>+B5*C5</f>
        <v>4</v>
      </c>
      <c r="E5" s="6">
        <v>0</v>
      </c>
      <c r="F5" s="6">
        <f>+D5*E5</f>
        <v>0</v>
      </c>
      <c r="G5" s="6">
        <f>+F5*0.05</f>
        <v>0</v>
      </c>
      <c r="H5" s="6">
        <f>+F5*0.1</f>
        <v>0</v>
      </c>
      <c r="I5" s="35">
        <f>+$L$6*F5+$L$5*G5+$L$7*H5</f>
        <v>0</v>
      </c>
      <c r="K5" s="3" t="s">
        <v>11</v>
      </c>
      <c r="L5" s="36">
        <v>163.16999999999999</v>
      </c>
    </row>
    <row r="6" spans="1:12" x14ac:dyDescent="0.35">
      <c r="A6" s="19" t="s">
        <v>55</v>
      </c>
      <c r="B6" s="6">
        <v>4</v>
      </c>
      <c r="C6" s="6">
        <v>1</v>
      </c>
      <c r="D6" s="6">
        <f t="shared" ref="D6:D29" si="0">+B6*C6</f>
        <v>4</v>
      </c>
      <c r="E6" s="6">
        <v>0</v>
      </c>
      <c r="F6" s="6">
        <f t="shared" ref="F6:F20" si="1">+D6*E6</f>
        <v>0</v>
      </c>
      <c r="G6" s="6">
        <f t="shared" ref="G6:G21" si="2">+F6*0.05</f>
        <v>0</v>
      </c>
      <c r="H6" s="6">
        <f t="shared" ref="H6:H21" si="3">+F6*0.1</f>
        <v>0</v>
      </c>
      <c r="I6" s="35">
        <f>+$L$6*F6+$L$5*G6+$L$7*H6</f>
        <v>0</v>
      </c>
      <c r="K6" s="3" t="s">
        <v>12</v>
      </c>
      <c r="L6" s="36">
        <v>130.28</v>
      </c>
    </row>
    <row r="7" spans="1:12" x14ac:dyDescent="0.35">
      <c r="A7" s="8" t="s">
        <v>56</v>
      </c>
      <c r="B7" s="6" t="s">
        <v>57</v>
      </c>
      <c r="C7" s="34"/>
      <c r="D7" s="6"/>
      <c r="E7" s="34"/>
      <c r="F7" s="6"/>
      <c r="G7" s="6"/>
      <c r="H7" s="6"/>
      <c r="I7" s="35"/>
      <c r="K7" s="3" t="s">
        <v>13</v>
      </c>
      <c r="L7" s="36">
        <v>65.709999999999994</v>
      </c>
    </row>
    <row r="8" spans="1:12" x14ac:dyDescent="0.35">
      <c r="A8" s="8" t="s">
        <v>58</v>
      </c>
      <c r="B8" s="34"/>
      <c r="C8" s="34"/>
      <c r="D8" s="6"/>
      <c r="E8" s="34"/>
      <c r="F8" s="6"/>
      <c r="G8" s="6"/>
      <c r="H8" s="6"/>
      <c r="I8" s="35"/>
    </row>
    <row r="9" spans="1:12" ht="15.5" x14ac:dyDescent="0.35">
      <c r="A9" s="19" t="s">
        <v>59</v>
      </c>
      <c r="B9" s="6">
        <v>1</v>
      </c>
      <c r="C9" s="6">
        <v>1</v>
      </c>
      <c r="D9" s="6">
        <f t="shared" si="0"/>
        <v>1</v>
      </c>
      <c r="E9" s="6">
        <v>33</v>
      </c>
      <c r="F9" s="6">
        <f t="shared" si="1"/>
        <v>33</v>
      </c>
      <c r="G9" s="6">
        <f t="shared" si="2"/>
        <v>1.6500000000000001</v>
      </c>
      <c r="H9" s="22">
        <f t="shared" si="3"/>
        <v>3.3000000000000003</v>
      </c>
      <c r="I9" s="20">
        <f>+$L$6*F9+$L$5*G9+$L$7*H9</f>
        <v>4785.3134999999993</v>
      </c>
    </row>
    <row r="10" spans="1:12" x14ac:dyDescent="0.35">
      <c r="A10" s="19" t="s">
        <v>60</v>
      </c>
      <c r="B10" s="34"/>
      <c r="C10" s="34"/>
      <c r="D10" s="6"/>
      <c r="E10" s="34"/>
      <c r="F10" s="6"/>
      <c r="G10" s="6"/>
      <c r="H10" s="6"/>
      <c r="I10" s="35"/>
    </row>
    <row r="11" spans="1:12" x14ac:dyDescent="0.35">
      <c r="A11" s="17" t="s">
        <v>61</v>
      </c>
      <c r="B11" s="6">
        <v>20</v>
      </c>
      <c r="C11" s="6">
        <v>1</v>
      </c>
      <c r="D11" s="6">
        <f t="shared" si="0"/>
        <v>20</v>
      </c>
      <c r="E11" s="6">
        <v>0</v>
      </c>
      <c r="F11" s="6">
        <f t="shared" si="1"/>
        <v>0</v>
      </c>
      <c r="G11" s="6">
        <f t="shared" si="2"/>
        <v>0</v>
      </c>
      <c r="H11" s="6">
        <f t="shared" si="3"/>
        <v>0</v>
      </c>
      <c r="I11" s="35">
        <f>+$L$6*F11+$L$5*G11+$L$7*H11</f>
        <v>0</v>
      </c>
    </row>
    <row r="12" spans="1:12" ht="15.5" x14ac:dyDescent="0.35">
      <c r="A12" s="17" t="s">
        <v>62</v>
      </c>
      <c r="B12" s="6">
        <v>8</v>
      </c>
      <c r="C12" s="6">
        <v>1</v>
      </c>
      <c r="D12" s="6">
        <f t="shared" si="0"/>
        <v>8</v>
      </c>
      <c r="E12" s="6">
        <v>23</v>
      </c>
      <c r="F12" s="6">
        <f>+D12*E12</f>
        <v>184</v>
      </c>
      <c r="G12" s="22">
        <f t="shared" si="2"/>
        <v>9.2000000000000011</v>
      </c>
      <c r="H12" s="6">
        <f t="shared" si="3"/>
        <v>18.400000000000002</v>
      </c>
      <c r="I12" s="20">
        <f>+$L$6*F12+$L$5*G12+$L$7*H12</f>
        <v>26681.748</v>
      </c>
    </row>
    <row r="13" spans="1:12" x14ac:dyDescent="0.35">
      <c r="A13" s="17" t="s">
        <v>63</v>
      </c>
      <c r="B13" s="6" t="s">
        <v>64</v>
      </c>
      <c r="C13" s="34"/>
      <c r="D13" s="6"/>
      <c r="E13" s="34"/>
      <c r="F13" s="6"/>
      <c r="G13" s="6"/>
      <c r="H13" s="6"/>
      <c r="I13" s="35"/>
    </row>
    <row r="14" spans="1:12" x14ac:dyDescent="0.35">
      <c r="A14" s="19" t="s">
        <v>65</v>
      </c>
      <c r="B14" s="6" t="s">
        <v>64</v>
      </c>
      <c r="C14" s="34"/>
      <c r="D14" s="6"/>
      <c r="E14" s="34"/>
      <c r="F14" s="6"/>
      <c r="G14" s="6"/>
      <c r="H14" s="6"/>
      <c r="I14" s="35"/>
    </row>
    <row r="15" spans="1:12" x14ac:dyDescent="0.35">
      <c r="A15" s="19" t="s">
        <v>66</v>
      </c>
      <c r="B15" s="6" t="s">
        <v>64</v>
      </c>
      <c r="C15" s="34"/>
      <c r="D15" s="6"/>
      <c r="E15" s="34"/>
      <c r="F15" s="6"/>
      <c r="G15" s="6"/>
      <c r="H15" s="6"/>
      <c r="I15" s="35"/>
    </row>
    <row r="16" spans="1:12" x14ac:dyDescent="0.35">
      <c r="A16" s="19" t="s">
        <v>67</v>
      </c>
      <c r="B16" s="34"/>
      <c r="C16" s="34"/>
      <c r="D16" s="6"/>
      <c r="E16" s="34"/>
      <c r="F16" s="6"/>
      <c r="G16" s="6"/>
      <c r="H16" s="6"/>
      <c r="I16" s="35"/>
    </row>
    <row r="17" spans="1:12" x14ac:dyDescent="0.35">
      <c r="A17" s="17" t="s">
        <v>68</v>
      </c>
      <c r="B17" s="6">
        <v>2</v>
      </c>
      <c r="C17" s="6">
        <v>1</v>
      </c>
      <c r="D17" s="6">
        <f t="shared" si="0"/>
        <v>2</v>
      </c>
      <c r="E17" s="6">
        <v>0</v>
      </c>
      <c r="F17" s="6">
        <f t="shared" si="1"/>
        <v>0</v>
      </c>
      <c r="G17" s="6">
        <f t="shared" si="2"/>
        <v>0</v>
      </c>
      <c r="H17" s="6">
        <f t="shared" si="3"/>
        <v>0</v>
      </c>
      <c r="I17" s="35">
        <f>+$L$6*F17+$L$5*G17+$L$7*H17</f>
        <v>0</v>
      </c>
    </row>
    <row r="18" spans="1:12" ht="15.5" x14ac:dyDescent="0.35">
      <c r="A18" s="17" t="s">
        <v>69</v>
      </c>
      <c r="B18" s="6">
        <v>2</v>
      </c>
      <c r="C18" s="6">
        <v>1</v>
      </c>
      <c r="D18" s="6">
        <f t="shared" si="0"/>
        <v>2</v>
      </c>
      <c r="E18" s="6">
        <v>23</v>
      </c>
      <c r="F18" s="6">
        <f t="shared" si="1"/>
        <v>46</v>
      </c>
      <c r="G18" s="6">
        <f t="shared" si="2"/>
        <v>2.3000000000000003</v>
      </c>
      <c r="H18" s="6">
        <f t="shared" si="3"/>
        <v>4.6000000000000005</v>
      </c>
      <c r="I18" s="20">
        <f>+$L$6*F18+$L$5*G18+$L$7*H18</f>
        <v>6670.4369999999999</v>
      </c>
    </row>
    <row r="19" spans="1:12" ht="15.5" x14ac:dyDescent="0.35">
      <c r="A19" s="17" t="s">
        <v>70</v>
      </c>
      <c r="B19" s="6">
        <v>8</v>
      </c>
      <c r="C19" s="6">
        <v>1</v>
      </c>
      <c r="D19" s="6">
        <f t="shared" si="0"/>
        <v>8</v>
      </c>
      <c r="E19" s="6">
        <v>23</v>
      </c>
      <c r="F19" s="6">
        <f t="shared" si="1"/>
        <v>184</v>
      </c>
      <c r="G19" s="6">
        <f t="shared" si="2"/>
        <v>9.2000000000000011</v>
      </c>
      <c r="H19" s="6">
        <f t="shared" si="3"/>
        <v>18.400000000000002</v>
      </c>
      <c r="I19" s="20">
        <f>+$L$6*F19+$L$5*G19+$L$7*H19</f>
        <v>26681.748</v>
      </c>
    </row>
    <row r="20" spans="1:12" x14ac:dyDescent="0.35">
      <c r="A20" s="17" t="s">
        <v>71</v>
      </c>
      <c r="B20" s="6">
        <v>16</v>
      </c>
      <c r="C20" s="6">
        <v>1</v>
      </c>
      <c r="D20" s="6">
        <f t="shared" si="0"/>
        <v>16</v>
      </c>
      <c r="E20" s="6">
        <v>0</v>
      </c>
      <c r="F20" s="6">
        <f t="shared" si="1"/>
        <v>0</v>
      </c>
      <c r="G20" s="6">
        <f t="shared" si="2"/>
        <v>0</v>
      </c>
      <c r="H20" s="6">
        <f t="shared" si="3"/>
        <v>0</v>
      </c>
      <c r="I20" s="35">
        <f>+$L$6*F20+$L$5*G20+$L$7*H20</f>
        <v>0</v>
      </c>
    </row>
    <row r="21" spans="1:12" ht="15.5" x14ac:dyDescent="0.35">
      <c r="A21" s="17" t="s">
        <v>72</v>
      </c>
      <c r="B21" s="6">
        <v>8</v>
      </c>
      <c r="C21" s="6">
        <v>12</v>
      </c>
      <c r="D21" s="6">
        <f t="shared" si="0"/>
        <v>96</v>
      </c>
      <c r="E21" s="6">
        <v>10</v>
      </c>
      <c r="F21" s="6">
        <f>+D21*E21</f>
        <v>960</v>
      </c>
      <c r="G21" s="6">
        <f t="shared" si="2"/>
        <v>48</v>
      </c>
      <c r="H21" s="6">
        <f t="shared" si="3"/>
        <v>96</v>
      </c>
      <c r="I21" s="20">
        <f>+$L$6*F21+$L$5*G21+$L$7*H21</f>
        <v>139209.12</v>
      </c>
    </row>
    <row r="22" spans="1:12" x14ac:dyDescent="0.35">
      <c r="A22" s="37" t="s">
        <v>14</v>
      </c>
      <c r="B22" s="37"/>
      <c r="C22" s="37"/>
      <c r="D22" s="6"/>
      <c r="E22" s="37"/>
      <c r="F22" s="59">
        <f>+SUM(F4:H21)</f>
        <v>1618.05</v>
      </c>
      <c r="G22" s="59"/>
      <c r="H22" s="59"/>
      <c r="I22" s="38">
        <f>SUM(I4:I21)</f>
        <v>204028.3665</v>
      </c>
    </row>
    <row r="23" spans="1:12" x14ac:dyDescent="0.35">
      <c r="A23" s="8" t="s">
        <v>73</v>
      </c>
      <c r="B23" s="34"/>
      <c r="C23" s="34"/>
      <c r="D23" s="6"/>
      <c r="E23" s="34"/>
      <c r="F23" s="34"/>
      <c r="G23" s="34"/>
      <c r="H23" s="34"/>
      <c r="I23" s="21"/>
    </row>
    <row r="24" spans="1:12" x14ac:dyDescent="0.35">
      <c r="A24" s="19" t="s">
        <v>74</v>
      </c>
      <c r="B24" s="6" t="s">
        <v>75</v>
      </c>
      <c r="C24" s="34"/>
      <c r="D24" s="6"/>
      <c r="E24" s="34"/>
      <c r="F24" s="34"/>
      <c r="G24" s="34"/>
      <c r="H24" s="34"/>
      <c r="I24" s="21"/>
    </row>
    <row r="25" spans="1:12" x14ac:dyDescent="0.35">
      <c r="A25" s="19" t="s">
        <v>76</v>
      </c>
      <c r="B25" s="6" t="s">
        <v>77</v>
      </c>
      <c r="C25" s="34"/>
      <c r="D25" s="6"/>
      <c r="E25" s="34"/>
      <c r="F25" s="34"/>
      <c r="G25" s="34"/>
      <c r="H25" s="34"/>
      <c r="I25" s="21"/>
    </row>
    <row r="26" spans="1:12" x14ac:dyDescent="0.35">
      <c r="A26" s="19" t="s">
        <v>78</v>
      </c>
      <c r="B26" s="6" t="s">
        <v>79</v>
      </c>
      <c r="C26" s="34"/>
      <c r="D26" s="6"/>
      <c r="E26" s="34"/>
      <c r="F26" s="34"/>
      <c r="G26" s="34"/>
      <c r="H26" s="34"/>
      <c r="I26" s="21"/>
    </row>
    <row r="27" spans="1:12" x14ac:dyDescent="0.35">
      <c r="A27" s="19" t="s">
        <v>80</v>
      </c>
      <c r="B27" s="6" t="s">
        <v>57</v>
      </c>
      <c r="C27" s="34"/>
      <c r="D27" s="6"/>
      <c r="E27" s="34"/>
      <c r="F27" s="34"/>
      <c r="G27" s="34"/>
      <c r="H27" s="34"/>
      <c r="I27" s="21"/>
    </row>
    <row r="28" spans="1:12" x14ac:dyDescent="0.35">
      <c r="A28" s="19" t="s">
        <v>81</v>
      </c>
      <c r="B28" s="34"/>
      <c r="C28" s="34"/>
      <c r="D28" s="6"/>
      <c r="E28" s="34"/>
      <c r="F28" s="34"/>
      <c r="G28" s="34"/>
      <c r="H28" s="34"/>
      <c r="I28" s="21"/>
    </row>
    <row r="29" spans="1:12" ht="15.5" x14ac:dyDescent="0.35">
      <c r="A29" s="17" t="s">
        <v>82</v>
      </c>
      <c r="B29" s="6">
        <v>0.25</v>
      </c>
      <c r="C29" s="6">
        <v>365</v>
      </c>
      <c r="D29" s="6">
        <f t="shared" si="0"/>
        <v>91.25</v>
      </c>
      <c r="E29" s="6">
        <v>10</v>
      </c>
      <c r="F29" s="22">
        <f t="shared" ref="F29" si="4">+D29*E29</f>
        <v>912.5</v>
      </c>
      <c r="G29" s="39">
        <f t="shared" ref="G29" si="5">+F29*0.05</f>
        <v>45.625</v>
      </c>
      <c r="H29" s="6">
        <f t="shared" ref="H29" si="6">+F29*0.1</f>
        <v>91.25</v>
      </c>
      <c r="I29" s="20">
        <f>+$L$6*F29+$L$5*G29+$L$7*H29</f>
        <v>132321.16875000001</v>
      </c>
    </row>
    <row r="30" spans="1:12" x14ac:dyDescent="0.35">
      <c r="A30" s="19" t="s">
        <v>83</v>
      </c>
      <c r="B30" s="6" t="s">
        <v>57</v>
      </c>
      <c r="C30" s="34"/>
      <c r="D30" s="34"/>
      <c r="E30" s="34"/>
      <c r="F30" s="34"/>
      <c r="G30" s="34"/>
      <c r="H30" s="34"/>
      <c r="I30" s="21"/>
    </row>
    <row r="31" spans="1:12" x14ac:dyDescent="0.35">
      <c r="A31" s="19" t="s">
        <v>84</v>
      </c>
      <c r="B31" s="6" t="s">
        <v>57</v>
      </c>
      <c r="C31" s="34"/>
      <c r="D31" s="34"/>
      <c r="E31" s="34"/>
      <c r="F31" s="34"/>
      <c r="G31" s="34"/>
      <c r="H31" s="34"/>
      <c r="I31" s="40"/>
    </row>
    <row r="32" spans="1:12" x14ac:dyDescent="0.35">
      <c r="A32" s="37" t="s">
        <v>85</v>
      </c>
      <c r="B32" s="37"/>
      <c r="C32" s="37"/>
      <c r="D32" s="37"/>
      <c r="E32" s="37"/>
      <c r="F32" s="59">
        <f>SUM(F23:H31)</f>
        <v>1049.375</v>
      </c>
      <c r="G32" s="59"/>
      <c r="H32" s="59"/>
      <c r="I32" s="51">
        <f>SUM(I23:I31)</f>
        <v>132321.16875000001</v>
      </c>
      <c r="K32" t="s">
        <v>86</v>
      </c>
      <c r="L32" t="s">
        <v>15</v>
      </c>
    </row>
    <row r="33" spans="1:12" ht="15.5" x14ac:dyDescent="0.35">
      <c r="A33" s="11" t="s">
        <v>87</v>
      </c>
      <c r="B33" s="11"/>
      <c r="C33" s="11"/>
      <c r="D33" s="11"/>
      <c r="E33" s="11"/>
      <c r="F33" s="60">
        <f>ROUND(F22+F32,-1)</f>
        <v>2670</v>
      </c>
      <c r="G33" s="60"/>
      <c r="H33" s="60"/>
      <c r="I33" s="42">
        <f>ROUND(I22+I32,-3)</f>
        <v>336000</v>
      </c>
      <c r="K33">
        <v>166</v>
      </c>
      <c r="L33">
        <f>+F33/K33</f>
        <v>16.08433734939759</v>
      </c>
    </row>
    <row r="34" spans="1:12" ht="15" x14ac:dyDescent="0.35">
      <c r="A34" s="11" t="s">
        <v>88</v>
      </c>
      <c r="B34" s="11"/>
      <c r="C34" s="11"/>
      <c r="D34" s="11"/>
      <c r="E34" s="11"/>
      <c r="F34" s="41"/>
      <c r="G34" s="41"/>
      <c r="H34" s="41"/>
      <c r="I34" s="42">
        <f>'Capital O&amp;M'!I6</f>
        <v>72400</v>
      </c>
    </row>
    <row r="35" spans="1:12" ht="15" x14ac:dyDescent="0.35">
      <c r="A35" s="11" t="s">
        <v>89</v>
      </c>
      <c r="B35" s="11"/>
      <c r="C35" s="11"/>
      <c r="D35" s="11"/>
      <c r="E35" s="11"/>
      <c r="F35" s="41"/>
      <c r="G35" s="41"/>
      <c r="H35" s="41"/>
      <c r="I35" s="42">
        <f>ROUND(I33+I34, -3)</f>
        <v>408000</v>
      </c>
    </row>
    <row r="37" spans="1:12" x14ac:dyDescent="0.35">
      <c r="A37" s="43" t="s">
        <v>16</v>
      </c>
    </row>
    <row r="38" spans="1:12" ht="71.25" customHeight="1" x14ac:dyDescent="0.35">
      <c r="A38" s="61" t="s">
        <v>90</v>
      </c>
      <c r="B38" s="61"/>
      <c r="C38" s="61"/>
      <c r="D38" s="61"/>
      <c r="E38" s="61"/>
      <c r="F38" s="61"/>
      <c r="G38" s="61"/>
      <c r="H38" s="61"/>
      <c r="I38" s="61"/>
    </row>
    <row r="39" spans="1:12" ht="70.900000000000006" customHeight="1" x14ac:dyDescent="0.35">
      <c r="A39" s="55" t="s">
        <v>127</v>
      </c>
      <c r="B39" s="56"/>
      <c r="C39" s="56"/>
      <c r="D39" s="56"/>
      <c r="E39" s="56"/>
      <c r="F39" s="56"/>
      <c r="G39" s="56"/>
      <c r="H39" s="56"/>
      <c r="I39" s="56"/>
    </row>
    <row r="40" spans="1:12" ht="15.5" x14ac:dyDescent="0.35">
      <c r="A40" s="44" t="s">
        <v>91</v>
      </c>
    </row>
    <row r="41" spans="1:12" ht="15.5" x14ac:dyDescent="0.35">
      <c r="A41" s="44" t="s">
        <v>92</v>
      </c>
    </row>
    <row r="42" spans="1:12" ht="15.5" x14ac:dyDescent="0.35">
      <c r="A42" s="44" t="s">
        <v>93</v>
      </c>
    </row>
    <row r="43" spans="1:12" ht="15.5" x14ac:dyDescent="0.35">
      <c r="A43" s="44" t="s">
        <v>94</v>
      </c>
    </row>
    <row r="44" spans="1:12" ht="15.5" x14ac:dyDescent="0.35">
      <c r="A44" s="44" t="s">
        <v>95</v>
      </c>
    </row>
    <row r="45" spans="1:12" ht="16" x14ac:dyDescent="0.35">
      <c r="A45" s="45" t="s">
        <v>96</v>
      </c>
    </row>
    <row r="46" spans="1:12" ht="15.5" x14ac:dyDescent="0.35">
      <c r="A46" s="44" t="s">
        <v>97</v>
      </c>
    </row>
  </sheetData>
  <sortState xmlns:xlrd2="http://schemas.microsoft.com/office/spreadsheetml/2017/richdata2" ref="A61:C76">
    <sortCondition ref="C61:C76"/>
  </sortState>
  <mergeCells count="6">
    <mergeCell ref="A39:I39"/>
    <mergeCell ref="K4:L4"/>
    <mergeCell ref="F22:H22"/>
    <mergeCell ref="F32:H32"/>
    <mergeCell ref="F33:H33"/>
    <mergeCell ref="A38:I38"/>
  </mergeCells>
  <phoneticPr fontId="17" type="noConversion"/>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8443F-7CF2-4AB9-A4F5-AA1F42586018}">
  <dimension ref="A1:L23"/>
  <sheetViews>
    <sheetView workbookViewId="0">
      <selection activeCell="A2" sqref="A2"/>
    </sheetView>
  </sheetViews>
  <sheetFormatPr defaultRowHeight="14.5" x14ac:dyDescent="0.35"/>
  <cols>
    <col min="1" max="1" width="51.81640625" customWidth="1"/>
    <col min="2" max="2" width="9.7265625" customWidth="1"/>
    <col min="3" max="3" width="10.54296875" customWidth="1"/>
    <col min="4" max="4" width="9.81640625" customWidth="1"/>
    <col min="5" max="5" width="10.54296875" customWidth="1"/>
    <col min="7" max="7" width="11.1796875" customWidth="1"/>
    <col min="9" max="9" width="11.54296875" customWidth="1"/>
    <col min="11" max="11" width="12" customWidth="1"/>
  </cols>
  <sheetData>
    <row r="1" spans="1:12" ht="15.5" x14ac:dyDescent="0.35">
      <c r="A1" s="18" t="s">
        <v>98</v>
      </c>
    </row>
    <row r="3" spans="1:12" ht="91" x14ac:dyDescent="0.35">
      <c r="A3" s="9" t="s">
        <v>8</v>
      </c>
      <c r="B3" s="9" t="s">
        <v>99</v>
      </c>
      <c r="C3" s="9" t="s">
        <v>9</v>
      </c>
      <c r="D3" s="9" t="s">
        <v>100</v>
      </c>
      <c r="E3" s="9" t="s">
        <v>101</v>
      </c>
      <c r="F3" s="9" t="s">
        <v>49</v>
      </c>
      <c r="G3" s="9" t="s">
        <v>102</v>
      </c>
      <c r="H3" s="9" t="s">
        <v>103</v>
      </c>
      <c r="I3" s="9" t="s">
        <v>104</v>
      </c>
    </row>
    <row r="4" spans="1:12" x14ac:dyDescent="0.35">
      <c r="A4" s="8" t="s">
        <v>105</v>
      </c>
      <c r="B4" s="34"/>
      <c r="C4" s="34"/>
      <c r="D4" s="34"/>
      <c r="E4" s="34"/>
      <c r="F4" s="34"/>
      <c r="G4" s="34"/>
      <c r="H4" s="34"/>
      <c r="I4" s="21"/>
      <c r="K4" s="62" t="s">
        <v>10</v>
      </c>
      <c r="L4" s="62"/>
    </row>
    <row r="5" spans="1:12" x14ac:dyDescent="0.35">
      <c r="A5" s="16" t="s">
        <v>106</v>
      </c>
      <c r="B5" s="6">
        <v>20</v>
      </c>
      <c r="C5" s="6">
        <v>1</v>
      </c>
      <c r="D5" s="6">
        <f>B5*C5</f>
        <v>20</v>
      </c>
      <c r="E5" s="6">
        <v>0</v>
      </c>
      <c r="F5" s="6">
        <f>D5*E5</f>
        <v>0</v>
      </c>
      <c r="G5" s="6">
        <f>F5*0.05</f>
        <v>0</v>
      </c>
      <c r="H5" s="6">
        <f>F5*0.1</f>
        <v>0</v>
      </c>
      <c r="I5" s="35">
        <f>$L$6*F5+$L$5*G5+$L$7*H5</f>
        <v>0</v>
      </c>
      <c r="K5" s="3" t="s">
        <v>11</v>
      </c>
      <c r="L5" s="36">
        <v>73.459999999999994</v>
      </c>
    </row>
    <row r="6" spans="1:12" x14ac:dyDescent="0.35">
      <c r="A6" s="8" t="s">
        <v>107</v>
      </c>
      <c r="B6" s="34"/>
      <c r="C6" s="34"/>
      <c r="E6" s="34"/>
      <c r="F6" s="6"/>
      <c r="G6" s="6"/>
      <c r="H6" s="6"/>
      <c r="I6" s="35"/>
      <c r="K6" s="3" t="s">
        <v>17</v>
      </c>
      <c r="L6" s="36">
        <v>54.51</v>
      </c>
    </row>
    <row r="7" spans="1:12" x14ac:dyDescent="0.35">
      <c r="A7" s="19" t="s">
        <v>108</v>
      </c>
      <c r="B7" s="6">
        <v>2</v>
      </c>
      <c r="C7" s="6">
        <v>1</v>
      </c>
      <c r="D7" s="6">
        <f>B7*C7</f>
        <v>2</v>
      </c>
      <c r="E7" s="6">
        <v>0</v>
      </c>
      <c r="F7" s="6">
        <f>D7*E7</f>
        <v>0</v>
      </c>
      <c r="G7" s="6">
        <f t="shared" ref="G7:G15" si="0">F7*0.05</f>
        <v>0</v>
      </c>
      <c r="H7" s="6">
        <f t="shared" ref="H7:H15" si="1">F7*0.1</f>
        <v>0</v>
      </c>
      <c r="I7" s="35">
        <f>$L$6*F7+$L$5*G7+$L$7*H7</f>
        <v>0</v>
      </c>
      <c r="K7" s="3" t="s">
        <v>13</v>
      </c>
      <c r="L7" s="36">
        <v>29.5</v>
      </c>
    </row>
    <row r="8" spans="1:12" x14ac:dyDescent="0.35">
      <c r="A8" s="19" t="s">
        <v>109</v>
      </c>
      <c r="B8" s="6">
        <v>2</v>
      </c>
      <c r="C8" s="6">
        <v>1</v>
      </c>
      <c r="D8" s="6">
        <f>B8*C8</f>
        <v>2</v>
      </c>
      <c r="E8" s="6">
        <v>0</v>
      </c>
      <c r="F8" s="6">
        <f t="shared" ref="F8:F15" si="2">D8*E8</f>
        <v>0</v>
      </c>
      <c r="G8" s="6">
        <f t="shared" si="0"/>
        <v>0</v>
      </c>
      <c r="H8" s="6">
        <f t="shared" si="1"/>
        <v>0</v>
      </c>
      <c r="I8" s="35">
        <f>$L$6*F8+$L$5*G8+$L$7*H8</f>
        <v>0</v>
      </c>
    </row>
    <row r="9" spans="1:12" x14ac:dyDescent="0.35">
      <c r="A9" s="19" t="s">
        <v>110</v>
      </c>
      <c r="B9" s="6">
        <v>0.5</v>
      </c>
      <c r="C9" s="6">
        <v>1</v>
      </c>
      <c r="D9" s="6">
        <f>B9*C9</f>
        <v>0.5</v>
      </c>
      <c r="E9" s="6">
        <v>0</v>
      </c>
      <c r="F9" s="6">
        <f t="shared" si="2"/>
        <v>0</v>
      </c>
      <c r="G9" s="6">
        <f t="shared" si="0"/>
        <v>0</v>
      </c>
      <c r="H9" s="6">
        <f t="shared" si="1"/>
        <v>0</v>
      </c>
      <c r="I9" s="35">
        <f>$L$6*F9+$L$5*G9+$L$7*H9</f>
        <v>0</v>
      </c>
    </row>
    <row r="10" spans="1:12" x14ac:dyDescent="0.35">
      <c r="A10" s="19" t="s">
        <v>111</v>
      </c>
      <c r="B10" s="6">
        <v>0.5</v>
      </c>
      <c r="C10" s="6">
        <v>1</v>
      </c>
      <c r="D10" s="6">
        <f t="shared" ref="D10:D15" si="3">B10*C10</f>
        <v>0.5</v>
      </c>
      <c r="E10" s="6">
        <v>0</v>
      </c>
      <c r="F10" s="6">
        <f t="shared" si="2"/>
        <v>0</v>
      </c>
      <c r="G10" s="6">
        <f t="shared" si="0"/>
        <v>0</v>
      </c>
      <c r="H10" s="6">
        <f t="shared" si="1"/>
        <v>0</v>
      </c>
      <c r="I10" s="35">
        <f>$L$6*F10+$L$5*G10+$L$7*H10</f>
        <v>0</v>
      </c>
    </row>
    <row r="11" spans="1:12" x14ac:dyDescent="0.35">
      <c r="A11" s="19" t="s">
        <v>112</v>
      </c>
      <c r="B11" s="6">
        <v>2</v>
      </c>
      <c r="C11" s="6">
        <v>1</v>
      </c>
      <c r="D11" s="6">
        <f t="shared" si="3"/>
        <v>2</v>
      </c>
      <c r="E11" s="6">
        <v>0</v>
      </c>
      <c r="F11" s="6">
        <f t="shared" si="2"/>
        <v>0</v>
      </c>
      <c r="G11" s="6">
        <f t="shared" si="0"/>
        <v>0</v>
      </c>
      <c r="H11" s="6">
        <f t="shared" si="1"/>
        <v>0</v>
      </c>
      <c r="I11" s="35">
        <f>$L$6*F11+$L$5*G11+$L$7*H11</f>
        <v>0</v>
      </c>
    </row>
    <row r="12" spans="1:12" x14ac:dyDescent="0.35">
      <c r="A12" s="8" t="s">
        <v>113</v>
      </c>
      <c r="B12" s="34"/>
      <c r="C12" s="34"/>
      <c r="D12" s="6"/>
      <c r="E12" s="34"/>
      <c r="F12" s="6"/>
      <c r="G12" s="6"/>
      <c r="H12" s="6"/>
      <c r="I12" s="35"/>
    </row>
    <row r="13" spans="1:12" x14ac:dyDescent="0.35">
      <c r="A13" s="19" t="s">
        <v>114</v>
      </c>
      <c r="B13" s="6">
        <v>40</v>
      </c>
      <c r="C13" s="6">
        <v>1</v>
      </c>
      <c r="D13" s="6">
        <f t="shared" si="3"/>
        <v>40</v>
      </c>
      <c r="E13" s="6">
        <v>23</v>
      </c>
      <c r="F13" s="6">
        <f t="shared" si="2"/>
        <v>920</v>
      </c>
      <c r="G13" s="6">
        <f t="shared" si="0"/>
        <v>46</v>
      </c>
      <c r="H13" s="6">
        <f t="shared" si="1"/>
        <v>92</v>
      </c>
      <c r="I13" s="20">
        <f>$L$6*F13+$L$5*G13+$L$7*H13</f>
        <v>56242.36</v>
      </c>
    </row>
    <row r="14" spans="1:12" ht="15.5" x14ac:dyDescent="0.35">
      <c r="A14" s="17" t="s">
        <v>115</v>
      </c>
      <c r="B14" s="6">
        <v>2</v>
      </c>
      <c r="C14" s="6">
        <v>1</v>
      </c>
      <c r="D14" s="6">
        <f t="shared" si="3"/>
        <v>2</v>
      </c>
      <c r="E14" s="6">
        <v>23</v>
      </c>
      <c r="F14" s="6">
        <f t="shared" si="2"/>
        <v>46</v>
      </c>
      <c r="G14" s="6">
        <f t="shared" si="0"/>
        <v>2.3000000000000003</v>
      </c>
      <c r="H14" s="6">
        <f t="shared" si="1"/>
        <v>4.6000000000000005</v>
      </c>
      <c r="I14" s="20">
        <f>$L$6*F14+$L$5*G14+$L$7*H14</f>
        <v>2812.1179999999999</v>
      </c>
    </row>
    <row r="15" spans="1:12" ht="15.5" x14ac:dyDescent="0.35">
      <c r="A15" s="17" t="s">
        <v>116</v>
      </c>
      <c r="B15" s="6">
        <v>2</v>
      </c>
      <c r="C15" s="6">
        <v>12</v>
      </c>
      <c r="D15" s="6">
        <f t="shared" si="3"/>
        <v>24</v>
      </c>
      <c r="E15" s="6">
        <v>10</v>
      </c>
      <c r="F15" s="6">
        <f t="shared" si="2"/>
        <v>240</v>
      </c>
      <c r="G15" s="6">
        <f t="shared" si="0"/>
        <v>12</v>
      </c>
      <c r="H15" s="6">
        <f t="shared" si="1"/>
        <v>24</v>
      </c>
      <c r="I15" s="20">
        <f>$L$6*F15+$L$5*G15+$L$7*H15</f>
        <v>14671.92</v>
      </c>
    </row>
    <row r="16" spans="1:12" ht="15" x14ac:dyDescent="0.35">
      <c r="A16" s="11" t="s">
        <v>117</v>
      </c>
      <c r="B16" s="11"/>
      <c r="C16" s="11"/>
      <c r="D16" s="11"/>
      <c r="E16" s="11"/>
      <c r="F16" s="60">
        <f>ROUND(SUM(F4:H15), -1)</f>
        <v>1390</v>
      </c>
      <c r="G16" s="60"/>
      <c r="H16" s="60"/>
      <c r="I16" s="42">
        <f>ROUND(SUM(I4:I15), -2)</f>
        <v>73700</v>
      </c>
    </row>
    <row r="18" spans="1:9" x14ac:dyDescent="0.35">
      <c r="A18" s="43" t="s">
        <v>16</v>
      </c>
    </row>
    <row r="19" spans="1:9" ht="80.25" customHeight="1" x14ac:dyDescent="0.35">
      <c r="A19" s="61" t="s">
        <v>118</v>
      </c>
      <c r="B19" s="61"/>
      <c r="C19" s="61"/>
      <c r="D19" s="61"/>
      <c r="E19" s="61"/>
      <c r="F19" s="61"/>
      <c r="G19" s="61"/>
      <c r="H19" s="61"/>
      <c r="I19" s="61"/>
    </row>
    <row r="20" spans="1:9" ht="51" customHeight="1" x14ac:dyDescent="0.35">
      <c r="A20" s="63" t="s">
        <v>129</v>
      </c>
      <c r="B20" s="64"/>
      <c r="C20" s="64"/>
      <c r="D20" s="64"/>
      <c r="E20" s="64"/>
      <c r="F20" s="64"/>
      <c r="G20" s="64"/>
      <c r="H20" s="64"/>
      <c r="I20" s="64"/>
    </row>
    <row r="21" spans="1:9" ht="15.5" x14ac:dyDescent="0.35">
      <c r="A21" s="44" t="s">
        <v>119</v>
      </c>
    </row>
    <row r="22" spans="1:9" ht="15.5" x14ac:dyDescent="0.35">
      <c r="A22" s="44" t="s">
        <v>120</v>
      </c>
    </row>
    <row r="23" spans="1:9" ht="15.5" x14ac:dyDescent="0.35">
      <c r="A23" s="44" t="s">
        <v>121</v>
      </c>
    </row>
  </sheetData>
  <mergeCells count="4">
    <mergeCell ref="K4:L4"/>
    <mergeCell ref="A20:I20"/>
    <mergeCell ref="A19:I19"/>
    <mergeCell ref="F16:H16"/>
  </mergeCells>
  <pageMargins left="0.7" right="0.7" top="0.75" bottom="0.75" header="0.3" footer="0.3"/>
  <pageSetup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3E3CA-182B-4F98-B2D0-1BA8517B03CE}">
  <dimension ref="A1:K10"/>
  <sheetViews>
    <sheetView zoomScaleNormal="100" workbookViewId="0">
      <selection activeCell="I16" sqref="I16"/>
    </sheetView>
  </sheetViews>
  <sheetFormatPr defaultColWidth="22" defaultRowHeight="13" x14ac:dyDescent="0.3"/>
  <cols>
    <col min="1" max="1" width="22" style="4"/>
    <col min="2" max="2" width="17.54296875" style="4" customWidth="1"/>
    <col min="3" max="3" width="17.26953125" style="4" customWidth="1"/>
    <col min="4" max="4" width="22" style="4"/>
    <col min="5" max="5" width="19.81640625" style="4" customWidth="1"/>
    <col min="6" max="7" width="16.81640625" style="4" customWidth="1"/>
    <col min="8" max="8" width="6" style="4" customWidth="1"/>
    <col min="9" max="16384" width="22" style="4"/>
  </cols>
  <sheetData>
    <row r="1" spans="1:11" x14ac:dyDescent="0.3">
      <c r="A1" s="1"/>
      <c r="B1" s="2"/>
      <c r="C1" s="2"/>
    </row>
    <row r="2" spans="1:11" x14ac:dyDescent="0.3">
      <c r="A2" s="66" t="s">
        <v>18</v>
      </c>
      <c r="B2" s="66"/>
      <c r="C2" s="66"/>
      <c r="D2" s="66"/>
      <c r="E2" s="66"/>
      <c r="F2" s="66"/>
      <c r="G2" s="67"/>
      <c r="H2" s="13"/>
    </row>
    <row r="3" spans="1:11" x14ac:dyDescent="0.3">
      <c r="A3" s="9" t="s">
        <v>19</v>
      </c>
      <c r="B3" s="9" t="s">
        <v>20</v>
      </c>
      <c r="C3" s="9" t="s">
        <v>21</v>
      </c>
      <c r="D3" s="9" t="s">
        <v>22</v>
      </c>
      <c r="E3" s="9" t="s">
        <v>23</v>
      </c>
      <c r="F3" s="9" t="s">
        <v>24</v>
      </c>
      <c r="G3" s="9" t="s">
        <v>25</v>
      </c>
      <c r="H3" s="13"/>
    </row>
    <row r="4" spans="1:11" ht="46.5" customHeight="1" x14ac:dyDescent="0.3">
      <c r="A4" s="9" t="s">
        <v>26</v>
      </c>
      <c r="B4" s="9" t="s">
        <v>27</v>
      </c>
      <c r="C4" s="9" t="s">
        <v>123</v>
      </c>
      <c r="D4" s="9" t="s">
        <v>28</v>
      </c>
      <c r="E4" s="9" t="s">
        <v>132</v>
      </c>
      <c r="F4" s="9" t="s">
        <v>133</v>
      </c>
      <c r="G4" s="9" t="s">
        <v>29</v>
      </c>
      <c r="H4" s="13"/>
      <c r="J4" s="4" t="s">
        <v>131</v>
      </c>
      <c r="K4" s="4" t="s">
        <v>130</v>
      </c>
    </row>
    <row r="5" spans="1:11" ht="36.75" customHeight="1" x14ac:dyDescent="0.3">
      <c r="A5" s="8" t="s">
        <v>122</v>
      </c>
      <c r="B5" s="10">
        <v>0</v>
      </c>
      <c r="C5" s="6">
        <v>0</v>
      </c>
      <c r="D5" s="10">
        <v>0</v>
      </c>
      <c r="E5" s="10">
        <f>3500*K5/J5</f>
        <v>7243.2158255135682</v>
      </c>
      <c r="F5" s="6">
        <v>10</v>
      </c>
      <c r="G5" s="10">
        <f>E5*F5</f>
        <v>72432.158255135684</v>
      </c>
      <c r="H5" s="52"/>
      <c r="J5" s="53">
        <v>394.3</v>
      </c>
      <c r="K5" s="53">
        <v>816</v>
      </c>
    </row>
    <row r="6" spans="1:11" ht="46.5" customHeight="1" x14ac:dyDescent="0.3">
      <c r="A6" s="11" t="s">
        <v>134</v>
      </c>
      <c r="B6" s="6"/>
      <c r="C6" s="6"/>
      <c r="D6" s="12">
        <f>ROUND(SUM(D5:D5), -3)</f>
        <v>0</v>
      </c>
      <c r="E6" s="6"/>
      <c r="F6" s="6"/>
      <c r="G6" s="12">
        <f>ROUND(SUM(G5:G5), -2)</f>
        <v>72400</v>
      </c>
      <c r="I6" s="25">
        <f>D6+G6</f>
        <v>72400</v>
      </c>
    </row>
    <row r="7" spans="1:11" ht="40.5" customHeight="1" x14ac:dyDescent="0.3">
      <c r="A7" s="69" t="s">
        <v>137</v>
      </c>
      <c r="B7" s="69"/>
      <c r="C7" s="69"/>
      <c r="D7" s="69"/>
      <c r="E7" s="69"/>
      <c r="F7" s="69"/>
      <c r="G7" s="69"/>
    </row>
    <row r="8" spans="1:11" ht="27" customHeight="1" x14ac:dyDescent="0.3">
      <c r="A8" s="65" t="s">
        <v>135</v>
      </c>
      <c r="B8" s="65"/>
      <c r="C8" s="65"/>
      <c r="D8" s="65"/>
      <c r="E8" s="65"/>
      <c r="F8" s="65"/>
      <c r="G8" s="65"/>
    </row>
    <row r="9" spans="1:11" ht="22.5" customHeight="1" x14ac:dyDescent="0.3">
      <c r="A9" s="68" t="s">
        <v>136</v>
      </c>
      <c r="B9" s="68"/>
      <c r="C9" s="68"/>
      <c r="D9" s="68"/>
      <c r="E9" s="68"/>
      <c r="F9" s="68"/>
      <c r="G9" s="68"/>
    </row>
    <row r="10" spans="1:11" x14ac:dyDescent="0.3">
      <c r="A10" s="23"/>
      <c r="B10" s="23"/>
      <c r="C10" s="23"/>
      <c r="D10" s="23"/>
      <c r="E10" s="23"/>
      <c r="F10" s="23"/>
      <c r="G10" s="23"/>
    </row>
  </sheetData>
  <mergeCells count="4">
    <mergeCell ref="A8:G8"/>
    <mergeCell ref="A2:G2"/>
    <mergeCell ref="A9:G9"/>
    <mergeCell ref="A7:G7"/>
  </mergeCells>
  <pageMargins left="0.7" right="0.7" top="0.75" bottom="0.75" header="0.3" footer="0.3"/>
  <pageSetup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A8CA8-D06D-48F9-AB41-065F033F135F}">
  <dimension ref="A1:E11"/>
  <sheetViews>
    <sheetView zoomScaleNormal="100" workbookViewId="0">
      <selection activeCell="G9" sqref="G9"/>
    </sheetView>
  </sheetViews>
  <sheetFormatPr defaultRowHeight="14.5" x14ac:dyDescent="0.35"/>
  <cols>
    <col min="1" max="1" width="22.26953125" bestFit="1" customWidth="1"/>
    <col min="2" max="2" width="11.81640625" customWidth="1"/>
    <col min="3" max="3" width="12.7265625" customWidth="1"/>
    <col min="4" max="4" width="11.453125" customWidth="1"/>
    <col min="5" max="5" width="14.7265625" customWidth="1"/>
  </cols>
  <sheetData>
    <row r="1" spans="1:5" s="4" customFormat="1" ht="15" x14ac:dyDescent="0.3">
      <c r="A1" s="70" t="s">
        <v>6</v>
      </c>
      <c r="B1" s="70"/>
      <c r="C1" s="70"/>
      <c r="D1" s="70"/>
      <c r="E1" s="70"/>
    </row>
    <row r="2" spans="1:5" s="4" customFormat="1" ht="13" x14ac:dyDescent="0.3">
      <c r="A2" s="5" t="s">
        <v>19</v>
      </c>
      <c r="B2" s="5" t="s">
        <v>20</v>
      </c>
      <c r="C2" s="5" t="s">
        <v>21</v>
      </c>
      <c r="D2" s="5" t="s">
        <v>22</v>
      </c>
      <c r="E2" s="5" t="s">
        <v>23</v>
      </c>
    </row>
    <row r="3" spans="1:5" s="4" customFormat="1" ht="104" x14ac:dyDescent="0.3">
      <c r="A3" s="47" t="s">
        <v>30</v>
      </c>
      <c r="B3" s="47" t="s">
        <v>31</v>
      </c>
      <c r="C3" s="47" t="s">
        <v>32</v>
      </c>
      <c r="D3" s="47" t="s">
        <v>33</v>
      </c>
      <c r="E3" s="47" t="s">
        <v>34</v>
      </c>
    </row>
    <row r="4" spans="1:5" s="4" customFormat="1" ht="13" x14ac:dyDescent="0.3">
      <c r="A4" s="48" t="s">
        <v>114</v>
      </c>
      <c r="B4" s="46">
        <v>23</v>
      </c>
      <c r="C4" s="46">
        <v>1</v>
      </c>
      <c r="D4" s="46">
        <v>0</v>
      </c>
      <c r="E4" s="46">
        <f>(B4*C4)+D4</f>
        <v>23</v>
      </c>
    </row>
    <row r="5" spans="1:5" s="4" customFormat="1" ht="23" x14ac:dyDescent="0.3">
      <c r="A5" s="48" t="s">
        <v>125</v>
      </c>
      <c r="B5" s="46">
        <v>23</v>
      </c>
      <c r="C5" s="46">
        <v>1</v>
      </c>
      <c r="D5" s="46">
        <v>0</v>
      </c>
      <c r="E5" s="46">
        <f t="shared" ref="E5:E6" si="0">(B5*C5)+D5</f>
        <v>23</v>
      </c>
    </row>
    <row r="6" spans="1:5" s="4" customFormat="1" ht="28.5" customHeight="1" x14ac:dyDescent="0.3">
      <c r="A6" s="48" t="s">
        <v>126</v>
      </c>
      <c r="B6" s="46">
        <v>10</v>
      </c>
      <c r="C6" s="46">
        <v>12</v>
      </c>
      <c r="D6" s="46">
        <v>0</v>
      </c>
      <c r="E6" s="46">
        <f t="shared" si="0"/>
        <v>120</v>
      </c>
    </row>
    <row r="7" spans="1:5" s="4" customFormat="1" ht="28.5" customHeight="1" x14ac:dyDescent="0.3">
      <c r="A7" s="48"/>
      <c r="B7" s="48"/>
      <c r="C7" s="48"/>
      <c r="D7" s="49" t="s">
        <v>35</v>
      </c>
      <c r="E7" s="49">
        <f>SUM(E4:E6)</f>
        <v>166</v>
      </c>
    </row>
    <row r="8" spans="1:5" s="4" customFormat="1" ht="13" x14ac:dyDescent="0.3">
      <c r="A8" s="26"/>
      <c r="B8" s="27"/>
      <c r="C8" s="27"/>
      <c r="D8" s="28"/>
      <c r="E8" s="29"/>
    </row>
    <row r="9" spans="1:5" s="4" customFormat="1" ht="18" customHeight="1" x14ac:dyDescent="0.3">
      <c r="A9" s="24"/>
      <c r="B9" s="24"/>
      <c r="C9" s="24"/>
      <c r="D9" s="24"/>
      <c r="E9" s="24"/>
    </row>
    <row r="10" spans="1:5" s="4" customFormat="1" ht="13" x14ac:dyDescent="0.3">
      <c r="A10" s="24"/>
      <c r="B10" s="24"/>
      <c r="C10" s="24"/>
      <c r="D10" s="24"/>
      <c r="E10" s="24"/>
    </row>
    <row r="11" spans="1:5" s="4" customFormat="1" ht="13" x14ac:dyDescent="0.3">
      <c r="A11" s="50"/>
      <c r="B11" s="50"/>
      <c r="C11" s="50"/>
      <c r="D11" s="50"/>
      <c r="E11" s="50"/>
    </row>
  </sheetData>
  <mergeCells count="1">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E7754-04D5-4DBA-B79C-283E5E0BF946}">
  <dimension ref="A1:F9"/>
  <sheetViews>
    <sheetView zoomScale="90" zoomScaleNormal="90" workbookViewId="0">
      <selection sqref="A1:F1"/>
    </sheetView>
  </sheetViews>
  <sheetFormatPr defaultColWidth="17.7265625" defaultRowHeight="31.9" customHeight="1" x14ac:dyDescent="0.35"/>
  <sheetData>
    <row r="1" spans="1:6" s="4" customFormat="1" ht="31.9" customHeight="1" x14ac:dyDescent="0.3">
      <c r="A1" s="70" t="s">
        <v>2</v>
      </c>
      <c r="B1" s="70"/>
      <c r="C1" s="70"/>
      <c r="D1" s="70"/>
      <c r="E1" s="70"/>
      <c r="F1" s="70"/>
    </row>
    <row r="2" spans="1:6" s="4" customFormat="1" ht="39" x14ac:dyDescent="0.3">
      <c r="A2" s="14"/>
      <c r="B2" s="71" t="s">
        <v>36</v>
      </c>
      <c r="C2" s="71"/>
      <c r="D2" s="14" t="s">
        <v>37</v>
      </c>
      <c r="E2" s="71"/>
      <c r="F2" s="71"/>
    </row>
    <row r="3" spans="1:6" s="4" customFormat="1" ht="31.9" customHeight="1" x14ac:dyDescent="0.3">
      <c r="A3" s="14"/>
      <c r="B3" s="15" t="s">
        <v>19</v>
      </c>
      <c r="C3" s="15" t="s">
        <v>20</v>
      </c>
      <c r="D3" s="15" t="s">
        <v>21</v>
      </c>
      <c r="E3" s="15" t="s">
        <v>22</v>
      </c>
      <c r="F3" s="15" t="s">
        <v>23</v>
      </c>
    </row>
    <row r="4" spans="1:6" s="4" customFormat="1" ht="70.900000000000006" customHeight="1" x14ac:dyDescent="0.3">
      <c r="A4" s="15" t="s">
        <v>38</v>
      </c>
      <c r="B4" s="14" t="s">
        <v>39</v>
      </c>
      <c r="C4" s="14" t="s">
        <v>40</v>
      </c>
      <c r="D4" s="14" t="s">
        <v>41</v>
      </c>
      <c r="E4" s="14" t="s">
        <v>42</v>
      </c>
      <c r="F4" s="14" t="s">
        <v>43</v>
      </c>
    </row>
    <row r="5" spans="1:6" s="4" customFormat="1" ht="31.9" customHeight="1" x14ac:dyDescent="0.3">
      <c r="A5" s="46">
        <v>1</v>
      </c>
      <c r="B5" s="46">
        <v>0</v>
      </c>
      <c r="C5" s="46">
        <v>33</v>
      </c>
      <c r="D5" s="46">
        <v>0</v>
      </c>
      <c r="E5" s="46">
        <v>0</v>
      </c>
      <c r="F5" s="46">
        <f>B5+C5+D5-E5</f>
        <v>33</v>
      </c>
    </row>
    <row r="6" spans="1:6" s="4" customFormat="1" ht="31.9" customHeight="1" x14ac:dyDescent="0.3">
      <c r="A6" s="46">
        <v>2</v>
      </c>
      <c r="B6" s="46">
        <v>0</v>
      </c>
      <c r="C6" s="46">
        <v>33</v>
      </c>
      <c r="D6" s="46">
        <v>0</v>
      </c>
      <c r="E6" s="46">
        <v>0</v>
      </c>
      <c r="F6" s="46">
        <f t="shared" ref="F6:F7" si="0">B6+C6+D6-E6</f>
        <v>33</v>
      </c>
    </row>
    <row r="7" spans="1:6" s="4" customFormat="1" ht="31.9" customHeight="1" x14ac:dyDescent="0.3">
      <c r="A7" s="46">
        <v>3</v>
      </c>
      <c r="B7" s="46">
        <v>0</v>
      </c>
      <c r="C7" s="46">
        <v>33</v>
      </c>
      <c r="D7" s="46">
        <v>0</v>
      </c>
      <c r="E7" s="46">
        <v>0</v>
      </c>
      <c r="F7" s="46">
        <f t="shared" si="0"/>
        <v>33</v>
      </c>
    </row>
    <row r="8" spans="1:6" s="4" customFormat="1" ht="31.9" customHeight="1" x14ac:dyDescent="0.3">
      <c r="A8" s="46" t="s">
        <v>44</v>
      </c>
      <c r="B8" s="46">
        <v>0</v>
      </c>
      <c r="C8" s="46">
        <v>33</v>
      </c>
      <c r="D8" s="46">
        <v>0</v>
      </c>
      <c r="E8" s="46">
        <v>0</v>
      </c>
      <c r="F8" s="46">
        <f>AVERAGE(F5:F7)</f>
        <v>33</v>
      </c>
    </row>
    <row r="9" spans="1:6" s="4" customFormat="1" ht="20.5" customHeight="1" x14ac:dyDescent="0.3">
      <c r="A9" s="7" t="s">
        <v>124</v>
      </c>
    </row>
  </sheetData>
  <mergeCells count="3">
    <mergeCell ref="A1:F1"/>
    <mergeCell ref="B2:C2"/>
    <mergeCell ref="E2:F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647799BF397B47822A696CA5B00470" ma:contentTypeVersion="6" ma:contentTypeDescription="Create a new document." ma:contentTypeScope="" ma:versionID="0ceb306ddc9cef45b6b00103a3ec3f35">
  <xsd:schema xmlns:xsd="http://www.w3.org/2001/XMLSchema" xmlns:xs="http://www.w3.org/2001/XMLSchema" xmlns:p="http://schemas.microsoft.com/office/2006/metadata/properties" xmlns:ns2="1891fcec-84c2-4840-9468-b51a784ab0d1" xmlns:ns3="4d6aed1e-57d3-46e3-9aba-f706adbce63b" targetNamespace="http://schemas.microsoft.com/office/2006/metadata/properties" ma:root="true" ma:fieldsID="d8c58acf2a0b8d9b5703eea10f1e9b5c" ns2:_="" ns3:_="">
    <xsd:import namespace="1891fcec-84c2-4840-9468-b51a784ab0d1"/>
    <xsd:import namespace="4d6aed1e-57d3-46e3-9aba-f706adbce63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91fcec-84c2-4840-9468-b51a784ab0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d6aed1e-57d3-46e3-9aba-f706adbce63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33944CE-9FC4-432C-A398-EF442B681C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91fcec-84c2-4840-9468-b51a784ab0d1"/>
    <ds:schemaRef ds:uri="4d6aed1e-57d3-46e3-9aba-f706adbce6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CED415-8393-4634-9968-A495AFA0611E}">
  <ds:schemaRefs>
    <ds:schemaRef ds:uri="http://schemas.microsoft.com/sharepoint/v3/contenttype/forms"/>
  </ds:schemaRefs>
</ds:datastoreItem>
</file>

<file path=customXml/itemProps3.xml><?xml version="1.0" encoding="utf-8"?>
<ds:datastoreItem xmlns:ds="http://schemas.openxmlformats.org/officeDocument/2006/customXml" ds:itemID="{1788708A-52BB-4D0F-B232-80F9E123F19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Responses</vt:lpstr>
      <vt:lpstr>Respondents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Denise Bevington</dc:creator>
  <cp:keywords/>
  <dc:description/>
  <cp:lastModifiedBy>Wrigley, William</cp:lastModifiedBy>
  <cp:revision/>
  <dcterms:created xsi:type="dcterms:W3CDTF">2018-07-19T14:57:42Z</dcterms:created>
  <dcterms:modified xsi:type="dcterms:W3CDTF">2023-09-13T13:11:07Z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0x010100A8647799BF397B47822A696CA5B00470</vt:lpwstr>
  </property>
</Properties>
</file>