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Tracy\ICRs - SPPD\FY2024\1687.13 Aerospace Manufacturing NESHAP\Drafts\Send to EPA\"/>
    </mc:Choice>
  </mc:AlternateContent>
  <xr:revisionPtr revIDLastSave="0" documentId="13_ncr:1_{08B66B67-3BE1-4A32-B9E8-A4BEDC498BB8}"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a" sheetId="7" r:id="rId2"/>
    <sheet name="Table 1b" sheetId="8" r:id="rId3"/>
    <sheet name="Table 1c" sheetId="9" r:id="rId4"/>
    <sheet name="Table 1d" sheetId="10" r:id="rId5"/>
    <sheet name="Table 1e" sheetId="11" r:id="rId6"/>
    <sheet name="Table 2a" sheetId="12" r:id="rId7"/>
    <sheet name="Table 2b" sheetId="13" r:id="rId8"/>
    <sheet name="Table 2c" sheetId="14" r:id="rId9"/>
    <sheet name="Table 2d" sheetId="15" r:id="rId10"/>
    <sheet name="Table 2e" sheetId="16" r:id="rId11"/>
    <sheet name="Table 3" sheetId="17" r:id="rId12"/>
    <sheet name="Capital O&amp;M" sheetId="3" r:id="rId13"/>
    <sheet name="Responses" sheetId="5" r:id="rId14"/>
    <sheet name="Respondents" sheetId="4"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0" i="3" l="1"/>
  <c r="B4" i="6"/>
  <c r="E8" i="16"/>
  <c r="E7" i="16"/>
  <c r="E6" i="16"/>
  <c r="E5" i="16"/>
  <c r="E4" i="16"/>
  <c r="E8" i="11"/>
  <c r="E7" i="11"/>
  <c r="E6" i="11"/>
  <c r="E5" i="11"/>
  <c r="E4" i="11"/>
  <c r="F4" i="16" l="1"/>
  <c r="B3" i="6"/>
  <c r="I40" i="12"/>
  <c r="I39" i="12"/>
  <c r="I40" i="7"/>
  <c r="I39" i="7"/>
  <c r="G10" i="3"/>
  <c r="G7" i="3"/>
  <c r="G9" i="3"/>
  <c r="G6" i="3"/>
  <c r="B9" i="3"/>
  <c r="B6" i="3"/>
  <c r="E9" i="3"/>
  <c r="E6" i="3"/>
  <c r="H8" i="16" l="1"/>
  <c r="E23" i="13"/>
  <c r="E19" i="13"/>
  <c r="E15" i="13"/>
  <c r="E10" i="13"/>
  <c r="E31" i="12"/>
  <c r="E30" i="12"/>
  <c r="E29" i="12"/>
  <c r="E28" i="12"/>
  <c r="E21" i="12"/>
  <c r="E17" i="12"/>
  <c r="E13" i="12"/>
  <c r="E23" i="9"/>
  <c r="E23" i="8"/>
  <c r="E19" i="8"/>
  <c r="E15" i="8"/>
  <c r="E10" i="8"/>
  <c r="I38" i="7"/>
  <c r="F38" i="7"/>
  <c r="F37" i="7"/>
  <c r="I37" i="7"/>
  <c r="I22" i="7"/>
  <c r="F22" i="7"/>
  <c r="I17" i="7"/>
  <c r="I7" i="7"/>
  <c r="E31" i="7"/>
  <c r="E30" i="7"/>
  <c r="E29" i="7"/>
  <c r="E28" i="7"/>
  <c r="E21" i="7"/>
  <c r="E17" i="7"/>
  <c r="E13" i="7"/>
  <c r="B6" i="6" l="1"/>
  <c r="B7" i="6"/>
  <c r="E21" i="5"/>
  <c r="E15" i="5"/>
  <c r="E16" i="5"/>
  <c r="E17" i="5"/>
  <c r="E18" i="5"/>
  <c r="E19" i="5"/>
  <c r="E20" i="5"/>
  <c r="E14" i="5"/>
  <c r="E22" i="5"/>
  <c r="E12" i="5"/>
  <c r="F8" i="4"/>
  <c r="F6" i="4"/>
  <c r="F7" i="4"/>
  <c r="F5" i="4"/>
  <c r="E20" i="17" l="1"/>
  <c r="F20" i="17" s="1"/>
  <c r="D20" i="17"/>
  <c r="F19" i="17"/>
  <c r="D19" i="17"/>
  <c r="E17" i="17"/>
  <c r="D17" i="17"/>
  <c r="D15" i="17"/>
  <c r="E14" i="17"/>
  <c r="F14" i="17" s="1"/>
  <c r="D14" i="17"/>
  <c r="D13" i="17"/>
  <c r="F13" i="17" s="1"/>
  <c r="D12" i="17"/>
  <c r="F12" i="17" s="1"/>
  <c r="G11" i="17"/>
  <c r="D11" i="17"/>
  <c r="F11" i="17" s="1"/>
  <c r="E10" i="17"/>
  <c r="D10" i="17"/>
  <c r="D9" i="17"/>
  <c r="F9" i="17" s="1"/>
  <c r="E7" i="17"/>
  <c r="F7" i="17" s="1"/>
  <c r="D7" i="17"/>
  <c r="E6" i="17"/>
  <c r="F6" i="17" s="1"/>
  <c r="D6" i="17"/>
  <c r="E4" i="17"/>
  <c r="D4" i="17"/>
  <c r="D36" i="15"/>
  <c r="F36" i="15" s="1"/>
  <c r="H35" i="15"/>
  <c r="F35" i="15"/>
  <c r="G35" i="15" s="1"/>
  <c r="D35" i="15"/>
  <c r="D32" i="15"/>
  <c r="F32" i="15" s="1"/>
  <c r="D29" i="15"/>
  <c r="F29" i="15" s="1"/>
  <c r="D27" i="15"/>
  <c r="F27" i="15" s="1"/>
  <c r="G27" i="15" s="1"/>
  <c r="F7" i="15"/>
  <c r="D7" i="15"/>
  <c r="H39" i="14"/>
  <c r="F39" i="14"/>
  <c r="G39" i="14" s="1"/>
  <c r="I39" i="14" s="1"/>
  <c r="D39" i="14"/>
  <c r="D38" i="14"/>
  <c r="F38" i="14" s="1"/>
  <c r="D35" i="14"/>
  <c r="F35" i="14" s="1"/>
  <c r="G34" i="14"/>
  <c r="D34" i="14"/>
  <c r="F34" i="14" s="1"/>
  <c r="D33" i="14"/>
  <c r="F33" i="14" s="1"/>
  <c r="D32" i="14"/>
  <c r="F32" i="14" s="1"/>
  <c r="F31" i="14"/>
  <c r="D31" i="14"/>
  <c r="F30" i="14"/>
  <c r="H30" i="14" s="1"/>
  <c r="D30" i="14"/>
  <c r="H29" i="14"/>
  <c r="F29" i="14"/>
  <c r="G29" i="14" s="1"/>
  <c r="D29" i="14"/>
  <c r="D27" i="14"/>
  <c r="F27" i="14" s="1"/>
  <c r="D23" i="14"/>
  <c r="F23" i="14" s="1"/>
  <c r="D21" i="14"/>
  <c r="F21" i="14" s="1"/>
  <c r="F19" i="14"/>
  <c r="D19" i="14"/>
  <c r="F18" i="14"/>
  <c r="H18" i="14" s="1"/>
  <c r="D18" i="14"/>
  <c r="H17" i="14"/>
  <c r="F17" i="14"/>
  <c r="G17" i="14" s="1"/>
  <c r="I17" i="14" s="1"/>
  <c r="D17" i="14"/>
  <c r="D16" i="14"/>
  <c r="F16" i="14" s="1"/>
  <c r="D15" i="14"/>
  <c r="F15" i="14" s="1"/>
  <c r="D14" i="14"/>
  <c r="F14" i="14" s="1"/>
  <c r="D10" i="14"/>
  <c r="F10" i="14" s="1"/>
  <c r="D9" i="14"/>
  <c r="F9" i="14" s="1"/>
  <c r="G7" i="14"/>
  <c r="F7" i="14"/>
  <c r="D7" i="14"/>
  <c r="H37" i="13"/>
  <c r="F37" i="13"/>
  <c r="G37" i="13" s="1"/>
  <c r="I37" i="13" s="1"/>
  <c r="D37" i="13"/>
  <c r="D36" i="13"/>
  <c r="F36" i="13" s="1"/>
  <c r="D33" i="13"/>
  <c r="F33" i="13" s="1"/>
  <c r="D32" i="13"/>
  <c r="F32" i="13" s="1"/>
  <c r="D31" i="13"/>
  <c r="F31" i="13" s="1"/>
  <c r="I30" i="13"/>
  <c r="H30" i="13"/>
  <c r="G30" i="13"/>
  <c r="F30" i="13"/>
  <c r="D30" i="13"/>
  <c r="F29" i="13"/>
  <c r="D29" i="13"/>
  <c r="F27" i="13"/>
  <c r="D27" i="13"/>
  <c r="D23" i="13"/>
  <c r="F23" i="13" s="1"/>
  <c r="D21" i="13"/>
  <c r="F21" i="13" s="1"/>
  <c r="G21" i="13" s="1"/>
  <c r="D19" i="13"/>
  <c r="I18" i="13"/>
  <c r="H18" i="13"/>
  <c r="G18" i="13"/>
  <c r="F18" i="13"/>
  <c r="D18" i="13"/>
  <c r="F17" i="13"/>
  <c r="G17" i="13" s="1"/>
  <c r="D17" i="13"/>
  <c r="F16" i="13"/>
  <c r="H16" i="13" s="1"/>
  <c r="D16" i="13"/>
  <c r="F15" i="13"/>
  <c r="G15" i="13" s="1"/>
  <c r="D15" i="13"/>
  <c r="D14" i="13"/>
  <c r="F14" i="13" s="1"/>
  <c r="D10" i="13"/>
  <c r="F10" i="13" s="1"/>
  <c r="H9" i="13"/>
  <c r="G9" i="13"/>
  <c r="F9" i="13"/>
  <c r="D9" i="13"/>
  <c r="D7" i="13"/>
  <c r="F7" i="13" s="1"/>
  <c r="F36" i="12"/>
  <c r="G36" i="12" s="1"/>
  <c r="D36" i="12"/>
  <c r="F35" i="12"/>
  <c r="H35" i="12" s="1"/>
  <c r="D35" i="12"/>
  <c r="H32" i="12"/>
  <c r="F32" i="12"/>
  <c r="G32" i="12" s="1"/>
  <c r="I32" i="12" s="1"/>
  <c r="D32" i="12"/>
  <c r="D31" i="12"/>
  <c r="F31" i="12" s="1"/>
  <c r="D30" i="12"/>
  <c r="F30" i="12" s="1"/>
  <c r="D29" i="12"/>
  <c r="F29" i="12" s="1"/>
  <c r="D28" i="12"/>
  <c r="F28" i="12" s="1"/>
  <c r="I27" i="12"/>
  <c r="H27" i="12"/>
  <c r="G27" i="12"/>
  <c r="F27" i="12"/>
  <c r="D27" i="12"/>
  <c r="F25" i="12"/>
  <c r="D25" i="12"/>
  <c r="D21" i="12"/>
  <c r="F21" i="12" s="1"/>
  <c r="D17" i="12"/>
  <c r="F17" i="12" s="1"/>
  <c r="H16" i="12"/>
  <c r="D16" i="12"/>
  <c r="F16" i="12" s="1"/>
  <c r="D15" i="12"/>
  <c r="F15" i="12" s="1"/>
  <c r="I14" i="12"/>
  <c r="H14" i="12"/>
  <c r="G14" i="12"/>
  <c r="F14" i="12"/>
  <c r="D14" i="12"/>
  <c r="F13" i="12"/>
  <c r="D13" i="12"/>
  <c r="F12" i="12"/>
  <c r="H12" i="12" s="1"/>
  <c r="D12" i="12"/>
  <c r="H7" i="12"/>
  <c r="I7" i="12" s="1"/>
  <c r="F7" i="12"/>
  <c r="G7" i="12" s="1"/>
  <c r="D7" i="12"/>
  <c r="H36" i="10"/>
  <c r="D36" i="10"/>
  <c r="F36" i="10" s="1"/>
  <c r="D35" i="10"/>
  <c r="F35" i="10" s="1"/>
  <c r="D32" i="10"/>
  <c r="F32" i="10" s="1"/>
  <c r="F29" i="10"/>
  <c r="G29" i="10" s="1"/>
  <c r="D29" i="10"/>
  <c r="D27" i="10"/>
  <c r="F27" i="10" s="1"/>
  <c r="D7" i="10"/>
  <c r="F7" i="10" s="1"/>
  <c r="D39" i="9"/>
  <c r="F39" i="9" s="1"/>
  <c r="D38" i="9"/>
  <c r="F38" i="9" s="1"/>
  <c r="F35" i="9"/>
  <c r="G35" i="9" s="1"/>
  <c r="D35" i="9"/>
  <c r="D34" i="9"/>
  <c r="F34" i="9" s="1"/>
  <c r="H33" i="9"/>
  <c r="I33" i="9" s="1"/>
  <c r="F33" i="9"/>
  <c r="G33" i="9" s="1"/>
  <c r="D33" i="9"/>
  <c r="D32" i="9"/>
  <c r="F32" i="9" s="1"/>
  <c r="D31" i="9"/>
  <c r="F31" i="9" s="1"/>
  <c r="D30" i="9"/>
  <c r="F30" i="9" s="1"/>
  <c r="D29" i="9"/>
  <c r="F29" i="9" s="1"/>
  <c r="D27" i="9"/>
  <c r="F27" i="9" s="1"/>
  <c r="F23" i="9"/>
  <c r="G23" i="9" s="1"/>
  <c r="D23" i="9"/>
  <c r="F21" i="9"/>
  <c r="D21" i="9"/>
  <c r="D19" i="9"/>
  <c r="F19" i="9" s="1"/>
  <c r="D18" i="9"/>
  <c r="F18" i="9" s="1"/>
  <c r="D17" i="9"/>
  <c r="F17" i="9" s="1"/>
  <c r="D16" i="9"/>
  <c r="F16" i="9" s="1"/>
  <c r="G15" i="9"/>
  <c r="F15" i="9"/>
  <c r="D15" i="9"/>
  <c r="D14" i="9"/>
  <c r="F14" i="9" s="1"/>
  <c r="H10" i="9"/>
  <c r="F10" i="9"/>
  <c r="G10" i="9" s="1"/>
  <c r="I10" i="9" s="1"/>
  <c r="D10" i="9"/>
  <c r="F9" i="9"/>
  <c r="D9" i="9"/>
  <c r="H7" i="9"/>
  <c r="F7" i="9"/>
  <c r="D7" i="9"/>
  <c r="D37" i="8"/>
  <c r="F37" i="8" s="1"/>
  <c r="D36" i="8"/>
  <c r="F36" i="8" s="1"/>
  <c r="F33" i="8"/>
  <c r="G33" i="8" s="1"/>
  <c r="D33" i="8"/>
  <c r="D32" i="8"/>
  <c r="F32" i="8" s="1"/>
  <c r="H31" i="8"/>
  <c r="I31" i="8" s="1"/>
  <c r="F31" i="8"/>
  <c r="G31" i="8" s="1"/>
  <c r="D31" i="8"/>
  <c r="D30" i="8"/>
  <c r="F30" i="8" s="1"/>
  <c r="D29" i="8"/>
  <c r="F29" i="8" s="1"/>
  <c r="D27" i="8"/>
  <c r="F27" i="8" s="1"/>
  <c r="F23" i="8"/>
  <c r="G23" i="8" s="1"/>
  <c r="D23" i="8"/>
  <c r="F21" i="8"/>
  <c r="H21" i="8" s="1"/>
  <c r="D21" i="8"/>
  <c r="F19" i="8"/>
  <c r="G19" i="8" s="1"/>
  <c r="D19" i="8"/>
  <c r="D18" i="8"/>
  <c r="F18" i="8" s="1"/>
  <c r="F17" i="8"/>
  <c r="G17" i="8" s="1"/>
  <c r="D17" i="8"/>
  <c r="D16" i="8"/>
  <c r="F16" i="8" s="1"/>
  <c r="H16" i="8" s="1"/>
  <c r="D15" i="8"/>
  <c r="F15" i="8" s="1"/>
  <c r="D14" i="8"/>
  <c r="F14" i="8" s="1"/>
  <c r="F10" i="8"/>
  <c r="G10" i="8" s="1"/>
  <c r="D10" i="8"/>
  <c r="D9" i="8"/>
  <c r="F9" i="8" s="1"/>
  <c r="F7" i="8"/>
  <c r="H7" i="8" s="1"/>
  <c r="D7" i="8"/>
  <c r="D36" i="7"/>
  <c r="F36" i="7" s="1"/>
  <c r="D35" i="7"/>
  <c r="F35" i="7" s="1"/>
  <c r="D32" i="7"/>
  <c r="F32" i="7" s="1"/>
  <c r="D31" i="7"/>
  <c r="F31" i="7" s="1"/>
  <c r="F30" i="7"/>
  <c r="G30" i="7" s="1"/>
  <c r="D30" i="7"/>
  <c r="D29" i="7"/>
  <c r="F29" i="7" s="1"/>
  <c r="F28" i="7"/>
  <c r="G28" i="7" s="1"/>
  <c r="D28" i="7"/>
  <c r="F27" i="7"/>
  <c r="D27" i="7"/>
  <c r="D25" i="7"/>
  <c r="F25" i="7" s="1"/>
  <c r="F21" i="7"/>
  <c r="D21" i="7"/>
  <c r="F17" i="7"/>
  <c r="G17" i="7" s="1"/>
  <c r="D17" i="7"/>
  <c r="D16" i="7"/>
  <c r="F16" i="7" s="1"/>
  <c r="H15" i="7"/>
  <c r="F15" i="7"/>
  <c r="G15" i="7" s="1"/>
  <c r="I15" i="7" s="1"/>
  <c r="D15" i="7"/>
  <c r="F14" i="7"/>
  <c r="D14" i="7"/>
  <c r="D13" i="7"/>
  <c r="F13" i="7" s="1"/>
  <c r="D12" i="7"/>
  <c r="F12" i="7" s="1"/>
  <c r="G12" i="7" s="1"/>
  <c r="D7" i="7"/>
  <c r="F7" i="7" s="1"/>
  <c r="E8" i="5"/>
  <c r="E7" i="5"/>
  <c r="E6" i="5"/>
  <c r="E5" i="5"/>
  <c r="H15" i="13" l="1"/>
  <c r="I15" i="13" s="1"/>
  <c r="H23" i="9"/>
  <c r="I23" i="9"/>
  <c r="H17" i="8"/>
  <c r="F4" i="17"/>
  <c r="G7" i="8"/>
  <c r="I7" i="8" s="1"/>
  <c r="G16" i="8"/>
  <c r="I16" i="8" s="1"/>
  <c r="F17" i="17"/>
  <c r="G17" i="17" s="1"/>
  <c r="I17" i="8"/>
  <c r="G21" i="8"/>
  <c r="H19" i="8"/>
  <c r="I19" i="8" s="1"/>
  <c r="I21" i="8"/>
  <c r="G20" i="17"/>
  <c r="I20" i="17" s="1"/>
  <c r="H20" i="17"/>
  <c r="G21" i="7"/>
  <c r="H21" i="7"/>
  <c r="H28" i="7"/>
  <c r="I28" i="7" s="1"/>
  <c r="F10" i="17"/>
  <c r="G10" i="17" s="1"/>
  <c r="H32" i="9"/>
  <c r="G32" i="9"/>
  <c r="I32" i="9"/>
  <c r="H30" i="8"/>
  <c r="G30" i="8"/>
  <c r="I30" i="8" s="1"/>
  <c r="H21" i="12"/>
  <c r="G21" i="12"/>
  <c r="I21" i="12" s="1"/>
  <c r="H14" i="13"/>
  <c r="G14" i="13"/>
  <c r="I14" i="13"/>
  <c r="H16" i="14"/>
  <c r="I16" i="14" s="1"/>
  <c r="G16" i="14"/>
  <c r="H36" i="13"/>
  <c r="G36" i="13"/>
  <c r="I36" i="13"/>
  <c r="H18" i="8"/>
  <c r="G18" i="8"/>
  <c r="H31" i="12"/>
  <c r="I31" i="12" s="1"/>
  <c r="G31" i="12"/>
  <c r="G37" i="8"/>
  <c r="I37" i="8" s="1"/>
  <c r="H37" i="8"/>
  <c r="H17" i="12"/>
  <c r="G17" i="12"/>
  <c r="H36" i="15"/>
  <c r="G36" i="15"/>
  <c r="I36" i="15" s="1"/>
  <c r="G17" i="9"/>
  <c r="I17" i="9"/>
  <c r="H17" i="9"/>
  <c r="F19" i="13"/>
  <c r="E15" i="17"/>
  <c r="F15" i="17" s="1"/>
  <c r="H38" i="14"/>
  <c r="G38" i="14"/>
  <c r="I38" i="14" s="1"/>
  <c r="H27" i="15"/>
  <c r="I27" i="15" s="1"/>
  <c r="H7" i="17"/>
  <c r="H13" i="17"/>
  <c r="G13" i="17"/>
  <c r="I13" i="17"/>
  <c r="I27" i="8"/>
  <c r="G7" i="7"/>
  <c r="H7" i="7"/>
  <c r="H27" i="8"/>
  <c r="H32" i="10"/>
  <c r="G32" i="10"/>
  <c r="H7" i="10"/>
  <c r="I7" i="10" s="1"/>
  <c r="I24" i="10" s="1"/>
  <c r="G7" i="10"/>
  <c r="F24" i="10" s="1"/>
  <c r="G28" i="12"/>
  <c r="H28" i="12"/>
  <c r="G31" i="13"/>
  <c r="I31" i="13"/>
  <c r="H31" i="13"/>
  <c r="G23" i="14"/>
  <c r="I23" i="14" s="1"/>
  <c r="H23" i="14"/>
  <c r="G7" i="17"/>
  <c r="I7" i="17" s="1"/>
  <c r="H6" i="17"/>
  <c r="G6" i="17"/>
  <c r="I6" i="17" s="1"/>
  <c r="H31" i="7"/>
  <c r="I31" i="7" s="1"/>
  <c r="G31" i="7"/>
  <c r="H21" i="14"/>
  <c r="G21" i="14"/>
  <c r="I21" i="14" s="1"/>
  <c r="H32" i="8"/>
  <c r="G32" i="8"/>
  <c r="I32" i="8" s="1"/>
  <c r="H34" i="9"/>
  <c r="I34" i="9" s="1"/>
  <c r="G34" i="9"/>
  <c r="G15" i="12"/>
  <c r="I15" i="12"/>
  <c r="H15" i="12"/>
  <c r="I25" i="12"/>
  <c r="H25" i="12"/>
  <c r="G7" i="13"/>
  <c r="H7" i="13"/>
  <c r="H29" i="13"/>
  <c r="I29" i="13" s="1"/>
  <c r="I14" i="14"/>
  <c r="H27" i="14"/>
  <c r="G27" i="14"/>
  <c r="F40" i="14" s="1"/>
  <c r="C6" i="16" s="1"/>
  <c r="I27" i="14"/>
  <c r="H32" i="14"/>
  <c r="G32" i="14"/>
  <c r="I32" i="14" s="1"/>
  <c r="H32" i="15"/>
  <c r="G32" i="15"/>
  <c r="I32" i="15" s="1"/>
  <c r="H9" i="17"/>
  <c r="G9" i="17"/>
  <c r="I9" i="17" s="1"/>
  <c r="H14" i="17"/>
  <c r="H27" i="7"/>
  <c r="G27" i="7"/>
  <c r="I27" i="7" s="1"/>
  <c r="H16" i="9"/>
  <c r="G16" i="9"/>
  <c r="I16" i="9" s="1"/>
  <c r="I29" i="10"/>
  <c r="H29" i="10"/>
  <c r="H19" i="14"/>
  <c r="G19" i="14"/>
  <c r="I19" i="14" s="1"/>
  <c r="H10" i="8"/>
  <c r="I10" i="8" s="1"/>
  <c r="G30" i="9"/>
  <c r="H12" i="17"/>
  <c r="G12" i="17"/>
  <c r="I12" i="17" s="1"/>
  <c r="I21" i="13"/>
  <c r="G10" i="14"/>
  <c r="I10" i="14" s="1"/>
  <c r="H10" i="14"/>
  <c r="H31" i="14"/>
  <c r="G31" i="14"/>
  <c r="I31" i="14" s="1"/>
  <c r="H16" i="7"/>
  <c r="I16" i="7" s="1"/>
  <c r="G16" i="7"/>
  <c r="G35" i="10"/>
  <c r="I35" i="10" s="1"/>
  <c r="H35" i="10"/>
  <c r="H13" i="7"/>
  <c r="G13" i="7"/>
  <c r="H29" i="7"/>
  <c r="G29" i="7"/>
  <c r="I29" i="7" s="1"/>
  <c r="G35" i="7"/>
  <c r="I35" i="7" s="1"/>
  <c r="G15" i="8"/>
  <c r="H15" i="8"/>
  <c r="I15" i="8" s="1"/>
  <c r="H18" i="9"/>
  <c r="H27" i="9"/>
  <c r="G27" i="9"/>
  <c r="I36" i="10"/>
  <c r="G29" i="12"/>
  <c r="I29" i="12" s="1"/>
  <c r="H21" i="13"/>
  <c r="G29" i="13"/>
  <c r="G32" i="13"/>
  <c r="G14" i="14"/>
  <c r="H4" i="17"/>
  <c r="G4" i="17"/>
  <c r="G14" i="17"/>
  <c r="H21" i="9"/>
  <c r="G21" i="9"/>
  <c r="I21" i="9"/>
  <c r="G27" i="8"/>
  <c r="F38" i="8" s="1"/>
  <c r="C5" i="11" s="1"/>
  <c r="H36" i="12"/>
  <c r="I36" i="12" s="1"/>
  <c r="H35" i="14"/>
  <c r="I35" i="14" s="1"/>
  <c r="G35" i="14"/>
  <c r="H13" i="12"/>
  <c r="G25" i="12"/>
  <c r="H17" i="7"/>
  <c r="H25" i="7"/>
  <c r="I25" i="7" s="1"/>
  <c r="G25" i="7"/>
  <c r="H35" i="7"/>
  <c r="H23" i="8"/>
  <c r="I23" i="8" s="1"/>
  <c r="H36" i="8"/>
  <c r="G36" i="8"/>
  <c r="I15" i="9"/>
  <c r="H15" i="9"/>
  <c r="H19" i="9"/>
  <c r="G19" i="9"/>
  <c r="I19" i="9" s="1"/>
  <c r="I27" i="9"/>
  <c r="H38" i="9"/>
  <c r="G38" i="9"/>
  <c r="F37" i="10"/>
  <c r="C7" i="11" s="1"/>
  <c r="H27" i="10"/>
  <c r="G27" i="10"/>
  <c r="I27" i="10" s="1"/>
  <c r="G36" i="10"/>
  <c r="G13" i="12"/>
  <c r="I13" i="12" s="1"/>
  <c r="G16" i="12"/>
  <c r="H29" i="12"/>
  <c r="I9" i="13"/>
  <c r="H23" i="13"/>
  <c r="G23" i="13"/>
  <c r="I23" i="13" s="1"/>
  <c r="H32" i="13"/>
  <c r="I32" i="13" s="1"/>
  <c r="H14" i="14"/>
  <c r="I29" i="14"/>
  <c r="G33" i="14"/>
  <c r="I33" i="14"/>
  <c r="H33" i="14"/>
  <c r="I35" i="15"/>
  <c r="G39" i="9"/>
  <c r="I39" i="9" s="1"/>
  <c r="H39" i="9"/>
  <c r="F37" i="15"/>
  <c r="C7" i="16" s="1"/>
  <c r="H10" i="13"/>
  <c r="G10" i="13"/>
  <c r="H9" i="14"/>
  <c r="G9" i="14"/>
  <c r="I9" i="14" s="1"/>
  <c r="I12" i="7"/>
  <c r="H30" i="9"/>
  <c r="I30" i="9" s="1"/>
  <c r="G32" i="7"/>
  <c r="I32" i="7" s="1"/>
  <c r="H32" i="7"/>
  <c r="H14" i="8"/>
  <c r="G14" i="8"/>
  <c r="I14" i="8" s="1"/>
  <c r="H29" i="8"/>
  <c r="G29" i="8"/>
  <c r="I29" i="8" s="1"/>
  <c r="H31" i="9"/>
  <c r="G31" i="9"/>
  <c r="I31" i="9" s="1"/>
  <c r="I32" i="10"/>
  <c r="H17" i="13"/>
  <c r="I17" i="13" s="1"/>
  <c r="H29" i="15"/>
  <c r="I29" i="15" s="1"/>
  <c r="G29" i="15"/>
  <c r="H19" i="17"/>
  <c r="G19" i="17"/>
  <c r="I19" i="17" s="1"/>
  <c r="H12" i="7"/>
  <c r="H33" i="8"/>
  <c r="I33" i="8" s="1"/>
  <c r="I14" i="9"/>
  <c r="H14" i="9"/>
  <c r="G14" i="9"/>
  <c r="G18" i="9"/>
  <c r="I18" i="9" s="1"/>
  <c r="H35" i="9"/>
  <c r="I35" i="9" s="1"/>
  <c r="H14" i="7"/>
  <c r="G14" i="7"/>
  <c r="I14" i="7" s="1"/>
  <c r="H30" i="7"/>
  <c r="I30" i="7" s="1"/>
  <c r="H36" i="7"/>
  <c r="G36" i="7"/>
  <c r="I36" i="7" s="1"/>
  <c r="H9" i="8"/>
  <c r="G9" i="8"/>
  <c r="H9" i="9"/>
  <c r="G9" i="9"/>
  <c r="I9" i="9"/>
  <c r="G29" i="9"/>
  <c r="F40" i="9" s="1"/>
  <c r="C6" i="11" s="1"/>
  <c r="I29" i="9"/>
  <c r="H29" i="9"/>
  <c r="H30" i="12"/>
  <c r="G30" i="12"/>
  <c r="I30" i="12" s="1"/>
  <c r="H33" i="13"/>
  <c r="G33" i="13"/>
  <c r="I33" i="13" s="1"/>
  <c r="H7" i="14"/>
  <c r="F24" i="14" s="1"/>
  <c r="H15" i="14"/>
  <c r="G15" i="14"/>
  <c r="I15" i="14" s="1"/>
  <c r="H34" i="14"/>
  <c r="I34" i="14" s="1"/>
  <c r="H7" i="15"/>
  <c r="I7" i="15" s="1"/>
  <c r="I24" i="15" s="1"/>
  <c r="G7" i="15"/>
  <c r="F24" i="15" s="1"/>
  <c r="H11" i="17"/>
  <c r="I11" i="17" s="1"/>
  <c r="G12" i="12"/>
  <c r="I12" i="12" s="1"/>
  <c r="G35" i="12"/>
  <c r="I35" i="12" s="1"/>
  <c r="G16" i="13"/>
  <c r="I16" i="13" s="1"/>
  <c r="G27" i="13"/>
  <c r="I27" i="13" s="1"/>
  <c r="G18" i="14"/>
  <c r="I18" i="14" s="1"/>
  <c r="G30" i="14"/>
  <c r="I30" i="14" s="1"/>
  <c r="G7" i="9"/>
  <c r="I7" i="9" s="1"/>
  <c r="H27" i="13"/>
  <c r="E11" i="5"/>
  <c r="E10" i="5"/>
  <c r="E9" i="5"/>
  <c r="I28" i="12" l="1"/>
  <c r="I17" i="12"/>
  <c r="I21" i="7"/>
  <c r="I10" i="13"/>
  <c r="F22" i="12"/>
  <c r="I14" i="17"/>
  <c r="F24" i="8"/>
  <c r="B5" i="11" s="1"/>
  <c r="I18" i="8"/>
  <c r="H10" i="17"/>
  <c r="I10" i="17" s="1"/>
  <c r="H17" i="17"/>
  <c r="I17" i="17" s="1"/>
  <c r="I13" i="7"/>
  <c r="F38" i="10"/>
  <c r="D7" i="11" s="1"/>
  <c r="B7" i="11"/>
  <c r="I37" i="10"/>
  <c r="I38" i="10" s="1"/>
  <c r="I40" i="10" s="1"/>
  <c r="F7" i="11" s="1"/>
  <c r="F38" i="15"/>
  <c r="D7" i="16" s="1"/>
  <c r="B7" i="16"/>
  <c r="B6" i="16"/>
  <c r="F41" i="14"/>
  <c r="D6" i="16" s="1"/>
  <c r="I37" i="15"/>
  <c r="I38" i="15" s="1"/>
  <c r="I40" i="15" s="1"/>
  <c r="F7" i="16" s="1"/>
  <c r="F37" i="12"/>
  <c r="C4" i="16" s="1"/>
  <c r="I7" i="14"/>
  <c r="I24" i="14" s="1"/>
  <c r="I9" i="8"/>
  <c r="I38" i="9"/>
  <c r="I40" i="9" s="1"/>
  <c r="I36" i="8"/>
  <c r="I38" i="8" s="1"/>
  <c r="I4" i="17"/>
  <c r="I16" i="12"/>
  <c r="I38" i="13"/>
  <c r="I37" i="12"/>
  <c r="F38" i="13"/>
  <c r="C5" i="16" s="1"/>
  <c r="I24" i="9"/>
  <c r="F24" i="9"/>
  <c r="I7" i="13"/>
  <c r="H15" i="17"/>
  <c r="G15" i="17"/>
  <c r="I40" i="14"/>
  <c r="G19" i="13"/>
  <c r="H19" i="13"/>
  <c r="I19" i="13" s="1"/>
  <c r="C4" i="11"/>
  <c r="C8" i="11" s="1"/>
  <c r="I22" i="12" l="1"/>
  <c r="I24" i="8"/>
  <c r="I39" i="8" s="1"/>
  <c r="I41" i="8" s="1"/>
  <c r="F5" i="11" s="1"/>
  <c r="F4" i="11"/>
  <c r="F38" i="12"/>
  <c r="D4" i="16" s="1"/>
  <c r="B4" i="16"/>
  <c r="F39" i="8"/>
  <c r="D5" i="11" s="1"/>
  <c r="I15" i="17"/>
  <c r="I21" i="17" s="1"/>
  <c r="I41" i="9"/>
  <c r="I43" i="9" s="1"/>
  <c r="F6" i="11" s="1"/>
  <c r="I38" i="12"/>
  <c r="I41" i="14"/>
  <c r="I43" i="14" s="1"/>
  <c r="F6" i="16" s="1"/>
  <c r="F24" i="13"/>
  <c r="F21" i="17"/>
  <c r="C8" i="16"/>
  <c r="I24" i="13"/>
  <c r="I39" i="13" s="1"/>
  <c r="I41" i="13" s="1"/>
  <c r="F5" i="16" s="1"/>
  <c r="F41" i="9"/>
  <c r="D6" i="11" s="1"/>
  <c r="B6" i="11"/>
  <c r="D4" i="11"/>
  <c r="B4" i="11"/>
  <c r="F8" i="11" l="1"/>
  <c r="D8" i="11"/>
  <c r="I7" i="11" s="1"/>
  <c r="B8" i="11"/>
  <c r="F8" i="16"/>
  <c r="F39" i="13"/>
  <c r="D5" i="16" s="1"/>
  <c r="D8" i="16" s="1"/>
  <c r="B5" i="16"/>
  <c r="B8" i="16" s="1"/>
  <c r="B5" i="6" l="1"/>
</calcChain>
</file>

<file path=xl/sharedStrings.xml><?xml version="1.0" encoding="utf-8"?>
<sst xmlns="http://schemas.openxmlformats.org/spreadsheetml/2006/main" count="766" uniqueCount="282">
  <si>
    <t>ICR Summary Information</t>
  </si>
  <si>
    <t>Hours per Response</t>
  </si>
  <si>
    <t>Number of Respondents</t>
  </si>
  <si>
    <t>Total Estimated Burden Hours</t>
  </si>
  <si>
    <t>Total Estimated Costs</t>
  </si>
  <si>
    <t>Annualized Capital O&amp;M</t>
  </si>
  <si>
    <t>Total Annual Responses</t>
  </si>
  <si>
    <t>Form Number</t>
  </si>
  <si>
    <t>(C) 
Person hours per respondent per year 
(C=AxB)</t>
  </si>
  <si>
    <t>Labor Rates</t>
  </si>
  <si>
    <t>Management</t>
  </si>
  <si>
    <t>Technical</t>
  </si>
  <si>
    <t>Clerical</t>
  </si>
  <si>
    <t>hr/response</t>
  </si>
  <si>
    <t>Assumptions:</t>
  </si>
  <si>
    <t>Burden item</t>
  </si>
  <si>
    <t>(B) 
No. of occurrences per respondent per year</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</si>
  <si>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</si>
  <si>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</si>
  <si>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</si>
  <si>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</si>
  <si>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</si>
  <si>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</si>
  <si>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</si>
  <si>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</si>
  <si>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</si>
  <si>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</si>
  <si>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r>
      <t xml:space="preserve">Number of New  Respondents </t>
    </r>
    <r>
      <rPr>
        <b/>
        <vertAlign val="superscript"/>
        <sz val="10"/>
        <color theme="1"/>
        <rFont val="Times New Roman"/>
        <family val="1"/>
      </rPr>
      <t>a</t>
    </r>
  </si>
  <si>
    <t>Total Capital/Startup Cost,  (B X C)</t>
  </si>
  <si>
    <t>Annual O&amp;M Costs for One Respondent</t>
  </si>
  <si>
    <r>
      <t>Number of Respondents with O&amp;M</t>
    </r>
    <r>
      <rPr>
        <b/>
        <vertAlign val="superscript"/>
        <sz val="10"/>
        <color theme="1"/>
        <rFont val="Times New Roman"/>
        <family val="1"/>
      </rPr>
      <t xml:space="preserve"> b</t>
    </r>
  </si>
  <si>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</si>
  <si>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</si>
  <si>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</si>
  <si>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</si>
  <si>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</si>
  <si>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</si>
  <si>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</si>
  <si>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</si>
  <si>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</si>
  <si>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</si>
  <si>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</si>
  <si>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</si>
  <si>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</si>
  <si>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</si>
  <si>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</si>
  <si>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</si>
  <si>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Table 1a: Annual Respondent Burden and Cost – NESHAP for Aerospace Manufacturing and Rework Facilities (40 CFR Part 63, Subpart GG) (Renewal) (Cleaning Operations)</t>
  </si>
  <si>
    <t>(A) 
Person hours per occurrence</t>
  </si>
  <si>
    <r>
      <t xml:space="preserve">(D) 
Respondents per year  </t>
    </r>
    <r>
      <rPr>
        <b/>
        <vertAlign val="superscript"/>
        <sz val="12"/>
        <color rgb="FF000000"/>
        <rFont val="Times New Roman"/>
        <family val="1"/>
      </rPr>
      <t>a</t>
    </r>
  </si>
  <si>
    <t>(E) 
Technical person- hours per year 
(E=CxD)</t>
  </si>
  <si>
    <t>(F) 
Management person hours per year 
(F=Ex0.05)</t>
  </si>
  <si>
    <t>(G) 
Clerical person hours per year 
(G=Ex0.1)</t>
  </si>
  <si>
    <r>
      <t xml:space="preserve">(H) 
Total Cost Per Year </t>
    </r>
    <r>
      <rPr>
        <b/>
        <vertAlign val="superscript"/>
        <sz val="10"/>
        <color rgb="FF000000"/>
        <rFont val="Times New Roman"/>
        <family val="1"/>
      </rPr>
      <t>b</t>
    </r>
  </si>
  <si>
    <t>1.  Applications</t>
  </si>
  <si>
    <t>N/A</t>
  </si>
  <si>
    <t>2.  Surveys and studies</t>
  </si>
  <si>
    <t>3.  Reporting requirements</t>
  </si>
  <si>
    <r>
      <t xml:space="preserve">A.  Familiarize with regulatory requirements </t>
    </r>
    <r>
      <rPr>
        <vertAlign val="superscript"/>
        <sz val="10"/>
        <color rgb="FF000000"/>
        <rFont val="Times New Roman"/>
        <family val="1"/>
      </rPr>
      <t>c</t>
    </r>
  </si>
  <si>
    <t xml:space="preserve">B.  Required activities </t>
  </si>
  <si>
    <t>C.  Create information</t>
  </si>
  <si>
    <t>See 3E &amp; 4C</t>
  </si>
  <si>
    <t>D.  Gather existing information</t>
  </si>
  <si>
    <t>E.  Write report</t>
  </si>
  <si>
    <t>Notification of construction/reconstruction</t>
  </si>
  <si>
    <r>
      <t xml:space="preserve">Notification of physical and operational  changes </t>
    </r>
    <r>
      <rPr>
        <vertAlign val="superscript"/>
        <sz val="10"/>
        <color rgb="FF000000"/>
        <rFont val="Times New Roman"/>
        <family val="1"/>
      </rPr>
      <t>d</t>
    </r>
  </si>
  <si>
    <t>Notification of actual startup</t>
  </si>
  <si>
    <t>Notification of change in production capacity</t>
  </si>
  <si>
    <r>
      <t xml:space="preserve">Compliance status information report </t>
    </r>
    <r>
      <rPr>
        <vertAlign val="superscript"/>
        <sz val="10"/>
        <color rgb="FF000000"/>
        <rFont val="Times New Roman"/>
        <family val="1"/>
      </rPr>
      <t>e</t>
    </r>
  </si>
  <si>
    <r>
      <t xml:space="preserve">Waiver application </t>
    </r>
    <r>
      <rPr>
        <vertAlign val="superscript"/>
        <sz val="10"/>
        <color rgb="FF000000"/>
        <rFont val="Times New Roman"/>
        <family val="1"/>
      </rPr>
      <t>f</t>
    </r>
  </si>
  <si>
    <t>Preparation of site-specific test plan</t>
  </si>
  <si>
    <t>Notification of initial performance test</t>
  </si>
  <si>
    <t xml:space="preserve">Report of initial test </t>
  </si>
  <si>
    <r>
      <t xml:space="preserve">Semiannual report – including report of periods of noncompliance </t>
    </r>
    <r>
      <rPr>
        <vertAlign val="superscript"/>
        <sz val="10"/>
        <color rgb="FF000000"/>
        <rFont val="Times New Roman"/>
        <family val="1"/>
      </rPr>
      <t>g</t>
    </r>
  </si>
  <si>
    <t>Subtotal  for Reporting  Requirements</t>
  </si>
  <si>
    <t>4.  Recordkeeping requirements</t>
  </si>
  <si>
    <t>A.  Familiarize with regulatory requirements</t>
  </si>
  <si>
    <t>See 3A</t>
  </si>
  <si>
    <t>B.  Plan activities</t>
  </si>
  <si>
    <t>C.  Implement activities</t>
  </si>
  <si>
    <t>Solvent information records</t>
  </si>
  <si>
    <r>
      <t xml:space="preserve">Approved composition solvent records (demonstrating compliance) </t>
    </r>
    <r>
      <rPr>
        <vertAlign val="superscript"/>
        <sz val="10"/>
        <color rgb="FF000000"/>
        <rFont val="Times New Roman"/>
        <family val="1"/>
      </rPr>
      <t>h</t>
    </r>
  </si>
  <si>
    <r>
      <t xml:space="preserve">Non-approved list solvent usage records </t>
    </r>
    <r>
      <rPr>
        <vertAlign val="superscript"/>
        <sz val="10"/>
        <color rgb="FF000000"/>
        <rFont val="Times New Roman"/>
        <family val="1"/>
      </rPr>
      <t>i</t>
    </r>
  </si>
  <si>
    <r>
      <t xml:space="preserve">Solvent usage log for exempt processes </t>
    </r>
    <r>
      <rPr>
        <vertAlign val="superscript"/>
        <sz val="10"/>
        <color rgb="FF000000"/>
        <rFont val="Times New Roman"/>
        <family val="1"/>
      </rPr>
      <t>j</t>
    </r>
  </si>
  <si>
    <r>
      <t xml:space="preserve">Log of gun cleaner leaks </t>
    </r>
    <r>
      <rPr>
        <vertAlign val="superscript"/>
        <sz val="10"/>
        <color rgb="FF000000"/>
        <rFont val="Times New Roman"/>
        <family val="1"/>
      </rPr>
      <t>k</t>
    </r>
  </si>
  <si>
    <r>
      <t xml:space="preserve">D.  Develop record system </t>
    </r>
    <r>
      <rPr>
        <vertAlign val="superscript"/>
        <sz val="10"/>
        <color rgb="FF000000"/>
        <rFont val="Times New Roman"/>
        <family val="1"/>
      </rPr>
      <t>l</t>
    </r>
  </si>
  <si>
    <t>E.  Time to enter information</t>
  </si>
  <si>
    <t>Records of all measurements and information required by standard</t>
  </si>
  <si>
    <t>See 4C</t>
  </si>
  <si>
    <r>
      <t xml:space="preserve">F.  Time to train personnel </t>
    </r>
    <r>
      <rPr>
        <vertAlign val="superscript"/>
        <sz val="10"/>
        <color rgb="FF000000"/>
        <rFont val="Times New Roman"/>
        <family val="1"/>
      </rPr>
      <t>m</t>
    </r>
  </si>
  <si>
    <t>G.  Time for audits</t>
  </si>
  <si>
    <t xml:space="preserve">Subtotal  for Recordkeeping Requirements  </t>
  </si>
  <si>
    <r>
      <t xml:space="preserve">TOTAL LABOR BURDEN AND COSTS (rounded) </t>
    </r>
    <r>
      <rPr>
        <b/>
        <vertAlign val="superscript"/>
        <sz val="9"/>
        <color rgb="FF000000"/>
        <rFont val="Times New Roman"/>
        <family val="1"/>
      </rPr>
      <t>n</t>
    </r>
  </si>
  <si>
    <r>
      <t xml:space="preserve">TOTAL CAPITAL AND O&amp;M COST (rounded) </t>
    </r>
    <r>
      <rPr>
        <b/>
        <vertAlign val="superscript"/>
        <sz val="9"/>
        <color rgb="FF000000"/>
        <rFont val="Times New Roman"/>
        <family val="1"/>
      </rPr>
      <t>n, o</t>
    </r>
  </si>
  <si>
    <r>
      <t xml:space="preserve">GRAND TOTAL (rounded) </t>
    </r>
    <r>
      <rPr>
        <b/>
        <vertAlign val="superscript"/>
        <sz val="9"/>
        <color rgb="FF000000"/>
        <rFont val="Times New Roman"/>
        <family val="1"/>
      </rPr>
      <t>n</t>
    </r>
  </si>
  <si>
    <r>
      <t>a</t>
    </r>
    <r>
      <rPr>
        <sz val="10"/>
        <color theme="1"/>
        <rFont val="Times New Roman"/>
        <family val="1"/>
      </rPr>
      <t xml:space="preserve">  We have assumed that the average number of respondents that will be subject to this rule will be 144. Of the 144 respondents, 108 are privately-owned and 36 are Federally-owned. There will be no new additional sources during the next three years of this ICR.</t>
    </r>
  </si>
  <si>
    <r>
      <t>c</t>
    </r>
    <r>
      <rPr>
        <sz val="10"/>
        <color theme="1"/>
        <rFont val="Times New Roman"/>
        <family val="1"/>
      </rPr>
      <t xml:space="preserve">  We have assumed all existing sources will have to re-familiarize with regulatory requirements each year. </t>
    </r>
  </si>
  <si>
    <r>
      <t>d</t>
    </r>
    <r>
      <rPr>
        <sz val="10"/>
        <color theme="1"/>
        <rFont val="Times New Roman"/>
        <family val="1"/>
      </rPr>
      <t xml:space="preserve">  We have assumed that 5 percent of the total existing facilities will write the physical and operational changes report (108 x 5% = 5.4, rounded to 5).</t>
    </r>
  </si>
  <si>
    <r>
      <t>e</t>
    </r>
    <r>
      <rPr>
        <sz val="10"/>
        <color theme="1"/>
        <rFont val="Times New Roman"/>
        <family val="1"/>
      </rPr>
      <t xml:space="preserve">  We have assumed that each respondent will write compliance status information report.</t>
    </r>
  </si>
  <si>
    <r>
      <t>f</t>
    </r>
    <r>
      <rPr>
        <sz val="10"/>
        <color theme="1"/>
        <rFont val="Times New Roman"/>
        <family val="1"/>
      </rPr>
      <t xml:space="preserve">  We have assumed that 10 percent of the respondents will request a waiver (108 x 10% = 10.8, rounded to 11).</t>
    </r>
  </si>
  <si>
    <r>
      <t>g</t>
    </r>
    <r>
      <rPr>
        <sz val="10"/>
        <color theme="1"/>
        <rFont val="Times New Roman"/>
        <family val="1"/>
      </rPr>
      <t xml:space="preserve">  We have assumed that 80 percent of facilities will have excess emissions or will change their process in some way and will submit semiannual reports (108 x 80% = 86.4, rounded to 86).</t>
    </r>
  </si>
  <si>
    <r>
      <t>h</t>
    </r>
    <r>
      <rPr>
        <sz val="10"/>
        <color theme="1"/>
        <rFont val="Times New Roman"/>
        <family val="1"/>
      </rPr>
      <t xml:space="preserve">  We have assumed that 30 percent of facilities will use the approved list of solvents (108 x 30% = 32.4, rounded to 32).</t>
    </r>
  </si>
  <si>
    <r>
      <t>i</t>
    </r>
    <r>
      <rPr>
        <sz val="10"/>
        <color theme="1"/>
        <rFont val="Times New Roman"/>
        <family val="1"/>
      </rPr>
      <t xml:space="preserve">  We have assumed that 90 percent of facilities will use some solvents not on the approved list (108 x 90% = 97.2, rounded to 97).</t>
    </r>
  </si>
  <si>
    <r>
      <t>j</t>
    </r>
    <r>
      <rPr>
        <sz val="10"/>
        <color theme="1"/>
        <rFont val="Times New Roman"/>
        <family val="1"/>
      </rPr>
      <t xml:space="preserve">  We have assumed that 70 percent of facilities will use some solvents for exempt processes (108 x 70% = 75.6, rounded to 76).</t>
    </r>
  </si>
  <si>
    <r>
      <t>k</t>
    </r>
    <r>
      <rPr>
        <sz val="10"/>
        <color theme="1"/>
        <rFont val="Times New Roman"/>
        <family val="1"/>
      </rPr>
      <t xml:space="preserve">  We have assumed that 20 percent of facilities will have a leak in their enclosed gun cleaner (108 x 20% = 21.6, rounded to 22).</t>
    </r>
  </si>
  <si>
    <r>
      <t>l</t>
    </r>
    <r>
      <rPr>
        <sz val="10"/>
        <color theme="1"/>
        <rFont val="Times New Roman"/>
        <family val="1"/>
      </rPr>
      <t xml:space="preserve">  We have assumed that all facilities will need to develop a record keeping system.</t>
    </r>
  </si>
  <si>
    <r>
      <t>m</t>
    </r>
    <r>
      <rPr>
        <sz val="10"/>
        <color theme="1"/>
        <rFont val="Times New Roman"/>
        <family val="1"/>
      </rPr>
      <t xml:space="preserve">  We have assumed that each respondent will take 4 hours 50 times per year to complete task.</t>
    </r>
  </si>
  <si>
    <r>
      <t xml:space="preserve">n  </t>
    </r>
    <r>
      <rPr>
        <sz val="10"/>
        <color theme="1"/>
        <rFont val="Times New Roman"/>
        <family val="1"/>
      </rPr>
      <t xml:space="preserve">Totals have been rounded to 3 significant figures. Figures may not add exactly due to rounding. </t>
    </r>
  </si>
  <si>
    <r>
      <t xml:space="preserve">o </t>
    </r>
    <r>
      <rPr>
        <sz val="10"/>
        <color theme="1"/>
        <rFont val="Times New Roman"/>
        <family val="1"/>
      </rPr>
      <t>The total capital and O&amp;M cost in this table are the total for cleaning, coating, depainting and specialty coating operations combined (see Tables 1b-1d for burden associated with these operations).</t>
    </r>
  </si>
  <si>
    <t>Table 1b:  Annual Respondent Burden and Cost – NESHAP for Aerospace Manufacturing and Rework Facilities (40 CFR Part 63, Subpart GG) (Renewal) (Coating Operations)</t>
  </si>
  <si>
    <r>
      <t xml:space="preserve">Initial performance tests </t>
    </r>
    <r>
      <rPr>
        <vertAlign val="superscript"/>
        <sz val="10"/>
        <color theme="1"/>
        <rFont val="Times New Roman"/>
        <family val="1"/>
      </rPr>
      <t>d</t>
    </r>
  </si>
  <si>
    <r>
      <t xml:space="preserve">Repeat performance test </t>
    </r>
    <r>
      <rPr>
        <vertAlign val="superscript"/>
        <sz val="10"/>
        <color theme="1"/>
        <rFont val="Times New Roman"/>
        <family val="1"/>
      </rPr>
      <t>e</t>
    </r>
  </si>
  <si>
    <r>
      <t xml:space="preserve">Notification of physical and operational  changes </t>
    </r>
    <r>
      <rPr>
        <vertAlign val="superscript"/>
        <sz val="10"/>
        <color theme="1"/>
        <rFont val="Times New Roman"/>
        <family val="1"/>
      </rPr>
      <t>f</t>
    </r>
  </si>
  <si>
    <r>
      <t xml:space="preserve">Compliance status information report </t>
    </r>
    <r>
      <rPr>
        <vertAlign val="superscript"/>
        <sz val="10"/>
        <color theme="1"/>
        <rFont val="Times New Roman"/>
        <family val="1"/>
      </rPr>
      <t>k</t>
    </r>
  </si>
  <si>
    <r>
      <t xml:space="preserve">Waiver application </t>
    </r>
    <r>
      <rPr>
        <vertAlign val="superscript"/>
        <sz val="10"/>
        <color theme="1"/>
        <rFont val="Times New Roman"/>
        <family val="1"/>
      </rPr>
      <t>g</t>
    </r>
  </si>
  <si>
    <t>See 3B</t>
  </si>
  <si>
    <r>
      <t xml:space="preserve">Notification of initial performance test </t>
    </r>
    <r>
      <rPr>
        <vertAlign val="superscript"/>
        <sz val="10"/>
        <color theme="1"/>
        <rFont val="Times New Roman"/>
        <family val="1"/>
      </rPr>
      <t>d</t>
    </r>
  </si>
  <si>
    <r>
      <t xml:space="preserve">Annual and semiannual report – including report of periods of  noncompliance </t>
    </r>
    <r>
      <rPr>
        <vertAlign val="superscript"/>
        <sz val="10"/>
        <color theme="1"/>
        <rFont val="Times New Roman"/>
        <family val="1"/>
      </rPr>
      <t>h</t>
    </r>
  </si>
  <si>
    <t>Compliance coating records</t>
  </si>
  <si>
    <r>
      <t xml:space="preserve">Daily records of weighted average mass </t>
    </r>
    <r>
      <rPr>
        <vertAlign val="superscript"/>
        <sz val="10"/>
        <color theme="1"/>
        <rFont val="Times New Roman"/>
        <family val="1"/>
      </rPr>
      <t>i</t>
    </r>
  </si>
  <si>
    <r>
      <t xml:space="preserve">Control device maintenance or rolling material balance log (organics) </t>
    </r>
    <r>
      <rPr>
        <vertAlign val="superscript"/>
        <sz val="10"/>
        <color theme="1"/>
        <rFont val="Times New Roman"/>
        <family val="1"/>
      </rPr>
      <t>d</t>
    </r>
  </si>
  <si>
    <t>Control device maintenance log (inorganics)</t>
  </si>
  <si>
    <r>
      <t xml:space="preserve">D.  Develop record system </t>
    </r>
    <r>
      <rPr>
        <vertAlign val="superscript"/>
        <sz val="10"/>
        <color theme="1"/>
        <rFont val="Times New Roman"/>
        <family val="1"/>
      </rPr>
      <t>j</t>
    </r>
  </si>
  <si>
    <t>E.  Time to enter/maintain information</t>
  </si>
  <si>
    <t>Records of all measurements and information  required by standard</t>
  </si>
  <si>
    <t xml:space="preserve">F.  Time to train personnel </t>
  </si>
  <si>
    <r>
      <t xml:space="preserve">TOTAL LABOR BURDEN AND COSTS (rounded) </t>
    </r>
    <r>
      <rPr>
        <b/>
        <vertAlign val="superscript"/>
        <sz val="10"/>
        <color theme="1"/>
        <rFont val="Times New Roman"/>
        <family val="1"/>
      </rPr>
      <t>l</t>
    </r>
  </si>
  <si>
    <r>
      <t xml:space="preserve">TOTAL CAPITAL AND O&amp;M COST (rounded) </t>
    </r>
    <r>
      <rPr>
        <b/>
        <vertAlign val="superscript"/>
        <sz val="9"/>
        <color rgb="FF000000"/>
        <rFont val="Times New Roman"/>
        <family val="1"/>
      </rPr>
      <t>l, m</t>
    </r>
  </si>
  <si>
    <r>
      <t xml:space="preserve">GRAND TOTAL (rounded) </t>
    </r>
    <r>
      <rPr>
        <b/>
        <vertAlign val="superscript"/>
        <sz val="9"/>
        <color rgb="FF000000"/>
        <rFont val="Times New Roman"/>
        <family val="1"/>
      </rPr>
      <t>l</t>
    </r>
  </si>
  <si>
    <r>
      <t>d</t>
    </r>
    <r>
      <rPr>
        <sz val="10"/>
        <color theme="1"/>
        <rFont val="Times New Roman"/>
        <family val="1"/>
      </rPr>
      <t xml:space="preserve">  We assume that 3 privately-owned facilities will use add-on control equipment for maskant application.</t>
    </r>
  </si>
  <si>
    <r>
      <t>e</t>
    </r>
    <r>
      <rPr>
        <sz val="10"/>
        <color theme="1"/>
        <rFont val="Times New Roman"/>
        <family val="1"/>
      </rPr>
      <t xml:space="preserve">  We have assumed that 20% of privately-owned facility with add-on control equipment will repeat performance test (3 x 20% = 0.6, rounded to 1).</t>
    </r>
  </si>
  <si>
    <r>
      <t>f</t>
    </r>
    <r>
      <rPr>
        <sz val="10"/>
        <color theme="1"/>
        <rFont val="Times New Roman"/>
        <family val="1"/>
      </rPr>
      <t xml:space="preserve">  We have assumed that 5 percent of the total existing facilities will write the physical and operational changes report (108 x 5% = 5.4, rounded to 5).</t>
    </r>
  </si>
  <si>
    <r>
      <t>g</t>
    </r>
    <r>
      <rPr>
        <sz val="10"/>
        <color theme="1"/>
        <rFont val="Times New Roman"/>
        <family val="1"/>
      </rPr>
      <t xml:space="preserve">  We have assumed that 10 percent of the respondents will request a waiver (108 x 10% = 10.8, rounded to 11).</t>
    </r>
  </si>
  <si>
    <r>
      <t>h</t>
    </r>
    <r>
      <rPr>
        <sz val="10"/>
        <color theme="1"/>
        <rFont val="Times New Roman"/>
        <family val="1"/>
      </rPr>
      <t xml:space="preserve">  We have assumed that 80 percent of facilities will have excess emissions or will change their process in some way and will submit semiannual reports (108 x 80% = 86.4, rounded to 86).</t>
    </r>
  </si>
  <si>
    <r>
      <t>i</t>
    </r>
    <r>
      <rPr>
        <sz val="10"/>
        <color theme="1"/>
        <rFont val="Times New Roman"/>
        <family val="1"/>
      </rPr>
      <t xml:space="preserve">  The final rule required monthly records.  Daily averaging was included in the cost analysis because 90 percent of the industry is located in non-attainment areas and will be required to use daily averaging by the permitting agency.</t>
    </r>
  </si>
  <si>
    <r>
      <t>j</t>
    </r>
    <r>
      <rPr>
        <sz val="10"/>
        <color theme="1"/>
        <rFont val="Times New Roman"/>
        <family val="1"/>
      </rPr>
      <t xml:space="preserve">  We have assumed that all facilities will need to develop a record keeping system.</t>
    </r>
  </si>
  <si>
    <r>
      <t>k</t>
    </r>
    <r>
      <rPr>
        <sz val="10"/>
        <color theme="1"/>
        <rFont val="Times New Roman"/>
        <family val="1"/>
      </rPr>
      <t xml:space="preserve">  We have assumed that each respondent will write compliance status information report.</t>
    </r>
  </si>
  <si>
    <r>
      <t xml:space="preserve">l  </t>
    </r>
    <r>
      <rPr>
        <sz val="10"/>
        <color theme="1"/>
        <rFont val="Times New Roman"/>
        <family val="1"/>
      </rPr>
      <t xml:space="preserve">Totals have been rounded to 3 significant figures. Figures may not add exactly due to rounding. </t>
    </r>
  </si>
  <si>
    <r>
      <t xml:space="preserve">m  </t>
    </r>
    <r>
      <rPr>
        <sz val="10"/>
        <color theme="1"/>
        <rFont val="Times New Roman"/>
        <family val="1"/>
      </rPr>
      <t>The capital and O&amp;M cost for this operation has be included in the table for cleaning operations (see Table 1a).</t>
    </r>
  </si>
  <si>
    <t>Table 1c: Annual Respondent Burden and Cost – NESHAP for Aerospace Manufacturing and Rework Facilities (40 CFR Part 63, Subpart GG) (Renewal) (Depainting Operations)</t>
  </si>
  <si>
    <t xml:space="preserve">Initial performance tests </t>
  </si>
  <si>
    <t xml:space="preserve">Repeat performance test </t>
  </si>
  <si>
    <t xml:space="preserve">Notification of physical and operational  changes </t>
  </si>
  <si>
    <r>
      <t xml:space="preserve">Compliance status information report </t>
    </r>
    <r>
      <rPr>
        <vertAlign val="superscript"/>
        <sz val="10"/>
        <color rgb="FF000000"/>
        <rFont val="Times New Roman"/>
        <family val="1"/>
      </rPr>
      <t>g</t>
    </r>
  </si>
  <si>
    <t xml:space="preserve">Waiver application </t>
  </si>
  <si>
    <r>
      <t xml:space="preserve">Annual and semiannual report – including report of periods of noncompliance </t>
    </r>
    <r>
      <rPr>
        <vertAlign val="superscript"/>
        <sz val="10"/>
        <color rgb="FF000000"/>
        <rFont val="Times New Roman"/>
        <family val="1"/>
      </rPr>
      <t>d</t>
    </r>
  </si>
  <si>
    <r>
      <t xml:space="preserve">C.  Implement activities </t>
    </r>
    <r>
      <rPr>
        <vertAlign val="superscript"/>
        <sz val="10"/>
        <color rgb="FF000000"/>
        <rFont val="Times New Roman"/>
        <family val="1"/>
      </rPr>
      <t>e</t>
    </r>
  </si>
  <si>
    <t>Chemical stripper records (demonstrating compliance)</t>
  </si>
  <si>
    <t>Chemical stripper usage log</t>
  </si>
  <si>
    <t>Depainting equipment malfunction log</t>
  </si>
  <si>
    <t>Exempt stripper usage log and reworked airplane log spot stripping and decal removal</t>
  </si>
  <si>
    <t>Record of parts removed for parts depainting</t>
  </si>
  <si>
    <t>Control device maintenance log</t>
  </si>
  <si>
    <r>
      <t xml:space="preserve">D.  Develop record system </t>
    </r>
    <r>
      <rPr>
        <vertAlign val="superscript"/>
        <sz val="10"/>
        <color rgb="FF000000"/>
        <rFont val="Times New Roman"/>
        <family val="1"/>
      </rPr>
      <t>f</t>
    </r>
  </si>
  <si>
    <r>
      <t xml:space="preserve">TOTAL LABOR BURDEN AND COSTS (rounded) </t>
    </r>
    <r>
      <rPr>
        <b/>
        <vertAlign val="superscript"/>
        <sz val="10"/>
        <color rgb="FF000000"/>
        <rFont val="Times New Roman"/>
        <family val="1"/>
      </rPr>
      <t>h</t>
    </r>
  </si>
  <si>
    <r>
      <t xml:space="preserve">TOTAL CAPITAL AND O&amp;M COST (rounded) </t>
    </r>
    <r>
      <rPr>
        <b/>
        <vertAlign val="superscript"/>
        <sz val="9"/>
        <color rgb="FF000000"/>
        <rFont val="Times New Roman"/>
        <family val="1"/>
      </rPr>
      <t>h, i</t>
    </r>
  </si>
  <si>
    <r>
      <t xml:space="preserve">GRAND TOTAL (rounded) </t>
    </r>
    <r>
      <rPr>
        <b/>
        <vertAlign val="superscript"/>
        <sz val="9"/>
        <color rgb="FF000000"/>
        <rFont val="Times New Roman"/>
        <family val="1"/>
      </rPr>
      <t>h</t>
    </r>
  </si>
  <si>
    <r>
      <t>a</t>
    </r>
    <r>
      <rPr>
        <sz val="10"/>
        <color theme="1"/>
        <rFont val="Times New Roman"/>
        <family val="1"/>
      </rPr>
      <t xml:space="preserve">  We have assumed that the average number of respondents that will be subject to this rule will be 144. Of the 144 respondents, 108 are privately-owned and 36 are Federally-owned. There will be no new additional sources during the next three years of this ICR. Of the 144 facilites we assume 4 privately-owned facilities and 1 Federally-owned facility will have depainting operations.</t>
    </r>
  </si>
  <si>
    <r>
      <t>d</t>
    </r>
    <r>
      <rPr>
        <sz val="10"/>
        <color theme="1"/>
        <rFont val="Times New Roman"/>
        <family val="1"/>
      </rPr>
      <t xml:space="preserve">  We have assumed that 80 percent of facilities will have excess emissions or will change their process in some way and will submit semiannual reports (4 x 80% = 3.2, rounded to 3).</t>
    </r>
  </si>
  <si>
    <r>
      <t>e</t>
    </r>
    <r>
      <rPr>
        <sz val="10"/>
        <color theme="1"/>
        <rFont val="Times New Roman"/>
        <family val="1"/>
      </rPr>
      <t xml:space="preserve">  We have assumed that 1 percent of facilities will use HAP containing chemical strippers as the primary stripping techniques, 29 percent will use media blasting equipment, 70 percent will use non-HAP chemical strippers, and 100 percent of facilities will use some HAP stripper for exempt processes.</t>
    </r>
  </si>
  <si>
    <r>
      <t>f</t>
    </r>
    <r>
      <rPr>
        <sz val="10"/>
        <color theme="1"/>
        <rFont val="Times New Roman"/>
        <family val="1"/>
      </rPr>
      <t xml:space="preserve">  We have assumed that all respondents will need to develop a record keeping system.</t>
    </r>
  </si>
  <si>
    <r>
      <t>g</t>
    </r>
    <r>
      <rPr>
        <sz val="10"/>
        <color theme="1"/>
        <rFont val="Times New Roman"/>
        <family val="1"/>
      </rPr>
      <t xml:space="preserve">  We have assumed that each respondent will write compliance status information report.</t>
    </r>
  </si>
  <si>
    <r>
      <t xml:space="preserve">h  </t>
    </r>
    <r>
      <rPr>
        <sz val="10"/>
        <color theme="1"/>
        <rFont val="Times New Roman"/>
        <family val="1"/>
      </rPr>
      <t xml:space="preserve">Totals have been rounded to 3 significant figures. Figures may not add exactly due to rounding. </t>
    </r>
  </si>
  <si>
    <r>
      <t xml:space="preserve">i  </t>
    </r>
    <r>
      <rPr>
        <sz val="10"/>
        <color theme="1"/>
        <rFont val="Times New Roman"/>
        <family val="1"/>
      </rPr>
      <t>The capital and O&amp;M cost for this operation has be included in the table for cleaning operations (see Table 1a).</t>
    </r>
  </si>
  <si>
    <t>Table 1d: Annual Respondent Burden and Cost – NESHAP for Aerospace Manufacturing and Rework Facilities (40 CFR Part 63, Subpart GG) (Renewal) (Specialty Coating Operations)</t>
  </si>
  <si>
    <r>
      <t xml:space="preserve">E.  Write report </t>
    </r>
    <r>
      <rPr>
        <vertAlign val="superscript"/>
        <sz val="10"/>
        <color rgb="FF000000"/>
        <rFont val="Times New Roman"/>
        <family val="1"/>
      </rPr>
      <t>e</t>
    </r>
  </si>
  <si>
    <t>Compliance status information report</t>
  </si>
  <si>
    <t>Annual and semiannual report – including report of periods of noncompliance</t>
  </si>
  <si>
    <r>
      <t xml:space="preserve">B.  Plan activities </t>
    </r>
    <r>
      <rPr>
        <vertAlign val="superscript"/>
        <sz val="10"/>
        <color rgb="FF000000"/>
        <rFont val="Times New Roman"/>
        <family val="1"/>
      </rPr>
      <t>d</t>
    </r>
  </si>
  <si>
    <t xml:space="preserve">C.  Implement activities </t>
  </si>
  <si>
    <r>
      <t xml:space="preserve">Compliance coating records </t>
    </r>
    <r>
      <rPr>
        <vertAlign val="superscript"/>
        <sz val="10"/>
        <color rgb="FF000000"/>
        <rFont val="Times New Roman"/>
        <family val="1"/>
      </rPr>
      <t>f</t>
    </r>
  </si>
  <si>
    <r>
      <t xml:space="preserve">Control device maintenance or rolling material balance log (organics) </t>
    </r>
    <r>
      <rPr>
        <vertAlign val="superscript"/>
        <sz val="10"/>
        <color rgb="FF000000"/>
        <rFont val="Times New Roman"/>
        <family val="1"/>
      </rPr>
      <t>e</t>
    </r>
  </si>
  <si>
    <r>
      <t xml:space="preserve">Control device maintenance log (inorganics) </t>
    </r>
    <r>
      <rPr>
        <vertAlign val="superscript"/>
        <sz val="10"/>
        <color rgb="FF000000"/>
        <rFont val="Times New Roman"/>
        <family val="1"/>
      </rPr>
      <t>e</t>
    </r>
  </si>
  <si>
    <r>
      <t xml:space="preserve">D.  Develop record system </t>
    </r>
    <r>
      <rPr>
        <vertAlign val="superscript"/>
        <sz val="10"/>
        <color rgb="FF000000"/>
        <rFont val="Times New Roman"/>
        <family val="1"/>
      </rPr>
      <t>d</t>
    </r>
  </si>
  <si>
    <r>
      <t xml:space="preserve">F.  Time to train personnel </t>
    </r>
    <r>
      <rPr>
        <vertAlign val="superscript"/>
        <sz val="10"/>
        <color rgb="FF000000"/>
        <rFont val="Times New Roman"/>
        <family val="1"/>
      </rPr>
      <t>d, g</t>
    </r>
  </si>
  <si>
    <r>
      <t xml:space="preserve">G.  Time for audits </t>
    </r>
    <r>
      <rPr>
        <vertAlign val="superscript"/>
        <sz val="10"/>
        <color rgb="FF000000"/>
        <rFont val="Times New Roman"/>
        <family val="1"/>
      </rPr>
      <t>h</t>
    </r>
  </si>
  <si>
    <r>
      <t xml:space="preserve">TOTAL LABOR BURDEN AND COSTS (rounded) </t>
    </r>
    <r>
      <rPr>
        <b/>
        <vertAlign val="superscript"/>
        <sz val="10"/>
        <color rgb="FF000000"/>
        <rFont val="Times New Roman"/>
        <family val="1"/>
      </rPr>
      <t>i</t>
    </r>
  </si>
  <si>
    <r>
      <t xml:space="preserve">TOTAL CAPITAL AND O&amp;M COST (rounded) </t>
    </r>
    <r>
      <rPr>
        <b/>
        <vertAlign val="superscript"/>
        <sz val="9"/>
        <color rgb="FF000000"/>
        <rFont val="Times New Roman"/>
        <family val="1"/>
      </rPr>
      <t>i, j</t>
    </r>
  </si>
  <si>
    <r>
      <t xml:space="preserve">GRAND TOTAL (rounded) </t>
    </r>
    <r>
      <rPr>
        <b/>
        <vertAlign val="superscript"/>
        <sz val="9"/>
        <color rgb="FF000000"/>
        <rFont val="Times New Roman"/>
        <family val="1"/>
      </rPr>
      <t>i</t>
    </r>
  </si>
  <si>
    <r>
      <t>a</t>
    </r>
    <r>
      <rPr>
        <sz val="10"/>
        <color theme="1"/>
        <rFont val="Times New Roman"/>
        <family val="1"/>
      </rPr>
      <t xml:space="preserve">  We have assumed that the average number of respondents that will be subject to this rule will be 144. Of the 144 respondents, 108 are privately-owned and 36 are Federally-owned. There will be no new additional sources during the next three years of this ICR. Of the 144 facilities we assume 82 privately-owned facilities and 27 Federally-owned facilities will have specialty coating operations.</t>
    </r>
  </si>
  <si>
    <r>
      <t>d</t>
    </r>
    <r>
      <rPr>
        <sz val="10"/>
        <color theme="1"/>
        <rFont val="Times New Roman"/>
        <family val="1"/>
      </rPr>
      <t xml:space="preserve">  One-time cost that is only incurred during the first year of compliance.</t>
    </r>
  </si>
  <si>
    <r>
      <t>e</t>
    </r>
    <r>
      <rPr>
        <sz val="10"/>
        <color theme="1"/>
        <rFont val="Times New Roman"/>
        <family val="1"/>
      </rPr>
      <t xml:space="preserve">  We have assumed that specialty coatings operations will not require installation of additional booths and control devices, and that the costs associated with these devices is covered under the compliance costs for coating operations.</t>
    </r>
  </si>
  <si>
    <r>
      <t>f</t>
    </r>
    <r>
      <rPr>
        <sz val="10"/>
        <color theme="1"/>
        <rFont val="Times New Roman"/>
        <family val="1"/>
      </rPr>
      <t xml:space="preserve">  These costs vary by facility, and are calculated assuming one hour per year per specialty coating used. The 2015 amendment provides a separate worksheet which breaks down the assumed number of specialty coatings by facility based on 2011 ICR survey responses. This ICR averages the hours over the 82 facilities to get ~30.5 person hours per occurence.</t>
    </r>
  </si>
  <si>
    <r>
      <t>g</t>
    </r>
    <r>
      <rPr>
        <sz val="10"/>
        <color theme="1"/>
        <rFont val="Times New Roman"/>
        <family val="1"/>
      </rPr>
      <t xml:space="preserve">  We have assumed one person per shift will require training on recordkeeping requirements and system.</t>
    </r>
  </si>
  <si>
    <r>
      <t>h</t>
    </r>
    <r>
      <rPr>
        <sz val="10"/>
        <color theme="1"/>
        <rFont val="Times New Roman"/>
        <family val="1"/>
      </rPr>
      <t xml:space="preserve">  We have assumed auditing activities will coincide with similar activities for coating operations, so would entail about half the effort assumed for the same activity in coating operations.</t>
    </r>
  </si>
  <si>
    <r>
      <t xml:space="preserve">i  </t>
    </r>
    <r>
      <rPr>
        <sz val="10"/>
        <color theme="1"/>
        <rFont val="Times New Roman"/>
        <family val="1"/>
      </rPr>
      <t xml:space="preserve">Totals have been rounded to 3 significant figures. Figures may not add exactly due to rounding. </t>
    </r>
  </si>
  <si>
    <r>
      <t xml:space="preserve">j  </t>
    </r>
    <r>
      <rPr>
        <sz val="10"/>
        <color theme="1"/>
        <rFont val="Times New Roman"/>
        <family val="1"/>
      </rPr>
      <t>The capital and O&amp;M cost for this operation has be included in the table for cleaning operations (see Table 1a).</t>
    </r>
  </si>
  <si>
    <t>Table 1e: Summary of Annual Respondent Burden and Cost for Tables 1a, 1b, 1c, &amp; 1d – NESHAP for Aerospace Manufacturing and Rework Facilities (40 CFR Part 63, Subpart GG) (Renewal)</t>
  </si>
  <si>
    <t xml:space="preserve">Burden </t>
  </si>
  <si>
    <t>Burden Hours per Year for Reporting</t>
  </si>
  <si>
    <t>Burden Hours per Year for Recordkeeping</t>
  </si>
  <si>
    <r>
      <t xml:space="preserve">Total Burden Hours per Year (rounded) </t>
    </r>
    <r>
      <rPr>
        <b/>
        <vertAlign val="superscript"/>
        <sz val="10"/>
        <color theme="1"/>
        <rFont val="Times New Roman"/>
        <family val="1"/>
      </rPr>
      <t>a</t>
    </r>
  </si>
  <si>
    <t>1a.  Cleaning Operations</t>
  </si>
  <si>
    <t>1b.  Coating Operations</t>
  </si>
  <si>
    <t>1c.  Depainting Operations</t>
  </si>
  <si>
    <t>responses</t>
  </si>
  <si>
    <t>1d. Specialty Coating Operations</t>
  </si>
  <si>
    <t>Total Burden and Costs (rounded)</t>
  </si>
  <si>
    <r>
      <t>a</t>
    </r>
    <r>
      <rPr>
        <sz val="10"/>
        <color theme="1"/>
        <rFont val="Times New Roman"/>
        <family val="1"/>
      </rPr>
      <t xml:space="preserve">  Totals have been rounded to 3 significant figures. Figures may not add exactly due to rounding. </t>
    </r>
  </si>
  <si>
    <r>
      <t>b</t>
    </r>
    <r>
      <rPr>
        <sz val="10"/>
        <color theme="1"/>
        <rFont val="Times New Roman"/>
        <family val="1"/>
      </rPr>
      <t xml:space="preserve">  The total annual costs includes both labor and capital and O&amp;M costs</t>
    </r>
  </si>
  <si>
    <t>Table 2a: Annual Burden and Cost for Federal Government-Owned Facilities – NESHAP for Aerospace Manufacturing and Rework Facilities (40 CFR Part 63, Subpart GG) (Renewal) (Cleaning Operations)</t>
  </si>
  <si>
    <r>
      <t xml:space="preserve">(D) 
Respondents per year  </t>
    </r>
    <r>
      <rPr>
        <b/>
        <vertAlign val="superscript"/>
        <sz val="10"/>
        <color rgb="FF000000"/>
        <rFont val="Times New Roman"/>
        <family val="1"/>
      </rPr>
      <t>a</t>
    </r>
  </si>
  <si>
    <r>
      <t xml:space="preserve">TOTAL LABOR BURDEN AND COSTS (rounded) </t>
    </r>
    <r>
      <rPr>
        <b/>
        <vertAlign val="superscript"/>
        <sz val="10"/>
        <color rgb="FF000000"/>
        <rFont val="Times New Roman"/>
        <family val="1"/>
      </rPr>
      <t>n</t>
    </r>
  </si>
  <si>
    <r>
      <t xml:space="preserve">TOTAL CAPITAL AND O&amp;M COST (rounded) </t>
    </r>
    <r>
      <rPr>
        <b/>
        <vertAlign val="superscript"/>
        <sz val="10"/>
        <color rgb="FF000000"/>
        <rFont val="Times New Roman"/>
        <family val="1"/>
      </rPr>
      <t>n, o</t>
    </r>
  </si>
  <si>
    <r>
      <t xml:space="preserve">GRAND TOTAL (rounded) </t>
    </r>
    <r>
      <rPr>
        <b/>
        <vertAlign val="superscript"/>
        <sz val="10"/>
        <color rgb="FF000000"/>
        <rFont val="Times New Roman"/>
        <family val="1"/>
      </rPr>
      <t>n</t>
    </r>
  </si>
  <si>
    <r>
      <t>d</t>
    </r>
    <r>
      <rPr>
        <sz val="10"/>
        <color theme="1"/>
        <rFont val="Times New Roman"/>
        <family val="1"/>
      </rPr>
      <t xml:space="preserve">  We have assumed that 5 percent of the total existing facilities will write the physical and operational changes report (36 x 5% = 1.8, rounded to 2).</t>
    </r>
  </si>
  <si>
    <r>
      <t>f</t>
    </r>
    <r>
      <rPr>
        <sz val="10"/>
        <color theme="1"/>
        <rFont val="Times New Roman"/>
        <family val="1"/>
      </rPr>
      <t xml:space="preserve">  We have assumed that 10 percent of the respondents will request a waiver (36 x 10% = 3.6, rounded to 4).</t>
    </r>
  </si>
  <si>
    <r>
      <t>g</t>
    </r>
    <r>
      <rPr>
        <sz val="10"/>
        <color theme="1"/>
        <rFont val="Times New Roman"/>
        <family val="1"/>
      </rPr>
      <t xml:space="preserve">  We have assumed that 80 percent of facilities will have excess emissions or will change their process in some way and will submit semiannual reports (36 x 80% = 28.8, rounded to 29).</t>
    </r>
  </si>
  <si>
    <r>
      <t>h</t>
    </r>
    <r>
      <rPr>
        <sz val="10"/>
        <color theme="1"/>
        <rFont val="Times New Roman"/>
        <family val="1"/>
      </rPr>
      <t xml:space="preserve">  We have assumed that 30 percent of facilities will use the approved list of solvents (36 x 30% = 10.8, rounded to 11).</t>
    </r>
  </si>
  <si>
    <r>
      <t>i</t>
    </r>
    <r>
      <rPr>
        <sz val="10"/>
        <color theme="1"/>
        <rFont val="Times New Roman"/>
        <family val="1"/>
      </rPr>
      <t xml:space="preserve">  We have assumed that 90 percent of facilities will use some solvents not on the approved list (36 x 90% = 32.4, rounded to 32).</t>
    </r>
  </si>
  <si>
    <r>
      <t>j</t>
    </r>
    <r>
      <rPr>
        <sz val="10"/>
        <color theme="1"/>
        <rFont val="Times New Roman"/>
        <family val="1"/>
      </rPr>
      <t xml:space="preserve">  We have assumed that 70 percent of facilities will use some solvents for exempt processes (36 x 70% = 25.2, rounded to 25).</t>
    </r>
  </si>
  <si>
    <r>
      <t>k</t>
    </r>
    <r>
      <rPr>
        <sz val="10"/>
        <color theme="1"/>
        <rFont val="Times New Roman"/>
        <family val="1"/>
      </rPr>
      <t xml:space="preserve">  We have assumed that 20 percent of facilities will have a leak in their enclosed gun cleaner (36 x 20% = 7.2, rounded to 7).</t>
    </r>
  </si>
  <si>
    <r>
      <t xml:space="preserve">o  </t>
    </r>
    <r>
      <rPr>
        <sz val="10"/>
        <color theme="1"/>
        <rFont val="Times New Roman"/>
        <family val="1"/>
      </rPr>
      <t>The total capital and O&amp;M cost in this table are the total for cleaning, coating, depainting and specialty coating operations combined (see Tables 1b-1d for burden associated with these operations).</t>
    </r>
  </si>
  <si>
    <t>Table 2b: Annual Burden and Cost for Federal Government-Owned Facilities – NESHAP for Aerospace Manufacturing and Rework Facilities (40 CFR Part 63, Subpart GG) (Renewal) (Coating Operations)</t>
  </si>
  <si>
    <r>
      <t>d</t>
    </r>
    <r>
      <rPr>
        <sz val="10"/>
        <color theme="1"/>
        <rFont val="Times New Roman"/>
        <family val="1"/>
      </rPr>
      <t xml:space="preserve">  We assume that 1 Federally-owned facility will use add-on control equipment for maskant application.</t>
    </r>
  </si>
  <si>
    <r>
      <t>e</t>
    </r>
    <r>
      <rPr>
        <sz val="10"/>
        <color theme="1"/>
        <rFont val="Times New Roman"/>
        <family val="1"/>
      </rPr>
      <t xml:space="preserve">  We have assumed that 20% of Federally-owned facility with add-on control equipment will repeat performance test (1 x 20% = 0.2, rounded to 0).</t>
    </r>
  </si>
  <si>
    <r>
      <t>f</t>
    </r>
    <r>
      <rPr>
        <sz val="10"/>
        <color theme="1"/>
        <rFont val="Times New Roman"/>
        <family val="1"/>
      </rPr>
      <t xml:space="preserve">  We have assumed that 5 percent of the total existing facilities will write the physical and operational changes report (36 x 5% = 1.8, rounded to 2).</t>
    </r>
  </si>
  <si>
    <r>
      <t>g</t>
    </r>
    <r>
      <rPr>
        <sz val="10"/>
        <color theme="1"/>
        <rFont val="Times New Roman"/>
        <family val="1"/>
      </rPr>
      <t xml:space="preserve">  We have assumed that 10 percent of the respondents will request a waiver (36 x 10% = 3.6, rounded to 4).</t>
    </r>
  </si>
  <si>
    <r>
      <t>h</t>
    </r>
    <r>
      <rPr>
        <sz val="10"/>
        <color theme="1"/>
        <rFont val="Times New Roman"/>
        <family val="1"/>
      </rPr>
      <t xml:space="preserve">  We have assumed that 80 percent of facilities will have excess emissions or will change their process in some way and will submit semiannual reports (36 x 80% = 28.8, rounded to 29).</t>
    </r>
  </si>
  <si>
    <t>Table 2c: Annual Burden and Cost for Federal Government-Owned Facilities – NESHAP for Aerospace Manufacturing and Rework Facilities (40 CFR Part 63, Subpart GG) (Renewal) (Depainting Operations)</t>
  </si>
  <si>
    <r>
      <t>d</t>
    </r>
    <r>
      <rPr>
        <sz val="10"/>
        <color theme="1"/>
        <rFont val="Times New Roman"/>
        <family val="1"/>
      </rPr>
      <t xml:space="preserve">  We have assumed that 80 percent of facilities will have excess emissions or will change their process in some way and will submit semiannual reports (1 x 80% = 0.8, rounded to 1).</t>
    </r>
  </si>
  <si>
    <t>Table 2d: Annual Burden and Cost for Federal Government-Owned Facilities – NESHAP for Aerospace Manufacturing and Rework Facilities (40 CFR Part 63, Subpart GG) (Renewal) (Specialty Coating Operations)</t>
  </si>
  <si>
    <r>
      <t>f</t>
    </r>
    <r>
      <rPr>
        <sz val="10"/>
        <color theme="1"/>
        <rFont val="Times New Roman"/>
        <family val="1"/>
      </rPr>
      <t xml:space="preserve">  These costs vary by facility, and are calculated assuming one hour per year per specialty coating used. The 2015 amendment provides a separate worksheet which breaks down the assumed number of specialty coatings by facility based on 2011 ICR survey responses. This ICR averages the hours over the 27 facilities to get ~61.6 person hours per occurrence.</t>
    </r>
  </si>
  <si>
    <t>Table 2e: Summary of Annual Burden and Cost for Federal Government-Owned Facilities for Tables 2a, 2b, 2c, &amp; 2d –  NESHAP for Aerospace Manufacturing and Rework Facilities (40 CFR Part 63, Subpart GG) (Renewal)</t>
  </si>
  <si>
    <r>
      <t xml:space="preserve">Total Annual Costs ($) (rounded) </t>
    </r>
    <r>
      <rPr>
        <b/>
        <vertAlign val="superscript"/>
        <sz val="10"/>
        <color theme="1"/>
        <rFont val="Times New Roman"/>
        <family val="1"/>
      </rPr>
      <t>a, b</t>
    </r>
  </si>
  <si>
    <t>Table 3: Average Annual EPA Burden and Cost – NESHAP for Aerospace Manufacturing and Rework Facilities (40 CFR Part 63, Subpart GG) (Renewal)</t>
  </si>
  <si>
    <t>Activity</t>
  </si>
  <si>
    <t>(A) 
EPA person hours per occurrence</t>
  </si>
  <si>
    <t>(B) 
No. of occurrences per plant per year</t>
  </si>
  <si>
    <t>(C) 
Person hours per plant per year 
(C=AxB)</t>
  </si>
  <si>
    <r>
      <t xml:space="preserve">(D) 
Plants per year  </t>
    </r>
    <r>
      <rPr>
        <b/>
        <vertAlign val="superscript"/>
        <sz val="12"/>
        <color rgb="FF000000"/>
        <rFont val="Times New Roman"/>
        <family val="1"/>
      </rPr>
      <t>a</t>
    </r>
  </si>
  <si>
    <t>1.  Initial performance test</t>
  </si>
  <si>
    <t>2.  Repeat performance test</t>
  </si>
  <si>
    <r>
      <t xml:space="preserve">        Retesting preparation </t>
    </r>
    <r>
      <rPr>
        <vertAlign val="superscript"/>
        <sz val="10"/>
        <color rgb="FF000000"/>
        <rFont val="Times New Roman"/>
        <family val="1"/>
      </rPr>
      <t>c</t>
    </r>
  </si>
  <si>
    <r>
      <t xml:space="preserve">        Retesting </t>
    </r>
    <r>
      <rPr>
        <vertAlign val="superscript"/>
        <sz val="10"/>
        <color rgb="FF000000"/>
        <rFont val="Times New Roman"/>
        <family val="1"/>
      </rPr>
      <t>d</t>
    </r>
  </si>
  <si>
    <t>3.  Report review</t>
  </si>
  <si>
    <t xml:space="preserve">        Notification of construction/reconstruction</t>
  </si>
  <si>
    <r>
      <t xml:space="preserve">        Notification of physical or operational changes </t>
    </r>
    <r>
      <rPr>
        <vertAlign val="superscript"/>
        <sz val="10"/>
        <color rgb="FF000000"/>
        <rFont val="Times New Roman"/>
        <family val="1"/>
      </rPr>
      <t>e</t>
    </r>
  </si>
  <si>
    <t xml:space="preserve">        Notification of anticipated startup</t>
  </si>
  <si>
    <t xml:space="preserve">        Notification of actual startup</t>
  </si>
  <si>
    <t xml:space="preserve">        Notification of changes in production capacity</t>
  </si>
  <si>
    <r>
      <t xml:space="preserve">        Compliance status information report </t>
    </r>
    <r>
      <rPr>
        <vertAlign val="superscript"/>
        <sz val="10"/>
        <color rgb="FF000000"/>
        <rFont val="Times New Roman"/>
        <family val="1"/>
      </rPr>
      <t>f</t>
    </r>
  </si>
  <si>
    <r>
      <t xml:space="preserve">        Waiver application </t>
    </r>
    <r>
      <rPr>
        <vertAlign val="superscript"/>
        <sz val="10"/>
        <color rgb="FF000000"/>
        <rFont val="Times New Roman"/>
        <family val="1"/>
      </rPr>
      <t>g</t>
    </r>
  </si>
  <si>
    <t xml:space="preserve">        Review of site specific test plan</t>
  </si>
  <si>
    <r>
      <t xml:space="preserve">        Notification of initial performance test </t>
    </r>
    <r>
      <rPr>
        <vertAlign val="superscript"/>
        <sz val="10"/>
        <color rgb="FF000000"/>
        <rFont val="Times New Roman"/>
        <family val="1"/>
      </rPr>
      <t>h</t>
    </r>
  </si>
  <si>
    <t xml:space="preserve"> 4.  Report review</t>
  </si>
  <si>
    <t xml:space="preserve">        Report of initial test</t>
  </si>
  <si>
    <r>
      <t xml:space="preserve">        Review of annual and semiannual reports </t>
    </r>
    <r>
      <rPr>
        <vertAlign val="superscript"/>
        <sz val="10"/>
        <color rgb="FF000000"/>
        <rFont val="Times New Roman"/>
        <family val="1"/>
      </rPr>
      <t>i</t>
    </r>
  </si>
  <si>
    <r>
      <t xml:space="preserve">TOTAL (rounded) </t>
    </r>
    <r>
      <rPr>
        <b/>
        <vertAlign val="superscript"/>
        <sz val="9"/>
        <color rgb="FF000000"/>
        <rFont val="Times New Roman"/>
        <family val="1"/>
      </rPr>
      <t>j</t>
    </r>
  </si>
  <si>
    <r>
      <t>c</t>
    </r>
    <r>
      <rPr>
        <sz val="10"/>
        <color theme="1"/>
        <rFont val="Times New Roman"/>
        <family val="1"/>
      </rPr>
      <t xml:space="preserve">  We have assumed that it will take 16 hours to prepare for retesting.</t>
    </r>
  </si>
  <si>
    <r>
      <t>d</t>
    </r>
    <r>
      <rPr>
        <sz val="10"/>
        <color theme="1"/>
        <rFont val="Times New Roman"/>
        <family val="1"/>
      </rPr>
      <t xml:space="preserve">  We have assumed that 20 percent of respondents will fail the initial performance test and will have to be retested.</t>
    </r>
    <r>
      <rPr>
        <vertAlign val="superscript"/>
        <sz val="10"/>
        <color theme="1"/>
        <rFont val="Times New Roman"/>
        <family val="1"/>
      </rPr>
      <t xml:space="preserve"> </t>
    </r>
  </si>
  <si>
    <r>
      <t>e</t>
    </r>
    <r>
      <rPr>
        <sz val="10"/>
        <color theme="1"/>
        <rFont val="Times New Roman"/>
        <family val="1"/>
      </rPr>
      <t xml:space="preserve">  We have assumed that it will take two hours once per year to review the notification of physical or operational change.</t>
    </r>
  </si>
  <si>
    <r>
      <t>f</t>
    </r>
    <r>
      <rPr>
        <sz val="10"/>
        <color theme="1"/>
        <rFont val="Times New Roman"/>
        <family val="1"/>
      </rPr>
      <t xml:space="preserve">  We have assumed that it will take six hours to review the compliance status information report.</t>
    </r>
  </si>
  <si>
    <r>
      <t>g</t>
    </r>
    <r>
      <rPr>
        <sz val="10"/>
        <color theme="1"/>
        <rFont val="Times New Roman"/>
        <family val="1"/>
      </rPr>
      <t xml:space="preserve">  We have assumed that the Agency will take 6 hours to review the waiver application for each facility.</t>
    </r>
  </si>
  <si>
    <r>
      <t>h</t>
    </r>
    <r>
      <rPr>
        <sz val="10"/>
        <color theme="1"/>
        <rFont val="Times New Roman"/>
        <family val="1"/>
      </rPr>
      <t xml:space="preserve">  We have assumed that it will take 2 hours to review the notice of initial performance test.</t>
    </r>
  </si>
  <si>
    <r>
      <t>i</t>
    </r>
    <r>
      <rPr>
        <sz val="10"/>
        <color theme="1"/>
        <rFont val="Times New Roman"/>
        <family val="1"/>
      </rPr>
      <t xml:space="preserve">  We have assumed that it will take 3 hours to review each semiannual report.</t>
    </r>
  </si>
  <si>
    <r>
      <t xml:space="preserve">j  </t>
    </r>
    <r>
      <rPr>
        <sz val="10"/>
        <color theme="1"/>
        <rFont val="Times New Roman"/>
        <family val="1"/>
      </rPr>
      <t xml:space="preserve">Totals have been rounded to 3 significant figures. Figures may not add exactly due to rounding. </t>
    </r>
  </si>
  <si>
    <t>Privately-Owned Facilities</t>
  </si>
  <si>
    <t>Federal Government-Owned Facilities</t>
  </si>
  <si>
    <r>
      <t xml:space="preserve">a </t>
    </r>
    <r>
      <rPr>
        <sz val="10"/>
        <color rgb="FF000000"/>
        <rFont val="Times New Roman"/>
        <family val="1"/>
      </rPr>
      <t xml:space="preserve">  New respondents include sources with constructed, reconstructed, and modified affected facilities.</t>
    </r>
  </si>
  <si>
    <t>Privately-owned facilities</t>
  </si>
  <si>
    <t>Notification of physical and operational changes</t>
  </si>
  <si>
    <t>Waiver application</t>
  </si>
  <si>
    <t>Semiannual report – including report of periods of noncompliance</t>
  </si>
  <si>
    <t>Subtotal</t>
  </si>
  <si>
    <t>Federal government-owned facilities</t>
  </si>
  <si>
    <t>Not Applicable</t>
  </si>
  <si>
    <r>
      <t>b</t>
    </r>
    <r>
      <rPr>
        <sz val="10"/>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</si>
  <si>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color theme="1"/>
        <rFont val="Times New Roman"/>
        <family val="1"/>
      </rPr>
      <t xml:space="preserve"> The cost is based on the following labor rates: Managerial rate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</si>
  <si>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t>2022 CEPCI</t>
  </si>
  <si>
    <t>2007 Average CEPCI</t>
  </si>
  <si>
    <r>
      <t>Total (rounded)</t>
    </r>
    <r>
      <rPr>
        <vertAlign val="superscript"/>
        <sz val="10"/>
        <color theme="1"/>
        <rFont val="Times New Roman"/>
        <family val="1"/>
      </rPr>
      <t xml:space="preserve"> b</t>
    </r>
  </si>
  <si>
    <r>
      <t xml:space="preserve">Total (rounded) </t>
    </r>
    <r>
      <rPr>
        <vertAlign val="superscript"/>
        <sz val="10"/>
        <color theme="1"/>
        <rFont val="Times New Roman"/>
        <family val="1"/>
      </rPr>
      <t>b</t>
    </r>
  </si>
  <si>
    <r>
      <t xml:space="preserve">CEM </t>
    </r>
    <r>
      <rPr>
        <vertAlign val="superscript"/>
        <sz val="10"/>
        <color theme="1"/>
        <rFont val="Times New Roman"/>
        <family val="1"/>
      </rPr>
      <t>a</t>
    </r>
  </si>
  <si>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</si>
  <si>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r>
      <rPr>
        <vertAlign val="superscript"/>
        <sz val="10"/>
        <color theme="1"/>
        <rFont val="Times New Roman"/>
        <family val="1"/>
      </rPr>
      <t xml:space="preserve">a </t>
    </r>
    <r>
      <rPr>
        <sz val="10"/>
        <color theme="1"/>
        <rFont val="Times New Roman"/>
        <family val="1"/>
      </rPr>
      <t>Costs have been increased from 2007 to 2022 $ using the CEPCI Equipment Cost Index.</t>
    </r>
  </si>
  <si>
    <t>191 hours per response for privately-owned facilities; 193 hours per response for Federal government-owned facilities</t>
  </si>
  <si>
    <r>
      <t>Total Annual Labor Costs ($)
(rounded)</t>
    </r>
    <r>
      <rPr>
        <b/>
        <vertAlign val="superscript"/>
        <sz val="10"/>
        <color theme="1"/>
        <rFont val="Times New Roman"/>
        <family val="1"/>
      </rPr>
      <t xml:space="preserve"> a</t>
    </r>
  </si>
  <si>
    <t>2a.  Cleaning Operations</t>
  </si>
  <si>
    <t>2b.  Coating Operations</t>
  </si>
  <si>
    <t>2c.  Depainting Operations</t>
  </si>
  <si>
    <t>2d. Specialty Coating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</si>
</sst>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General_)"/>
    <numFmt numFmtId="165" formatCode="&quot;$&quot;#,##0.00"/>
    <numFmt numFmtId="166" formatCode="#,##0.0"/>
  </numFmts>
  <fonts count="26"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color rgb="FF000000"/>
      <name val="Times New Roman"/>
      <family val="1"/>
    </font>
    <font>
      <sz val="10"/>
      <color theme="1"/>
      <name val="Calibri"/>
      <family val="2"/>
      <scheme val="minor"/>
    </font>
    <font>
      <b/>
      <sz val="11"/>
      <color theme="1"/>
      <name val="Calibri"/>
      <family val="2"/>
      <scheme val="minor"/>
    </font>
    <font>
      <b/>
      <vertAlign val="superscript"/>
      <sz val="12"/>
      <color rgb="FF000000"/>
      <name val="Times New Roman"/>
      <family val="1"/>
    </font>
    <font>
      <i/>
      <sz val="10"/>
      <color rgb="FF000000"/>
      <name val="Times New Roman"/>
      <family val="1"/>
    </font>
    <font>
      <i/>
      <sz val="11"/>
      <color theme="1"/>
      <name val="Calibri"/>
      <family val="2"/>
      <scheme val="minor"/>
    </font>
    <font>
      <b/>
      <sz val="9"/>
      <color rgb="FF000000"/>
      <name val="Times New Roman"/>
      <family val="1"/>
    </font>
    <font>
      <b/>
      <vertAlign val="superscript"/>
      <sz val="9"/>
      <color rgb="FF000000"/>
      <name val="Times New Roman"/>
      <family val="1"/>
    </font>
    <font>
      <sz val="11"/>
      <color rgb="FFFF0000"/>
      <name val="Calibri"/>
      <family val="2"/>
      <scheme val="minor"/>
    </font>
    <font>
      <b/>
      <sz val="10"/>
      <name val="Times New Roman"/>
      <family val="1"/>
    </font>
    <font>
      <sz val="9"/>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10" fillId="0" borderId="0"/>
  </cellStyleXfs>
  <cellXfs count="116">
    <xf numFmtId="0" fontId="0" fillId="0" borderId="0" xfId="0"/>
    <xf numFmtId="0" fontId="8" fillId="0" borderId="0" xfId="0" applyFont="1"/>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16" fillId="0" borderId="0" xfId="0" applyFont="1"/>
    <xf numFmtId="0" fontId="1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5" fillId="0" borderId="0" xfId="0" applyFont="1" applyAlignment="1">
      <alignment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vertical="center" wrapText="1"/>
    </xf>
    <xf numFmtId="6" fontId="1" fillId="0" borderId="0" xfId="0" applyNumberFormat="1" applyFont="1" applyAlignment="1">
      <alignment horizontal="center" vertical="center" wrapText="1"/>
    </xf>
    <xf numFmtId="6" fontId="2" fillId="0" borderId="0" xfId="0" applyNumberFormat="1" applyFont="1" applyAlignment="1">
      <alignment horizontal="center" vertical="center" wrapText="1"/>
    </xf>
    <xf numFmtId="0" fontId="16" fillId="0" borderId="0" xfId="0" applyFont="1" applyAlignment="1">
      <alignment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2" fillId="0" borderId="0" xfId="0" applyFont="1"/>
    <xf numFmtId="1" fontId="2" fillId="0" borderId="1" xfId="0" applyNumberFormat="1" applyFont="1" applyBorder="1" applyAlignment="1">
      <alignment horizontal="center" vertical="center" wrapText="1"/>
    </xf>
    <xf numFmtId="0" fontId="2" fillId="0" borderId="0" xfId="0" applyFont="1" applyAlignment="1">
      <alignment vertical="center" wrapText="1"/>
    </xf>
    <xf numFmtId="0" fontId="1" fillId="0" borderId="0" xfId="0" applyFont="1" applyAlignment="1">
      <alignment horizontal="center" vertical="center" wrapText="1"/>
    </xf>
    <xf numFmtId="6" fontId="16" fillId="0" borderId="0" xfId="0" applyNumberFormat="1" applyFont="1"/>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3" fontId="0" fillId="0" borderId="0" xfId="0" applyNumberFormat="1"/>
    <xf numFmtId="6" fontId="0" fillId="0" borderId="0" xfId="0" applyNumberFormat="1"/>
    <xf numFmtId="0" fontId="12" fillId="0" borderId="1"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right" vertical="center"/>
    </xf>
    <xf numFmtId="0" fontId="12" fillId="0" borderId="1" xfId="0" applyFont="1" applyBorder="1" applyAlignment="1">
      <alignment horizontal="left" vertical="center" indent="1"/>
    </xf>
    <xf numFmtId="0" fontId="12" fillId="0" borderId="1" xfId="0" applyFont="1" applyBorder="1" applyAlignment="1">
      <alignment horizontal="left" vertical="center" indent="2"/>
    </xf>
    <xf numFmtId="3" fontId="12" fillId="0" borderId="1" xfId="0" applyNumberFormat="1" applyFont="1" applyBorder="1" applyAlignment="1">
      <alignment horizontal="center" vertical="center"/>
    </xf>
    <xf numFmtId="0" fontId="12" fillId="0" borderId="1" xfId="0" applyFont="1" applyBorder="1" applyAlignment="1">
      <alignment horizontal="left" vertical="center" wrapText="1" indent="2"/>
    </xf>
    <xf numFmtId="0" fontId="5" fillId="0" borderId="1" xfId="0" applyFont="1" applyBorder="1" applyAlignment="1">
      <alignment vertical="center"/>
    </xf>
    <xf numFmtId="0" fontId="19" fillId="0" borderId="1" xfId="0" applyFont="1" applyBorder="1" applyAlignment="1">
      <alignment horizontal="center" vertical="center"/>
    </xf>
    <xf numFmtId="6" fontId="5" fillId="0" borderId="1" xfId="0" applyNumberFormat="1" applyFont="1" applyBorder="1" applyAlignment="1">
      <alignment horizontal="right" vertical="center"/>
    </xf>
    <xf numFmtId="0" fontId="20" fillId="0" borderId="0" xfId="0" applyFont="1"/>
    <xf numFmtId="0" fontId="21" fillId="0" borderId="1" xfId="0" applyFont="1" applyBorder="1" applyAlignment="1">
      <alignment vertical="center"/>
    </xf>
    <xf numFmtId="0" fontId="13" fillId="0" borderId="1" xfId="0" applyFont="1" applyBorder="1" applyAlignment="1">
      <alignment vertical="center"/>
    </xf>
    <xf numFmtId="0" fontId="13" fillId="0" borderId="1" xfId="0" applyFont="1" applyBorder="1" applyAlignment="1">
      <alignment horizontal="center" vertical="center"/>
    </xf>
    <xf numFmtId="6" fontId="13" fillId="0" borderId="1" xfId="0" applyNumberFormat="1" applyFont="1" applyBorder="1" applyAlignment="1">
      <alignment horizontal="right" vertical="center"/>
    </xf>
    <xf numFmtId="0" fontId="0" fillId="0" borderId="1" xfId="0" applyBorder="1"/>
    <xf numFmtId="6" fontId="2" fillId="0" borderId="1" xfId="0" applyNumberFormat="1" applyFont="1" applyBorder="1" applyAlignment="1">
      <alignment vertical="center" wrapText="1"/>
    </xf>
    <xf numFmtId="0" fontId="2" fillId="0" borderId="0" xfId="0" applyFont="1" applyAlignment="1">
      <alignment vertical="center"/>
    </xf>
    <xf numFmtId="0" fontId="4" fillId="0" borderId="0" xfId="0" applyFont="1" applyAlignment="1">
      <alignment vertical="center"/>
    </xf>
    <xf numFmtId="6" fontId="1" fillId="0" borderId="1" xfId="0" applyNumberFormat="1" applyFont="1" applyBorder="1" applyAlignment="1">
      <alignment vertical="center" wrapText="1"/>
    </xf>
    <xf numFmtId="8" fontId="1" fillId="0" borderId="1" xfId="0" applyNumberFormat="1" applyFont="1" applyBorder="1" applyAlignment="1">
      <alignment vertical="center" wrapText="1"/>
    </xf>
    <xf numFmtId="6" fontId="6" fillId="0" borderId="1" xfId="0" applyNumberFormat="1" applyFont="1" applyBorder="1" applyAlignment="1">
      <alignment vertical="center" wrapText="1"/>
    </xf>
    <xf numFmtId="0" fontId="1" fillId="0" borderId="1" xfId="0" applyFont="1" applyBorder="1" applyAlignment="1">
      <alignment horizontal="center"/>
    </xf>
    <xf numFmtId="0" fontId="1" fillId="0" borderId="1" xfId="0" applyFont="1" applyBorder="1"/>
    <xf numFmtId="0" fontId="7" fillId="0" borderId="1" xfId="0" applyFont="1" applyBorder="1" applyAlignment="1">
      <alignment horizontal="center"/>
    </xf>
    <xf numFmtId="3" fontId="12" fillId="0" borderId="1" xfId="0" applyNumberFormat="1" applyFont="1" applyBorder="1" applyAlignment="1">
      <alignment horizontal="right" vertical="center" wrapText="1"/>
    </xf>
    <xf numFmtId="6" fontId="12" fillId="0" borderId="1" xfId="0" applyNumberFormat="1" applyFont="1" applyBorder="1" applyAlignment="1">
      <alignment horizontal="right" vertical="center" wrapText="1"/>
    </xf>
    <xf numFmtId="1" fontId="12"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6" fontId="13" fillId="0" borderId="1" xfId="0" applyNumberFormat="1" applyFont="1" applyBorder="1" applyAlignment="1">
      <alignment horizontal="right" vertical="center" wrapText="1"/>
    </xf>
    <xf numFmtId="0" fontId="9" fillId="0" borderId="1" xfId="0" applyFont="1" applyBorder="1" applyAlignment="1">
      <alignment vertical="center"/>
    </xf>
    <xf numFmtId="166" fontId="12" fillId="0" borderId="1" xfId="0" applyNumberFormat="1" applyFont="1" applyBorder="1" applyAlignment="1">
      <alignment horizontal="center" vertical="center"/>
    </xf>
    <xf numFmtId="0" fontId="23" fillId="0" borderId="0" xfId="0" applyFont="1"/>
    <xf numFmtId="0" fontId="25" fillId="0" borderId="1" xfId="0" applyFont="1" applyBorder="1" applyAlignment="1">
      <alignment horizontal="center" vertical="center" wrapText="1"/>
    </xf>
    <xf numFmtId="0" fontId="12" fillId="0" borderId="0" xfId="0" applyFont="1" applyAlignment="1">
      <alignment vertical="top" wrapText="1"/>
    </xf>
    <xf numFmtId="164" fontId="9" fillId="0" borderId="0" xfId="1" applyFont="1" applyAlignment="1">
      <alignment vertical="top" wrapText="1"/>
    </xf>
    <xf numFmtId="0" fontId="17" fillId="0" borderId="1" xfId="0" applyFont="1" applyBorder="1" applyAlignment="1">
      <alignment horizontal="center" vertical="center"/>
    </xf>
    <xf numFmtId="0" fontId="17" fillId="0" borderId="0" xfId="0" applyFont="1"/>
    <xf numFmtId="0" fontId="12" fillId="0" borderId="1" xfId="0" applyFont="1" applyBorder="1"/>
    <xf numFmtId="165" fontId="9" fillId="0" borderId="1" xfId="0" applyNumberFormat="1" applyFont="1" applyBorder="1"/>
    <xf numFmtId="8" fontId="12" fillId="0" borderId="1" xfId="0" applyNumberFormat="1" applyFont="1" applyBorder="1" applyAlignment="1">
      <alignment horizontal="right" vertical="center"/>
    </xf>
    <xf numFmtId="6" fontId="12" fillId="0" borderId="1" xfId="0" applyNumberFormat="1" applyFont="1" applyBorder="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left" vertical="center" wrapText="1" indent="2"/>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16" fillId="0" borderId="1" xfId="0" applyFont="1" applyBorder="1"/>
    <xf numFmtId="41" fontId="0" fillId="0" borderId="0" xfId="0" applyNumberFormat="1"/>
    <xf numFmtId="1" fontId="0" fillId="0" borderId="0" xfId="0" applyNumberFormat="1"/>
    <xf numFmtId="0" fontId="0" fillId="0" borderId="0" xfId="0" applyAlignment="1">
      <alignment horizontal="center"/>
    </xf>
    <xf numFmtId="0" fontId="4" fillId="0" borderId="0" xfId="0" applyFont="1" applyAlignment="1">
      <alignment horizontal="left" vertical="center" wrapText="1"/>
    </xf>
    <xf numFmtId="0" fontId="12" fillId="0" borderId="2" xfId="0" applyFont="1" applyBorder="1" applyAlignment="1">
      <alignment horizontal="center"/>
    </xf>
    <xf numFmtId="0" fontId="12" fillId="0" borderId="4" xfId="0" applyFont="1" applyBorder="1" applyAlignment="1">
      <alignment horizontal="center"/>
    </xf>
    <xf numFmtId="3" fontId="5"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1" fontId="6" fillId="0" borderId="2" xfId="0" applyNumberFormat="1" applyFont="1" applyBorder="1" applyAlignment="1">
      <alignment horizontal="center"/>
    </xf>
    <xf numFmtId="1" fontId="6" fillId="0" borderId="3" xfId="0" applyNumberFormat="1" applyFont="1" applyBorder="1" applyAlignment="1">
      <alignment horizontal="center"/>
    </xf>
    <xf numFmtId="1" fontId="6" fillId="0" borderId="4" xfId="0" applyNumberFormat="1" applyFont="1" applyBorder="1" applyAlignment="1">
      <alignment horizontal="center"/>
    </xf>
    <xf numFmtId="3" fontId="6" fillId="0" borderId="2" xfId="0" applyNumberFormat="1" applyFont="1" applyBorder="1" applyAlignment="1">
      <alignment horizontal="center"/>
    </xf>
    <xf numFmtId="3" fontId="6" fillId="0" borderId="3" xfId="0" applyNumberFormat="1" applyFont="1" applyBorder="1" applyAlignment="1">
      <alignment horizontal="center"/>
    </xf>
    <xf numFmtId="3" fontId="6" fillId="0" borderId="4" xfId="0" applyNumberFormat="1" applyFont="1" applyBorder="1" applyAlignment="1">
      <alignment horizontal="center"/>
    </xf>
    <xf numFmtId="3" fontId="2" fillId="0" borderId="2" xfId="0" applyNumberFormat="1" applyFont="1" applyBorder="1" applyAlignment="1">
      <alignment horizontal="center"/>
    </xf>
    <xf numFmtId="3" fontId="2" fillId="0" borderId="3" xfId="0" applyNumberFormat="1" applyFont="1" applyBorder="1" applyAlignment="1">
      <alignment horizontal="center"/>
    </xf>
    <xf numFmtId="3" fontId="2" fillId="0" borderId="4" xfId="0" applyNumberFormat="1"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1" fillId="0" borderId="0" xfId="0" applyFont="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1" fillId="0" borderId="0" xfId="0" applyFont="1" applyAlignment="1">
      <alignment horizontal="left" wrapText="1"/>
    </xf>
    <xf numFmtId="0" fontId="11"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C8"/>
  <sheetViews>
    <sheetView tabSelected="1" workbookViewId="0">
      <selection activeCell="A10" sqref="A10"/>
    </sheetView>
  </sheetViews>
  <sheetFormatPr defaultRowHeight="15" x14ac:dyDescent="0.25"/>
  <cols>
    <col min="1" max="1" width="27.85546875" bestFit="1" customWidth="1"/>
    <col min="2" max="2" width="14.5703125" customWidth="1"/>
  </cols>
  <sheetData>
    <row r="1" spans="1:3" x14ac:dyDescent="0.25">
      <c r="A1" s="79" t="s">
        <v>0</v>
      </c>
      <c r="B1" s="79"/>
    </row>
    <row r="2" spans="1:3" x14ac:dyDescent="0.25">
      <c r="A2" t="s">
        <v>1</v>
      </c>
      <c r="B2" s="77" t="s">
        <v>276</v>
      </c>
    </row>
    <row r="3" spans="1:3" x14ac:dyDescent="0.25">
      <c r="A3" t="s">
        <v>2</v>
      </c>
      <c r="B3" s="78">
        <f>Respondents!F8</f>
        <v>144</v>
      </c>
    </row>
    <row r="4" spans="1:3" x14ac:dyDescent="0.25">
      <c r="A4" t="s">
        <v>3</v>
      </c>
      <c r="B4" s="27">
        <f>ROUND('Table 1e'!D8+'Table 2e'!D8,-3)</f>
        <v>154000</v>
      </c>
      <c r="C4" s="61"/>
    </row>
    <row r="5" spans="1:3" x14ac:dyDescent="0.25">
      <c r="A5" t="s">
        <v>4</v>
      </c>
      <c r="B5" s="28">
        <f>ROUND('Table 1e'!F8+'Table 2e'!F8,-5)</f>
        <v>16800000</v>
      </c>
    </row>
    <row r="6" spans="1:3" x14ac:dyDescent="0.25">
      <c r="A6" t="s">
        <v>5</v>
      </c>
      <c r="B6" s="28">
        <f>'Capital O&amp;M'!I10</f>
        <v>224000</v>
      </c>
    </row>
    <row r="7" spans="1:3" x14ac:dyDescent="0.25">
      <c r="A7" t="s">
        <v>6</v>
      </c>
      <c r="B7" s="78">
        <f>Responses!E22</f>
        <v>805</v>
      </c>
    </row>
    <row r="8" spans="1:3" x14ac:dyDescent="0.25">
      <c r="A8" t="s">
        <v>7</v>
      </c>
      <c r="B8" t="s">
        <v>266</v>
      </c>
    </row>
  </sheetData>
  <mergeCells count="1">
    <mergeCell ref="A1:B1"/>
  </mergeCell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86912-E889-4A12-AA39-8EE1DE55A7D8}">
  <dimension ref="A1:L52"/>
  <sheetViews>
    <sheetView workbookViewId="0">
      <selection activeCell="A2" sqref="A2"/>
    </sheetView>
  </sheetViews>
  <sheetFormatPr defaultRowHeight="15" x14ac:dyDescent="0.25"/>
  <cols>
    <col min="1" max="1" width="56.85546875" customWidth="1"/>
    <col min="2" max="2" width="10.140625" customWidth="1"/>
    <col min="5" max="5" width="10.5703125" customWidth="1"/>
    <col min="9" max="9" width="11.28515625" bestFit="1" customWidth="1"/>
  </cols>
  <sheetData>
    <row r="1" spans="1:12" x14ac:dyDescent="0.25">
      <c r="A1" s="18" t="s">
        <v>221</v>
      </c>
    </row>
    <row r="3" spans="1:12" ht="89.25" x14ac:dyDescent="0.25">
      <c r="A3" s="17" t="s">
        <v>15</v>
      </c>
      <c r="B3" s="17" t="s">
        <v>48</v>
      </c>
      <c r="C3" s="17" t="s">
        <v>16</v>
      </c>
      <c r="D3" s="17" t="s">
        <v>8</v>
      </c>
      <c r="E3" s="17" t="s">
        <v>49</v>
      </c>
      <c r="F3" s="17" t="s">
        <v>50</v>
      </c>
      <c r="G3" s="17" t="s">
        <v>51</v>
      </c>
      <c r="H3" s="17" t="s">
        <v>52</v>
      </c>
      <c r="I3" s="17" t="s">
        <v>53</v>
      </c>
    </row>
    <row r="4" spans="1:12" x14ac:dyDescent="0.25">
      <c r="A4" s="29" t="s">
        <v>54</v>
      </c>
      <c r="B4" s="51"/>
      <c r="C4" s="51"/>
      <c r="D4" s="51"/>
      <c r="E4" s="51"/>
      <c r="F4" s="51"/>
      <c r="G4" s="51"/>
      <c r="H4" s="51"/>
      <c r="I4" s="52"/>
      <c r="K4" s="103" t="s">
        <v>9</v>
      </c>
      <c r="L4" s="104"/>
    </row>
    <row r="5" spans="1:12" x14ac:dyDescent="0.25">
      <c r="A5" s="29" t="s">
        <v>56</v>
      </c>
      <c r="B5" s="51"/>
      <c r="C5" s="51"/>
      <c r="D5" s="51"/>
      <c r="E5" s="51"/>
      <c r="F5" s="51"/>
      <c r="G5" s="51"/>
      <c r="H5" s="51"/>
      <c r="I5" s="52"/>
      <c r="K5" s="59" t="s">
        <v>10</v>
      </c>
      <c r="L5" s="68">
        <v>73.459999999999994</v>
      </c>
    </row>
    <row r="6" spans="1:12" x14ac:dyDescent="0.25">
      <c r="A6" s="29" t="s">
        <v>57</v>
      </c>
      <c r="B6" s="51"/>
      <c r="C6" s="51"/>
      <c r="D6" s="51"/>
      <c r="E6" s="51"/>
      <c r="F6" s="51"/>
      <c r="G6" s="51"/>
      <c r="H6" s="51"/>
      <c r="I6" s="52"/>
      <c r="K6" s="59" t="s">
        <v>11</v>
      </c>
      <c r="L6" s="68">
        <v>54.51</v>
      </c>
    </row>
    <row r="7" spans="1:12" ht="15.75" x14ac:dyDescent="0.25">
      <c r="A7" s="32" t="s">
        <v>58</v>
      </c>
      <c r="B7" s="30">
        <v>1</v>
      </c>
      <c r="C7" s="30">
        <v>1</v>
      </c>
      <c r="D7" s="30">
        <f>B7*C7</f>
        <v>1</v>
      </c>
      <c r="E7" s="30">
        <v>27</v>
      </c>
      <c r="F7" s="30">
        <f>D7*E7</f>
        <v>27</v>
      </c>
      <c r="G7" s="30">
        <f>F7*0.05</f>
        <v>1.35</v>
      </c>
      <c r="H7" s="30">
        <f>F7*0.1</f>
        <v>2.7</v>
      </c>
      <c r="I7" s="49">
        <f>$L$6*F7+$L$5*G7+$L$7*H7</f>
        <v>1650.5910000000001</v>
      </c>
      <c r="K7" s="59" t="s">
        <v>12</v>
      </c>
      <c r="L7" s="68">
        <v>29.5</v>
      </c>
    </row>
    <row r="8" spans="1:12" x14ac:dyDescent="0.25">
      <c r="A8" s="32" t="s">
        <v>59</v>
      </c>
      <c r="B8" s="51"/>
      <c r="C8" s="51"/>
      <c r="D8" s="51"/>
      <c r="E8" s="51"/>
      <c r="F8" s="51"/>
      <c r="G8" s="51"/>
      <c r="H8" s="51"/>
      <c r="I8" s="52"/>
    </row>
    <row r="9" spans="1:12" x14ac:dyDescent="0.25">
      <c r="A9" s="33" t="s">
        <v>140</v>
      </c>
      <c r="B9" s="51" t="s">
        <v>55</v>
      </c>
      <c r="C9" s="51"/>
      <c r="D9" s="51"/>
      <c r="E9" s="51"/>
      <c r="F9" s="51"/>
      <c r="G9" s="51"/>
      <c r="H9" s="51"/>
      <c r="I9" s="52"/>
    </row>
    <row r="10" spans="1:12" x14ac:dyDescent="0.25">
      <c r="A10" s="33" t="s">
        <v>141</v>
      </c>
      <c r="B10" s="51" t="s">
        <v>55</v>
      </c>
      <c r="C10" s="51"/>
      <c r="D10" s="51"/>
      <c r="E10" s="51"/>
      <c r="F10" s="51"/>
      <c r="G10" s="51"/>
      <c r="H10" s="51"/>
      <c r="I10" s="52"/>
    </row>
    <row r="11" spans="1:12" x14ac:dyDescent="0.25">
      <c r="A11" s="32" t="s">
        <v>60</v>
      </c>
      <c r="B11" s="51" t="s">
        <v>88</v>
      </c>
      <c r="C11" s="51"/>
      <c r="D11" s="51"/>
      <c r="E11" s="51"/>
      <c r="F11" s="51"/>
      <c r="G11" s="51"/>
      <c r="H11" s="51"/>
      <c r="I11" s="52"/>
    </row>
    <row r="12" spans="1:12" x14ac:dyDescent="0.25">
      <c r="A12" s="32" t="s">
        <v>62</v>
      </c>
      <c r="B12" s="51" t="s">
        <v>88</v>
      </c>
      <c r="C12" s="51"/>
      <c r="D12" s="51"/>
      <c r="E12" s="51"/>
      <c r="F12" s="51"/>
      <c r="G12" s="51"/>
      <c r="H12" s="51"/>
      <c r="I12" s="52"/>
    </row>
    <row r="13" spans="1:12" ht="15.75" x14ac:dyDescent="0.25">
      <c r="A13" s="32" t="s">
        <v>165</v>
      </c>
      <c r="B13" s="51"/>
      <c r="C13" s="51"/>
      <c r="D13" s="51"/>
      <c r="E13" s="51"/>
      <c r="F13" s="51"/>
      <c r="G13" s="51"/>
      <c r="H13" s="51"/>
      <c r="I13" s="52"/>
    </row>
    <row r="14" spans="1:12" x14ac:dyDescent="0.25">
      <c r="A14" s="33" t="s">
        <v>64</v>
      </c>
      <c r="B14" s="51" t="s">
        <v>55</v>
      </c>
      <c r="C14" s="51"/>
      <c r="D14" s="51"/>
      <c r="E14" s="51"/>
      <c r="F14" s="51"/>
      <c r="G14" s="51"/>
      <c r="H14" s="51"/>
      <c r="I14" s="52"/>
    </row>
    <row r="15" spans="1:12" x14ac:dyDescent="0.25">
      <c r="A15" s="33" t="s">
        <v>142</v>
      </c>
      <c r="B15" s="51" t="s">
        <v>55</v>
      </c>
      <c r="C15" s="51"/>
      <c r="D15" s="51"/>
      <c r="E15" s="51"/>
      <c r="F15" s="51"/>
      <c r="G15" s="51"/>
      <c r="H15" s="51"/>
      <c r="I15" s="52"/>
    </row>
    <row r="16" spans="1:12" x14ac:dyDescent="0.25">
      <c r="A16" s="33" t="s">
        <v>66</v>
      </c>
      <c r="B16" s="51" t="s">
        <v>55</v>
      </c>
      <c r="C16" s="51"/>
      <c r="D16" s="51"/>
      <c r="E16" s="51"/>
      <c r="F16" s="51"/>
      <c r="G16" s="51"/>
      <c r="H16" s="51"/>
      <c r="I16" s="52"/>
    </row>
    <row r="17" spans="1:9" x14ac:dyDescent="0.25">
      <c r="A17" s="33" t="s">
        <v>67</v>
      </c>
      <c r="B17" s="51" t="s">
        <v>55</v>
      </c>
      <c r="C17" s="51"/>
      <c r="D17" s="51"/>
      <c r="E17" s="51"/>
      <c r="F17" s="51"/>
      <c r="G17" s="51"/>
      <c r="H17" s="51"/>
      <c r="I17" s="52"/>
    </row>
    <row r="18" spans="1:9" x14ac:dyDescent="0.25">
      <c r="A18" s="33" t="s">
        <v>166</v>
      </c>
      <c r="B18" s="51" t="s">
        <v>55</v>
      </c>
      <c r="C18" s="51"/>
      <c r="D18" s="51"/>
      <c r="E18" s="51"/>
      <c r="F18" s="51"/>
      <c r="G18" s="51"/>
      <c r="H18" s="51"/>
      <c r="I18" s="52"/>
    </row>
    <row r="19" spans="1:9" x14ac:dyDescent="0.25">
      <c r="A19" s="33" t="s">
        <v>144</v>
      </c>
      <c r="B19" s="51" t="s">
        <v>55</v>
      </c>
      <c r="C19" s="51"/>
      <c r="D19" s="51"/>
      <c r="E19" s="51"/>
      <c r="F19" s="51"/>
      <c r="G19" s="51"/>
      <c r="H19" s="51"/>
      <c r="I19" s="52"/>
    </row>
    <row r="20" spans="1:9" x14ac:dyDescent="0.25">
      <c r="A20" s="33" t="s">
        <v>70</v>
      </c>
      <c r="B20" s="51" t="s">
        <v>55</v>
      </c>
      <c r="C20" s="51"/>
      <c r="D20" s="51"/>
      <c r="E20" s="51"/>
      <c r="F20" s="51"/>
      <c r="G20" s="51"/>
      <c r="H20" s="51"/>
      <c r="I20" s="52"/>
    </row>
    <row r="21" spans="1:9" x14ac:dyDescent="0.25">
      <c r="A21" s="33" t="s">
        <v>71</v>
      </c>
      <c r="B21" s="51" t="s">
        <v>55</v>
      </c>
      <c r="C21" s="51"/>
      <c r="D21" s="51"/>
      <c r="E21" s="51"/>
      <c r="F21" s="51"/>
      <c r="G21" s="51"/>
      <c r="H21" s="51"/>
      <c r="I21" s="52"/>
    </row>
    <row r="22" spans="1:9" x14ac:dyDescent="0.25">
      <c r="A22" s="33" t="s">
        <v>72</v>
      </c>
      <c r="B22" s="51" t="s">
        <v>55</v>
      </c>
      <c r="C22" s="51"/>
      <c r="D22" s="51"/>
      <c r="E22" s="51"/>
      <c r="F22" s="51"/>
      <c r="G22" s="51"/>
      <c r="H22" s="51"/>
      <c r="I22" s="52"/>
    </row>
    <row r="23" spans="1:9" ht="25.5" x14ac:dyDescent="0.25">
      <c r="A23" s="35" t="s">
        <v>167</v>
      </c>
      <c r="B23" s="51" t="s">
        <v>55</v>
      </c>
      <c r="C23" s="51"/>
      <c r="D23" s="51"/>
      <c r="E23" s="51"/>
      <c r="F23" s="51"/>
      <c r="G23" s="51"/>
      <c r="H23" s="51"/>
      <c r="I23" s="52"/>
    </row>
    <row r="24" spans="1:9" s="39" customFormat="1" x14ac:dyDescent="0.25">
      <c r="A24" s="36" t="s">
        <v>74</v>
      </c>
      <c r="B24" s="53"/>
      <c r="C24" s="53"/>
      <c r="D24" s="53"/>
      <c r="E24" s="53"/>
      <c r="F24" s="94">
        <f>SUM(F4:H23)</f>
        <v>31.05</v>
      </c>
      <c r="G24" s="95"/>
      <c r="H24" s="96"/>
      <c r="I24" s="50">
        <f>SUM(I4:I23)</f>
        <v>1650.5910000000001</v>
      </c>
    </row>
    <row r="25" spans="1:9" x14ac:dyDescent="0.25">
      <c r="A25" s="29" t="s">
        <v>75</v>
      </c>
      <c r="B25" s="51"/>
      <c r="C25" s="51"/>
      <c r="D25" s="51"/>
      <c r="E25" s="51"/>
      <c r="F25" s="51"/>
      <c r="G25" s="51"/>
      <c r="H25" s="51"/>
      <c r="I25" s="52"/>
    </row>
    <row r="26" spans="1:9" x14ac:dyDescent="0.25">
      <c r="A26" s="32" t="s">
        <v>76</v>
      </c>
      <c r="B26" s="51" t="s">
        <v>77</v>
      </c>
      <c r="C26" s="51"/>
      <c r="D26" s="51"/>
      <c r="E26" s="51"/>
      <c r="F26" s="51"/>
      <c r="G26" s="51"/>
      <c r="H26" s="51"/>
      <c r="I26" s="52"/>
    </row>
    <row r="27" spans="1:9" ht="15.75" x14ac:dyDescent="0.25">
      <c r="A27" s="32" t="s">
        <v>168</v>
      </c>
      <c r="B27" s="51">
        <v>4</v>
      </c>
      <c r="C27" s="51">
        <v>1</v>
      </c>
      <c r="D27" s="30">
        <f>B27*C27</f>
        <v>4</v>
      </c>
      <c r="E27" s="51">
        <v>0</v>
      </c>
      <c r="F27" s="30">
        <f>D27*E27</f>
        <v>0</v>
      </c>
      <c r="G27" s="30">
        <f>F27*0.05</f>
        <v>0</v>
      </c>
      <c r="H27" s="30">
        <f>F27*0.1</f>
        <v>0</v>
      </c>
      <c r="I27" s="48">
        <f>$L$6*F27+$L$5*G27+$L$7*H27</f>
        <v>0</v>
      </c>
    </row>
    <row r="28" spans="1:9" x14ac:dyDescent="0.25">
      <c r="A28" s="32" t="s">
        <v>169</v>
      </c>
      <c r="B28" s="51"/>
      <c r="C28" s="51"/>
      <c r="D28" s="51"/>
      <c r="E28" s="51"/>
      <c r="F28" s="51"/>
      <c r="G28" s="51"/>
      <c r="H28" s="51"/>
      <c r="I28" s="52"/>
    </row>
    <row r="29" spans="1:9" ht="15.75" x14ac:dyDescent="0.25">
      <c r="A29" s="33" t="s">
        <v>170</v>
      </c>
      <c r="B29" s="51">
        <v>61.6</v>
      </c>
      <c r="C29" s="51">
        <v>1</v>
      </c>
      <c r="D29" s="30">
        <f>B29*C29</f>
        <v>61.6</v>
      </c>
      <c r="E29" s="51">
        <v>27</v>
      </c>
      <c r="F29" s="60">
        <f>D29*E29</f>
        <v>1663.2</v>
      </c>
      <c r="G29" s="30">
        <f>F29*0.05</f>
        <v>83.160000000000011</v>
      </c>
      <c r="H29" s="30">
        <f>F29*0.1</f>
        <v>166.32000000000002</v>
      </c>
      <c r="I29" s="49">
        <f>$L$6*F29+$L$5*G29+$L$7*H29</f>
        <v>101676.4056</v>
      </c>
    </row>
    <row r="30" spans="1:9" ht="15.75" x14ac:dyDescent="0.25">
      <c r="A30" s="33" t="s">
        <v>171</v>
      </c>
      <c r="B30" s="51" t="s">
        <v>55</v>
      </c>
      <c r="C30" s="51"/>
      <c r="D30" s="51"/>
      <c r="E30" s="51"/>
      <c r="F30" s="51"/>
      <c r="G30" s="51"/>
      <c r="H30" s="51"/>
      <c r="I30" s="52"/>
    </row>
    <row r="31" spans="1:9" ht="15.75" x14ac:dyDescent="0.25">
      <c r="A31" s="33" t="s">
        <v>172</v>
      </c>
      <c r="B31" s="51" t="s">
        <v>55</v>
      </c>
      <c r="C31" s="51"/>
      <c r="D31" s="51"/>
      <c r="E31" s="51"/>
      <c r="F31" s="51"/>
      <c r="G31" s="51"/>
      <c r="H31" s="51"/>
      <c r="I31" s="52"/>
    </row>
    <row r="32" spans="1:9" ht="15.75" x14ac:dyDescent="0.25">
      <c r="A32" s="32" t="s">
        <v>173</v>
      </c>
      <c r="B32" s="51">
        <v>10</v>
      </c>
      <c r="C32" s="51">
        <v>1</v>
      </c>
      <c r="D32" s="30">
        <f>B32*C32</f>
        <v>10</v>
      </c>
      <c r="E32" s="51">
        <v>0</v>
      </c>
      <c r="F32" s="34">
        <f>D32*E32</f>
        <v>0</v>
      </c>
      <c r="G32" s="30">
        <f>F32*0.05</f>
        <v>0</v>
      </c>
      <c r="H32" s="30">
        <f>F32*0.1</f>
        <v>0</v>
      </c>
      <c r="I32" s="48">
        <f>$L$6*F32+$L$5*G32+$L$7*H32</f>
        <v>0</v>
      </c>
    </row>
    <row r="33" spans="1:10" x14ac:dyDescent="0.25">
      <c r="A33" s="32" t="s">
        <v>86</v>
      </c>
      <c r="B33" s="51"/>
      <c r="C33" s="51"/>
      <c r="D33" s="51"/>
      <c r="E33" s="51"/>
      <c r="F33" s="51"/>
      <c r="G33" s="51"/>
      <c r="H33" s="51"/>
      <c r="I33" s="52"/>
    </row>
    <row r="34" spans="1:10" x14ac:dyDescent="0.25">
      <c r="A34" s="35" t="s">
        <v>87</v>
      </c>
      <c r="B34" s="51" t="s">
        <v>88</v>
      </c>
      <c r="C34" s="51"/>
      <c r="D34" s="51"/>
      <c r="E34" s="51"/>
      <c r="F34" s="51"/>
      <c r="G34" s="51"/>
      <c r="H34" s="51"/>
      <c r="I34" s="52"/>
    </row>
    <row r="35" spans="1:10" ht="15.75" x14ac:dyDescent="0.25">
      <c r="A35" s="32" t="s">
        <v>174</v>
      </c>
      <c r="B35" s="51">
        <v>2</v>
      </c>
      <c r="C35" s="51">
        <v>3</v>
      </c>
      <c r="D35" s="30">
        <f>B35*C35</f>
        <v>6</v>
      </c>
      <c r="E35" s="51">
        <v>0</v>
      </c>
      <c r="F35" s="30">
        <f>D35*E35</f>
        <v>0</v>
      </c>
      <c r="G35" s="30">
        <f>F35*0.05</f>
        <v>0</v>
      </c>
      <c r="H35" s="30">
        <f>F35*0.1</f>
        <v>0</v>
      </c>
      <c r="I35" s="48">
        <f>$L$6*F35+$L$5*G35+$L$7*H35</f>
        <v>0</v>
      </c>
    </row>
    <row r="36" spans="1:10" ht="15.75" x14ac:dyDescent="0.25">
      <c r="A36" s="32" t="s">
        <v>175</v>
      </c>
      <c r="B36" s="51">
        <v>10</v>
      </c>
      <c r="C36" s="51">
        <v>1</v>
      </c>
      <c r="D36" s="30">
        <f>B36*C36</f>
        <v>10</v>
      </c>
      <c r="E36" s="51">
        <v>27</v>
      </c>
      <c r="F36" s="30">
        <f>D36*E36</f>
        <v>270</v>
      </c>
      <c r="G36" s="30">
        <f>F36*0.05</f>
        <v>13.5</v>
      </c>
      <c r="H36" s="30">
        <f>F36*0.1</f>
        <v>27</v>
      </c>
      <c r="I36" s="49">
        <f>$L$6*F36+$L$5*G36+$L$7*H36</f>
        <v>16505.909999999996</v>
      </c>
    </row>
    <row r="37" spans="1:10" s="39" customFormat="1" x14ac:dyDescent="0.25">
      <c r="A37" s="36" t="s">
        <v>91</v>
      </c>
      <c r="B37" s="53"/>
      <c r="C37" s="53"/>
      <c r="D37" s="53"/>
      <c r="E37" s="53"/>
      <c r="F37" s="97">
        <f>SUM(F25:H36)</f>
        <v>2223.1800000000003</v>
      </c>
      <c r="G37" s="98"/>
      <c r="H37" s="99"/>
      <c r="I37" s="50">
        <f>SUM(I25:I36)</f>
        <v>118182.3156</v>
      </c>
    </row>
    <row r="38" spans="1:10" ht="15.75" x14ac:dyDescent="0.25">
      <c r="A38" s="41" t="s">
        <v>176</v>
      </c>
      <c r="B38" s="51"/>
      <c r="C38" s="51"/>
      <c r="D38" s="51"/>
      <c r="E38" s="51"/>
      <c r="F38" s="100">
        <f>ROUND(F24+F37,-1)</f>
        <v>2250</v>
      </c>
      <c r="G38" s="101"/>
      <c r="H38" s="102"/>
      <c r="I38" s="45">
        <f>ROUND(I24+I37,-3)</f>
        <v>120000</v>
      </c>
    </row>
    <row r="39" spans="1:10" x14ac:dyDescent="0.25">
      <c r="A39" s="11" t="s">
        <v>177</v>
      </c>
      <c r="B39" s="51"/>
      <c r="C39" s="51"/>
      <c r="D39" s="51"/>
      <c r="E39" s="51"/>
      <c r="F39" s="51"/>
      <c r="G39" s="51"/>
      <c r="H39" s="51"/>
      <c r="I39" s="45">
        <v>0</v>
      </c>
    </row>
    <row r="40" spans="1:10" x14ac:dyDescent="0.25">
      <c r="A40" s="11" t="s">
        <v>178</v>
      </c>
      <c r="B40" s="51"/>
      <c r="C40" s="51"/>
      <c r="D40" s="51"/>
      <c r="E40" s="51"/>
      <c r="F40" s="51"/>
      <c r="G40" s="51"/>
      <c r="H40" s="51"/>
      <c r="I40" s="45">
        <f>ROUND(I38+I39,-2)</f>
        <v>120000</v>
      </c>
    </row>
    <row r="42" spans="1:10" x14ac:dyDescent="0.25">
      <c r="A42" s="46" t="s">
        <v>14</v>
      </c>
    </row>
    <row r="43" spans="1:10" ht="50.25" customHeight="1" x14ac:dyDescent="0.25">
      <c r="A43" s="80" t="s">
        <v>179</v>
      </c>
      <c r="B43" s="80"/>
      <c r="C43" s="80"/>
      <c r="D43" s="80"/>
      <c r="E43" s="80"/>
      <c r="F43" s="80"/>
      <c r="G43" s="80"/>
      <c r="H43" s="80"/>
      <c r="I43" s="80"/>
      <c r="J43" s="80"/>
    </row>
    <row r="44" spans="1:10" ht="43.9" customHeight="1" x14ac:dyDescent="0.25">
      <c r="A44" s="80" t="s">
        <v>268</v>
      </c>
      <c r="B44" s="80"/>
      <c r="C44" s="80"/>
      <c r="D44" s="80"/>
      <c r="E44" s="80"/>
      <c r="F44" s="80"/>
      <c r="G44" s="80"/>
      <c r="H44" s="80"/>
      <c r="I44" s="80"/>
      <c r="J44" s="80"/>
    </row>
    <row r="45" spans="1:10" ht="15.75" x14ac:dyDescent="0.25">
      <c r="A45" s="47" t="s">
        <v>96</v>
      </c>
    </row>
    <row r="46" spans="1:10" ht="15.75" x14ac:dyDescent="0.25">
      <c r="A46" s="47" t="s">
        <v>180</v>
      </c>
    </row>
    <row r="47" spans="1:10" ht="32.25" customHeight="1" x14ac:dyDescent="0.25">
      <c r="A47" s="80" t="s">
        <v>181</v>
      </c>
      <c r="B47" s="80"/>
      <c r="C47" s="80"/>
      <c r="D47" s="80"/>
      <c r="E47" s="80"/>
      <c r="F47" s="80"/>
      <c r="G47" s="80"/>
      <c r="H47" s="80"/>
      <c r="I47" s="80"/>
      <c r="J47" s="80"/>
    </row>
    <row r="48" spans="1:10" ht="37.5" customHeight="1" x14ac:dyDescent="0.25">
      <c r="A48" s="80" t="s">
        <v>222</v>
      </c>
      <c r="B48" s="80"/>
      <c r="C48" s="80"/>
      <c r="D48" s="80"/>
      <c r="E48" s="80"/>
      <c r="F48" s="80"/>
      <c r="G48" s="80"/>
      <c r="H48" s="80"/>
      <c r="I48" s="80"/>
      <c r="J48" s="80"/>
    </row>
    <row r="49" spans="1:1" ht="15.75" x14ac:dyDescent="0.25">
      <c r="A49" s="47" t="s">
        <v>183</v>
      </c>
    </row>
    <row r="50" spans="1:1" ht="15.75" x14ac:dyDescent="0.25">
      <c r="A50" s="47" t="s">
        <v>184</v>
      </c>
    </row>
    <row r="51" spans="1:1" ht="15.75" x14ac:dyDescent="0.25">
      <c r="A51" s="47" t="s">
        <v>185</v>
      </c>
    </row>
    <row r="52" spans="1:1" ht="15.75" x14ac:dyDescent="0.25">
      <c r="A52" s="47" t="s">
        <v>186</v>
      </c>
    </row>
  </sheetData>
  <mergeCells count="8">
    <mergeCell ref="A47:J47"/>
    <mergeCell ref="A48:J48"/>
    <mergeCell ref="K4:L4"/>
    <mergeCell ref="F24:H24"/>
    <mergeCell ref="F37:H37"/>
    <mergeCell ref="F38:H38"/>
    <mergeCell ref="A43:J43"/>
    <mergeCell ref="A44:J4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0814F-6686-4FF3-984D-99682339BB30}">
  <dimension ref="A1:I14"/>
  <sheetViews>
    <sheetView workbookViewId="0">
      <selection activeCell="A14" sqref="A14"/>
    </sheetView>
  </sheetViews>
  <sheetFormatPr defaultRowHeight="15" x14ac:dyDescent="0.25"/>
  <cols>
    <col min="1" max="1" width="29.140625" customWidth="1"/>
    <col min="2" max="2" width="11.7109375" customWidth="1"/>
    <col min="3" max="3" width="13.42578125" customWidth="1"/>
    <col min="4" max="4" width="9.28515625" bestFit="1" customWidth="1"/>
    <col min="5" max="5" width="12.85546875" customWidth="1"/>
    <col min="6" max="6" width="13.42578125" customWidth="1"/>
  </cols>
  <sheetData>
    <row r="1" spans="1:9" x14ac:dyDescent="0.25">
      <c r="A1" s="18" t="s">
        <v>223</v>
      </c>
    </row>
    <row r="3" spans="1:9" ht="71.25" customHeight="1" x14ac:dyDescent="0.25">
      <c r="A3" s="9" t="s">
        <v>188</v>
      </c>
      <c r="B3" s="9" t="s">
        <v>189</v>
      </c>
      <c r="C3" s="9" t="s">
        <v>190</v>
      </c>
      <c r="D3" s="9" t="s">
        <v>191</v>
      </c>
      <c r="E3" s="9" t="s">
        <v>277</v>
      </c>
      <c r="F3" s="9" t="s">
        <v>224</v>
      </c>
    </row>
    <row r="4" spans="1:9" x14ac:dyDescent="0.25">
      <c r="A4" s="8" t="s">
        <v>278</v>
      </c>
      <c r="B4" s="54">
        <f>'Table 2a'!F22</f>
        <v>1706.5999999999997</v>
      </c>
      <c r="C4" s="54">
        <f>'Table 2a'!F37</f>
        <v>11145.8</v>
      </c>
      <c r="D4" s="54">
        <f>'Table 2a'!F38</f>
        <v>12900</v>
      </c>
      <c r="E4" s="55">
        <f>'Table 2a'!I38</f>
        <v>683000</v>
      </c>
      <c r="F4" s="55">
        <f>'Table 2a'!I40</f>
        <v>739000</v>
      </c>
    </row>
    <row r="5" spans="1:9" x14ac:dyDescent="0.25">
      <c r="A5" s="8" t="s">
        <v>279</v>
      </c>
      <c r="B5" s="54">
        <f>'Table 2b'!F24</f>
        <v>1550.2</v>
      </c>
      <c r="C5" s="54">
        <f>'Table 2b'!F38</f>
        <v>22345.65</v>
      </c>
      <c r="D5" s="54">
        <f>'Table 2b'!F39</f>
        <v>23900</v>
      </c>
      <c r="E5" s="55">
        <f>'Table 2b'!I39</f>
        <v>1270000</v>
      </c>
      <c r="F5" s="55">
        <f>'Table 2b'!I41</f>
        <v>1270000</v>
      </c>
    </row>
    <row r="6" spans="1:9" x14ac:dyDescent="0.25">
      <c r="A6" s="8" t="s">
        <v>280</v>
      </c>
      <c r="B6" s="56">
        <f>'Table 2c'!F24</f>
        <v>40.25</v>
      </c>
      <c r="C6" s="56">
        <f>'Table 2c'!F40</f>
        <v>87.40000000000002</v>
      </c>
      <c r="D6" s="56">
        <f>'Table 2c'!F41</f>
        <v>128</v>
      </c>
      <c r="E6" s="55">
        <f>'Table 2c'!I41</f>
        <v>6790</v>
      </c>
      <c r="F6" s="55">
        <f>'Table 2c'!I43</f>
        <v>6790</v>
      </c>
    </row>
    <row r="7" spans="1:9" x14ac:dyDescent="0.25">
      <c r="A7" s="8" t="s">
        <v>281</v>
      </c>
      <c r="B7" s="56">
        <f>'Table 2d'!F24</f>
        <v>31.05</v>
      </c>
      <c r="C7" s="54">
        <f>'Table 2d'!F37</f>
        <v>2223.1800000000003</v>
      </c>
      <c r="D7" s="54">
        <f>'Table 2d'!F38</f>
        <v>2250</v>
      </c>
      <c r="E7" s="55">
        <f>'Table 2d'!I38</f>
        <v>120000</v>
      </c>
      <c r="F7" s="55">
        <f>'Table 2d'!I40</f>
        <v>120000</v>
      </c>
    </row>
    <row r="8" spans="1:9" x14ac:dyDescent="0.25">
      <c r="A8" s="11" t="s">
        <v>197</v>
      </c>
      <c r="B8" s="57">
        <f>ROUND(SUM(B4:B7),-1)</f>
        <v>3330</v>
      </c>
      <c r="C8" s="57">
        <f>ROUND(SUM(C4:C7),-2)</f>
        <v>35800</v>
      </c>
      <c r="D8" s="57">
        <f>ROUND(SUM(D4:D7),-2)</f>
        <v>39200</v>
      </c>
      <c r="E8" s="58">
        <f>ROUND(SUM(E4:E7),-4)</f>
        <v>2080000</v>
      </c>
      <c r="F8" s="58">
        <f>ROUND(SUM(F4:F7),-4)</f>
        <v>2140000</v>
      </c>
      <c r="H8">
        <f>D8/203</f>
        <v>193.10344827586206</v>
      </c>
      <c r="I8" t="s">
        <v>13</v>
      </c>
    </row>
    <row r="10" spans="1:9" x14ac:dyDescent="0.25">
      <c r="A10" s="46" t="s">
        <v>14</v>
      </c>
      <c r="D10" s="27"/>
      <c r="E10" s="28"/>
    </row>
    <row r="11" spans="1:9" ht="15.75" x14ac:dyDescent="0.25">
      <c r="A11" s="47" t="s">
        <v>198</v>
      </c>
    </row>
    <row r="12" spans="1:9" ht="15.75" x14ac:dyDescent="0.25">
      <c r="A12" s="47" t="s">
        <v>199</v>
      </c>
    </row>
    <row r="14" spans="1:9" x14ac:dyDescent="0.25">
      <c r="E14" s="2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A863F-D7CB-4820-9B53-89690C9BBE4D}">
  <dimension ref="A1:M33"/>
  <sheetViews>
    <sheetView workbookViewId="0">
      <selection activeCell="A2" sqref="A2"/>
    </sheetView>
  </sheetViews>
  <sheetFormatPr defaultRowHeight="15" x14ac:dyDescent="0.25"/>
  <cols>
    <col min="1" max="1" width="44.28515625" customWidth="1"/>
    <col min="2" max="2" width="10" customWidth="1"/>
    <col min="5" max="5" width="10.28515625" customWidth="1"/>
    <col min="7" max="7" width="10.42578125" customWidth="1"/>
    <col min="8" max="8" width="11.7109375" customWidth="1"/>
    <col min="9" max="9" width="11.28515625" customWidth="1"/>
    <col min="11" max="11" width="13.7109375" customWidth="1"/>
  </cols>
  <sheetData>
    <row r="1" spans="1:13" x14ac:dyDescent="0.25">
      <c r="A1" s="18" t="s">
        <v>225</v>
      </c>
    </row>
    <row r="3" spans="1:13" ht="76.5" x14ac:dyDescent="0.25">
      <c r="A3" s="17" t="s">
        <v>226</v>
      </c>
      <c r="B3" s="17" t="s">
        <v>227</v>
      </c>
      <c r="C3" s="17" t="s">
        <v>228</v>
      </c>
      <c r="D3" s="17" t="s">
        <v>229</v>
      </c>
      <c r="E3" s="17" t="s">
        <v>230</v>
      </c>
      <c r="F3" s="17" t="s">
        <v>50</v>
      </c>
      <c r="G3" s="17" t="s">
        <v>51</v>
      </c>
      <c r="H3" s="17" t="s">
        <v>52</v>
      </c>
      <c r="I3" s="17" t="s">
        <v>53</v>
      </c>
    </row>
    <row r="4" spans="1:13" x14ac:dyDescent="0.25">
      <c r="A4" s="29" t="s">
        <v>231</v>
      </c>
      <c r="B4" s="30">
        <v>80</v>
      </c>
      <c r="C4" s="30">
        <v>1</v>
      </c>
      <c r="D4" s="30">
        <f>B4*C4</f>
        <v>80</v>
      </c>
      <c r="E4" s="30">
        <f>'Table 1b'!E9+'Table 2b'!E9</f>
        <v>4</v>
      </c>
      <c r="F4" s="30">
        <f>D4*E4</f>
        <v>320</v>
      </c>
      <c r="G4" s="30">
        <f>F4*0.05</f>
        <v>16</v>
      </c>
      <c r="H4" s="30">
        <f>F4*0.1</f>
        <v>32</v>
      </c>
      <c r="I4" s="49">
        <f>$L$6*F4+$L$5*G4+$L$7*H4</f>
        <v>19562.560000000001</v>
      </c>
      <c r="K4" s="103" t="s">
        <v>9</v>
      </c>
      <c r="L4" s="104"/>
    </row>
    <row r="5" spans="1:13" x14ac:dyDescent="0.25">
      <c r="A5" s="29" t="s">
        <v>232</v>
      </c>
      <c r="B5" s="30"/>
      <c r="C5" s="30"/>
      <c r="D5" s="30"/>
      <c r="E5" s="30"/>
      <c r="F5" s="30"/>
      <c r="G5" s="30"/>
      <c r="H5" s="30"/>
      <c r="I5" s="49"/>
      <c r="K5" s="59" t="s">
        <v>10</v>
      </c>
      <c r="L5" s="68">
        <v>73.459999999999994</v>
      </c>
      <c r="M5" s="61"/>
    </row>
    <row r="6" spans="1:13" ht="15.75" x14ac:dyDescent="0.25">
      <c r="A6" s="29" t="s">
        <v>233</v>
      </c>
      <c r="B6" s="30">
        <v>16</v>
      </c>
      <c r="C6" s="30">
        <v>1</v>
      </c>
      <c r="D6" s="30">
        <f t="shared" ref="D6:D20" si="0">B6*C6</f>
        <v>16</v>
      </c>
      <c r="E6" s="30">
        <f>'Table 1b'!E10+'Table 2b'!E10</f>
        <v>1</v>
      </c>
      <c r="F6" s="30">
        <f t="shared" ref="F6:F20" si="1">D6*E6</f>
        <v>16</v>
      </c>
      <c r="G6" s="30">
        <f t="shared" ref="G6:G20" si="2">F6*0.05</f>
        <v>0.8</v>
      </c>
      <c r="H6" s="30">
        <f t="shared" ref="H6:H20" si="3">F6*0.1</f>
        <v>1.6</v>
      </c>
      <c r="I6" s="49">
        <f>$L$6*F6+$L$5*G6+$L$7*H6</f>
        <v>978.12800000000004</v>
      </c>
      <c r="K6" s="59" t="s">
        <v>11</v>
      </c>
      <c r="L6" s="68">
        <v>54.51</v>
      </c>
    </row>
    <row r="7" spans="1:13" ht="15.75" x14ac:dyDescent="0.25">
      <c r="A7" s="29" t="s">
        <v>234</v>
      </c>
      <c r="B7" s="30">
        <v>80</v>
      </c>
      <c r="C7" s="30">
        <v>1</v>
      </c>
      <c r="D7" s="30">
        <f t="shared" si="0"/>
        <v>80</v>
      </c>
      <c r="E7" s="30">
        <f>+'Table 1b'!E10+'Table 2b'!E10</f>
        <v>1</v>
      </c>
      <c r="F7" s="30">
        <f t="shared" si="1"/>
        <v>80</v>
      </c>
      <c r="G7" s="30">
        <f t="shared" si="2"/>
        <v>4</v>
      </c>
      <c r="H7" s="30">
        <f t="shared" si="3"/>
        <v>8</v>
      </c>
      <c r="I7" s="49">
        <f>$L$6*F7+$L$5*G7+$L$7*H7</f>
        <v>4890.6400000000003</v>
      </c>
      <c r="K7" s="59" t="s">
        <v>12</v>
      </c>
      <c r="L7" s="68">
        <v>29.5</v>
      </c>
    </row>
    <row r="8" spans="1:13" x14ac:dyDescent="0.25">
      <c r="A8" s="29" t="s">
        <v>235</v>
      </c>
      <c r="B8" s="30"/>
      <c r="C8" s="30"/>
      <c r="D8" s="30"/>
      <c r="E8" s="30"/>
      <c r="F8" s="30"/>
      <c r="G8" s="30"/>
      <c r="H8" s="30"/>
      <c r="I8" s="49"/>
    </row>
    <row r="9" spans="1:13" x14ac:dyDescent="0.25">
      <c r="A9" s="29" t="s">
        <v>236</v>
      </c>
      <c r="B9" s="30">
        <v>2</v>
      </c>
      <c r="C9" s="30">
        <v>1</v>
      </c>
      <c r="D9" s="30">
        <f t="shared" si="0"/>
        <v>2</v>
      </c>
      <c r="E9" s="30">
        <v>0</v>
      </c>
      <c r="F9" s="30">
        <f t="shared" si="1"/>
        <v>0</v>
      </c>
      <c r="G9" s="30">
        <f t="shared" si="2"/>
        <v>0</v>
      </c>
      <c r="H9" s="30">
        <f t="shared" si="3"/>
        <v>0</v>
      </c>
      <c r="I9" s="48">
        <f t="shared" ref="I9:I15" si="4">$L$6*F9+$L$5*G9+$L$7*H9</f>
        <v>0</v>
      </c>
    </row>
    <row r="10" spans="1:13" ht="15.75" x14ac:dyDescent="0.25">
      <c r="A10" s="29" t="s">
        <v>237</v>
      </c>
      <c r="B10" s="30">
        <v>2</v>
      </c>
      <c r="C10" s="30">
        <v>1</v>
      </c>
      <c r="D10" s="30">
        <f t="shared" si="0"/>
        <v>2</v>
      </c>
      <c r="E10" s="30">
        <f>+'Table 1a'!E13+'Table 1b'!E15+'Table 2a'!E13+'Table 2b'!E15</f>
        <v>14</v>
      </c>
      <c r="F10" s="30">
        <f t="shared" si="1"/>
        <v>28</v>
      </c>
      <c r="G10" s="30">
        <f t="shared" si="2"/>
        <v>1.4000000000000001</v>
      </c>
      <c r="H10" s="30">
        <f t="shared" si="3"/>
        <v>2.8000000000000003</v>
      </c>
      <c r="I10" s="49">
        <f t="shared" si="4"/>
        <v>1711.7239999999999</v>
      </c>
    </row>
    <row r="11" spans="1:13" x14ac:dyDescent="0.25">
      <c r="A11" s="29" t="s">
        <v>238</v>
      </c>
      <c r="B11" s="30">
        <v>2</v>
      </c>
      <c r="C11" s="30">
        <v>1</v>
      </c>
      <c r="D11" s="30">
        <f t="shared" si="0"/>
        <v>2</v>
      </c>
      <c r="E11" s="30">
        <v>0</v>
      </c>
      <c r="F11" s="30">
        <f t="shared" si="1"/>
        <v>0</v>
      </c>
      <c r="G11" s="30">
        <f t="shared" si="2"/>
        <v>0</v>
      </c>
      <c r="H11" s="30">
        <f t="shared" si="3"/>
        <v>0</v>
      </c>
      <c r="I11" s="48">
        <f t="shared" si="4"/>
        <v>0</v>
      </c>
    </row>
    <row r="12" spans="1:13" x14ac:dyDescent="0.25">
      <c r="A12" s="29" t="s">
        <v>239</v>
      </c>
      <c r="B12" s="30">
        <v>2</v>
      </c>
      <c r="C12" s="30">
        <v>1</v>
      </c>
      <c r="D12" s="30">
        <f t="shared" si="0"/>
        <v>2</v>
      </c>
      <c r="E12" s="30">
        <v>0</v>
      </c>
      <c r="F12" s="30">
        <f t="shared" si="1"/>
        <v>0</v>
      </c>
      <c r="G12" s="30">
        <f t="shared" si="2"/>
        <v>0</v>
      </c>
      <c r="H12" s="30">
        <f t="shared" si="3"/>
        <v>0</v>
      </c>
      <c r="I12" s="48">
        <f t="shared" si="4"/>
        <v>0</v>
      </c>
    </row>
    <row r="13" spans="1:13" x14ac:dyDescent="0.25">
      <c r="A13" s="29" t="s">
        <v>240</v>
      </c>
      <c r="B13" s="30">
        <v>2</v>
      </c>
      <c r="C13" s="30">
        <v>1</v>
      </c>
      <c r="D13" s="30">
        <f t="shared" si="0"/>
        <v>2</v>
      </c>
      <c r="E13" s="30">
        <v>0</v>
      </c>
      <c r="F13" s="30">
        <f t="shared" si="1"/>
        <v>0</v>
      </c>
      <c r="G13" s="30">
        <f t="shared" si="2"/>
        <v>0</v>
      </c>
      <c r="H13" s="30">
        <f t="shared" si="3"/>
        <v>0</v>
      </c>
      <c r="I13" s="48">
        <f t="shared" si="4"/>
        <v>0</v>
      </c>
    </row>
    <row r="14" spans="1:13" ht="15.75" x14ac:dyDescent="0.25">
      <c r="A14" s="29" t="s">
        <v>241</v>
      </c>
      <c r="B14" s="30">
        <v>6</v>
      </c>
      <c r="C14" s="30">
        <v>1</v>
      </c>
      <c r="D14" s="30">
        <f t="shared" si="0"/>
        <v>6</v>
      </c>
      <c r="E14" s="30">
        <f>'Table 1a'!E16+'Table 1b'!E18+'Table 1c'!E18+'Table 2a'!E16+'Table 2b'!E18+'Table 2c'!E18</f>
        <v>293</v>
      </c>
      <c r="F14" s="34">
        <f t="shared" si="1"/>
        <v>1758</v>
      </c>
      <c r="G14" s="30">
        <f t="shared" si="2"/>
        <v>87.9</v>
      </c>
      <c r="H14" s="30">
        <f t="shared" si="3"/>
        <v>175.8</v>
      </c>
      <c r="I14" s="49">
        <f t="shared" si="4"/>
        <v>107471.81400000001</v>
      </c>
    </row>
    <row r="15" spans="1:13" ht="15.75" x14ac:dyDescent="0.25">
      <c r="A15" s="29" t="s">
        <v>242</v>
      </c>
      <c r="B15" s="30">
        <v>6</v>
      </c>
      <c r="C15" s="30">
        <v>1</v>
      </c>
      <c r="D15" s="30">
        <f t="shared" si="0"/>
        <v>6</v>
      </c>
      <c r="E15" s="30">
        <f>+'Table 1a'!E17+'Table 1b'!E19+'Table 2a'!E17+'Table 2b'!D19+'Table 2c'!E19</f>
        <v>30</v>
      </c>
      <c r="F15" s="30">
        <f t="shared" si="1"/>
        <v>180</v>
      </c>
      <c r="G15" s="30">
        <f t="shared" si="2"/>
        <v>9</v>
      </c>
      <c r="H15" s="30">
        <f t="shared" si="3"/>
        <v>18</v>
      </c>
      <c r="I15" s="49">
        <f t="shared" si="4"/>
        <v>11003.939999999999</v>
      </c>
    </row>
    <row r="16" spans="1:13" x14ac:dyDescent="0.25">
      <c r="A16" s="29" t="s">
        <v>243</v>
      </c>
      <c r="B16" s="30" t="s">
        <v>55</v>
      </c>
      <c r="C16" s="30"/>
      <c r="D16" s="30"/>
      <c r="E16" s="30"/>
      <c r="F16" s="30"/>
      <c r="G16" s="30"/>
      <c r="H16" s="30"/>
      <c r="I16" s="49"/>
    </row>
    <row r="17" spans="1:10" ht="15.75" x14ac:dyDescent="0.25">
      <c r="A17" s="29" t="s">
        <v>244</v>
      </c>
      <c r="B17" s="30">
        <v>2</v>
      </c>
      <c r="C17" s="30">
        <v>1</v>
      </c>
      <c r="D17" s="30">
        <f t="shared" si="0"/>
        <v>2</v>
      </c>
      <c r="E17" s="30">
        <f>+'Table 2c'!E21+'Table 2b'!E21+'Table 1c'!E21+'Table 1b'!E21</f>
        <v>4</v>
      </c>
      <c r="F17" s="30">
        <f t="shared" si="1"/>
        <v>8</v>
      </c>
      <c r="G17" s="30">
        <f t="shared" si="2"/>
        <v>0.4</v>
      </c>
      <c r="H17" s="30">
        <f t="shared" si="3"/>
        <v>0.8</v>
      </c>
      <c r="I17" s="49">
        <f>$L$6*F17+$L$5*G17+$L$7*H17</f>
        <v>489.06400000000002</v>
      </c>
    </row>
    <row r="18" spans="1:10" x14ac:dyDescent="0.25">
      <c r="A18" s="29" t="s">
        <v>245</v>
      </c>
      <c r="B18" s="30"/>
      <c r="C18" s="30"/>
      <c r="D18" s="30"/>
      <c r="E18" s="30"/>
      <c r="F18" s="30"/>
      <c r="G18" s="30"/>
      <c r="H18" s="30"/>
      <c r="I18" s="49"/>
    </row>
    <row r="19" spans="1:10" x14ac:dyDescent="0.25">
      <c r="A19" s="29" t="s">
        <v>246</v>
      </c>
      <c r="B19" s="30">
        <v>8</v>
      </c>
      <c r="C19" s="30">
        <v>1</v>
      </c>
      <c r="D19" s="30">
        <f t="shared" si="0"/>
        <v>8</v>
      </c>
      <c r="E19" s="30">
        <v>0</v>
      </c>
      <c r="F19" s="30">
        <f t="shared" si="1"/>
        <v>0</v>
      </c>
      <c r="G19" s="30">
        <f t="shared" si="2"/>
        <v>0</v>
      </c>
      <c r="H19" s="30">
        <f t="shared" si="3"/>
        <v>0</v>
      </c>
      <c r="I19" s="48">
        <f>$L$6*F19+$L$5*G19+$L$7*H19</f>
        <v>0</v>
      </c>
    </row>
    <row r="20" spans="1:10" ht="15.75" x14ac:dyDescent="0.25">
      <c r="A20" s="29" t="s">
        <v>247</v>
      </c>
      <c r="B20" s="30">
        <v>3</v>
      </c>
      <c r="C20" s="30">
        <v>2</v>
      </c>
      <c r="D20" s="30">
        <f t="shared" si="0"/>
        <v>6</v>
      </c>
      <c r="E20" s="30">
        <f>+'Table 1a'!E21+'Table 1b'!E23+'Table 1c'!E23+'Table 2a'!E21+'Table 2b'!E23+'Table 2c'!E23</f>
        <v>234</v>
      </c>
      <c r="F20" s="34">
        <f t="shared" si="1"/>
        <v>1404</v>
      </c>
      <c r="G20" s="30">
        <f t="shared" si="2"/>
        <v>70.2</v>
      </c>
      <c r="H20" s="30">
        <f t="shared" si="3"/>
        <v>140.4</v>
      </c>
      <c r="I20" s="49">
        <f>$L$6*F20+$L$5*G20+$L$7*H20</f>
        <v>85830.732000000004</v>
      </c>
    </row>
    <row r="21" spans="1:10" x14ac:dyDescent="0.25">
      <c r="A21" s="40" t="s">
        <v>248</v>
      </c>
      <c r="B21" s="29"/>
      <c r="C21" s="29"/>
      <c r="D21" s="29"/>
      <c r="E21" s="29"/>
      <c r="F21" s="84">
        <f>ROUND(SUM(F4:H20),-1)</f>
        <v>4360</v>
      </c>
      <c r="G21" s="84"/>
      <c r="H21" s="84"/>
      <c r="I21" s="43">
        <f>ROUND(SUM(I4:I20),-3)</f>
        <v>232000</v>
      </c>
    </row>
    <row r="23" spans="1:10" s="46" customFormat="1" ht="12.75" x14ac:dyDescent="0.25">
      <c r="A23" s="46" t="s">
        <v>14</v>
      </c>
    </row>
    <row r="24" spans="1:10" ht="36" customHeight="1" x14ac:dyDescent="0.25">
      <c r="A24" s="80" t="s">
        <v>95</v>
      </c>
      <c r="B24" s="80"/>
      <c r="C24" s="80"/>
      <c r="D24" s="80"/>
      <c r="E24" s="80"/>
      <c r="F24" s="80"/>
      <c r="G24" s="80"/>
      <c r="H24" s="80"/>
      <c r="I24" s="80"/>
      <c r="J24" s="80"/>
    </row>
    <row r="25" spans="1:10" ht="45" customHeight="1" x14ac:dyDescent="0.25">
      <c r="A25" s="80" t="s">
        <v>268</v>
      </c>
      <c r="B25" s="80"/>
      <c r="C25" s="80"/>
      <c r="D25" s="80"/>
      <c r="E25" s="80"/>
      <c r="F25" s="80"/>
      <c r="G25" s="80"/>
      <c r="H25" s="80"/>
      <c r="I25" s="80"/>
      <c r="J25" s="80"/>
    </row>
    <row r="26" spans="1:10" ht="15.75" x14ac:dyDescent="0.25">
      <c r="A26" s="47" t="s">
        <v>249</v>
      </c>
    </row>
    <row r="27" spans="1:10" ht="15.75" x14ac:dyDescent="0.25">
      <c r="A27" s="47" t="s">
        <v>250</v>
      </c>
    </row>
    <row r="28" spans="1:10" ht="15.75" x14ac:dyDescent="0.25">
      <c r="A28" s="47" t="s">
        <v>251</v>
      </c>
    </row>
    <row r="29" spans="1:10" ht="15.75" x14ac:dyDescent="0.25">
      <c r="A29" s="47" t="s">
        <v>252</v>
      </c>
    </row>
    <row r="30" spans="1:10" ht="15.75" x14ac:dyDescent="0.25">
      <c r="A30" s="47" t="s">
        <v>253</v>
      </c>
    </row>
    <row r="31" spans="1:10" ht="15.75" x14ac:dyDescent="0.25">
      <c r="A31" s="47" t="s">
        <v>254</v>
      </c>
    </row>
    <row r="32" spans="1:10" ht="15.75" x14ac:dyDescent="0.25">
      <c r="A32" s="47" t="s">
        <v>255</v>
      </c>
    </row>
    <row r="33" spans="1:1" ht="15.75" x14ac:dyDescent="0.25">
      <c r="A33" s="47" t="s">
        <v>256</v>
      </c>
    </row>
  </sheetData>
  <mergeCells count="4">
    <mergeCell ref="K4:L4"/>
    <mergeCell ref="F21:H21"/>
    <mergeCell ref="A24:J24"/>
    <mergeCell ref="A25:J2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K13"/>
  <sheetViews>
    <sheetView zoomScale="90" zoomScaleNormal="90" workbookViewId="0">
      <selection activeCell="I13" sqref="I13"/>
    </sheetView>
  </sheetViews>
  <sheetFormatPr defaultColWidth="22" defaultRowHeight="12.75" x14ac:dyDescent="0.2"/>
  <cols>
    <col min="1" max="1" width="22" style="4"/>
    <col min="2" max="2" width="17.5703125" style="4" customWidth="1"/>
    <col min="3" max="3" width="17.28515625" style="4" customWidth="1"/>
    <col min="4" max="4" width="22" style="4"/>
    <col min="5" max="5" width="19.85546875" style="4" customWidth="1"/>
    <col min="6" max="7" width="16.85546875" style="4" customWidth="1"/>
    <col min="8" max="8" width="6" style="4" customWidth="1"/>
    <col min="9" max="16384" width="22" style="4"/>
  </cols>
  <sheetData>
    <row r="1" spans="1:11" x14ac:dyDescent="0.2">
      <c r="A1" s="2"/>
      <c r="B1" s="3"/>
      <c r="C1" s="3"/>
    </row>
    <row r="2" spans="1:11" x14ac:dyDescent="0.2">
      <c r="A2" s="106" t="s">
        <v>17</v>
      </c>
      <c r="B2" s="106"/>
      <c r="C2" s="106"/>
      <c r="D2" s="106"/>
      <c r="E2" s="106"/>
      <c r="F2" s="106"/>
      <c r="G2" s="107"/>
      <c r="H2" s="12"/>
    </row>
    <row r="3" spans="1:11" x14ac:dyDescent="0.2">
      <c r="A3" s="9" t="s">
        <v>18</v>
      </c>
      <c r="B3" s="9" t="s">
        <v>19</v>
      </c>
      <c r="C3" s="9" t="s">
        <v>20</v>
      </c>
      <c r="D3" s="9" t="s">
        <v>21</v>
      </c>
      <c r="E3" s="9" t="s">
        <v>22</v>
      </c>
      <c r="F3" s="9" t="s">
        <v>23</v>
      </c>
      <c r="G3" s="9" t="s">
        <v>24</v>
      </c>
      <c r="H3" s="12"/>
    </row>
    <row r="4" spans="1:11" ht="46.5" customHeight="1" x14ac:dyDescent="0.2">
      <c r="A4" s="9" t="s">
        <v>25</v>
      </c>
      <c r="B4" s="9" t="s">
        <v>26</v>
      </c>
      <c r="C4" s="9" t="s">
        <v>27</v>
      </c>
      <c r="D4" s="9" t="s">
        <v>28</v>
      </c>
      <c r="E4" s="9" t="s">
        <v>29</v>
      </c>
      <c r="F4" s="9" t="s">
        <v>30</v>
      </c>
      <c r="G4" s="9" t="s">
        <v>31</v>
      </c>
      <c r="H4" s="12"/>
    </row>
    <row r="5" spans="1:11" x14ac:dyDescent="0.2">
      <c r="A5" s="108" t="s">
        <v>257</v>
      </c>
      <c r="B5" s="109"/>
      <c r="C5" s="109"/>
      <c r="D5" s="109"/>
      <c r="E5" s="109"/>
      <c r="F5" s="109"/>
      <c r="G5" s="110"/>
      <c r="H5" s="13"/>
      <c r="J5" s="4" t="s">
        <v>270</v>
      </c>
      <c r="K5" s="4" t="s">
        <v>269</v>
      </c>
    </row>
    <row r="6" spans="1:11" ht="36.75" customHeight="1" x14ac:dyDescent="0.2">
      <c r="A6" s="8" t="s">
        <v>273</v>
      </c>
      <c r="B6" s="10">
        <f>14000*K6/J6</f>
        <v>21743.43357441949</v>
      </c>
      <c r="C6" s="6">
        <v>0</v>
      </c>
      <c r="D6" s="10">
        <v>0</v>
      </c>
      <c r="E6" s="10">
        <f>1000*K6/J6</f>
        <v>1553.1023981728208</v>
      </c>
      <c r="F6" s="6">
        <v>108</v>
      </c>
      <c r="G6" s="10">
        <f>E6*F6</f>
        <v>167735.05900266464</v>
      </c>
      <c r="H6" s="13"/>
      <c r="J6" s="65">
        <v>525.4</v>
      </c>
      <c r="K6" s="65">
        <v>816</v>
      </c>
    </row>
    <row r="7" spans="1:11" ht="36.75" customHeight="1" x14ac:dyDescent="0.2">
      <c r="A7" s="8" t="s">
        <v>271</v>
      </c>
      <c r="B7" s="6"/>
      <c r="C7" s="6"/>
      <c r="D7" s="10">
        <v>0</v>
      </c>
      <c r="E7" s="6"/>
      <c r="F7" s="6"/>
      <c r="G7" s="10">
        <f>ROUND(G6,-3)</f>
        <v>168000</v>
      </c>
      <c r="H7" s="14"/>
    </row>
    <row r="8" spans="1:11" x14ac:dyDescent="0.2">
      <c r="A8" s="108" t="s">
        <v>258</v>
      </c>
      <c r="B8" s="109"/>
      <c r="C8" s="109"/>
      <c r="D8" s="109"/>
      <c r="E8" s="109"/>
      <c r="F8" s="109"/>
      <c r="G8" s="110"/>
      <c r="H8" s="15"/>
    </row>
    <row r="9" spans="1:11" ht="36.75" customHeight="1" x14ac:dyDescent="0.2">
      <c r="A9" s="8" t="s">
        <v>273</v>
      </c>
      <c r="B9" s="10">
        <f>14000*K6/J6</f>
        <v>21743.43357441949</v>
      </c>
      <c r="C9" s="6">
        <v>0</v>
      </c>
      <c r="D9" s="10">
        <v>0</v>
      </c>
      <c r="E9" s="10">
        <f>1000*K6/J6</f>
        <v>1553.1023981728208</v>
      </c>
      <c r="F9" s="6">
        <v>36</v>
      </c>
      <c r="G9" s="10">
        <f>E9*F9</f>
        <v>55911.686334221551</v>
      </c>
    </row>
    <row r="10" spans="1:11" ht="46.5" customHeight="1" x14ac:dyDescent="0.2">
      <c r="A10" s="8" t="s">
        <v>272</v>
      </c>
      <c r="B10" s="6"/>
      <c r="C10" s="6"/>
      <c r="D10" s="10">
        <v>0</v>
      </c>
      <c r="E10" s="6"/>
      <c r="F10" s="6"/>
      <c r="G10" s="10">
        <f>ROUND(G9,-2)</f>
        <v>55900</v>
      </c>
      <c r="I10" s="22">
        <f>ROUND(G7+G10,-3)</f>
        <v>224000</v>
      </c>
    </row>
    <row r="11" spans="1:11" ht="11.25" customHeight="1" x14ac:dyDescent="0.2">
      <c r="A11" s="20"/>
      <c r="B11" s="21"/>
      <c r="C11" s="21"/>
      <c r="D11" s="14"/>
      <c r="E11" s="21"/>
      <c r="F11" s="21"/>
      <c r="G11" s="14"/>
    </row>
    <row r="12" spans="1:11" ht="18" customHeight="1" x14ac:dyDescent="0.2">
      <c r="A12" s="111" t="s">
        <v>275</v>
      </c>
      <c r="B12" s="111"/>
      <c r="C12" s="111"/>
      <c r="D12" s="111"/>
      <c r="E12" s="111"/>
      <c r="F12" s="111"/>
      <c r="G12" s="111"/>
    </row>
    <row r="13" spans="1:11" ht="18.75" customHeight="1" x14ac:dyDescent="0.2">
      <c r="A13" s="105" t="s">
        <v>274</v>
      </c>
      <c r="B13" s="105"/>
      <c r="C13" s="105"/>
      <c r="D13" s="105"/>
      <c r="E13" s="105"/>
      <c r="F13" s="105"/>
      <c r="G13" s="105"/>
    </row>
  </sheetData>
  <mergeCells count="5">
    <mergeCell ref="A13:G13"/>
    <mergeCell ref="A2:G2"/>
    <mergeCell ref="A5:G5"/>
    <mergeCell ref="A8:G8"/>
    <mergeCell ref="A12:G12"/>
  </mergeCells>
  <pageMargins left="0.7" right="0.7" top="0.75" bottom="0.75" header="0.3" footer="0.3"/>
  <pageSetup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26"/>
  <sheetViews>
    <sheetView zoomScaleNormal="100" workbookViewId="0">
      <selection sqref="A1:E1"/>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6" s="4" customFormat="1" ht="15.75" x14ac:dyDescent="0.2">
      <c r="A1" s="112" t="s">
        <v>6</v>
      </c>
      <c r="B1" s="112"/>
      <c r="C1" s="112"/>
      <c r="D1" s="112"/>
      <c r="E1" s="112"/>
    </row>
    <row r="2" spans="1:6" s="4" customFormat="1" ht="12.75" x14ac:dyDescent="0.2">
      <c r="A2" s="5" t="s">
        <v>18</v>
      </c>
      <c r="B2" s="5" t="s">
        <v>19</v>
      </c>
      <c r="C2" s="5" t="s">
        <v>20</v>
      </c>
      <c r="D2" s="5" t="s">
        <v>21</v>
      </c>
      <c r="E2" s="5" t="s">
        <v>22</v>
      </c>
    </row>
    <row r="3" spans="1:6" s="4" customFormat="1" ht="102" x14ac:dyDescent="0.2">
      <c r="A3" s="5" t="s">
        <v>32</v>
      </c>
      <c r="B3" s="5" t="s">
        <v>33</v>
      </c>
      <c r="C3" s="5" t="s">
        <v>34</v>
      </c>
      <c r="D3" s="5" t="s">
        <v>35</v>
      </c>
      <c r="E3" s="5" t="s">
        <v>36</v>
      </c>
    </row>
    <row r="4" spans="1:6" s="4" customFormat="1" ht="17.25" customHeight="1" x14ac:dyDescent="0.2">
      <c r="A4" s="107" t="s">
        <v>260</v>
      </c>
      <c r="B4" s="113"/>
      <c r="C4" s="113"/>
      <c r="D4" s="113"/>
      <c r="E4" s="114"/>
    </row>
    <row r="5" spans="1:6" s="4" customFormat="1" ht="38.25" x14ac:dyDescent="0.2">
      <c r="A5" s="8" t="s">
        <v>64</v>
      </c>
      <c r="B5" s="6">
        <v>0</v>
      </c>
      <c r="C5" s="6">
        <v>1</v>
      </c>
      <c r="D5" s="6">
        <v>0</v>
      </c>
      <c r="E5" s="6">
        <f t="shared" ref="E5:E20" si="0">(B5*C5)+D5</f>
        <v>0</v>
      </c>
    </row>
    <row r="6" spans="1:6" s="4" customFormat="1" ht="25.5" x14ac:dyDescent="0.2">
      <c r="A6" s="8" t="s">
        <v>261</v>
      </c>
      <c r="B6" s="6">
        <v>10</v>
      </c>
      <c r="C6" s="6">
        <v>1</v>
      </c>
      <c r="D6" s="6">
        <v>0</v>
      </c>
      <c r="E6" s="6">
        <f t="shared" si="0"/>
        <v>10</v>
      </c>
    </row>
    <row r="7" spans="1:6" s="4" customFormat="1" ht="25.5" x14ac:dyDescent="0.2">
      <c r="A7" s="8" t="s">
        <v>66</v>
      </c>
      <c r="B7" s="6">
        <v>0</v>
      </c>
      <c r="C7" s="6">
        <v>1</v>
      </c>
      <c r="D7" s="6">
        <v>0</v>
      </c>
      <c r="E7" s="6">
        <f t="shared" si="0"/>
        <v>0</v>
      </c>
    </row>
    <row r="8" spans="1:6" s="4" customFormat="1" ht="25.5" x14ac:dyDescent="0.2">
      <c r="A8" s="8" t="s">
        <v>67</v>
      </c>
      <c r="B8" s="6">
        <v>0</v>
      </c>
      <c r="C8" s="6">
        <v>1</v>
      </c>
      <c r="D8" s="6">
        <v>0</v>
      </c>
      <c r="E8" s="6">
        <f t="shared" si="0"/>
        <v>0</v>
      </c>
      <c r="F8" s="1"/>
    </row>
    <row r="9" spans="1:6" s="4" customFormat="1" ht="28.5" customHeight="1" x14ac:dyDescent="0.2">
      <c r="A9" s="8" t="s">
        <v>166</v>
      </c>
      <c r="B9" s="6">
        <v>220</v>
      </c>
      <c r="C9" s="6">
        <v>1</v>
      </c>
      <c r="D9" s="6">
        <v>0</v>
      </c>
      <c r="E9" s="6">
        <f t="shared" si="0"/>
        <v>220</v>
      </c>
    </row>
    <row r="10" spans="1:6" s="4" customFormat="1" ht="28.5" customHeight="1" x14ac:dyDescent="0.2">
      <c r="A10" s="8" t="s">
        <v>262</v>
      </c>
      <c r="B10" s="6">
        <v>22</v>
      </c>
      <c r="C10" s="6">
        <v>1</v>
      </c>
      <c r="D10" s="6">
        <v>0</v>
      </c>
      <c r="E10" s="6">
        <f t="shared" si="0"/>
        <v>22</v>
      </c>
    </row>
    <row r="11" spans="1:6" s="4" customFormat="1" ht="38.25" x14ac:dyDescent="0.2">
      <c r="A11" s="8" t="s">
        <v>263</v>
      </c>
      <c r="B11" s="6">
        <v>175</v>
      </c>
      <c r="C11" s="6">
        <v>2</v>
      </c>
      <c r="D11" s="6">
        <v>0</v>
      </c>
      <c r="E11" s="6">
        <f t="shared" si="0"/>
        <v>350</v>
      </c>
    </row>
    <row r="12" spans="1:6" s="4" customFormat="1" ht="29.25" customHeight="1" x14ac:dyDescent="0.2">
      <c r="A12" s="8" t="s">
        <v>264</v>
      </c>
      <c r="B12" s="6"/>
      <c r="C12" s="6"/>
      <c r="D12" s="6"/>
      <c r="E12" s="6">
        <f>SUM(E5:E11)</f>
        <v>602</v>
      </c>
    </row>
    <row r="13" spans="1:6" s="4" customFormat="1" ht="12.75" x14ac:dyDescent="0.2">
      <c r="A13" s="106" t="s">
        <v>265</v>
      </c>
      <c r="B13" s="106"/>
      <c r="C13" s="106"/>
      <c r="D13" s="106"/>
      <c r="E13" s="106"/>
    </row>
    <row r="14" spans="1:6" s="4" customFormat="1" ht="29.25" customHeight="1" x14ac:dyDescent="0.2">
      <c r="A14" s="8" t="s">
        <v>64</v>
      </c>
      <c r="B14" s="6">
        <v>0</v>
      </c>
      <c r="C14" s="6">
        <v>1</v>
      </c>
      <c r="D14" s="6">
        <v>0</v>
      </c>
      <c r="E14" s="6">
        <f t="shared" si="0"/>
        <v>0</v>
      </c>
    </row>
    <row r="15" spans="1:6" s="4" customFormat="1" ht="29.25" customHeight="1" x14ac:dyDescent="0.2">
      <c r="A15" s="8" t="s">
        <v>261</v>
      </c>
      <c r="B15" s="6">
        <v>4</v>
      </c>
      <c r="C15" s="6">
        <v>1</v>
      </c>
      <c r="D15" s="6">
        <v>0</v>
      </c>
      <c r="E15" s="6">
        <f t="shared" si="0"/>
        <v>4</v>
      </c>
    </row>
    <row r="16" spans="1:6" s="4" customFormat="1" ht="29.25" customHeight="1" x14ac:dyDescent="0.2">
      <c r="A16" s="8" t="s">
        <v>66</v>
      </c>
      <c r="B16" s="6">
        <v>0</v>
      </c>
      <c r="C16" s="6">
        <v>1</v>
      </c>
      <c r="D16" s="6">
        <v>0</v>
      </c>
      <c r="E16" s="6">
        <f t="shared" si="0"/>
        <v>0</v>
      </c>
    </row>
    <row r="17" spans="1:5" s="4" customFormat="1" ht="29.25" customHeight="1" x14ac:dyDescent="0.2">
      <c r="A17" s="8" t="s">
        <v>67</v>
      </c>
      <c r="B17" s="6">
        <v>0</v>
      </c>
      <c r="C17" s="6">
        <v>1</v>
      </c>
      <c r="D17" s="6">
        <v>0</v>
      </c>
      <c r="E17" s="6">
        <f t="shared" si="0"/>
        <v>0</v>
      </c>
    </row>
    <row r="18" spans="1:5" s="4" customFormat="1" ht="29.25" customHeight="1" x14ac:dyDescent="0.2">
      <c r="A18" s="8" t="s">
        <v>166</v>
      </c>
      <c r="B18" s="6">
        <v>73</v>
      </c>
      <c r="C18" s="6">
        <v>1</v>
      </c>
      <c r="D18" s="6">
        <v>0</v>
      </c>
      <c r="E18" s="6">
        <f t="shared" si="0"/>
        <v>73</v>
      </c>
    </row>
    <row r="19" spans="1:5" s="4" customFormat="1" ht="29.25" customHeight="1" x14ac:dyDescent="0.2">
      <c r="A19" s="8" t="s">
        <v>262</v>
      </c>
      <c r="B19" s="6">
        <v>8</v>
      </c>
      <c r="C19" s="6">
        <v>1</v>
      </c>
      <c r="D19" s="6">
        <v>0</v>
      </c>
      <c r="E19" s="6">
        <f t="shared" si="0"/>
        <v>8</v>
      </c>
    </row>
    <row r="20" spans="1:5" s="4" customFormat="1" ht="40.5" customHeight="1" x14ac:dyDescent="0.2">
      <c r="A20" s="8" t="s">
        <v>263</v>
      </c>
      <c r="B20" s="6">
        <v>59</v>
      </c>
      <c r="C20" s="6">
        <v>2</v>
      </c>
      <c r="D20" s="6">
        <v>0</v>
      </c>
      <c r="E20" s="6">
        <f t="shared" si="0"/>
        <v>118</v>
      </c>
    </row>
    <row r="21" spans="1:5" s="4" customFormat="1" ht="29.25" customHeight="1" x14ac:dyDescent="0.2">
      <c r="A21" s="8" t="s">
        <v>264</v>
      </c>
      <c r="B21" s="6"/>
      <c r="C21" s="6"/>
      <c r="D21" s="6"/>
      <c r="E21" s="6">
        <f>SUM(E14:E20)</f>
        <v>203</v>
      </c>
    </row>
    <row r="22" spans="1:5" s="4" customFormat="1" ht="12.75" x14ac:dyDescent="0.2">
      <c r="A22" s="8"/>
      <c r="B22" s="6"/>
      <c r="C22" s="6"/>
      <c r="D22" s="9" t="s">
        <v>37</v>
      </c>
      <c r="E22" s="19">
        <f>SUM(E12,E21)</f>
        <v>805</v>
      </c>
    </row>
    <row r="23" spans="1:5" s="4" customFormat="1" ht="9.75" customHeight="1" x14ac:dyDescent="0.2">
      <c r="A23" s="23"/>
      <c r="B23" s="24"/>
      <c r="C23" s="24"/>
      <c r="D23" s="25"/>
      <c r="E23" s="26"/>
    </row>
    <row r="24" spans="1:5" s="4" customFormat="1" ht="12.75" x14ac:dyDescent="0.2">
      <c r="A24" s="63"/>
      <c r="B24" s="63"/>
      <c r="C24" s="63"/>
      <c r="D24" s="63"/>
      <c r="E24" s="63"/>
    </row>
    <row r="25" spans="1:5" s="4" customFormat="1" ht="12.75" x14ac:dyDescent="0.2">
      <c r="A25" s="63"/>
      <c r="B25" s="63"/>
      <c r="C25" s="63"/>
      <c r="D25" s="63"/>
      <c r="E25" s="63"/>
    </row>
    <row r="26" spans="1:5" s="4" customFormat="1" ht="12.75" x14ac:dyDescent="0.2">
      <c r="A26" s="64"/>
      <c r="B26" s="64"/>
      <c r="C26" s="64"/>
      <c r="D26" s="64"/>
      <c r="E26" s="64"/>
    </row>
  </sheetData>
  <mergeCells count="3">
    <mergeCell ref="A1:E1"/>
    <mergeCell ref="A4:E4"/>
    <mergeCell ref="A13:E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sqref="A1:F1"/>
    </sheetView>
  </sheetViews>
  <sheetFormatPr defaultColWidth="17.7109375" defaultRowHeight="31.9" customHeight="1" x14ac:dyDescent="0.25"/>
  <sheetData>
    <row r="1" spans="1:6" s="4" customFormat="1" ht="31.9" customHeight="1" x14ac:dyDescent="0.2">
      <c r="A1" s="112" t="s">
        <v>2</v>
      </c>
      <c r="B1" s="112"/>
      <c r="C1" s="112"/>
      <c r="D1" s="112"/>
      <c r="E1" s="112"/>
      <c r="F1" s="112"/>
    </row>
    <row r="2" spans="1:6" s="4" customFormat="1" ht="31.9" customHeight="1" x14ac:dyDescent="0.2">
      <c r="A2" s="16"/>
      <c r="B2" s="115" t="s">
        <v>38</v>
      </c>
      <c r="C2" s="115"/>
      <c r="D2" s="16" t="s">
        <v>39</v>
      </c>
      <c r="E2" s="115"/>
      <c r="F2" s="115"/>
    </row>
    <row r="3" spans="1:6" s="4" customFormat="1" ht="31.9" customHeight="1" x14ac:dyDescent="0.2">
      <c r="A3" s="16"/>
      <c r="B3" s="17" t="s">
        <v>18</v>
      </c>
      <c r="C3" s="17" t="s">
        <v>19</v>
      </c>
      <c r="D3" s="17" t="s">
        <v>20</v>
      </c>
      <c r="E3" s="17" t="s">
        <v>21</v>
      </c>
      <c r="F3" s="17" t="s">
        <v>22</v>
      </c>
    </row>
    <row r="4" spans="1:6" s="4" customFormat="1" ht="70.900000000000006" customHeight="1" x14ac:dyDescent="0.2">
      <c r="A4" s="17" t="s">
        <v>40</v>
      </c>
      <c r="B4" s="16" t="s">
        <v>41</v>
      </c>
      <c r="C4" s="16" t="s">
        <v>42</v>
      </c>
      <c r="D4" s="16" t="s">
        <v>43</v>
      </c>
      <c r="E4" s="16" t="s">
        <v>44</v>
      </c>
      <c r="F4" s="16" t="s">
        <v>45</v>
      </c>
    </row>
    <row r="5" spans="1:6" s="4" customFormat="1" ht="31.9" customHeight="1" x14ac:dyDescent="0.2">
      <c r="A5" s="5">
        <v>1</v>
      </c>
      <c r="B5" s="62">
        <v>0</v>
      </c>
      <c r="C5" s="62">
        <v>144</v>
      </c>
      <c r="D5" s="62">
        <v>0</v>
      </c>
      <c r="E5" s="62">
        <v>0</v>
      </c>
      <c r="F5" s="62">
        <f>B5+C5+D5-E5</f>
        <v>144</v>
      </c>
    </row>
    <row r="6" spans="1:6" s="4" customFormat="1" ht="31.9" customHeight="1" x14ac:dyDescent="0.2">
      <c r="A6" s="5">
        <v>2</v>
      </c>
      <c r="B6" s="62">
        <v>0</v>
      </c>
      <c r="C6" s="62">
        <v>144</v>
      </c>
      <c r="D6" s="62">
        <v>0</v>
      </c>
      <c r="E6" s="62">
        <v>0</v>
      </c>
      <c r="F6" s="62">
        <f t="shared" ref="F6:F7" si="0">B6+C6+D6-E6</f>
        <v>144</v>
      </c>
    </row>
    <row r="7" spans="1:6" s="4" customFormat="1" ht="31.9" customHeight="1" x14ac:dyDescent="0.2">
      <c r="A7" s="5">
        <v>3</v>
      </c>
      <c r="B7" s="62">
        <v>0</v>
      </c>
      <c r="C7" s="62">
        <v>144</v>
      </c>
      <c r="D7" s="62">
        <v>0</v>
      </c>
      <c r="E7" s="62">
        <v>0</v>
      </c>
      <c r="F7" s="62">
        <f t="shared" si="0"/>
        <v>144</v>
      </c>
    </row>
    <row r="8" spans="1:6" s="4" customFormat="1" ht="31.9" customHeight="1" x14ac:dyDescent="0.2">
      <c r="A8" s="5" t="s">
        <v>46</v>
      </c>
      <c r="B8" s="62">
        <v>0</v>
      </c>
      <c r="C8" s="62">
        <v>144</v>
      </c>
      <c r="D8" s="62">
        <v>0</v>
      </c>
      <c r="E8" s="62">
        <v>0</v>
      </c>
      <c r="F8" s="62">
        <f>AVERAGE(F5:F7)</f>
        <v>144</v>
      </c>
    </row>
    <row r="9" spans="1:6" s="4" customFormat="1" ht="20.45" customHeight="1" x14ac:dyDescent="0.2">
      <c r="A9" s="7" t="s">
        <v>259</v>
      </c>
    </row>
  </sheetData>
  <mergeCells count="3">
    <mergeCell ref="A1:F1"/>
    <mergeCell ref="B2:C2"/>
    <mergeCell ref="E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F8B0-BF25-41BD-99B9-491306B888A0}">
  <dimension ref="A1:L57"/>
  <sheetViews>
    <sheetView zoomScaleNormal="100" workbookViewId="0">
      <selection activeCell="A2" sqref="A2"/>
    </sheetView>
  </sheetViews>
  <sheetFormatPr defaultColWidth="8.85546875" defaultRowHeight="15" x14ac:dyDescent="0.25"/>
  <cols>
    <col min="1" max="1" width="46.28515625" customWidth="1"/>
    <col min="2" max="2" width="9.7109375" customWidth="1"/>
    <col min="3" max="3" width="11" customWidth="1"/>
    <col min="4" max="4" width="9.28515625" customWidth="1"/>
    <col min="5" max="5" width="11" customWidth="1"/>
    <col min="7" max="7" width="11.42578125" customWidth="1"/>
    <col min="9" max="9" width="13.42578125" customWidth="1"/>
    <col min="11" max="11" width="13.28515625" customWidth="1"/>
  </cols>
  <sheetData>
    <row r="1" spans="1:12" x14ac:dyDescent="0.25">
      <c r="A1" s="66" t="s">
        <v>47</v>
      </c>
    </row>
    <row r="3" spans="1:12" ht="76.5" x14ac:dyDescent="0.25">
      <c r="A3" s="17" t="s">
        <v>15</v>
      </c>
      <c r="B3" s="17" t="s">
        <v>48</v>
      </c>
      <c r="C3" s="17" t="s">
        <v>16</v>
      </c>
      <c r="D3" s="17" t="s">
        <v>8</v>
      </c>
      <c r="E3" s="17" t="s">
        <v>49</v>
      </c>
      <c r="F3" s="17" t="s">
        <v>50</v>
      </c>
      <c r="G3" s="17" t="s">
        <v>51</v>
      </c>
      <c r="H3" s="17" t="s">
        <v>52</v>
      </c>
      <c r="I3" s="17" t="s">
        <v>53</v>
      </c>
    </row>
    <row r="4" spans="1:12" x14ac:dyDescent="0.25">
      <c r="A4" s="29" t="s">
        <v>54</v>
      </c>
      <c r="B4" s="30" t="s">
        <v>55</v>
      </c>
      <c r="C4" s="30"/>
      <c r="D4" s="30"/>
      <c r="E4" s="30"/>
      <c r="F4" s="30"/>
      <c r="G4" s="30"/>
      <c r="H4" s="30"/>
      <c r="I4" s="31"/>
      <c r="K4" s="81" t="s">
        <v>9</v>
      </c>
      <c r="L4" s="82"/>
    </row>
    <row r="5" spans="1:12" x14ac:dyDescent="0.25">
      <c r="A5" s="29" t="s">
        <v>56</v>
      </c>
      <c r="B5" s="30" t="s">
        <v>55</v>
      </c>
      <c r="C5" s="30"/>
      <c r="D5" s="30"/>
      <c r="E5" s="30"/>
      <c r="F5" s="30"/>
      <c r="G5" s="30"/>
      <c r="H5" s="30"/>
      <c r="I5" s="31"/>
      <c r="K5" s="67" t="s">
        <v>10</v>
      </c>
      <c r="L5" s="68">
        <v>163.16999999999999</v>
      </c>
    </row>
    <row r="6" spans="1:12" x14ac:dyDescent="0.25">
      <c r="A6" s="29" t="s">
        <v>57</v>
      </c>
      <c r="B6" s="30"/>
      <c r="C6" s="30"/>
      <c r="D6" s="30"/>
      <c r="E6" s="30"/>
      <c r="F6" s="30"/>
      <c r="G6" s="30"/>
      <c r="H6" s="30"/>
      <c r="I6" s="31"/>
      <c r="K6" s="67" t="s">
        <v>11</v>
      </c>
      <c r="L6" s="68">
        <v>130.28</v>
      </c>
    </row>
    <row r="7" spans="1:12" ht="15.75" x14ac:dyDescent="0.25">
      <c r="A7" s="32" t="s">
        <v>58</v>
      </c>
      <c r="B7" s="30">
        <v>1</v>
      </c>
      <c r="C7" s="30">
        <v>1</v>
      </c>
      <c r="D7" s="30">
        <f>B7*C7</f>
        <v>1</v>
      </c>
      <c r="E7" s="30">
        <v>108</v>
      </c>
      <c r="F7" s="30">
        <f>D7*E7</f>
        <v>108</v>
      </c>
      <c r="G7" s="30">
        <f>F7*0.05</f>
        <v>5.4</v>
      </c>
      <c r="H7" s="30">
        <f>F7*0.1</f>
        <v>10.8</v>
      </c>
      <c r="I7" s="69">
        <f>$L$6*F7+$L$5*G7+$L$7*H7</f>
        <v>15661.026</v>
      </c>
      <c r="K7" s="67" t="s">
        <v>12</v>
      </c>
      <c r="L7" s="68">
        <v>65.709999999999994</v>
      </c>
    </row>
    <row r="8" spans="1:12" x14ac:dyDescent="0.25">
      <c r="A8" s="32" t="s">
        <v>59</v>
      </c>
      <c r="B8" s="30" t="s">
        <v>55</v>
      </c>
      <c r="C8" s="30"/>
      <c r="D8" s="30"/>
      <c r="E8" s="30"/>
      <c r="F8" s="30"/>
      <c r="G8" s="30"/>
      <c r="H8" s="30"/>
      <c r="I8" s="69"/>
    </row>
    <row r="9" spans="1:12" x14ac:dyDescent="0.25">
      <c r="A9" s="32" t="s">
        <v>60</v>
      </c>
      <c r="B9" s="30" t="s">
        <v>61</v>
      </c>
      <c r="C9" s="30"/>
      <c r="D9" s="30"/>
      <c r="E9" s="30"/>
      <c r="F9" s="30"/>
      <c r="G9" s="30"/>
      <c r="H9" s="30"/>
      <c r="I9" s="69"/>
    </row>
    <row r="10" spans="1:12" x14ac:dyDescent="0.25">
      <c r="A10" s="32" t="s">
        <v>62</v>
      </c>
      <c r="B10" s="30" t="s">
        <v>61</v>
      </c>
      <c r="C10" s="30"/>
      <c r="D10" s="30"/>
      <c r="E10" s="30"/>
      <c r="F10" s="30"/>
      <c r="G10" s="30"/>
      <c r="H10" s="30"/>
      <c r="I10" s="69"/>
    </row>
    <row r="11" spans="1:12" x14ac:dyDescent="0.25">
      <c r="A11" s="32" t="s">
        <v>63</v>
      </c>
      <c r="B11" s="30"/>
      <c r="C11" s="30"/>
      <c r="D11" s="30"/>
      <c r="E11" s="30"/>
      <c r="F11" s="30"/>
      <c r="G11" s="30"/>
      <c r="H11" s="30"/>
      <c r="I11" s="69"/>
    </row>
    <row r="12" spans="1:12" x14ac:dyDescent="0.25">
      <c r="A12" s="33" t="s">
        <v>64</v>
      </c>
      <c r="B12" s="30">
        <v>2</v>
      </c>
      <c r="C12" s="30">
        <v>1</v>
      </c>
      <c r="D12" s="30">
        <f t="shared" ref="D12:D36" si="0">B12*C12</f>
        <v>2</v>
      </c>
      <c r="E12" s="30">
        <v>0</v>
      </c>
      <c r="F12" s="30">
        <f t="shared" ref="F12:F21" si="1">D12*E12</f>
        <v>0</v>
      </c>
      <c r="G12" s="30">
        <f t="shared" ref="G12:G21" si="2">F12*0.05</f>
        <v>0</v>
      </c>
      <c r="H12" s="30">
        <f t="shared" ref="H12:H21" si="3">F12*0.1</f>
        <v>0</v>
      </c>
      <c r="I12" s="70">
        <f t="shared" ref="I12:I16" si="4">$L$6*F12+$L$5*G12+$L$7*H12</f>
        <v>0</v>
      </c>
    </row>
    <row r="13" spans="1:12" ht="15.75" x14ac:dyDescent="0.25">
      <c r="A13" s="33" t="s">
        <v>65</v>
      </c>
      <c r="B13" s="30">
        <v>8</v>
      </c>
      <c r="C13" s="30">
        <v>1</v>
      </c>
      <c r="D13" s="30">
        <f t="shared" si="0"/>
        <v>8</v>
      </c>
      <c r="E13" s="30">
        <f>ROUND(E7*0.05,0)</f>
        <v>5</v>
      </c>
      <c r="F13" s="30">
        <f t="shared" si="1"/>
        <v>40</v>
      </c>
      <c r="G13" s="30">
        <f t="shared" si="2"/>
        <v>2</v>
      </c>
      <c r="H13" s="30">
        <f t="shared" si="3"/>
        <v>4</v>
      </c>
      <c r="I13" s="69">
        <f t="shared" si="4"/>
        <v>5800.38</v>
      </c>
    </row>
    <row r="14" spans="1:12" x14ac:dyDescent="0.25">
      <c r="A14" s="33" t="s">
        <v>66</v>
      </c>
      <c r="B14" s="30">
        <v>2</v>
      </c>
      <c r="C14" s="30">
        <v>1</v>
      </c>
      <c r="D14" s="30">
        <f t="shared" si="0"/>
        <v>2</v>
      </c>
      <c r="E14" s="30">
        <v>0</v>
      </c>
      <c r="F14" s="30">
        <f t="shared" si="1"/>
        <v>0</v>
      </c>
      <c r="G14" s="30">
        <f t="shared" si="2"/>
        <v>0</v>
      </c>
      <c r="H14" s="30">
        <f t="shared" si="3"/>
        <v>0</v>
      </c>
      <c r="I14" s="70">
        <f t="shared" si="4"/>
        <v>0</v>
      </c>
    </row>
    <row r="15" spans="1:12" x14ac:dyDescent="0.25">
      <c r="A15" s="33" t="s">
        <v>67</v>
      </c>
      <c r="B15" s="30">
        <v>2</v>
      </c>
      <c r="C15" s="30">
        <v>1</v>
      </c>
      <c r="D15" s="30">
        <f t="shared" si="0"/>
        <v>2</v>
      </c>
      <c r="E15" s="30">
        <v>0</v>
      </c>
      <c r="F15" s="30">
        <f t="shared" si="1"/>
        <v>0</v>
      </c>
      <c r="G15" s="30">
        <f t="shared" si="2"/>
        <v>0</v>
      </c>
      <c r="H15" s="30">
        <f t="shared" si="3"/>
        <v>0</v>
      </c>
      <c r="I15" s="70">
        <f t="shared" si="4"/>
        <v>0</v>
      </c>
    </row>
    <row r="16" spans="1:12" ht="15.75" x14ac:dyDescent="0.25">
      <c r="A16" s="33" t="s">
        <v>68</v>
      </c>
      <c r="B16" s="30">
        <v>20</v>
      </c>
      <c r="C16" s="30">
        <v>1</v>
      </c>
      <c r="D16" s="30">
        <f t="shared" si="0"/>
        <v>20</v>
      </c>
      <c r="E16" s="30">
        <v>108</v>
      </c>
      <c r="F16" s="34">
        <f t="shared" si="1"/>
        <v>2160</v>
      </c>
      <c r="G16" s="30">
        <f t="shared" si="2"/>
        <v>108</v>
      </c>
      <c r="H16" s="30">
        <f t="shared" si="3"/>
        <v>216</v>
      </c>
      <c r="I16" s="69">
        <f t="shared" si="4"/>
        <v>313220.51999999996</v>
      </c>
    </row>
    <row r="17" spans="1:9" ht="15.75" x14ac:dyDescent="0.25">
      <c r="A17" s="33" t="s">
        <v>69</v>
      </c>
      <c r="B17" s="30">
        <v>4</v>
      </c>
      <c r="C17" s="30">
        <v>1</v>
      </c>
      <c r="D17" s="30">
        <f t="shared" si="0"/>
        <v>4</v>
      </c>
      <c r="E17" s="30">
        <f>ROUND(E7*0.1,0)</f>
        <v>11</v>
      </c>
      <c r="F17" s="30">
        <f t="shared" si="1"/>
        <v>44</v>
      </c>
      <c r="G17" s="30">
        <f t="shared" si="2"/>
        <v>2.2000000000000002</v>
      </c>
      <c r="H17" s="30">
        <f t="shared" si="3"/>
        <v>4.4000000000000004</v>
      </c>
      <c r="I17" s="69">
        <f>$L$6*F17+$L$5*G17+$L$7*H17</f>
        <v>6380.4179999999997</v>
      </c>
    </row>
    <row r="18" spans="1:9" x14ac:dyDescent="0.25">
      <c r="A18" s="33" t="s">
        <v>70</v>
      </c>
      <c r="B18" s="30" t="s">
        <v>55</v>
      </c>
      <c r="C18" s="30"/>
      <c r="D18" s="30"/>
      <c r="E18" s="30"/>
      <c r="F18" s="30"/>
      <c r="G18" s="30"/>
      <c r="H18" s="30"/>
      <c r="I18" s="69"/>
    </row>
    <row r="19" spans="1:9" x14ac:dyDescent="0.25">
      <c r="A19" s="33" t="s">
        <v>71</v>
      </c>
      <c r="B19" s="30" t="s">
        <v>55</v>
      </c>
      <c r="C19" s="30"/>
      <c r="D19" s="30"/>
      <c r="E19" s="30"/>
      <c r="F19" s="30"/>
      <c r="G19" s="30"/>
      <c r="H19" s="30"/>
      <c r="I19" s="69"/>
    </row>
    <row r="20" spans="1:9" x14ac:dyDescent="0.25">
      <c r="A20" s="33" t="s">
        <v>72</v>
      </c>
      <c r="B20" s="30" t="s">
        <v>55</v>
      </c>
      <c r="C20" s="30"/>
      <c r="D20" s="30"/>
      <c r="E20" s="30"/>
      <c r="F20" s="30"/>
      <c r="G20" s="30"/>
      <c r="H20" s="30"/>
      <c r="I20" s="69"/>
    </row>
    <row r="21" spans="1:9" ht="28.5" x14ac:dyDescent="0.25">
      <c r="A21" s="35" t="s">
        <v>73</v>
      </c>
      <c r="B21" s="30">
        <v>12</v>
      </c>
      <c r="C21" s="30">
        <v>2</v>
      </c>
      <c r="D21" s="30">
        <f t="shared" si="0"/>
        <v>24</v>
      </c>
      <c r="E21" s="30">
        <f>ROUND(E7*0.8,0)</f>
        <v>86</v>
      </c>
      <c r="F21" s="34">
        <f t="shared" si="1"/>
        <v>2064</v>
      </c>
      <c r="G21" s="30">
        <f t="shared" si="2"/>
        <v>103.2</v>
      </c>
      <c r="H21" s="30">
        <f t="shared" si="3"/>
        <v>206.4</v>
      </c>
      <c r="I21" s="69">
        <f>$L$6*F21+$L$5*G21+$L$7*H21</f>
        <v>299299.60800000001</v>
      </c>
    </row>
    <row r="22" spans="1:9" s="39" customFormat="1" x14ac:dyDescent="0.25">
      <c r="A22" s="36" t="s">
        <v>74</v>
      </c>
      <c r="B22" s="37"/>
      <c r="C22" s="37"/>
      <c r="D22" s="37"/>
      <c r="E22" s="37"/>
      <c r="F22" s="83">
        <f>SUM(F4:H21)</f>
        <v>5078.3999999999987</v>
      </c>
      <c r="G22" s="83"/>
      <c r="H22" s="83"/>
      <c r="I22" s="38">
        <f>SUM(I4:I21)</f>
        <v>640361.95200000005</v>
      </c>
    </row>
    <row r="23" spans="1:9" x14ac:dyDescent="0.25">
      <c r="A23" s="29" t="s">
        <v>75</v>
      </c>
      <c r="B23" s="30"/>
      <c r="C23" s="30"/>
      <c r="D23" s="30"/>
      <c r="E23" s="30"/>
      <c r="F23" s="30"/>
      <c r="G23" s="30"/>
      <c r="H23" s="30"/>
      <c r="I23" s="31"/>
    </row>
    <row r="24" spans="1:9" x14ac:dyDescent="0.25">
      <c r="A24" s="32" t="s">
        <v>76</v>
      </c>
      <c r="B24" s="30" t="s">
        <v>77</v>
      </c>
      <c r="C24" s="30"/>
      <c r="D24" s="30"/>
      <c r="E24" s="30"/>
      <c r="F24" s="30"/>
      <c r="G24" s="30"/>
      <c r="H24" s="30"/>
      <c r="I24" s="31"/>
    </row>
    <row r="25" spans="1:9" x14ac:dyDescent="0.25">
      <c r="A25" s="32" t="s">
        <v>78</v>
      </c>
      <c r="B25" s="30">
        <v>4</v>
      </c>
      <c r="C25" s="30">
        <v>1</v>
      </c>
      <c r="D25" s="30">
        <f t="shared" si="0"/>
        <v>4</v>
      </c>
      <c r="E25" s="30">
        <v>108</v>
      </c>
      <c r="F25" s="30">
        <f>D25*E25</f>
        <v>432</v>
      </c>
      <c r="G25" s="30">
        <f t="shared" ref="G25:G36" si="5">F25*0.05</f>
        <v>21.6</v>
      </c>
      <c r="H25" s="30">
        <f>F25*0.1</f>
        <v>43.2</v>
      </c>
      <c r="I25" s="69">
        <f>$L$6*F25+$L$5*G25+$L$7*H25</f>
        <v>62644.103999999999</v>
      </c>
    </row>
    <row r="26" spans="1:9" x14ac:dyDescent="0.25">
      <c r="A26" s="32" t="s">
        <v>79</v>
      </c>
      <c r="B26" s="30"/>
      <c r="C26" s="30"/>
      <c r="D26" s="30"/>
      <c r="E26" s="30"/>
      <c r="F26" s="30"/>
      <c r="G26" s="30"/>
      <c r="H26" s="30"/>
      <c r="I26" s="69"/>
    </row>
    <row r="27" spans="1:9" x14ac:dyDescent="0.25">
      <c r="A27" s="33" t="s">
        <v>80</v>
      </c>
      <c r="B27" s="30">
        <v>4</v>
      </c>
      <c r="C27" s="30">
        <v>2</v>
      </c>
      <c r="D27" s="30">
        <f t="shared" si="0"/>
        <v>8</v>
      </c>
      <c r="E27" s="30">
        <v>108</v>
      </c>
      <c r="F27" s="30">
        <f t="shared" ref="F27:F36" si="6">D27*E27</f>
        <v>864</v>
      </c>
      <c r="G27" s="30">
        <f t="shared" si="5"/>
        <v>43.2</v>
      </c>
      <c r="H27" s="30">
        <f t="shared" ref="H27:H36" si="7">F27*0.1</f>
        <v>86.4</v>
      </c>
      <c r="I27" s="69">
        <f t="shared" ref="I27:I32" si="8">$L$6*F27+$L$5*G27+$L$7*H27</f>
        <v>125288.208</v>
      </c>
    </row>
    <row r="28" spans="1:9" ht="28.5" x14ac:dyDescent="0.25">
      <c r="A28" s="35" t="s">
        <v>81</v>
      </c>
      <c r="B28" s="30">
        <v>4</v>
      </c>
      <c r="C28" s="30">
        <v>1</v>
      </c>
      <c r="D28" s="30">
        <f t="shared" si="0"/>
        <v>4</v>
      </c>
      <c r="E28" s="30">
        <f>ROUND(E7*0.3,0)</f>
        <v>32</v>
      </c>
      <c r="F28" s="30">
        <f t="shared" si="6"/>
        <v>128</v>
      </c>
      <c r="G28" s="30">
        <f t="shared" si="5"/>
        <v>6.4</v>
      </c>
      <c r="H28" s="30">
        <f t="shared" si="7"/>
        <v>12.8</v>
      </c>
      <c r="I28" s="69">
        <f t="shared" si="8"/>
        <v>18561.216</v>
      </c>
    </row>
    <row r="29" spans="1:9" ht="15.75" x14ac:dyDescent="0.25">
      <c r="A29" s="33" t="s">
        <v>82</v>
      </c>
      <c r="B29" s="30">
        <v>1</v>
      </c>
      <c r="C29" s="30">
        <v>12</v>
      </c>
      <c r="D29" s="30">
        <f t="shared" si="0"/>
        <v>12</v>
      </c>
      <c r="E29" s="30">
        <f>ROUND(E7*0.9,0)</f>
        <v>97</v>
      </c>
      <c r="F29" s="34">
        <f t="shared" si="6"/>
        <v>1164</v>
      </c>
      <c r="G29" s="30">
        <f t="shared" si="5"/>
        <v>58.2</v>
      </c>
      <c r="H29" s="30">
        <f t="shared" si="7"/>
        <v>116.4</v>
      </c>
      <c r="I29" s="69">
        <f t="shared" si="8"/>
        <v>168791.05800000002</v>
      </c>
    </row>
    <row r="30" spans="1:9" ht="15.75" x14ac:dyDescent="0.25">
      <c r="A30" s="33" t="s">
        <v>83</v>
      </c>
      <c r="B30" s="30">
        <v>0.5</v>
      </c>
      <c r="C30" s="30">
        <v>12</v>
      </c>
      <c r="D30" s="30">
        <f t="shared" si="0"/>
        <v>6</v>
      </c>
      <c r="E30" s="30">
        <f>ROUND(E7*0.7,0)</f>
        <v>76</v>
      </c>
      <c r="F30" s="30">
        <f t="shared" si="6"/>
        <v>456</v>
      </c>
      <c r="G30" s="30">
        <f t="shared" si="5"/>
        <v>22.8</v>
      </c>
      <c r="H30" s="30">
        <f t="shared" si="7"/>
        <v>45.6</v>
      </c>
      <c r="I30" s="69">
        <f t="shared" si="8"/>
        <v>66124.331999999995</v>
      </c>
    </row>
    <row r="31" spans="1:9" ht="15.75" x14ac:dyDescent="0.25">
      <c r="A31" s="33" t="s">
        <v>84</v>
      </c>
      <c r="B31" s="30">
        <v>1</v>
      </c>
      <c r="C31" s="30">
        <v>6</v>
      </c>
      <c r="D31" s="30">
        <f t="shared" si="0"/>
        <v>6</v>
      </c>
      <c r="E31" s="30">
        <f>ROUND(E7*0.2,0)</f>
        <v>22</v>
      </c>
      <c r="F31" s="30">
        <f t="shared" si="6"/>
        <v>132</v>
      </c>
      <c r="G31" s="30">
        <f t="shared" si="5"/>
        <v>6.6000000000000005</v>
      </c>
      <c r="H31" s="30">
        <f t="shared" si="7"/>
        <v>13.200000000000001</v>
      </c>
      <c r="I31" s="69">
        <f t="shared" si="8"/>
        <v>19141.253999999997</v>
      </c>
    </row>
    <row r="32" spans="1:9" ht="15.75" x14ac:dyDescent="0.25">
      <c r="A32" s="32" t="s">
        <v>85</v>
      </c>
      <c r="B32" s="30">
        <v>20</v>
      </c>
      <c r="C32" s="30">
        <v>1</v>
      </c>
      <c r="D32" s="30">
        <f t="shared" si="0"/>
        <v>20</v>
      </c>
      <c r="E32" s="30">
        <v>108</v>
      </c>
      <c r="F32" s="34">
        <f t="shared" si="6"/>
        <v>2160</v>
      </c>
      <c r="G32" s="30">
        <f t="shared" si="5"/>
        <v>108</v>
      </c>
      <c r="H32" s="30">
        <f t="shared" si="7"/>
        <v>216</v>
      </c>
      <c r="I32" s="69">
        <f t="shared" si="8"/>
        <v>313220.51999999996</v>
      </c>
    </row>
    <row r="33" spans="1:10" x14ac:dyDescent="0.25">
      <c r="A33" s="32" t="s">
        <v>86</v>
      </c>
      <c r="B33" s="30"/>
      <c r="C33" s="30"/>
      <c r="D33" s="30"/>
      <c r="E33" s="30"/>
      <c r="F33" s="30"/>
      <c r="G33" s="30"/>
      <c r="H33" s="30"/>
      <c r="I33" s="69"/>
    </row>
    <row r="34" spans="1:10" ht="25.5" x14ac:dyDescent="0.25">
      <c r="A34" s="35" t="s">
        <v>87</v>
      </c>
      <c r="B34" s="30" t="s">
        <v>88</v>
      </c>
      <c r="C34" s="30"/>
      <c r="D34" s="30"/>
      <c r="E34" s="30"/>
      <c r="F34" s="30"/>
      <c r="G34" s="30"/>
      <c r="H34" s="30"/>
      <c r="I34" s="69"/>
    </row>
    <row r="35" spans="1:10" ht="15.75" x14ac:dyDescent="0.25">
      <c r="A35" s="32" t="s">
        <v>89</v>
      </c>
      <c r="B35" s="30">
        <v>4</v>
      </c>
      <c r="C35" s="30">
        <v>50</v>
      </c>
      <c r="D35" s="30">
        <f t="shared" si="0"/>
        <v>200</v>
      </c>
      <c r="E35" s="30">
        <v>108</v>
      </c>
      <c r="F35" s="34">
        <f t="shared" si="6"/>
        <v>21600</v>
      </c>
      <c r="G35" s="34">
        <f t="shared" si="5"/>
        <v>1080</v>
      </c>
      <c r="H35" s="34">
        <f t="shared" si="7"/>
        <v>2160</v>
      </c>
      <c r="I35" s="69">
        <f>$L$6*F35+$L$5*G35+$L$7*H35</f>
        <v>3132205.2</v>
      </c>
    </row>
    <row r="36" spans="1:10" x14ac:dyDescent="0.25">
      <c r="A36" s="32" t="s">
        <v>90</v>
      </c>
      <c r="B36" s="30">
        <v>20</v>
      </c>
      <c r="C36" s="30">
        <v>1</v>
      </c>
      <c r="D36" s="30">
        <f t="shared" si="0"/>
        <v>20</v>
      </c>
      <c r="E36" s="30">
        <v>108</v>
      </c>
      <c r="F36" s="34">
        <f t="shared" si="6"/>
        <v>2160</v>
      </c>
      <c r="G36" s="30">
        <f t="shared" si="5"/>
        <v>108</v>
      </c>
      <c r="H36" s="30">
        <f t="shared" si="7"/>
        <v>216</v>
      </c>
      <c r="I36" s="69">
        <f>$L$6*F36+$L$5*G36+$L$7*H36</f>
        <v>313220.51999999996</v>
      </c>
    </row>
    <row r="37" spans="1:10" s="39" customFormat="1" x14ac:dyDescent="0.25">
      <c r="A37" s="36" t="s">
        <v>91</v>
      </c>
      <c r="B37" s="37"/>
      <c r="C37" s="37"/>
      <c r="D37" s="37"/>
      <c r="E37" s="37"/>
      <c r="F37" s="83">
        <f>SUM(F23:H36)</f>
        <v>33460.400000000001</v>
      </c>
      <c r="G37" s="83"/>
      <c r="H37" s="83"/>
      <c r="I37" s="38">
        <f>SUM(I23:I36)</f>
        <v>4219196.4119999995</v>
      </c>
    </row>
    <row r="38" spans="1:10" x14ac:dyDescent="0.25">
      <c r="A38" s="40" t="s">
        <v>92</v>
      </c>
      <c r="B38" s="41"/>
      <c r="C38" s="41"/>
      <c r="D38" s="41"/>
      <c r="E38" s="42"/>
      <c r="F38" s="84">
        <f>ROUND(F22+F37,-2)</f>
        <v>38500</v>
      </c>
      <c r="G38" s="84"/>
      <c r="H38" s="84"/>
      <c r="I38" s="43">
        <f>ROUND(I37+I22,-4)</f>
        <v>4860000</v>
      </c>
    </row>
    <row r="39" spans="1:10" x14ac:dyDescent="0.25">
      <c r="A39" s="40" t="s">
        <v>93</v>
      </c>
      <c r="B39" s="44"/>
      <c r="C39" s="44"/>
      <c r="D39" s="44"/>
      <c r="E39" s="44"/>
      <c r="F39" s="44"/>
      <c r="G39" s="44"/>
      <c r="H39" s="44"/>
      <c r="I39" s="43">
        <f>'Capital O&amp;M'!G7</f>
        <v>168000</v>
      </c>
    </row>
    <row r="40" spans="1:10" x14ac:dyDescent="0.25">
      <c r="A40" s="40" t="s">
        <v>94</v>
      </c>
      <c r="B40" s="44"/>
      <c r="C40" s="44"/>
      <c r="D40" s="44"/>
      <c r="E40" s="44"/>
      <c r="F40" s="44"/>
      <c r="G40" s="44"/>
      <c r="H40" s="44"/>
      <c r="I40" s="45">
        <f>ROUND(I38+I39,-4)</f>
        <v>5030000</v>
      </c>
    </row>
    <row r="42" spans="1:10" x14ac:dyDescent="0.25">
      <c r="A42" s="46" t="s">
        <v>14</v>
      </c>
    </row>
    <row r="43" spans="1:10" ht="30.75" customHeight="1" x14ac:dyDescent="0.25">
      <c r="A43" s="80" t="s">
        <v>95</v>
      </c>
      <c r="B43" s="80"/>
      <c r="C43" s="80"/>
      <c r="D43" s="80"/>
      <c r="E43" s="80"/>
      <c r="F43" s="80"/>
      <c r="G43" s="80"/>
      <c r="H43" s="80"/>
      <c r="I43" s="80"/>
      <c r="J43" s="80"/>
    </row>
    <row r="44" spans="1:10" ht="73.150000000000006" customHeight="1" x14ac:dyDescent="0.25">
      <c r="A44" s="80" t="s">
        <v>267</v>
      </c>
      <c r="B44" s="80"/>
      <c r="C44" s="80"/>
      <c r="D44" s="80"/>
      <c r="E44" s="80"/>
      <c r="F44" s="80"/>
      <c r="G44" s="80"/>
      <c r="H44" s="80"/>
      <c r="I44" s="80"/>
      <c r="J44" s="80"/>
    </row>
    <row r="45" spans="1:10" ht="15.75" x14ac:dyDescent="0.25">
      <c r="A45" s="47" t="s">
        <v>96</v>
      </c>
    </row>
    <row r="46" spans="1:10" ht="15.75" x14ac:dyDescent="0.25">
      <c r="A46" s="47" t="s">
        <v>97</v>
      </c>
    </row>
    <row r="47" spans="1:10" ht="15.75" x14ac:dyDescent="0.25">
      <c r="A47" s="47" t="s">
        <v>98</v>
      </c>
    </row>
    <row r="48" spans="1:10" ht="15.75" x14ac:dyDescent="0.25">
      <c r="A48" s="47" t="s">
        <v>99</v>
      </c>
    </row>
    <row r="49" spans="1:1" ht="15.75" x14ac:dyDescent="0.25">
      <c r="A49" s="47" t="s">
        <v>100</v>
      </c>
    </row>
    <row r="50" spans="1:1" ht="15.75" x14ac:dyDescent="0.25">
      <c r="A50" s="47" t="s">
        <v>101</v>
      </c>
    </row>
    <row r="51" spans="1:1" ht="15.75" x14ac:dyDescent="0.25">
      <c r="A51" s="47" t="s">
        <v>102</v>
      </c>
    </row>
    <row r="52" spans="1:1" ht="15.75" x14ac:dyDescent="0.25">
      <c r="A52" s="47" t="s">
        <v>103</v>
      </c>
    </row>
    <row r="53" spans="1:1" ht="15.75" x14ac:dyDescent="0.25">
      <c r="A53" s="47" t="s">
        <v>104</v>
      </c>
    </row>
    <row r="54" spans="1:1" ht="15.75" x14ac:dyDescent="0.25">
      <c r="A54" s="47" t="s">
        <v>105</v>
      </c>
    </row>
    <row r="55" spans="1:1" ht="15.75" x14ac:dyDescent="0.25">
      <c r="A55" s="47" t="s">
        <v>106</v>
      </c>
    </row>
    <row r="56" spans="1:1" ht="15.75" x14ac:dyDescent="0.25">
      <c r="A56" s="47" t="s">
        <v>107</v>
      </c>
    </row>
    <row r="57" spans="1:1" ht="15.75" x14ac:dyDescent="0.25">
      <c r="A57" s="47" t="s">
        <v>108</v>
      </c>
    </row>
  </sheetData>
  <mergeCells count="6">
    <mergeCell ref="A44:J44"/>
    <mergeCell ref="K4:L4"/>
    <mergeCell ref="F22:H22"/>
    <mergeCell ref="F37:H37"/>
    <mergeCell ref="F38:H38"/>
    <mergeCell ref="A43:J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6AEED-B780-473A-B311-6F92357B29B3}">
  <dimension ref="A1:L56"/>
  <sheetViews>
    <sheetView zoomScaleNormal="100" workbookViewId="0">
      <selection activeCell="A2" sqref="A2"/>
    </sheetView>
  </sheetViews>
  <sheetFormatPr defaultColWidth="8.85546875" defaultRowHeight="15" x14ac:dyDescent="0.25"/>
  <cols>
    <col min="1" max="1" width="61.85546875" customWidth="1"/>
    <col min="2" max="2" width="11.28515625" customWidth="1"/>
    <col min="3" max="3" width="11" customWidth="1"/>
    <col min="4" max="4" width="9.28515625" customWidth="1"/>
    <col min="5" max="5" width="11" customWidth="1"/>
    <col min="7" max="7" width="11.42578125" customWidth="1"/>
    <col min="9" max="9" width="14.5703125" customWidth="1"/>
  </cols>
  <sheetData>
    <row r="1" spans="1:12" x14ac:dyDescent="0.25">
      <c r="A1" s="18" t="s">
        <v>109</v>
      </c>
    </row>
    <row r="3" spans="1:12" ht="99.75" customHeight="1" x14ac:dyDescent="0.25">
      <c r="A3" s="17" t="s">
        <v>15</v>
      </c>
      <c r="B3" s="17" t="s">
        <v>48</v>
      </c>
      <c r="C3" s="17" t="s">
        <v>16</v>
      </c>
      <c r="D3" s="17" t="s">
        <v>8</v>
      </c>
      <c r="E3" s="17" t="s">
        <v>49</v>
      </c>
      <c r="F3" s="17" t="s">
        <v>50</v>
      </c>
      <c r="G3" s="17" t="s">
        <v>51</v>
      </c>
      <c r="H3" s="17" t="s">
        <v>52</v>
      </c>
      <c r="I3" s="17" t="s">
        <v>53</v>
      </c>
    </row>
    <row r="4" spans="1:12" x14ac:dyDescent="0.25">
      <c r="A4" s="71" t="s">
        <v>54</v>
      </c>
      <c r="B4" s="6" t="s">
        <v>55</v>
      </c>
      <c r="C4" s="6"/>
      <c r="D4" s="6"/>
      <c r="E4" s="6"/>
      <c r="F4" s="6"/>
      <c r="G4" s="6"/>
      <c r="H4" s="6"/>
      <c r="I4" s="48"/>
      <c r="K4" s="81" t="s">
        <v>9</v>
      </c>
      <c r="L4" s="82"/>
    </row>
    <row r="5" spans="1:12" x14ac:dyDescent="0.25">
      <c r="A5" s="71" t="s">
        <v>56</v>
      </c>
      <c r="B5" s="6" t="s">
        <v>55</v>
      </c>
      <c r="C5" s="6"/>
      <c r="D5" s="6"/>
      <c r="E5" s="6"/>
      <c r="F5" s="6"/>
      <c r="G5" s="6"/>
      <c r="H5" s="6"/>
      <c r="I5" s="48"/>
      <c r="K5" s="67" t="s">
        <v>10</v>
      </c>
      <c r="L5" s="68">
        <v>163.16999999999999</v>
      </c>
    </row>
    <row r="6" spans="1:12" x14ac:dyDescent="0.25">
      <c r="A6" s="71" t="s">
        <v>57</v>
      </c>
      <c r="B6" s="6"/>
      <c r="C6" s="6"/>
      <c r="D6" s="6"/>
      <c r="E6" s="6"/>
      <c r="F6" s="6"/>
      <c r="G6" s="6"/>
      <c r="H6" s="6"/>
      <c r="I6" s="48"/>
      <c r="K6" s="67" t="s">
        <v>11</v>
      </c>
      <c r="L6" s="68">
        <v>130.28</v>
      </c>
    </row>
    <row r="7" spans="1:12" ht="15.75" x14ac:dyDescent="0.25">
      <c r="A7" s="32" t="s">
        <v>58</v>
      </c>
      <c r="B7" s="6">
        <v>1</v>
      </c>
      <c r="C7" s="6">
        <v>1</v>
      </c>
      <c r="D7" s="30">
        <f>B7*C7</f>
        <v>1</v>
      </c>
      <c r="E7" s="30">
        <v>108</v>
      </c>
      <c r="F7" s="30">
        <f>D7*E7</f>
        <v>108</v>
      </c>
      <c r="G7" s="30">
        <f>F7*0.05</f>
        <v>5.4</v>
      </c>
      <c r="H7" s="30">
        <f>F7*0.1</f>
        <v>10.8</v>
      </c>
      <c r="I7" s="49">
        <f>$L$6*F7+$L$5*G7+$L$7*H7</f>
        <v>15661.026</v>
      </c>
      <c r="K7" s="67" t="s">
        <v>12</v>
      </c>
      <c r="L7" s="68">
        <v>65.709999999999994</v>
      </c>
    </row>
    <row r="8" spans="1:12" x14ac:dyDescent="0.25">
      <c r="A8" s="72" t="s">
        <v>59</v>
      </c>
      <c r="B8" s="6"/>
      <c r="C8" s="6"/>
      <c r="D8" s="30"/>
      <c r="E8" s="6"/>
      <c r="F8" s="30"/>
      <c r="G8" s="30"/>
      <c r="H8" s="30"/>
      <c r="I8" s="48"/>
    </row>
    <row r="9" spans="1:12" ht="15.75" x14ac:dyDescent="0.25">
      <c r="A9" s="73" t="s">
        <v>110</v>
      </c>
      <c r="B9" s="6">
        <v>280</v>
      </c>
      <c r="C9" s="6">
        <v>1</v>
      </c>
      <c r="D9" s="30">
        <f t="shared" ref="D9:D37" si="0">B9*C9</f>
        <v>280</v>
      </c>
      <c r="E9" s="6">
        <v>3</v>
      </c>
      <c r="F9" s="30">
        <f t="shared" ref="F9:F23" si="1">D9*E9</f>
        <v>840</v>
      </c>
      <c r="G9" s="30">
        <f t="shared" ref="G9:G23" si="2">F9*0.05</f>
        <v>42</v>
      </c>
      <c r="H9" s="30">
        <f t="shared" ref="H9:H23" si="3">F9*0.1</f>
        <v>84</v>
      </c>
      <c r="I9" s="49">
        <f>$L$6*F9+$L$5*G9+$L$7*H9</f>
        <v>121807.98</v>
      </c>
    </row>
    <row r="10" spans="1:12" ht="15.75" x14ac:dyDescent="0.25">
      <c r="A10" s="73" t="s">
        <v>111</v>
      </c>
      <c r="B10" s="6">
        <v>280</v>
      </c>
      <c r="C10" s="6">
        <v>1</v>
      </c>
      <c r="D10" s="30">
        <f t="shared" si="0"/>
        <v>280</v>
      </c>
      <c r="E10" s="6">
        <f>ROUND(E9*0.2,0)</f>
        <v>1</v>
      </c>
      <c r="F10" s="30">
        <f t="shared" si="1"/>
        <v>280</v>
      </c>
      <c r="G10" s="30">
        <f t="shared" si="2"/>
        <v>14</v>
      </c>
      <c r="H10" s="30">
        <f t="shared" si="3"/>
        <v>28</v>
      </c>
      <c r="I10" s="49">
        <f>$L$6*F10+$L$5*G10+$L$7*H10</f>
        <v>40602.659999999996</v>
      </c>
    </row>
    <row r="11" spans="1:12" x14ac:dyDescent="0.25">
      <c r="A11" s="72" t="s">
        <v>60</v>
      </c>
      <c r="B11" s="6" t="s">
        <v>61</v>
      </c>
      <c r="C11" s="6"/>
      <c r="D11" s="30"/>
      <c r="E11" s="6"/>
      <c r="F11" s="30"/>
      <c r="G11" s="30"/>
      <c r="H11" s="30"/>
      <c r="I11" s="48"/>
    </row>
    <row r="12" spans="1:12" x14ac:dyDescent="0.25">
      <c r="A12" s="72" t="s">
        <v>62</v>
      </c>
      <c r="B12" s="6" t="s">
        <v>61</v>
      </c>
      <c r="C12" s="6"/>
      <c r="D12" s="30"/>
      <c r="E12" s="6"/>
      <c r="F12" s="30"/>
      <c r="G12" s="30"/>
      <c r="H12" s="30"/>
      <c r="I12" s="48"/>
    </row>
    <row r="13" spans="1:12" x14ac:dyDescent="0.25">
      <c r="A13" s="72" t="s">
        <v>63</v>
      </c>
      <c r="B13" s="6"/>
      <c r="C13" s="6"/>
      <c r="D13" s="30"/>
      <c r="E13" s="6"/>
      <c r="F13" s="30"/>
      <c r="G13" s="30"/>
      <c r="H13" s="30"/>
      <c r="I13" s="48"/>
    </row>
    <row r="14" spans="1:12" x14ac:dyDescent="0.25">
      <c r="A14" s="73" t="s">
        <v>64</v>
      </c>
      <c r="B14" s="6">
        <v>2</v>
      </c>
      <c r="C14" s="6">
        <v>1</v>
      </c>
      <c r="D14" s="30">
        <f t="shared" si="0"/>
        <v>2</v>
      </c>
      <c r="E14" s="30">
        <v>0</v>
      </c>
      <c r="F14" s="30">
        <f t="shared" si="1"/>
        <v>0</v>
      </c>
      <c r="G14" s="30">
        <f t="shared" si="2"/>
        <v>0</v>
      </c>
      <c r="H14" s="30">
        <f t="shared" si="3"/>
        <v>0</v>
      </c>
      <c r="I14" s="48">
        <f t="shared" ref="I14:I19" si="4">$L$6*F14+$L$5*G14+$L$7*H14</f>
        <v>0</v>
      </c>
    </row>
    <row r="15" spans="1:12" ht="15.75" x14ac:dyDescent="0.25">
      <c r="A15" s="73" t="s">
        <v>112</v>
      </c>
      <c r="B15" s="6">
        <v>8</v>
      </c>
      <c r="C15" s="6">
        <v>1</v>
      </c>
      <c r="D15" s="30">
        <f t="shared" si="0"/>
        <v>8</v>
      </c>
      <c r="E15" s="30">
        <f>ROUND(E7*0.05,0)</f>
        <v>5</v>
      </c>
      <c r="F15" s="30">
        <f t="shared" si="1"/>
        <v>40</v>
      </c>
      <c r="G15" s="30">
        <f t="shared" si="2"/>
        <v>2</v>
      </c>
      <c r="H15" s="30">
        <f t="shared" si="3"/>
        <v>4</v>
      </c>
      <c r="I15" s="49">
        <f t="shared" si="4"/>
        <v>5800.38</v>
      </c>
    </row>
    <row r="16" spans="1:12" x14ac:dyDescent="0.25">
      <c r="A16" s="73" t="s">
        <v>66</v>
      </c>
      <c r="B16" s="6">
        <v>2</v>
      </c>
      <c r="C16" s="6">
        <v>1</v>
      </c>
      <c r="D16" s="30">
        <f t="shared" si="0"/>
        <v>2</v>
      </c>
      <c r="E16" s="30">
        <v>0</v>
      </c>
      <c r="F16" s="30">
        <f t="shared" si="1"/>
        <v>0</v>
      </c>
      <c r="G16" s="30">
        <f t="shared" si="2"/>
        <v>0</v>
      </c>
      <c r="H16" s="30">
        <f t="shared" si="3"/>
        <v>0</v>
      </c>
      <c r="I16" s="48">
        <f t="shared" si="4"/>
        <v>0</v>
      </c>
    </row>
    <row r="17" spans="1:9" x14ac:dyDescent="0.25">
      <c r="A17" s="73" t="s">
        <v>67</v>
      </c>
      <c r="B17" s="6">
        <v>2</v>
      </c>
      <c r="C17" s="6">
        <v>1</v>
      </c>
      <c r="D17" s="30">
        <f t="shared" si="0"/>
        <v>2</v>
      </c>
      <c r="E17" s="30">
        <v>0</v>
      </c>
      <c r="F17" s="30">
        <f t="shared" si="1"/>
        <v>0</v>
      </c>
      <c r="G17" s="30">
        <f t="shared" si="2"/>
        <v>0</v>
      </c>
      <c r="H17" s="30">
        <f t="shared" si="3"/>
        <v>0</v>
      </c>
      <c r="I17" s="48">
        <f t="shared" si="4"/>
        <v>0</v>
      </c>
    </row>
    <row r="18" spans="1:9" ht="15.75" x14ac:dyDescent="0.25">
      <c r="A18" s="73" t="s">
        <v>113</v>
      </c>
      <c r="B18" s="6">
        <v>10</v>
      </c>
      <c r="C18" s="6">
        <v>1</v>
      </c>
      <c r="D18" s="30">
        <f t="shared" si="0"/>
        <v>10</v>
      </c>
      <c r="E18" s="30">
        <v>108</v>
      </c>
      <c r="F18" s="34">
        <f t="shared" si="1"/>
        <v>1080</v>
      </c>
      <c r="G18" s="30">
        <f t="shared" si="2"/>
        <v>54</v>
      </c>
      <c r="H18" s="30">
        <f t="shared" si="3"/>
        <v>108</v>
      </c>
      <c r="I18" s="49">
        <f t="shared" si="4"/>
        <v>156610.25999999998</v>
      </c>
    </row>
    <row r="19" spans="1:9" ht="15.75" x14ac:dyDescent="0.25">
      <c r="A19" s="73" t="s">
        <v>114</v>
      </c>
      <c r="B19" s="6">
        <v>4</v>
      </c>
      <c r="C19" s="6">
        <v>1</v>
      </c>
      <c r="D19" s="30">
        <f t="shared" si="0"/>
        <v>4</v>
      </c>
      <c r="E19" s="30">
        <f>ROUND(E7*0.1,0)</f>
        <v>11</v>
      </c>
      <c r="F19" s="30">
        <f t="shared" si="1"/>
        <v>44</v>
      </c>
      <c r="G19" s="30">
        <f t="shared" si="2"/>
        <v>2.2000000000000002</v>
      </c>
      <c r="H19" s="30">
        <f t="shared" si="3"/>
        <v>4.4000000000000004</v>
      </c>
      <c r="I19" s="49">
        <f t="shared" si="4"/>
        <v>6380.4179999999997</v>
      </c>
    </row>
    <row r="20" spans="1:9" x14ac:dyDescent="0.25">
      <c r="A20" s="73" t="s">
        <v>70</v>
      </c>
      <c r="B20" s="6" t="s">
        <v>115</v>
      </c>
      <c r="C20" s="6"/>
      <c r="D20" s="30"/>
      <c r="E20" s="6"/>
      <c r="F20" s="30"/>
      <c r="G20" s="30"/>
      <c r="H20" s="30"/>
      <c r="I20" s="48"/>
    </row>
    <row r="21" spans="1:9" ht="15.75" x14ac:dyDescent="0.25">
      <c r="A21" s="73" t="s">
        <v>116</v>
      </c>
      <c r="B21" s="6">
        <v>2</v>
      </c>
      <c r="C21" s="6">
        <v>1</v>
      </c>
      <c r="D21" s="30">
        <f t="shared" si="0"/>
        <v>2</v>
      </c>
      <c r="E21" s="6">
        <v>3</v>
      </c>
      <c r="F21" s="30">
        <f t="shared" si="1"/>
        <v>6</v>
      </c>
      <c r="G21" s="30">
        <f t="shared" si="2"/>
        <v>0.30000000000000004</v>
      </c>
      <c r="H21" s="30">
        <f t="shared" si="3"/>
        <v>0.60000000000000009</v>
      </c>
      <c r="I21" s="49">
        <f>$L$6*F21+$L$5*G21+$L$7*H21</f>
        <v>870.05700000000013</v>
      </c>
    </row>
    <row r="22" spans="1:9" x14ac:dyDescent="0.25">
      <c r="A22" s="73" t="s">
        <v>72</v>
      </c>
      <c r="B22" s="6" t="s">
        <v>115</v>
      </c>
      <c r="C22" s="6"/>
      <c r="D22" s="30"/>
      <c r="E22" s="6"/>
      <c r="F22" s="30"/>
      <c r="G22" s="30"/>
      <c r="H22" s="30"/>
      <c r="I22" s="48"/>
    </row>
    <row r="23" spans="1:9" ht="28.5" x14ac:dyDescent="0.25">
      <c r="A23" s="73" t="s">
        <v>117</v>
      </c>
      <c r="B23" s="6">
        <v>11</v>
      </c>
      <c r="C23" s="6">
        <v>2</v>
      </c>
      <c r="D23" s="30">
        <f t="shared" si="0"/>
        <v>22</v>
      </c>
      <c r="E23" s="30">
        <f>ROUND(E7*0.8,0)</f>
        <v>86</v>
      </c>
      <c r="F23" s="34">
        <f t="shared" si="1"/>
        <v>1892</v>
      </c>
      <c r="G23" s="30">
        <f t="shared" si="2"/>
        <v>94.600000000000009</v>
      </c>
      <c r="H23" s="30">
        <f t="shared" si="3"/>
        <v>189.20000000000002</v>
      </c>
      <c r="I23" s="49">
        <f>$L$6*F23+$L$5*G23+$L$7*H23</f>
        <v>274357.97400000005</v>
      </c>
    </row>
    <row r="24" spans="1:9" s="39" customFormat="1" x14ac:dyDescent="0.25">
      <c r="A24" s="74" t="s">
        <v>74</v>
      </c>
      <c r="B24" s="75"/>
      <c r="C24" s="75"/>
      <c r="D24" s="37"/>
      <c r="E24" s="75"/>
      <c r="F24" s="85">
        <f>SUM(F4:H23)</f>
        <v>4933.5</v>
      </c>
      <c r="G24" s="86"/>
      <c r="H24" s="87"/>
      <c r="I24" s="50">
        <f>SUM(I4:I23)</f>
        <v>622090.755</v>
      </c>
    </row>
    <row r="25" spans="1:9" x14ac:dyDescent="0.25">
      <c r="A25" s="71" t="s">
        <v>75</v>
      </c>
      <c r="B25" s="6"/>
      <c r="C25" s="6"/>
      <c r="D25" s="30"/>
      <c r="E25" s="6"/>
      <c r="F25" s="6"/>
      <c r="G25" s="6"/>
      <c r="H25" s="6"/>
      <c r="I25" s="45"/>
    </row>
    <row r="26" spans="1:9" x14ac:dyDescent="0.25">
      <c r="A26" s="32" t="s">
        <v>76</v>
      </c>
      <c r="B26" s="6" t="s">
        <v>77</v>
      </c>
      <c r="C26" s="6"/>
      <c r="D26" s="30"/>
      <c r="E26" s="6"/>
      <c r="F26" s="6"/>
      <c r="G26" s="6"/>
      <c r="H26" s="6"/>
      <c r="I26" s="45"/>
    </row>
    <row r="27" spans="1:9" x14ac:dyDescent="0.25">
      <c r="A27" s="72" t="s">
        <v>78</v>
      </c>
      <c r="B27" s="6">
        <v>4</v>
      </c>
      <c r="C27" s="6">
        <v>1</v>
      </c>
      <c r="D27" s="30">
        <f t="shared" si="0"/>
        <v>4</v>
      </c>
      <c r="E27" s="6">
        <v>108</v>
      </c>
      <c r="F27" s="30">
        <f>D27*E27</f>
        <v>432</v>
      </c>
      <c r="G27" s="30">
        <f t="shared" ref="G27:G37" si="5">F27*0.05</f>
        <v>21.6</v>
      </c>
      <c r="H27" s="30">
        <f>F27*0.1</f>
        <v>43.2</v>
      </c>
      <c r="I27" s="49">
        <f>$L$6*F27+$L$5*G27+$L$7*H27</f>
        <v>62644.103999999999</v>
      </c>
    </row>
    <row r="28" spans="1:9" x14ac:dyDescent="0.25">
      <c r="A28" s="72" t="s">
        <v>79</v>
      </c>
      <c r="B28" s="6"/>
      <c r="C28" s="6"/>
      <c r="D28" s="30"/>
      <c r="E28" s="6"/>
      <c r="F28" s="30"/>
      <c r="G28" s="30"/>
      <c r="H28" s="30"/>
      <c r="I28" s="48"/>
    </row>
    <row r="29" spans="1:9" x14ac:dyDescent="0.25">
      <c r="A29" s="73" t="s">
        <v>118</v>
      </c>
      <c r="B29" s="6">
        <v>1</v>
      </c>
      <c r="C29" s="6">
        <v>12</v>
      </c>
      <c r="D29" s="30">
        <f t="shared" si="0"/>
        <v>12</v>
      </c>
      <c r="E29" s="6">
        <v>108</v>
      </c>
      <c r="F29" s="34">
        <f t="shared" ref="F29:F37" si="6">D29*E29</f>
        <v>1296</v>
      </c>
      <c r="G29" s="30">
        <f t="shared" si="5"/>
        <v>64.8</v>
      </c>
      <c r="H29" s="30">
        <f t="shared" ref="H29:H37" si="7">F29*0.1</f>
        <v>129.6</v>
      </c>
      <c r="I29" s="49">
        <f>$L$6*F29+$L$5*G29+$L$7*H29</f>
        <v>187932.31200000001</v>
      </c>
    </row>
    <row r="30" spans="1:9" ht="15.75" x14ac:dyDescent="0.25">
      <c r="A30" s="73" t="s">
        <v>119</v>
      </c>
      <c r="B30" s="6">
        <v>1</v>
      </c>
      <c r="C30" s="6">
        <v>250</v>
      </c>
      <c r="D30" s="30">
        <f t="shared" si="0"/>
        <v>250</v>
      </c>
      <c r="E30" s="6">
        <v>11</v>
      </c>
      <c r="F30" s="34">
        <f t="shared" si="6"/>
        <v>2750</v>
      </c>
      <c r="G30" s="30">
        <f t="shared" si="5"/>
        <v>137.5</v>
      </c>
      <c r="H30" s="30">
        <f t="shared" si="7"/>
        <v>275</v>
      </c>
      <c r="I30" s="49">
        <f>$L$6*F30+$L$5*G30+$L$7*H30</f>
        <v>398776.125</v>
      </c>
    </row>
    <row r="31" spans="1:9" ht="15.75" x14ac:dyDescent="0.25">
      <c r="A31" s="73" t="s">
        <v>120</v>
      </c>
      <c r="B31" s="6">
        <v>0.5</v>
      </c>
      <c r="C31" s="6">
        <v>250</v>
      </c>
      <c r="D31" s="30">
        <f t="shared" si="0"/>
        <v>125</v>
      </c>
      <c r="E31" s="6">
        <v>3</v>
      </c>
      <c r="F31" s="30">
        <f t="shared" si="6"/>
        <v>375</v>
      </c>
      <c r="G31" s="30">
        <f t="shared" si="5"/>
        <v>18.75</v>
      </c>
      <c r="H31" s="30">
        <f t="shared" si="7"/>
        <v>37.5</v>
      </c>
      <c r="I31" s="49">
        <f>$L$6*F31+$L$5*G31+$L$7*H31</f>
        <v>54378.5625</v>
      </c>
    </row>
    <row r="32" spans="1:9" x14ac:dyDescent="0.25">
      <c r="A32" s="73" t="s">
        <v>121</v>
      </c>
      <c r="B32" s="6">
        <v>0.25</v>
      </c>
      <c r="C32" s="6">
        <v>250</v>
      </c>
      <c r="D32" s="30">
        <f t="shared" si="0"/>
        <v>62.5</v>
      </c>
      <c r="E32" s="6">
        <v>108</v>
      </c>
      <c r="F32" s="34">
        <f t="shared" si="6"/>
        <v>6750</v>
      </c>
      <c r="G32" s="30">
        <f t="shared" si="5"/>
        <v>337.5</v>
      </c>
      <c r="H32" s="30">
        <f t="shared" si="7"/>
        <v>675</v>
      </c>
      <c r="I32" s="49">
        <f>$L$6*F32+$L$5*G32+$L$7*H32</f>
        <v>978814.125</v>
      </c>
    </row>
    <row r="33" spans="1:10" ht="15.75" x14ac:dyDescent="0.25">
      <c r="A33" s="72" t="s">
        <v>122</v>
      </c>
      <c r="B33" s="6">
        <v>10</v>
      </c>
      <c r="C33" s="6">
        <v>1</v>
      </c>
      <c r="D33" s="30">
        <f t="shared" si="0"/>
        <v>10</v>
      </c>
      <c r="E33" s="6">
        <v>108</v>
      </c>
      <c r="F33" s="34">
        <f t="shared" si="6"/>
        <v>1080</v>
      </c>
      <c r="G33" s="30">
        <f t="shared" si="5"/>
        <v>54</v>
      </c>
      <c r="H33" s="30">
        <f t="shared" si="7"/>
        <v>108</v>
      </c>
      <c r="I33" s="49">
        <f>$L$6*F33+$L$5*G33+$L$7*H33</f>
        <v>156610.25999999998</v>
      </c>
    </row>
    <row r="34" spans="1:10" x14ac:dyDescent="0.25">
      <c r="A34" s="72" t="s">
        <v>123</v>
      </c>
      <c r="B34" s="6"/>
      <c r="C34" s="6"/>
      <c r="D34" s="30"/>
      <c r="E34" s="6"/>
      <c r="F34" s="30"/>
      <c r="G34" s="30"/>
      <c r="H34" s="30"/>
      <c r="I34" s="48"/>
    </row>
    <row r="35" spans="1:10" x14ac:dyDescent="0.25">
      <c r="A35" s="73" t="s">
        <v>124</v>
      </c>
      <c r="B35" s="6" t="s">
        <v>88</v>
      </c>
      <c r="C35" s="8"/>
      <c r="D35" s="30"/>
      <c r="E35" s="8"/>
      <c r="F35" s="30"/>
      <c r="G35" s="30"/>
      <c r="H35" s="30"/>
      <c r="I35" s="48"/>
    </row>
    <row r="36" spans="1:10" x14ac:dyDescent="0.25">
      <c r="A36" s="72" t="s">
        <v>125</v>
      </c>
      <c r="B36" s="6">
        <v>8</v>
      </c>
      <c r="C36" s="6">
        <v>50</v>
      </c>
      <c r="D36" s="30">
        <f t="shared" si="0"/>
        <v>400</v>
      </c>
      <c r="E36" s="6">
        <v>108</v>
      </c>
      <c r="F36" s="34">
        <f t="shared" si="6"/>
        <v>43200</v>
      </c>
      <c r="G36" s="34">
        <f t="shared" si="5"/>
        <v>2160</v>
      </c>
      <c r="H36" s="34">
        <f t="shared" si="7"/>
        <v>4320</v>
      </c>
      <c r="I36" s="49">
        <f>$L$6*F36+$L$5*G36+$L$7*H36</f>
        <v>6264410.4000000004</v>
      </c>
    </row>
    <row r="37" spans="1:10" x14ac:dyDescent="0.25">
      <c r="A37" s="72" t="s">
        <v>90</v>
      </c>
      <c r="B37" s="6">
        <v>20</v>
      </c>
      <c r="C37" s="6">
        <v>1</v>
      </c>
      <c r="D37" s="30">
        <f t="shared" si="0"/>
        <v>20</v>
      </c>
      <c r="E37" s="6">
        <v>108</v>
      </c>
      <c r="F37" s="34">
        <f t="shared" si="6"/>
        <v>2160</v>
      </c>
      <c r="G37" s="30">
        <f t="shared" si="5"/>
        <v>108</v>
      </c>
      <c r="H37" s="30">
        <f t="shared" si="7"/>
        <v>216</v>
      </c>
      <c r="I37" s="49">
        <f>$L$6*F37+$L$5*G37+$L$7*H37</f>
        <v>313220.51999999996</v>
      </c>
    </row>
    <row r="38" spans="1:10" s="39" customFormat="1" x14ac:dyDescent="0.25">
      <c r="A38" s="74" t="s">
        <v>91</v>
      </c>
      <c r="B38" s="75"/>
      <c r="C38" s="75"/>
      <c r="D38" s="75"/>
      <c r="E38" s="75"/>
      <c r="F38" s="85">
        <f>SUM(F25:H37)</f>
        <v>66749.45</v>
      </c>
      <c r="G38" s="86"/>
      <c r="H38" s="87"/>
      <c r="I38" s="50">
        <f>SUM(I25:I37)</f>
        <v>8416786.4085000008</v>
      </c>
    </row>
    <row r="39" spans="1:10" ht="15.75" x14ac:dyDescent="0.25">
      <c r="A39" s="11" t="s">
        <v>126</v>
      </c>
      <c r="B39" s="8"/>
      <c r="C39" s="8"/>
      <c r="D39" s="8"/>
      <c r="E39" s="8"/>
      <c r="F39" s="88">
        <f>ROUND(F24+F38,-2)</f>
        <v>71700</v>
      </c>
      <c r="G39" s="89"/>
      <c r="H39" s="90"/>
      <c r="I39" s="45">
        <f>ROUND(I24+I38,-4)</f>
        <v>9040000</v>
      </c>
    </row>
    <row r="40" spans="1:10" x14ac:dyDescent="0.25">
      <c r="A40" s="11" t="s">
        <v>127</v>
      </c>
      <c r="B40" s="44"/>
      <c r="C40" s="44"/>
      <c r="D40" s="44"/>
      <c r="E40" s="44"/>
      <c r="F40" s="44"/>
      <c r="G40" s="44"/>
      <c r="H40" s="44"/>
      <c r="I40" s="45">
        <v>0</v>
      </c>
    </row>
    <row r="41" spans="1:10" x14ac:dyDescent="0.25">
      <c r="A41" s="11" t="s">
        <v>128</v>
      </c>
      <c r="B41" s="44"/>
      <c r="C41" s="44"/>
      <c r="D41" s="44"/>
      <c r="E41" s="44"/>
      <c r="F41" s="44"/>
      <c r="G41" s="44"/>
      <c r="H41" s="44"/>
      <c r="I41" s="45">
        <f>ROUND(I39+I40,-4)</f>
        <v>9040000</v>
      </c>
    </row>
    <row r="43" spans="1:10" x14ac:dyDescent="0.25">
      <c r="A43" s="46" t="s">
        <v>14</v>
      </c>
    </row>
    <row r="44" spans="1:10" ht="28.5" customHeight="1" x14ac:dyDescent="0.25">
      <c r="A44" s="80" t="s">
        <v>95</v>
      </c>
      <c r="B44" s="80"/>
      <c r="C44" s="80"/>
      <c r="D44" s="80"/>
      <c r="E44" s="80"/>
      <c r="F44" s="80"/>
      <c r="G44" s="80"/>
      <c r="H44" s="80"/>
      <c r="I44" s="80"/>
      <c r="J44" s="80"/>
    </row>
    <row r="45" spans="1:10" ht="64.150000000000006" customHeight="1" x14ac:dyDescent="0.25">
      <c r="A45" s="80" t="s">
        <v>267</v>
      </c>
      <c r="B45" s="80"/>
      <c r="C45" s="80"/>
      <c r="D45" s="80"/>
      <c r="E45" s="80"/>
      <c r="F45" s="80"/>
      <c r="G45" s="80"/>
      <c r="H45" s="80"/>
      <c r="I45" s="80"/>
      <c r="J45" s="80"/>
    </row>
    <row r="46" spans="1:10" ht="15.75" x14ac:dyDescent="0.25">
      <c r="A46" s="47" t="s">
        <v>96</v>
      </c>
    </row>
    <row r="47" spans="1:10" ht="15.75" x14ac:dyDescent="0.25">
      <c r="A47" s="47" t="s">
        <v>129</v>
      </c>
    </row>
    <row r="48" spans="1:10" ht="15.75" x14ac:dyDescent="0.25">
      <c r="A48" s="47" t="s">
        <v>130</v>
      </c>
    </row>
    <row r="49" spans="1:10" ht="15.75" x14ac:dyDescent="0.25">
      <c r="A49" s="47" t="s">
        <v>131</v>
      </c>
    </row>
    <row r="50" spans="1:10" ht="15.75" x14ac:dyDescent="0.25">
      <c r="A50" s="47" t="s">
        <v>132</v>
      </c>
    </row>
    <row r="51" spans="1:10" ht="15.75" x14ac:dyDescent="0.25">
      <c r="A51" s="47" t="s">
        <v>133</v>
      </c>
    </row>
    <row r="52" spans="1:10" ht="27.75" customHeight="1" x14ac:dyDescent="0.25">
      <c r="A52" s="80" t="s">
        <v>134</v>
      </c>
      <c r="B52" s="80"/>
      <c r="C52" s="80"/>
      <c r="D52" s="80"/>
      <c r="E52" s="80"/>
      <c r="F52" s="80"/>
      <c r="G52" s="80"/>
      <c r="H52" s="80"/>
      <c r="I52" s="80"/>
      <c r="J52" s="80"/>
    </row>
    <row r="53" spans="1:10" ht="15.75" x14ac:dyDescent="0.25">
      <c r="A53" s="47" t="s">
        <v>135</v>
      </c>
    </row>
    <row r="54" spans="1:10" ht="15.75" x14ac:dyDescent="0.25">
      <c r="A54" s="47" t="s">
        <v>136</v>
      </c>
    </row>
    <row r="55" spans="1:10" ht="15.75" x14ac:dyDescent="0.25">
      <c r="A55" s="47" t="s">
        <v>137</v>
      </c>
    </row>
    <row r="56" spans="1:10" ht="15.75" x14ac:dyDescent="0.25">
      <c r="A56" s="47" t="s">
        <v>138</v>
      </c>
    </row>
  </sheetData>
  <mergeCells count="7">
    <mergeCell ref="A52:J52"/>
    <mergeCell ref="K4:L4"/>
    <mergeCell ref="F24:H24"/>
    <mergeCell ref="F38:H38"/>
    <mergeCell ref="F39:H39"/>
    <mergeCell ref="A44:J44"/>
    <mergeCell ref="A45:J4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E1ED-64C8-48B4-8C1E-977FCD76F946}">
  <dimension ref="A1:L54"/>
  <sheetViews>
    <sheetView workbookViewId="0">
      <selection activeCell="A2" sqref="A2"/>
    </sheetView>
  </sheetViews>
  <sheetFormatPr defaultColWidth="8.85546875" defaultRowHeight="15" x14ac:dyDescent="0.25"/>
  <cols>
    <col min="1" max="1" width="50" customWidth="1"/>
    <col min="2" max="2" width="11.28515625" customWidth="1"/>
    <col min="3" max="3" width="11" customWidth="1"/>
    <col min="4" max="4" width="9.28515625" customWidth="1"/>
    <col min="5" max="5" width="11" customWidth="1"/>
    <col min="7" max="7" width="11.42578125" customWidth="1"/>
    <col min="9" max="9" width="14.5703125" customWidth="1"/>
  </cols>
  <sheetData>
    <row r="1" spans="1:12" x14ac:dyDescent="0.25">
      <c r="A1" s="18" t="s">
        <v>139</v>
      </c>
    </row>
    <row r="3" spans="1:12" ht="76.5" x14ac:dyDescent="0.25">
      <c r="A3" s="17" t="s">
        <v>15</v>
      </c>
      <c r="B3" s="17" t="s">
        <v>48</v>
      </c>
      <c r="C3" s="17" t="s">
        <v>16</v>
      </c>
      <c r="D3" s="17" t="s">
        <v>8</v>
      </c>
      <c r="E3" s="17" t="s">
        <v>49</v>
      </c>
      <c r="F3" s="17" t="s">
        <v>50</v>
      </c>
      <c r="G3" s="17" t="s">
        <v>51</v>
      </c>
      <c r="H3" s="17" t="s">
        <v>52</v>
      </c>
      <c r="I3" s="17" t="s">
        <v>53</v>
      </c>
    </row>
    <row r="4" spans="1:12" x14ac:dyDescent="0.25">
      <c r="A4" s="29" t="s">
        <v>54</v>
      </c>
      <c r="B4" s="30" t="s">
        <v>55</v>
      </c>
      <c r="C4" s="30"/>
      <c r="D4" s="30"/>
      <c r="E4" s="30"/>
      <c r="F4" s="30"/>
      <c r="G4" s="30"/>
      <c r="H4" s="30"/>
      <c r="I4" s="31"/>
      <c r="K4" s="81" t="s">
        <v>9</v>
      </c>
      <c r="L4" s="82"/>
    </row>
    <row r="5" spans="1:12" x14ac:dyDescent="0.25">
      <c r="A5" s="29" t="s">
        <v>56</v>
      </c>
      <c r="B5" s="30" t="s">
        <v>55</v>
      </c>
      <c r="C5" s="30"/>
      <c r="D5" s="30"/>
      <c r="E5" s="30"/>
      <c r="F5" s="30"/>
      <c r="G5" s="30"/>
      <c r="H5" s="30"/>
      <c r="I5" s="31"/>
      <c r="K5" s="67" t="s">
        <v>10</v>
      </c>
      <c r="L5" s="68">
        <v>163.16999999999999</v>
      </c>
    </row>
    <row r="6" spans="1:12" x14ac:dyDescent="0.25">
      <c r="A6" s="29" t="s">
        <v>57</v>
      </c>
      <c r="B6" s="30"/>
      <c r="C6" s="30"/>
      <c r="D6" s="30"/>
      <c r="E6" s="30"/>
      <c r="F6" s="30"/>
      <c r="G6" s="30"/>
      <c r="H6" s="30"/>
      <c r="I6" s="31"/>
      <c r="K6" s="67" t="s">
        <v>11</v>
      </c>
      <c r="L6" s="68">
        <v>130.28</v>
      </c>
    </row>
    <row r="7" spans="1:12" ht="15.75" x14ac:dyDescent="0.25">
      <c r="A7" s="32" t="s">
        <v>58</v>
      </c>
      <c r="B7" s="30">
        <v>1</v>
      </c>
      <c r="C7" s="30">
        <v>1</v>
      </c>
      <c r="D7" s="30">
        <f>B7*C7</f>
        <v>1</v>
      </c>
      <c r="E7" s="30">
        <v>4</v>
      </c>
      <c r="F7" s="30">
        <f>D7*E7</f>
        <v>4</v>
      </c>
      <c r="G7" s="30">
        <f>F7*0.05</f>
        <v>0.2</v>
      </c>
      <c r="H7" s="30">
        <f>F7*0.1</f>
        <v>0.4</v>
      </c>
      <c r="I7" s="49">
        <f>$L$6*F7+$L$5*G7+$L$7*H7</f>
        <v>580.03800000000001</v>
      </c>
      <c r="K7" s="67" t="s">
        <v>12</v>
      </c>
      <c r="L7" s="68">
        <v>65.709999999999994</v>
      </c>
    </row>
    <row r="8" spans="1:12" x14ac:dyDescent="0.25">
      <c r="A8" s="32" t="s">
        <v>59</v>
      </c>
      <c r="B8" s="30" t="s">
        <v>55</v>
      </c>
      <c r="C8" s="30"/>
      <c r="D8" s="30"/>
      <c r="E8" s="30"/>
      <c r="F8" s="30"/>
      <c r="G8" s="30"/>
      <c r="H8" s="30"/>
      <c r="I8" s="49"/>
    </row>
    <row r="9" spans="1:12" x14ac:dyDescent="0.25">
      <c r="A9" s="33" t="s">
        <v>140</v>
      </c>
      <c r="B9" s="30">
        <v>280</v>
      </c>
      <c r="C9" s="30">
        <v>1</v>
      </c>
      <c r="D9" s="30">
        <f t="shared" ref="D9:D39" si="0">B9*C9</f>
        <v>280</v>
      </c>
      <c r="E9" s="30">
        <v>0</v>
      </c>
      <c r="F9" s="30">
        <f t="shared" ref="F9:F23" si="1">D9*E9</f>
        <v>0</v>
      </c>
      <c r="G9" s="30">
        <f t="shared" ref="G9:G23" si="2">F9*0.05</f>
        <v>0</v>
      </c>
      <c r="H9" s="30">
        <f t="shared" ref="H9:H23" si="3">F9*0.1</f>
        <v>0</v>
      </c>
      <c r="I9" s="48">
        <f>$L$6*F9+$L$5*G9+$L$7*H9</f>
        <v>0</v>
      </c>
    </row>
    <row r="10" spans="1:12" x14ac:dyDescent="0.25">
      <c r="A10" s="33" t="s">
        <v>141</v>
      </c>
      <c r="B10" s="30">
        <v>280</v>
      </c>
      <c r="C10" s="30">
        <v>1</v>
      </c>
      <c r="D10" s="30">
        <f t="shared" si="0"/>
        <v>280</v>
      </c>
      <c r="E10" s="30">
        <v>0</v>
      </c>
      <c r="F10" s="30">
        <f t="shared" si="1"/>
        <v>0</v>
      </c>
      <c r="G10" s="30">
        <f t="shared" si="2"/>
        <v>0</v>
      </c>
      <c r="H10" s="30">
        <f t="shared" si="3"/>
        <v>0</v>
      </c>
      <c r="I10" s="48">
        <f>$L$6*F10+$L$5*G10+$L$7*H10</f>
        <v>0</v>
      </c>
    </row>
    <row r="11" spans="1:12" x14ac:dyDescent="0.25">
      <c r="A11" s="32" t="s">
        <v>60</v>
      </c>
      <c r="B11" s="30" t="s">
        <v>61</v>
      </c>
      <c r="C11" s="30"/>
      <c r="D11" s="30"/>
      <c r="E11" s="30"/>
      <c r="F11" s="30"/>
      <c r="G11" s="30"/>
      <c r="H11" s="30"/>
      <c r="I11" s="49"/>
    </row>
    <row r="12" spans="1:12" x14ac:dyDescent="0.25">
      <c r="A12" s="32" t="s">
        <v>62</v>
      </c>
      <c r="B12" s="30" t="s">
        <v>61</v>
      </c>
      <c r="C12" s="30"/>
      <c r="D12" s="30"/>
      <c r="E12" s="30"/>
      <c r="F12" s="30"/>
      <c r="G12" s="30"/>
      <c r="H12" s="30"/>
      <c r="I12" s="49"/>
    </row>
    <row r="13" spans="1:12" x14ac:dyDescent="0.25">
      <c r="A13" s="32" t="s">
        <v>63</v>
      </c>
      <c r="B13" s="30"/>
      <c r="C13" s="30"/>
      <c r="D13" s="30"/>
      <c r="E13" s="30"/>
      <c r="F13" s="30"/>
      <c r="G13" s="30"/>
      <c r="H13" s="30"/>
      <c r="I13" s="49"/>
    </row>
    <row r="14" spans="1:12" x14ac:dyDescent="0.25">
      <c r="A14" s="33" t="s">
        <v>64</v>
      </c>
      <c r="B14" s="30">
        <v>2</v>
      </c>
      <c r="C14" s="30">
        <v>1</v>
      </c>
      <c r="D14" s="30">
        <f t="shared" si="0"/>
        <v>2</v>
      </c>
      <c r="E14" s="30">
        <v>0</v>
      </c>
      <c r="F14" s="30">
        <f t="shared" si="1"/>
        <v>0</v>
      </c>
      <c r="G14" s="30">
        <f t="shared" si="2"/>
        <v>0</v>
      </c>
      <c r="H14" s="30">
        <f t="shared" si="3"/>
        <v>0</v>
      </c>
      <c r="I14" s="48">
        <f t="shared" ref="I14:I19" si="4">$L$6*F14+$L$5*G14+$L$7*H14</f>
        <v>0</v>
      </c>
    </row>
    <row r="15" spans="1:12" x14ac:dyDescent="0.25">
      <c r="A15" s="33" t="s">
        <v>142</v>
      </c>
      <c r="B15" s="30">
        <v>8</v>
      </c>
      <c r="C15" s="30">
        <v>1</v>
      </c>
      <c r="D15" s="30">
        <f t="shared" si="0"/>
        <v>8</v>
      </c>
      <c r="E15" s="30">
        <v>0</v>
      </c>
      <c r="F15" s="30">
        <f t="shared" si="1"/>
        <v>0</v>
      </c>
      <c r="G15" s="30">
        <f t="shared" si="2"/>
        <v>0</v>
      </c>
      <c r="H15" s="30">
        <f t="shared" si="3"/>
        <v>0</v>
      </c>
      <c r="I15" s="48">
        <f t="shared" si="4"/>
        <v>0</v>
      </c>
    </row>
    <row r="16" spans="1:12" x14ac:dyDescent="0.25">
      <c r="A16" s="33" t="s">
        <v>66</v>
      </c>
      <c r="B16" s="30">
        <v>2</v>
      </c>
      <c r="C16" s="30">
        <v>1</v>
      </c>
      <c r="D16" s="30">
        <f t="shared" si="0"/>
        <v>2</v>
      </c>
      <c r="E16" s="30">
        <v>0</v>
      </c>
      <c r="F16" s="30">
        <f t="shared" si="1"/>
        <v>0</v>
      </c>
      <c r="G16" s="30">
        <f t="shared" si="2"/>
        <v>0</v>
      </c>
      <c r="H16" s="30">
        <f t="shared" si="3"/>
        <v>0</v>
      </c>
      <c r="I16" s="48">
        <f t="shared" si="4"/>
        <v>0</v>
      </c>
    </row>
    <row r="17" spans="1:9" x14ac:dyDescent="0.25">
      <c r="A17" s="33" t="s">
        <v>67</v>
      </c>
      <c r="B17" s="30">
        <v>2</v>
      </c>
      <c r="C17" s="30">
        <v>1</v>
      </c>
      <c r="D17" s="30">
        <f t="shared" si="0"/>
        <v>2</v>
      </c>
      <c r="E17" s="30">
        <v>0</v>
      </c>
      <c r="F17" s="30">
        <f t="shared" si="1"/>
        <v>0</v>
      </c>
      <c r="G17" s="30">
        <f t="shared" si="2"/>
        <v>0</v>
      </c>
      <c r="H17" s="30">
        <f t="shared" si="3"/>
        <v>0</v>
      </c>
      <c r="I17" s="48">
        <f t="shared" si="4"/>
        <v>0</v>
      </c>
    </row>
    <row r="18" spans="1:9" ht="15.75" x14ac:dyDescent="0.25">
      <c r="A18" s="33" t="s">
        <v>143</v>
      </c>
      <c r="B18" s="30">
        <v>10</v>
      </c>
      <c r="C18" s="30">
        <v>1</v>
      </c>
      <c r="D18" s="30">
        <f t="shared" si="0"/>
        <v>10</v>
      </c>
      <c r="E18" s="30">
        <v>4</v>
      </c>
      <c r="F18" s="30">
        <f t="shared" si="1"/>
        <v>40</v>
      </c>
      <c r="G18" s="30">
        <f t="shared" si="2"/>
        <v>2</v>
      </c>
      <c r="H18" s="30">
        <f t="shared" si="3"/>
        <v>4</v>
      </c>
      <c r="I18" s="49">
        <f t="shared" si="4"/>
        <v>5800.38</v>
      </c>
    </row>
    <row r="19" spans="1:9" x14ac:dyDescent="0.25">
      <c r="A19" s="33" t="s">
        <v>144</v>
      </c>
      <c r="B19" s="30">
        <v>4</v>
      </c>
      <c r="C19" s="30">
        <v>1</v>
      </c>
      <c r="D19" s="30">
        <f t="shared" si="0"/>
        <v>4</v>
      </c>
      <c r="E19" s="30">
        <v>0</v>
      </c>
      <c r="F19" s="30">
        <f t="shared" si="1"/>
        <v>0</v>
      </c>
      <c r="G19" s="30">
        <f t="shared" si="2"/>
        <v>0</v>
      </c>
      <c r="H19" s="30">
        <f t="shared" si="3"/>
        <v>0</v>
      </c>
      <c r="I19" s="48">
        <f t="shared" si="4"/>
        <v>0</v>
      </c>
    </row>
    <row r="20" spans="1:9" x14ac:dyDescent="0.25">
      <c r="A20" s="33" t="s">
        <v>70</v>
      </c>
      <c r="B20" s="30" t="s">
        <v>55</v>
      </c>
      <c r="C20" s="30"/>
      <c r="D20" s="30"/>
      <c r="E20" s="30"/>
      <c r="F20" s="30"/>
      <c r="G20" s="30"/>
      <c r="H20" s="30"/>
      <c r="I20" s="49"/>
    </row>
    <row r="21" spans="1:9" x14ac:dyDescent="0.25">
      <c r="A21" s="33" t="s">
        <v>71</v>
      </c>
      <c r="B21" s="30">
        <v>2</v>
      </c>
      <c r="C21" s="30">
        <v>1</v>
      </c>
      <c r="D21" s="30">
        <f t="shared" si="0"/>
        <v>2</v>
      </c>
      <c r="E21" s="30">
        <v>0</v>
      </c>
      <c r="F21" s="30">
        <f t="shared" si="1"/>
        <v>0</v>
      </c>
      <c r="G21" s="30">
        <f t="shared" si="2"/>
        <v>0</v>
      </c>
      <c r="H21" s="30">
        <f t="shared" si="3"/>
        <v>0</v>
      </c>
      <c r="I21" s="48">
        <f>$L$6*F21+$L$5*G21+$L$7*H21</f>
        <v>0</v>
      </c>
    </row>
    <row r="22" spans="1:9" x14ac:dyDescent="0.25">
      <c r="A22" s="33" t="s">
        <v>72</v>
      </c>
      <c r="B22" s="30" t="s">
        <v>115</v>
      </c>
      <c r="C22" s="30"/>
      <c r="D22" s="30"/>
      <c r="E22" s="30"/>
      <c r="F22" s="30"/>
      <c r="G22" s="30"/>
      <c r="H22" s="30"/>
      <c r="I22" s="49"/>
    </row>
    <row r="23" spans="1:9" ht="28.5" x14ac:dyDescent="0.25">
      <c r="A23" s="35" t="s">
        <v>145</v>
      </c>
      <c r="B23" s="30">
        <v>12</v>
      </c>
      <c r="C23" s="30">
        <v>2</v>
      </c>
      <c r="D23" s="30">
        <f t="shared" si="0"/>
        <v>24</v>
      </c>
      <c r="E23" s="30">
        <f>ROUND(E7*0.8,0)</f>
        <v>3</v>
      </c>
      <c r="F23" s="30">
        <f t="shared" si="1"/>
        <v>72</v>
      </c>
      <c r="G23" s="30">
        <f t="shared" si="2"/>
        <v>3.6</v>
      </c>
      <c r="H23" s="30">
        <f t="shared" si="3"/>
        <v>7.2</v>
      </c>
      <c r="I23" s="49">
        <f>$L$6*F23+$L$5*G23+$L$7*H23</f>
        <v>10440.683999999999</v>
      </c>
    </row>
    <row r="24" spans="1:9" s="39" customFormat="1" x14ac:dyDescent="0.25">
      <c r="A24" s="36" t="s">
        <v>74</v>
      </c>
      <c r="B24" s="37"/>
      <c r="C24" s="37"/>
      <c r="D24" s="37"/>
      <c r="E24" s="37"/>
      <c r="F24" s="91">
        <f>SUM(F4:H23)</f>
        <v>133.39999999999998</v>
      </c>
      <c r="G24" s="91"/>
      <c r="H24" s="91"/>
      <c r="I24" s="38">
        <f>SUM(I4:I23)</f>
        <v>16821.101999999999</v>
      </c>
    </row>
    <row r="25" spans="1:9" x14ac:dyDescent="0.25">
      <c r="A25" s="29" t="s">
        <v>75</v>
      </c>
      <c r="B25" s="30"/>
      <c r="C25" s="30"/>
      <c r="D25" s="30"/>
      <c r="E25" s="30"/>
      <c r="F25" s="30"/>
      <c r="G25" s="30"/>
      <c r="H25" s="30"/>
      <c r="I25" s="31"/>
    </row>
    <row r="26" spans="1:9" x14ac:dyDescent="0.25">
      <c r="A26" s="32" t="s">
        <v>76</v>
      </c>
      <c r="B26" s="30" t="s">
        <v>77</v>
      </c>
      <c r="C26" s="30"/>
      <c r="D26" s="30"/>
      <c r="E26" s="30"/>
      <c r="F26" s="30"/>
      <c r="G26" s="30"/>
      <c r="H26" s="30"/>
      <c r="I26" s="31"/>
    </row>
    <row r="27" spans="1:9" x14ac:dyDescent="0.25">
      <c r="A27" s="32" t="s">
        <v>78</v>
      </c>
      <c r="B27" s="30">
        <v>4</v>
      </c>
      <c r="C27" s="30">
        <v>1</v>
      </c>
      <c r="D27" s="30">
        <f t="shared" si="0"/>
        <v>4</v>
      </c>
      <c r="E27" s="30">
        <v>4</v>
      </c>
      <c r="F27" s="30">
        <f>D27*E27</f>
        <v>16</v>
      </c>
      <c r="G27" s="30">
        <f t="shared" ref="G27:G39" si="5">F27*0.05</f>
        <v>0.8</v>
      </c>
      <c r="H27" s="30">
        <f>F27*0.1</f>
        <v>1.6</v>
      </c>
      <c r="I27" s="49">
        <f>$L$6*F27+$L$5*G27+$L$7*H27</f>
        <v>2320.152</v>
      </c>
    </row>
    <row r="28" spans="1:9" ht="15.75" x14ac:dyDescent="0.25">
      <c r="A28" s="32" t="s">
        <v>146</v>
      </c>
      <c r="B28" s="30"/>
      <c r="C28" s="30"/>
      <c r="D28" s="30"/>
      <c r="E28" s="30"/>
      <c r="F28" s="30"/>
      <c r="G28" s="30"/>
      <c r="H28" s="30"/>
      <c r="I28" s="49"/>
    </row>
    <row r="29" spans="1:9" x14ac:dyDescent="0.25">
      <c r="A29" s="33" t="s">
        <v>147</v>
      </c>
      <c r="B29" s="30">
        <v>8</v>
      </c>
      <c r="C29" s="30">
        <v>1</v>
      </c>
      <c r="D29" s="30">
        <f t="shared" si="0"/>
        <v>8</v>
      </c>
      <c r="E29" s="30">
        <v>3</v>
      </c>
      <c r="F29" s="30">
        <f t="shared" ref="F29:F39" si="6">D29*E29</f>
        <v>24</v>
      </c>
      <c r="G29" s="30">
        <f t="shared" si="5"/>
        <v>1.2000000000000002</v>
      </c>
      <c r="H29" s="30">
        <f t="shared" ref="H29:H39" si="7">F29*0.1</f>
        <v>2.4000000000000004</v>
      </c>
      <c r="I29" s="49">
        <f t="shared" ref="I29:I35" si="8">$L$6*F29+$L$5*G29+$L$7*H29</f>
        <v>3480.2280000000005</v>
      </c>
    </row>
    <row r="30" spans="1:9" x14ac:dyDescent="0.25">
      <c r="A30" s="33" t="s">
        <v>148</v>
      </c>
      <c r="B30" s="30">
        <v>1</v>
      </c>
      <c r="C30" s="30">
        <v>12</v>
      </c>
      <c r="D30" s="30">
        <f t="shared" si="0"/>
        <v>12</v>
      </c>
      <c r="E30" s="30">
        <v>3</v>
      </c>
      <c r="F30" s="30">
        <f t="shared" si="6"/>
        <v>36</v>
      </c>
      <c r="G30" s="30">
        <f t="shared" si="5"/>
        <v>1.8</v>
      </c>
      <c r="H30" s="30">
        <f t="shared" si="7"/>
        <v>3.6</v>
      </c>
      <c r="I30" s="49">
        <f t="shared" si="8"/>
        <v>5220.3419999999996</v>
      </c>
    </row>
    <row r="31" spans="1:9" x14ac:dyDescent="0.25">
      <c r="A31" s="33" t="s">
        <v>149</v>
      </c>
      <c r="B31" s="30">
        <v>4</v>
      </c>
      <c r="C31" s="30">
        <v>3</v>
      </c>
      <c r="D31" s="30">
        <f t="shared" si="0"/>
        <v>12</v>
      </c>
      <c r="E31" s="30">
        <v>2</v>
      </c>
      <c r="F31" s="30">
        <f t="shared" si="6"/>
        <v>24</v>
      </c>
      <c r="G31" s="30">
        <f t="shared" si="5"/>
        <v>1.2000000000000002</v>
      </c>
      <c r="H31" s="30">
        <f t="shared" si="7"/>
        <v>2.4000000000000004</v>
      </c>
      <c r="I31" s="49">
        <f t="shared" si="8"/>
        <v>3480.2280000000005</v>
      </c>
    </row>
    <row r="32" spans="1:9" ht="25.5" x14ac:dyDescent="0.25">
      <c r="A32" s="35" t="s">
        <v>150</v>
      </c>
      <c r="B32" s="30">
        <v>1</v>
      </c>
      <c r="C32" s="30">
        <v>12</v>
      </c>
      <c r="D32" s="30">
        <f t="shared" si="0"/>
        <v>12</v>
      </c>
      <c r="E32" s="30">
        <v>4</v>
      </c>
      <c r="F32" s="30">
        <f t="shared" si="6"/>
        <v>48</v>
      </c>
      <c r="G32" s="30">
        <f t="shared" si="5"/>
        <v>2.4000000000000004</v>
      </c>
      <c r="H32" s="30">
        <f t="shared" si="7"/>
        <v>4.8000000000000007</v>
      </c>
      <c r="I32" s="49">
        <f t="shared" si="8"/>
        <v>6960.456000000001</v>
      </c>
    </row>
    <row r="33" spans="1:10" x14ac:dyDescent="0.25">
      <c r="A33" s="33" t="s">
        <v>151</v>
      </c>
      <c r="B33" s="30">
        <v>8</v>
      </c>
      <c r="C33" s="30">
        <v>2</v>
      </c>
      <c r="D33" s="30">
        <f t="shared" si="0"/>
        <v>16</v>
      </c>
      <c r="E33" s="30">
        <v>4</v>
      </c>
      <c r="F33" s="30">
        <f t="shared" si="6"/>
        <v>64</v>
      </c>
      <c r="G33" s="30">
        <f t="shared" si="5"/>
        <v>3.2</v>
      </c>
      <c r="H33" s="30">
        <f t="shared" si="7"/>
        <v>6.4</v>
      </c>
      <c r="I33" s="49">
        <f t="shared" si="8"/>
        <v>9280.6080000000002</v>
      </c>
    </row>
    <row r="34" spans="1:10" x14ac:dyDescent="0.25">
      <c r="A34" s="33" t="s">
        <v>152</v>
      </c>
      <c r="B34" s="30">
        <v>0.5</v>
      </c>
      <c r="C34" s="30">
        <v>250</v>
      </c>
      <c r="D34" s="30">
        <f t="shared" si="0"/>
        <v>125</v>
      </c>
      <c r="E34" s="30">
        <v>2</v>
      </c>
      <c r="F34" s="30">
        <f t="shared" si="6"/>
        <v>250</v>
      </c>
      <c r="G34" s="30">
        <f t="shared" si="5"/>
        <v>12.5</v>
      </c>
      <c r="H34" s="30">
        <f t="shared" si="7"/>
        <v>25</v>
      </c>
      <c r="I34" s="49">
        <f t="shared" si="8"/>
        <v>36252.375</v>
      </c>
    </row>
    <row r="35" spans="1:10" ht="15.75" x14ac:dyDescent="0.25">
      <c r="A35" s="32" t="s">
        <v>153</v>
      </c>
      <c r="B35" s="30">
        <v>10</v>
      </c>
      <c r="C35" s="30">
        <v>1</v>
      </c>
      <c r="D35" s="30">
        <f t="shared" si="0"/>
        <v>10</v>
      </c>
      <c r="E35" s="30">
        <v>4</v>
      </c>
      <c r="F35" s="30">
        <f t="shared" si="6"/>
        <v>40</v>
      </c>
      <c r="G35" s="30">
        <f t="shared" si="5"/>
        <v>2</v>
      </c>
      <c r="H35" s="30">
        <f t="shared" si="7"/>
        <v>4</v>
      </c>
      <c r="I35" s="49">
        <f t="shared" si="8"/>
        <v>5800.38</v>
      </c>
    </row>
    <row r="36" spans="1:10" x14ac:dyDescent="0.25">
      <c r="A36" s="32" t="s">
        <v>86</v>
      </c>
      <c r="B36" s="30"/>
      <c r="C36" s="30"/>
      <c r="D36" s="30"/>
      <c r="E36" s="30"/>
      <c r="F36" s="30"/>
      <c r="G36" s="30"/>
      <c r="H36" s="30"/>
      <c r="I36" s="49"/>
    </row>
    <row r="37" spans="1:10" ht="25.5" x14ac:dyDescent="0.25">
      <c r="A37" s="35" t="s">
        <v>87</v>
      </c>
      <c r="B37" s="30" t="s">
        <v>88</v>
      </c>
      <c r="C37" s="30"/>
      <c r="D37" s="30"/>
      <c r="E37" s="30"/>
      <c r="F37" s="30"/>
      <c r="G37" s="30"/>
      <c r="H37" s="30"/>
      <c r="I37" s="49"/>
    </row>
    <row r="38" spans="1:10" x14ac:dyDescent="0.25">
      <c r="A38" s="32" t="s">
        <v>125</v>
      </c>
      <c r="B38" s="30">
        <v>4</v>
      </c>
      <c r="C38" s="30">
        <v>1</v>
      </c>
      <c r="D38" s="30">
        <f t="shared" si="0"/>
        <v>4</v>
      </c>
      <c r="E38" s="30">
        <v>4</v>
      </c>
      <c r="F38" s="30">
        <f t="shared" si="6"/>
        <v>16</v>
      </c>
      <c r="G38" s="30">
        <f t="shared" si="5"/>
        <v>0.8</v>
      </c>
      <c r="H38" s="30">
        <f t="shared" si="7"/>
        <v>1.6</v>
      </c>
      <c r="I38" s="49">
        <f>$L$6*F38+$L$5*G38+$L$7*H38</f>
        <v>2320.152</v>
      </c>
    </row>
    <row r="39" spans="1:10" x14ac:dyDescent="0.25">
      <c r="A39" s="32" t="s">
        <v>90</v>
      </c>
      <c r="B39" s="30">
        <v>10</v>
      </c>
      <c r="C39" s="30">
        <v>1</v>
      </c>
      <c r="D39" s="30">
        <f t="shared" si="0"/>
        <v>10</v>
      </c>
      <c r="E39" s="30">
        <v>4</v>
      </c>
      <c r="F39" s="30">
        <f t="shared" si="6"/>
        <v>40</v>
      </c>
      <c r="G39" s="30">
        <f t="shared" si="5"/>
        <v>2</v>
      </c>
      <c r="H39" s="30">
        <f t="shared" si="7"/>
        <v>4</v>
      </c>
      <c r="I39" s="49">
        <f>$L$6*F39+$L$5*G39+$L$7*H39</f>
        <v>5800.38</v>
      </c>
    </row>
    <row r="40" spans="1:10" s="39" customFormat="1" x14ac:dyDescent="0.25">
      <c r="A40" s="36" t="s">
        <v>91</v>
      </c>
      <c r="B40" s="37"/>
      <c r="C40" s="37"/>
      <c r="D40" s="37"/>
      <c r="E40" s="37"/>
      <c r="F40" s="91">
        <f>SUM(F25:H39)</f>
        <v>641.69999999999993</v>
      </c>
      <c r="G40" s="91"/>
      <c r="H40" s="91"/>
      <c r="I40" s="38">
        <f>SUM(I25:I39)</f>
        <v>80915.301000000007</v>
      </c>
    </row>
    <row r="41" spans="1:10" ht="15.75" x14ac:dyDescent="0.25">
      <c r="A41" s="41" t="s">
        <v>154</v>
      </c>
      <c r="B41" s="42"/>
      <c r="C41" s="42"/>
      <c r="D41" s="42"/>
      <c r="E41" s="42"/>
      <c r="F41" s="92">
        <f>ROUND(F24+F40,0)</f>
        <v>775</v>
      </c>
      <c r="G41" s="93"/>
      <c r="H41" s="93"/>
      <c r="I41" s="43">
        <f>ROUND(I24+I40,-2)</f>
        <v>97700</v>
      </c>
    </row>
    <row r="42" spans="1:10" x14ac:dyDescent="0.25">
      <c r="A42" s="11" t="s">
        <v>155</v>
      </c>
      <c r="B42" s="44"/>
      <c r="C42" s="44"/>
      <c r="D42" s="44"/>
      <c r="E42" s="44"/>
      <c r="F42" s="44"/>
      <c r="G42" s="44"/>
      <c r="H42" s="44"/>
      <c r="I42" s="45">
        <v>0</v>
      </c>
    </row>
    <row r="43" spans="1:10" x14ac:dyDescent="0.25">
      <c r="A43" s="11" t="s">
        <v>156</v>
      </c>
      <c r="B43" s="44"/>
      <c r="C43" s="44"/>
      <c r="D43" s="44"/>
      <c r="E43" s="44"/>
      <c r="F43" s="44"/>
      <c r="G43" s="44"/>
      <c r="H43" s="44"/>
      <c r="I43" s="45">
        <f>ROUND(I41+I42,-2)</f>
        <v>97700</v>
      </c>
    </row>
    <row r="45" spans="1:10" x14ac:dyDescent="0.25">
      <c r="A45" s="46" t="s">
        <v>14</v>
      </c>
    </row>
    <row r="46" spans="1:10" ht="35.25" customHeight="1" x14ac:dyDescent="0.25">
      <c r="A46" s="80" t="s">
        <v>157</v>
      </c>
      <c r="B46" s="80"/>
      <c r="C46" s="80"/>
      <c r="D46" s="80"/>
      <c r="E46" s="80"/>
      <c r="F46" s="80"/>
      <c r="G46" s="80"/>
      <c r="H46" s="80"/>
      <c r="I46" s="80"/>
      <c r="J46" s="80"/>
    </row>
    <row r="47" spans="1:10" ht="61.15" customHeight="1" x14ac:dyDescent="0.25">
      <c r="A47" s="80" t="s">
        <v>267</v>
      </c>
      <c r="B47" s="80"/>
      <c r="C47" s="80"/>
      <c r="D47" s="80"/>
      <c r="E47" s="80"/>
      <c r="F47" s="80"/>
      <c r="G47" s="80"/>
      <c r="H47" s="80"/>
      <c r="I47" s="80"/>
      <c r="J47" s="80"/>
    </row>
    <row r="48" spans="1:10" ht="15.75" x14ac:dyDescent="0.25">
      <c r="A48" s="47" t="s">
        <v>96</v>
      </c>
    </row>
    <row r="49" spans="1:10" ht="15.75" x14ac:dyDescent="0.25">
      <c r="A49" s="47" t="s">
        <v>158</v>
      </c>
    </row>
    <row r="50" spans="1:10" ht="27.75" customHeight="1" x14ac:dyDescent="0.25">
      <c r="A50" s="80" t="s">
        <v>159</v>
      </c>
      <c r="B50" s="80"/>
      <c r="C50" s="80"/>
      <c r="D50" s="80"/>
      <c r="E50" s="80"/>
      <c r="F50" s="80"/>
      <c r="G50" s="80"/>
      <c r="H50" s="80"/>
      <c r="I50" s="80"/>
      <c r="J50" s="80"/>
    </row>
    <row r="51" spans="1:10" ht="15.75" x14ac:dyDescent="0.25">
      <c r="A51" s="47" t="s">
        <v>160</v>
      </c>
    </row>
    <row r="52" spans="1:10" ht="15.75" x14ac:dyDescent="0.25">
      <c r="A52" s="47" t="s">
        <v>161</v>
      </c>
    </row>
    <row r="53" spans="1:10" ht="15.75" x14ac:dyDescent="0.25">
      <c r="A53" s="47" t="s">
        <v>162</v>
      </c>
    </row>
    <row r="54" spans="1:10" ht="15.75" x14ac:dyDescent="0.25">
      <c r="A54" s="47" t="s">
        <v>163</v>
      </c>
    </row>
  </sheetData>
  <mergeCells count="7">
    <mergeCell ref="A50:J50"/>
    <mergeCell ref="K4:L4"/>
    <mergeCell ref="F24:H24"/>
    <mergeCell ref="F40:H40"/>
    <mergeCell ref="F41:H41"/>
    <mergeCell ref="A46:J46"/>
    <mergeCell ref="A47:J4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91B8C-0CA6-4E42-8B34-FCF47C6DA2A5}">
  <dimension ref="A1:L52"/>
  <sheetViews>
    <sheetView workbookViewId="0">
      <selection activeCell="A2" sqref="A2"/>
    </sheetView>
  </sheetViews>
  <sheetFormatPr defaultColWidth="8.85546875" defaultRowHeight="15" x14ac:dyDescent="0.25"/>
  <cols>
    <col min="1" max="1" width="56.85546875" customWidth="1"/>
    <col min="2" max="2" width="10.140625" customWidth="1"/>
    <col min="5" max="5" width="10.5703125" customWidth="1"/>
    <col min="9" max="9" width="11.28515625" bestFit="1" customWidth="1"/>
    <col min="11" max="11" width="12.42578125" customWidth="1"/>
  </cols>
  <sheetData>
    <row r="1" spans="1:12" x14ac:dyDescent="0.25">
      <c r="A1" s="18" t="s">
        <v>164</v>
      </c>
    </row>
    <row r="3" spans="1:12" ht="102" x14ac:dyDescent="0.25">
      <c r="A3" s="17" t="s">
        <v>15</v>
      </c>
      <c r="B3" s="17" t="s">
        <v>48</v>
      </c>
      <c r="C3" s="17" t="s">
        <v>16</v>
      </c>
      <c r="D3" s="17" t="s">
        <v>8</v>
      </c>
      <c r="E3" s="17" t="s">
        <v>49</v>
      </c>
      <c r="F3" s="17" t="s">
        <v>50</v>
      </c>
      <c r="G3" s="17" t="s">
        <v>51</v>
      </c>
      <c r="H3" s="17" t="s">
        <v>52</v>
      </c>
      <c r="I3" s="17" t="s">
        <v>53</v>
      </c>
    </row>
    <row r="4" spans="1:12" x14ac:dyDescent="0.25">
      <c r="A4" s="29" t="s">
        <v>54</v>
      </c>
      <c r="B4" s="51"/>
      <c r="C4" s="51"/>
      <c r="D4" s="51"/>
      <c r="E4" s="51"/>
      <c r="F4" s="51"/>
      <c r="G4" s="51"/>
      <c r="H4" s="51"/>
      <c r="I4" s="52"/>
      <c r="K4" s="81" t="s">
        <v>9</v>
      </c>
      <c r="L4" s="82"/>
    </row>
    <row r="5" spans="1:12" x14ac:dyDescent="0.25">
      <c r="A5" s="29" t="s">
        <v>56</v>
      </c>
      <c r="B5" s="51"/>
      <c r="C5" s="51"/>
      <c r="D5" s="51"/>
      <c r="E5" s="51"/>
      <c r="F5" s="51"/>
      <c r="G5" s="51"/>
      <c r="H5" s="51"/>
      <c r="I5" s="52"/>
      <c r="K5" s="67" t="s">
        <v>10</v>
      </c>
      <c r="L5" s="68">
        <v>163.16999999999999</v>
      </c>
    </row>
    <row r="6" spans="1:12" x14ac:dyDescent="0.25">
      <c r="A6" s="29" t="s">
        <v>57</v>
      </c>
      <c r="B6" s="51"/>
      <c r="C6" s="51"/>
      <c r="D6" s="51"/>
      <c r="E6" s="51"/>
      <c r="F6" s="51"/>
      <c r="G6" s="51"/>
      <c r="H6" s="51"/>
      <c r="I6" s="52"/>
      <c r="K6" s="67" t="s">
        <v>11</v>
      </c>
      <c r="L6" s="68">
        <v>130.28</v>
      </c>
    </row>
    <row r="7" spans="1:12" ht="15.75" x14ac:dyDescent="0.25">
      <c r="A7" s="32" t="s">
        <v>58</v>
      </c>
      <c r="B7" s="30">
        <v>1</v>
      </c>
      <c r="C7" s="30">
        <v>1</v>
      </c>
      <c r="D7" s="30">
        <f>B7*C7</f>
        <v>1</v>
      </c>
      <c r="E7" s="30">
        <v>82</v>
      </c>
      <c r="F7" s="30">
        <f>D7*E7</f>
        <v>82</v>
      </c>
      <c r="G7" s="30">
        <f>F7*0.05</f>
        <v>4.1000000000000005</v>
      </c>
      <c r="H7" s="30">
        <f>F7*0.1</f>
        <v>8.2000000000000011</v>
      </c>
      <c r="I7" s="49">
        <f>$L$6*F7+$L$5*G7+$L$7*H7</f>
        <v>11890.779</v>
      </c>
      <c r="K7" s="67" t="s">
        <v>12</v>
      </c>
      <c r="L7" s="68">
        <v>65.709999999999994</v>
      </c>
    </row>
    <row r="8" spans="1:12" x14ac:dyDescent="0.25">
      <c r="A8" s="32" t="s">
        <v>59</v>
      </c>
      <c r="B8" s="51"/>
      <c r="C8" s="51"/>
      <c r="D8" s="51"/>
      <c r="E8" s="51"/>
      <c r="F8" s="51"/>
      <c r="G8" s="51"/>
      <c r="H8" s="51"/>
      <c r="I8" s="52"/>
    </row>
    <row r="9" spans="1:12" x14ac:dyDescent="0.25">
      <c r="A9" s="33" t="s">
        <v>140</v>
      </c>
      <c r="B9" s="51" t="s">
        <v>55</v>
      </c>
      <c r="C9" s="51"/>
      <c r="D9" s="51"/>
      <c r="E9" s="51"/>
      <c r="F9" s="51"/>
      <c r="G9" s="51"/>
      <c r="H9" s="51"/>
      <c r="I9" s="52"/>
    </row>
    <row r="10" spans="1:12" x14ac:dyDescent="0.25">
      <c r="A10" s="33" t="s">
        <v>141</v>
      </c>
      <c r="B10" s="51" t="s">
        <v>55</v>
      </c>
      <c r="C10" s="51"/>
      <c r="D10" s="51"/>
      <c r="E10" s="51"/>
      <c r="F10" s="51"/>
      <c r="G10" s="51"/>
      <c r="H10" s="51"/>
      <c r="I10" s="52"/>
    </row>
    <row r="11" spans="1:12" x14ac:dyDescent="0.25">
      <c r="A11" s="32" t="s">
        <v>60</v>
      </c>
      <c r="B11" s="51" t="s">
        <v>88</v>
      </c>
      <c r="C11" s="51"/>
      <c r="D11" s="51"/>
      <c r="E11" s="51"/>
      <c r="F11" s="51"/>
      <c r="G11" s="51"/>
      <c r="H11" s="51"/>
      <c r="I11" s="52"/>
    </row>
    <row r="12" spans="1:12" x14ac:dyDescent="0.25">
      <c r="A12" s="32" t="s">
        <v>62</v>
      </c>
      <c r="B12" s="51" t="s">
        <v>88</v>
      </c>
      <c r="C12" s="51"/>
      <c r="D12" s="51"/>
      <c r="E12" s="51"/>
      <c r="F12" s="51"/>
      <c r="G12" s="51"/>
      <c r="H12" s="51"/>
      <c r="I12" s="52"/>
    </row>
    <row r="13" spans="1:12" ht="15.75" x14ac:dyDescent="0.25">
      <c r="A13" s="32" t="s">
        <v>165</v>
      </c>
      <c r="B13" s="51"/>
      <c r="C13" s="51"/>
      <c r="D13" s="51"/>
      <c r="E13" s="51"/>
      <c r="F13" s="51"/>
      <c r="G13" s="51"/>
      <c r="H13" s="51"/>
      <c r="I13" s="52"/>
    </row>
    <row r="14" spans="1:12" x14ac:dyDescent="0.25">
      <c r="A14" s="33" t="s">
        <v>64</v>
      </c>
      <c r="B14" s="51" t="s">
        <v>55</v>
      </c>
      <c r="C14" s="51"/>
      <c r="D14" s="51"/>
      <c r="E14" s="51"/>
      <c r="F14" s="51"/>
      <c r="G14" s="51"/>
      <c r="H14" s="51"/>
      <c r="I14" s="52"/>
    </row>
    <row r="15" spans="1:12" x14ac:dyDescent="0.25">
      <c r="A15" s="33" t="s">
        <v>142</v>
      </c>
      <c r="B15" s="51" t="s">
        <v>55</v>
      </c>
      <c r="C15" s="51"/>
      <c r="D15" s="51"/>
      <c r="E15" s="51"/>
      <c r="F15" s="51"/>
      <c r="G15" s="51"/>
      <c r="H15" s="51"/>
      <c r="I15" s="52"/>
    </row>
    <row r="16" spans="1:12" x14ac:dyDescent="0.25">
      <c r="A16" s="33" t="s">
        <v>66</v>
      </c>
      <c r="B16" s="51" t="s">
        <v>55</v>
      </c>
      <c r="C16" s="51"/>
      <c r="D16" s="51"/>
      <c r="E16" s="51"/>
      <c r="F16" s="51"/>
      <c r="G16" s="51"/>
      <c r="H16" s="51"/>
      <c r="I16" s="52"/>
    </row>
    <row r="17" spans="1:9" x14ac:dyDescent="0.25">
      <c r="A17" s="33" t="s">
        <v>67</v>
      </c>
      <c r="B17" s="51" t="s">
        <v>55</v>
      </c>
      <c r="C17" s="51"/>
      <c r="D17" s="51"/>
      <c r="E17" s="51"/>
      <c r="F17" s="51"/>
      <c r="G17" s="51"/>
      <c r="H17" s="51"/>
      <c r="I17" s="52"/>
    </row>
    <row r="18" spans="1:9" x14ac:dyDescent="0.25">
      <c r="A18" s="33" t="s">
        <v>166</v>
      </c>
      <c r="B18" s="51" t="s">
        <v>55</v>
      </c>
      <c r="C18" s="51"/>
      <c r="D18" s="51"/>
      <c r="E18" s="51"/>
      <c r="F18" s="51"/>
      <c r="G18" s="51"/>
      <c r="H18" s="51"/>
      <c r="I18" s="52"/>
    </row>
    <row r="19" spans="1:9" x14ac:dyDescent="0.25">
      <c r="A19" s="33" t="s">
        <v>144</v>
      </c>
      <c r="B19" s="51" t="s">
        <v>55</v>
      </c>
      <c r="C19" s="51"/>
      <c r="D19" s="51"/>
      <c r="E19" s="51"/>
      <c r="F19" s="51"/>
      <c r="G19" s="51"/>
      <c r="H19" s="51"/>
      <c r="I19" s="52"/>
    </row>
    <row r="20" spans="1:9" x14ac:dyDescent="0.25">
      <c r="A20" s="33" t="s">
        <v>70</v>
      </c>
      <c r="B20" s="51" t="s">
        <v>55</v>
      </c>
      <c r="C20" s="51"/>
      <c r="D20" s="51"/>
      <c r="E20" s="51"/>
      <c r="F20" s="51"/>
      <c r="G20" s="51"/>
      <c r="H20" s="51"/>
      <c r="I20" s="52"/>
    </row>
    <row r="21" spans="1:9" x14ac:dyDescent="0.25">
      <c r="A21" s="33" t="s">
        <v>71</v>
      </c>
      <c r="B21" s="51" t="s">
        <v>55</v>
      </c>
      <c r="C21" s="51"/>
      <c r="D21" s="51"/>
      <c r="E21" s="51"/>
      <c r="F21" s="51"/>
      <c r="G21" s="51"/>
      <c r="H21" s="51"/>
      <c r="I21" s="52"/>
    </row>
    <row r="22" spans="1:9" x14ac:dyDescent="0.25">
      <c r="A22" s="33" t="s">
        <v>72</v>
      </c>
      <c r="B22" s="51" t="s">
        <v>55</v>
      </c>
      <c r="C22" s="51"/>
      <c r="D22" s="51"/>
      <c r="E22" s="51"/>
      <c r="F22" s="51"/>
      <c r="G22" s="51"/>
      <c r="H22" s="51"/>
      <c r="I22" s="52"/>
    </row>
    <row r="23" spans="1:9" ht="25.5" x14ac:dyDescent="0.25">
      <c r="A23" s="35" t="s">
        <v>167</v>
      </c>
      <c r="B23" s="51" t="s">
        <v>55</v>
      </c>
      <c r="C23" s="51"/>
      <c r="D23" s="51"/>
      <c r="E23" s="51"/>
      <c r="F23" s="51"/>
      <c r="G23" s="51"/>
      <c r="H23" s="51"/>
      <c r="I23" s="52"/>
    </row>
    <row r="24" spans="1:9" s="39" customFormat="1" x14ac:dyDescent="0.25">
      <c r="A24" s="36" t="s">
        <v>74</v>
      </c>
      <c r="B24" s="53"/>
      <c r="C24" s="53"/>
      <c r="D24" s="53"/>
      <c r="E24" s="53"/>
      <c r="F24" s="94">
        <f>SUM(F4:H23)</f>
        <v>94.3</v>
      </c>
      <c r="G24" s="95"/>
      <c r="H24" s="96"/>
      <c r="I24" s="50">
        <f>SUM(I4:I23)</f>
        <v>11890.779</v>
      </c>
    </row>
    <row r="25" spans="1:9" x14ac:dyDescent="0.25">
      <c r="A25" s="29" t="s">
        <v>75</v>
      </c>
      <c r="B25" s="51"/>
      <c r="C25" s="51"/>
      <c r="D25" s="51"/>
      <c r="E25" s="51"/>
      <c r="F25" s="51"/>
      <c r="G25" s="51"/>
      <c r="H25" s="51"/>
      <c r="I25" s="52"/>
    </row>
    <row r="26" spans="1:9" x14ac:dyDescent="0.25">
      <c r="A26" s="32" t="s">
        <v>76</v>
      </c>
      <c r="B26" s="51" t="s">
        <v>77</v>
      </c>
      <c r="C26" s="51"/>
      <c r="D26" s="51"/>
      <c r="E26" s="51"/>
      <c r="F26" s="51"/>
      <c r="G26" s="51"/>
      <c r="H26" s="51"/>
      <c r="I26" s="52"/>
    </row>
    <row r="27" spans="1:9" ht="15.75" x14ac:dyDescent="0.25">
      <c r="A27" s="32" t="s">
        <v>168</v>
      </c>
      <c r="B27" s="51">
        <v>4</v>
      </c>
      <c r="C27" s="51">
        <v>1</v>
      </c>
      <c r="D27" s="30">
        <f>B27*C27</f>
        <v>4</v>
      </c>
      <c r="E27" s="51">
        <v>0</v>
      </c>
      <c r="F27" s="30">
        <f>D27*E27</f>
        <v>0</v>
      </c>
      <c r="G27" s="30">
        <f>F27*0.05</f>
        <v>0</v>
      </c>
      <c r="H27" s="30">
        <f>F27*0.1</f>
        <v>0</v>
      </c>
      <c r="I27" s="48">
        <f>$L$6*F27+$L$5*G27+$L$7*H27</f>
        <v>0</v>
      </c>
    </row>
    <row r="28" spans="1:9" x14ac:dyDescent="0.25">
      <c r="A28" s="32" t="s">
        <v>169</v>
      </c>
      <c r="B28" s="51"/>
      <c r="C28" s="51"/>
      <c r="D28" s="51"/>
      <c r="E28" s="51"/>
      <c r="F28" s="51"/>
      <c r="G28" s="51"/>
      <c r="H28" s="51"/>
      <c r="I28" s="52"/>
    </row>
    <row r="29" spans="1:9" ht="15.75" x14ac:dyDescent="0.25">
      <c r="A29" s="33" t="s">
        <v>170</v>
      </c>
      <c r="B29" s="51">
        <v>30.5</v>
      </c>
      <c r="C29" s="51">
        <v>1</v>
      </c>
      <c r="D29" s="30">
        <f>B29*C29</f>
        <v>30.5</v>
      </c>
      <c r="E29" s="51">
        <v>82</v>
      </c>
      <c r="F29" s="34">
        <f>D29*E29</f>
        <v>2501</v>
      </c>
      <c r="G29" s="30">
        <f>F29*0.05</f>
        <v>125.05000000000001</v>
      </c>
      <c r="H29" s="30">
        <f>F29*0.1</f>
        <v>250.10000000000002</v>
      </c>
      <c r="I29" s="49">
        <f>$L$6*F29+$L$5*G29+$L$7*H29</f>
        <v>362668.75950000004</v>
      </c>
    </row>
    <row r="30" spans="1:9" ht="15.75" x14ac:dyDescent="0.25">
      <c r="A30" s="33" t="s">
        <v>171</v>
      </c>
      <c r="B30" s="51" t="s">
        <v>55</v>
      </c>
      <c r="C30" s="51"/>
      <c r="D30" s="51"/>
      <c r="E30" s="51"/>
      <c r="F30" s="51"/>
      <c r="G30" s="51"/>
      <c r="H30" s="51"/>
      <c r="I30" s="52"/>
    </row>
    <row r="31" spans="1:9" ht="15.75" x14ac:dyDescent="0.25">
      <c r="A31" s="33" t="s">
        <v>172</v>
      </c>
      <c r="B31" s="51" t="s">
        <v>55</v>
      </c>
      <c r="C31" s="51"/>
      <c r="D31" s="51"/>
      <c r="E31" s="51"/>
      <c r="F31" s="51"/>
      <c r="G31" s="51"/>
      <c r="H31" s="51"/>
      <c r="I31" s="52"/>
    </row>
    <row r="32" spans="1:9" ht="15.75" x14ac:dyDescent="0.25">
      <c r="A32" s="32" t="s">
        <v>173</v>
      </c>
      <c r="B32" s="51">
        <v>10</v>
      </c>
      <c r="C32" s="51">
        <v>1</v>
      </c>
      <c r="D32" s="30">
        <f>B32*C32</f>
        <v>10</v>
      </c>
      <c r="E32" s="51">
        <v>0</v>
      </c>
      <c r="F32" s="34">
        <f>D32*E32</f>
        <v>0</v>
      </c>
      <c r="G32" s="30">
        <f>F32*0.05</f>
        <v>0</v>
      </c>
      <c r="H32" s="30">
        <f>F32*0.1</f>
        <v>0</v>
      </c>
      <c r="I32" s="48">
        <f>$L$6*F32+$L$5*G32+$L$7*H32</f>
        <v>0</v>
      </c>
    </row>
    <row r="33" spans="1:10" x14ac:dyDescent="0.25">
      <c r="A33" s="32" t="s">
        <v>86</v>
      </c>
      <c r="B33" s="51"/>
      <c r="C33" s="51"/>
      <c r="D33" s="51"/>
      <c r="E33" s="51"/>
      <c r="F33" s="51"/>
      <c r="G33" s="51"/>
      <c r="H33" s="51"/>
      <c r="I33" s="52"/>
    </row>
    <row r="34" spans="1:10" x14ac:dyDescent="0.25">
      <c r="A34" s="35" t="s">
        <v>87</v>
      </c>
      <c r="B34" s="51" t="s">
        <v>88</v>
      </c>
      <c r="C34" s="51"/>
      <c r="D34" s="51"/>
      <c r="E34" s="51"/>
      <c r="F34" s="51"/>
      <c r="G34" s="51"/>
      <c r="H34" s="51"/>
      <c r="I34" s="52"/>
    </row>
    <row r="35" spans="1:10" ht="15.75" x14ac:dyDescent="0.25">
      <c r="A35" s="32" t="s">
        <v>174</v>
      </c>
      <c r="B35" s="51">
        <v>2</v>
      </c>
      <c r="C35" s="51">
        <v>3</v>
      </c>
      <c r="D35" s="30">
        <f>B35*C35</f>
        <v>6</v>
      </c>
      <c r="E35" s="51">
        <v>0</v>
      </c>
      <c r="F35" s="30">
        <f>D35*E35</f>
        <v>0</v>
      </c>
      <c r="G35" s="30">
        <f>F35*0.05</f>
        <v>0</v>
      </c>
      <c r="H35" s="30">
        <f>F35*0.1</f>
        <v>0</v>
      </c>
      <c r="I35" s="48">
        <f>$L$6*F35+$L$5*G35+$L$7*H35</f>
        <v>0</v>
      </c>
    </row>
    <row r="36" spans="1:10" ht="15.75" x14ac:dyDescent="0.25">
      <c r="A36" s="32" t="s">
        <v>175</v>
      </c>
      <c r="B36" s="51">
        <v>10</v>
      </c>
      <c r="C36" s="51">
        <v>1</v>
      </c>
      <c r="D36" s="30">
        <f>B36*C36</f>
        <v>10</v>
      </c>
      <c r="E36" s="51">
        <v>82</v>
      </c>
      <c r="F36" s="30">
        <f>D36*E36</f>
        <v>820</v>
      </c>
      <c r="G36" s="30">
        <f>F36*0.05</f>
        <v>41</v>
      </c>
      <c r="H36" s="30">
        <f>F36*0.1</f>
        <v>82</v>
      </c>
      <c r="I36" s="49">
        <f>$L$6*F36+$L$5*G36+$L$7*H36</f>
        <v>118907.79000000001</v>
      </c>
    </row>
    <row r="37" spans="1:10" s="39" customFormat="1" x14ac:dyDescent="0.25">
      <c r="A37" s="36" t="s">
        <v>91</v>
      </c>
      <c r="B37" s="53"/>
      <c r="C37" s="53"/>
      <c r="D37" s="53"/>
      <c r="E37" s="53"/>
      <c r="F37" s="97">
        <f>SUM(F25:H36)</f>
        <v>3819.15</v>
      </c>
      <c r="G37" s="98"/>
      <c r="H37" s="99"/>
      <c r="I37" s="50">
        <f>SUM(I25:I36)</f>
        <v>481576.54950000008</v>
      </c>
    </row>
    <row r="38" spans="1:10" ht="15.75" x14ac:dyDescent="0.25">
      <c r="A38" s="41" t="s">
        <v>176</v>
      </c>
      <c r="B38" s="51"/>
      <c r="C38" s="51"/>
      <c r="D38" s="51"/>
      <c r="E38" s="51"/>
      <c r="F38" s="100">
        <f>ROUND(F24+F37,-1)</f>
        <v>3910</v>
      </c>
      <c r="G38" s="101"/>
      <c r="H38" s="102"/>
      <c r="I38" s="45">
        <f>ROUND(I24+I37,-3)</f>
        <v>493000</v>
      </c>
    </row>
    <row r="39" spans="1:10" x14ac:dyDescent="0.25">
      <c r="A39" s="11" t="s">
        <v>177</v>
      </c>
      <c r="B39" s="51"/>
      <c r="C39" s="51"/>
      <c r="D39" s="51"/>
      <c r="E39" s="51"/>
      <c r="F39" s="51"/>
      <c r="G39" s="51"/>
      <c r="H39" s="51"/>
      <c r="I39" s="45">
        <v>0</v>
      </c>
    </row>
    <row r="40" spans="1:10" x14ac:dyDescent="0.25">
      <c r="A40" s="11" t="s">
        <v>178</v>
      </c>
      <c r="B40" s="51"/>
      <c r="C40" s="51"/>
      <c r="D40" s="51"/>
      <c r="E40" s="51"/>
      <c r="F40" s="51"/>
      <c r="G40" s="51"/>
      <c r="H40" s="51"/>
      <c r="I40" s="45">
        <f>ROUND(I38+I39,-3)</f>
        <v>493000</v>
      </c>
    </row>
    <row r="42" spans="1:10" x14ac:dyDescent="0.25">
      <c r="A42" s="46" t="s">
        <v>14</v>
      </c>
    </row>
    <row r="43" spans="1:10" ht="51" customHeight="1" x14ac:dyDescent="0.25">
      <c r="A43" s="80" t="s">
        <v>179</v>
      </c>
      <c r="B43" s="80"/>
      <c r="C43" s="80"/>
      <c r="D43" s="80"/>
      <c r="E43" s="80"/>
      <c r="F43" s="80"/>
      <c r="G43" s="80"/>
      <c r="H43" s="80"/>
      <c r="I43" s="80"/>
      <c r="J43" s="80"/>
    </row>
    <row r="44" spans="1:10" ht="69" customHeight="1" x14ac:dyDescent="0.25">
      <c r="A44" s="80" t="s">
        <v>267</v>
      </c>
      <c r="B44" s="80"/>
      <c r="C44" s="80"/>
      <c r="D44" s="80"/>
      <c r="E44" s="80"/>
      <c r="F44" s="80"/>
      <c r="G44" s="80"/>
      <c r="H44" s="80"/>
      <c r="I44" s="80"/>
      <c r="J44" s="80"/>
    </row>
    <row r="45" spans="1:10" ht="15.75" x14ac:dyDescent="0.25">
      <c r="A45" s="47" t="s">
        <v>96</v>
      </c>
    </row>
    <row r="46" spans="1:10" ht="15.75" x14ac:dyDescent="0.25">
      <c r="A46" s="47" t="s">
        <v>180</v>
      </c>
    </row>
    <row r="47" spans="1:10" ht="35.25" customHeight="1" x14ac:dyDescent="0.25">
      <c r="A47" s="80" t="s">
        <v>181</v>
      </c>
      <c r="B47" s="80"/>
      <c r="C47" s="80"/>
      <c r="D47" s="80"/>
      <c r="E47" s="80"/>
      <c r="F47" s="80"/>
      <c r="G47" s="80"/>
      <c r="H47" s="80"/>
      <c r="I47" s="80"/>
      <c r="J47" s="80"/>
    </row>
    <row r="48" spans="1:10" ht="36" customHeight="1" x14ac:dyDescent="0.25">
      <c r="A48" s="80" t="s">
        <v>182</v>
      </c>
      <c r="B48" s="80"/>
      <c r="C48" s="80"/>
      <c r="D48" s="80"/>
      <c r="E48" s="80"/>
      <c r="F48" s="80"/>
      <c r="G48" s="80"/>
      <c r="H48" s="80"/>
      <c r="I48" s="80"/>
      <c r="J48" s="80"/>
    </row>
    <row r="49" spans="1:1" ht="15.75" x14ac:dyDescent="0.25">
      <c r="A49" s="47" t="s">
        <v>183</v>
      </c>
    </row>
    <row r="50" spans="1:1" ht="15.75" x14ac:dyDescent="0.25">
      <c r="A50" s="47" t="s">
        <v>184</v>
      </c>
    </row>
    <row r="51" spans="1:1" ht="15.75" x14ac:dyDescent="0.25">
      <c r="A51" s="47" t="s">
        <v>185</v>
      </c>
    </row>
    <row r="52" spans="1:1" ht="15.75" x14ac:dyDescent="0.25">
      <c r="A52" s="47" t="s">
        <v>186</v>
      </c>
    </row>
  </sheetData>
  <mergeCells count="8">
    <mergeCell ref="A47:J47"/>
    <mergeCell ref="A48:J48"/>
    <mergeCell ref="K4:L4"/>
    <mergeCell ref="F24:H24"/>
    <mergeCell ref="F37:H37"/>
    <mergeCell ref="F38:H38"/>
    <mergeCell ref="A43:J43"/>
    <mergeCell ref="A44:J44"/>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FED8C-553A-4C7C-B43D-A816E32B205C}">
  <dimension ref="A1:I15"/>
  <sheetViews>
    <sheetView workbookViewId="0">
      <selection activeCell="A2" sqref="A2"/>
    </sheetView>
  </sheetViews>
  <sheetFormatPr defaultRowHeight="15" x14ac:dyDescent="0.25"/>
  <cols>
    <col min="1" max="1" width="29.140625" customWidth="1"/>
    <col min="2" max="2" width="11.7109375" customWidth="1"/>
    <col min="3" max="3" width="13.42578125" customWidth="1"/>
    <col min="4" max="4" width="14.140625" customWidth="1"/>
    <col min="5" max="6" width="15" customWidth="1"/>
  </cols>
  <sheetData>
    <row r="1" spans="1:9" x14ac:dyDescent="0.25">
      <c r="A1" s="18" t="s">
        <v>187</v>
      </c>
    </row>
    <row r="3" spans="1:9" ht="71.25" customHeight="1" x14ac:dyDescent="0.25">
      <c r="A3" s="9" t="s">
        <v>188</v>
      </c>
      <c r="B3" s="9" t="s">
        <v>189</v>
      </c>
      <c r="C3" s="9" t="s">
        <v>190</v>
      </c>
      <c r="D3" s="9" t="s">
        <v>191</v>
      </c>
      <c r="E3" s="9" t="s">
        <v>277</v>
      </c>
      <c r="F3" s="9" t="s">
        <v>224</v>
      </c>
    </row>
    <row r="4" spans="1:9" x14ac:dyDescent="0.25">
      <c r="A4" s="8" t="s">
        <v>192</v>
      </c>
      <c r="B4" s="54">
        <f>'Table 1a'!F22</f>
        <v>5078.3999999999987</v>
      </c>
      <c r="C4" s="54">
        <f>'Table 1a'!F37</f>
        <v>33460.400000000001</v>
      </c>
      <c r="D4" s="54">
        <f>'Table 1a'!F38</f>
        <v>38500</v>
      </c>
      <c r="E4" s="55">
        <f>'Table 1a'!I38</f>
        <v>4860000</v>
      </c>
      <c r="F4" s="55">
        <f>'Table 1a'!I40</f>
        <v>5030000</v>
      </c>
    </row>
    <row r="5" spans="1:9" x14ac:dyDescent="0.25">
      <c r="A5" s="8" t="s">
        <v>193</v>
      </c>
      <c r="B5" s="54">
        <f>'Table 1b'!F24</f>
        <v>4933.5</v>
      </c>
      <c r="C5" s="54">
        <f>'Table 1b'!F38</f>
        <v>66749.45</v>
      </c>
      <c r="D5" s="54">
        <f>'Table 1b'!F39</f>
        <v>71700</v>
      </c>
      <c r="E5" s="55">
        <f>'Table 1b'!I39</f>
        <v>9040000</v>
      </c>
      <c r="F5" s="55">
        <f>'Table 1b'!I41</f>
        <v>9040000</v>
      </c>
    </row>
    <row r="6" spans="1:9" x14ac:dyDescent="0.25">
      <c r="A6" s="8" t="s">
        <v>194</v>
      </c>
      <c r="B6" s="56">
        <f>'Table 1c'!F24</f>
        <v>133.39999999999998</v>
      </c>
      <c r="C6" s="56">
        <f>'Table 1c'!F40</f>
        <v>641.69999999999993</v>
      </c>
      <c r="D6" s="56">
        <f>'Table 1c'!F41</f>
        <v>775</v>
      </c>
      <c r="E6" s="55">
        <f>'Table 1c'!I41</f>
        <v>97700</v>
      </c>
      <c r="F6" s="55">
        <f>'Table 1c'!I43</f>
        <v>97700</v>
      </c>
      <c r="H6" t="s">
        <v>195</v>
      </c>
      <c r="I6" t="s">
        <v>13</v>
      </c>
    </row>
    <row r="7" spans="1:9" x14ac:dyDescent="0.25">
      <c r="A7" s="8" t="s">
        <v>196</v>
      </c>
      <c r="B7" s="56">
        <f>'Table 1d'!F24</f>
        <v>94.3</v>
      </c>
      <c r="C7" s="54">
        <f>'Table 1d'!F37</f>
        <v>3819.15</v>
      </c>
      <c r="D7" s="54">
        <f>'Table 1d'!F38</f>
        <v>3910</v>
      </c>
      <c r="E7" s="55">
        <f>'Table 1d'!I38</f>
        <v>493000</v>
      </c>
      <c r="F7" s="55">
        <f>'Table 1d'!I40</f>
        <v>493000</v>
      </c>
      <c r="H7">
        <v>602</v>
      </c>
      <c r="I7">
        <f>+D8/H7</f>
        <v>191.02990033222591</v>
      </c>
    </row>
    <row r="8" spans="1:9" x14ac:dyDescent="0.25">
      <c r="A8" s="11" t="s">
        <v>197</v>
      </c>
      <c r="B8" s="57">
        <f>ROUND(SUM(B4:B7),-2)</f>
        <v>10200</v>
      </c>
      <c r="C8" s="57">
        <f>ROUND(SUM(C4:C7),-3)</f>
        <v>105000</v>
      </c>
      <c r="D8" s="57">
        <f>ROUND(SUM(D4:D7),-3)</f>
        <v>115000</v>
      </c>
      <c r="E8" s="58">
        <f>ROUND(SUM(E4:E7),-5)</f>
        <v>14500000</v>
      </c>
      <c r="F8" s="58">
        <f>ROUND(SUM(F4:F7),-5)</f>
        <v>14700000</v>
      </c>
    </row>
    <row r="10" spans="1:9" x14ac:dyDescent="0.25">
      <c r="A10" s="46" t="s">
        <v>14</v>
      </c>
    </row>
    <row r="11" spans="1:9" ht="15.75" x14ac:dyDescent="0.25">
      <c r="A11" s="47" t="s">
        <v>198</v>
      </c>
    </row>
    <row r="12" spans="1:9" ht="15.75" x14ac:dyDescent="0.25">
      <c r="A12" s="47" t="s">
        <v>199</v>
      </c>
    </row>
    <row r="15" spans="1:9" x14ac:dyDescent="0.25">
      <c r="E15" s="28"/>
      <c r="F15" s="28"/>
    </row>
  </sheetData>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590C9-87C4-45FC-B26C-350CC9B2C7BD}">
  <dimension ref="A1:L57"/>
  <sheetViews>
    <sheetView workbookViewId="0">
      <selection activeCell="A2" sqref="A2"/>
    </sheetView>
  </sheetViews>
  <sheetFormatPr defaultColWidth="8.85546875" defaultRowHeight="15" x14ac:dyDescent="0.25"/>
  <cols>
    <col min="1" max="1" width="46.28515625" customWidth="1"/>
    <col min="2" max="2" width="11.5703125" customWidth="1"/>
    <col min="3" max="3" width="11" customWidth="1"/>
    <col min="4" max="4" width="9.28515625" customWidth="1"/>
    <col min="5" max="5" width="11" customWidth="1"/>
    <col min="7" max="7" width="11.42578125" customWidth="1"/>
    <col min="9" max="9" width="13.7109375" customWidth="1"/>
    <col min="11" max="11" width="12.28515625" customWidth="1"/>
  </cols>
  <sheetData>
    <row r="1" spans="1:12" x14ac:dyDescent="0.25">
      <c r="A1" s="18" t="s">
        <v>200</v>
      </c>
    </row>
    <row r="3" spans="1:12" ht="76.5" x14ac:dyDescent="0.25">
      <c r="A3" s="17" t="s">
        <v>15</v>
      </c>
      <c r="B3" s="17" t="s">
        <v>48</v>
      </c>
      <c r="C3" s="17" t="s">
        <v>16</v>
      </c>
      <c r="D3" s="17" t="s">
        <v>8</v>
      </c>
      <c r="E3" s="17" t="s">
        <v>201</v>
      </c>
      <c r="F3" s="17" t="s">
        <v>50</v>
      </c>
      <c r="G3" s="17" t="s">
        <v>51</v>
      </c>
      <c r="H3" s="17" t="s">
        <v>52</v>
      </c>
      <c r="I3" s="17" t="s">
        <v>53</v>
      </c>
    </row>
    <row r="4" spans="1:12" x14ac:dyDescent="0.25">
      <c r="A4" s="29" t="s">
        <v>54</v>
      </c>
      <c r="B4" s="30" t="s">
        <v>55</v>
      </c>
      <c r="C4" s="30"/>
      <c r="D4" s="30"/>
      <c r="E4" s="30"/>
      <c r="F4" s="30"/>
      <c r="G4" s="30"/>
      <c r="H4" s="30"/>
      <c r="I4" s="31"/>
      <c r="K4" s="103" t="s">
        <v>9</v>
      </c>
      <c r="L4" s="104"/>
    </row>
    <row r="5" spans="1:12" x14ac:dyDescent="0.25">
      <c r="A5" s="29" t="s">
        <v>56</v>
      </c>
      <c r="B5" s="30" t="s">
        <v>55</v>
      </c>
      <c r="C5" s="30"/>
      <c r="D5" s="30"/>
      <c r="E5" s="30"/>
      <c r="F5" s="30"/>
      <c r="G5" s="30"/>
      <c r="H5" s="30"/>
      <c r="I5" s="31"/>
      <c r="K5" s="59" t="s">
        <v>10</v>
      </c>
      <c r="L5" s="68">
        <v>73.459999999999994</v>
      </c>
    </row>
    <row r="6" spans="1:12" x14ac:dyDescent="0.25">
      <c r="A6" s="29" t="s">
        <v>57</v>
      </c>
      <c r="B6" s="30"/>
      <c r="C6" s="30"/>
      <c r="D6" s="30"/>
      <c r="E6" s="30"/>
      <c r="F6" s="30"/>
      <c r="G6" s="30"/>
      <c r="H6" s="30"/>
      <c r="I6" s="31"/>
      <c r="K6" s="59" t="s">
        <v>11</v>
      </c>
      <c r="L6" s="68">
        <v>54.51</v>
      </c>
    </row>
    <row r="7" spans="1:12" ht="15.75" x14ac:dyDescent="0.25">
      <c r="A7" s="32" t="s">
        <v>58</v>
      </c>
      <c r="B7" s="30">
        <v>1</v>
      </c>
      <c r="C7" s="30">
        <v>1</v>
      </c>
      <c r="D7" s="30">
        <f>B7*C7</f>
        <v>1</v>
      </c>
      <c r="E7" s="30">
        <v>36</v>
      </c>
      <c r="F7" s="30">
        <f>D7*E7</f>
        <v>36</v>
      </c>
      <c r="G7" s="30">
        <f>F7*0.05</f>
        <v>1.8</v>
      </c>
      <c r="H7" s="30">
        <f>F7*0.1</f>
        <v>3.6</v>
      </c>
      <c r="I7" s="69">
        <f>$L$6*F7+$L$5*G7+$L$7*H7</f>
        <v>2200.7879999999996</v>
      </c>
      <c r="K7" s="59" t="s">
        <v>12</v>
      </c>
      <c r="L7" s="68">
        <v>29.5</v>
      </c>
    </row>
    <row r="8" spans="1:12" x14ac:dyDescent="0.25">
      <c r="A8" s="32" t="s">
        <v>59</v>
      </c>
      <c r="B8" s="30" t="s">
        <v>55</v>
      </c>
      <c r="C8" s="30"/>
      <c r="D8" s="30"/>
      <c r="E8" s="30"/>
      <c r="F8" s="30"/>
      <c r="G8" s="30"/>
      <c r="H8" s="30"/>
      <c r="I8" s="69"/>
    </row>
    <row r="9" spans="1:12" x14ac:dyDescent="0.25">
      <c r="A9" s="32" t="s">
        <v>60</v>
      </c>
      <c r="B9" s="30" t="s">
        <v>61</v>
      </c>
      <c r="C9" s="30"/>
      <c r="D9" s="30"/>
      <c r="E9" s="30"/>
      <c r="F9" s="30"/>
      <c r="G9" s="30"/>
      <c r="H9" s="30"/>
      <c r="I9" s="69"/>
    </row>
    <row r="10" spans="1:12" x14ac:dyDescent="0.25">
      <c r="A10" s="32" t="s">
        <v>62</v>
      </c>
      <c r="B10" s="30" t="s">
        <v>61</v>
      </c>
      <c r="C10" s="30"/>
      <c r="D10" s="30"/>
      <c r="E10" s="30"/>
      <c r="F10" s="30"/>
      <c r="G10" s="30"/>
      <c r="H10" s="30"/>
      <c r="I10" s="69"/>
    </row>
    <row r="11" spans="1:12" x14ac:dyDescent="0.25">
      <c r="A11" s="32" t="s">
        <v>63</v>
      </c>
      <c r="B11" s="30"/>
      <c r="C11" s="30"/>
      <c r="D11" s="30"/>
      <c r="E11" s="30"/>
      <c r="F11" s="30"/>
      <c r="G11" s="30"/>
      <c r="H11" s="30"/>
      <c r="I11" s="69"/>
    </row>
    <row r="12" spans="1:12" x14ac:dyDescent="0.25">
      <c r="A12" s="33" t="s">
        <v>64</v>
      </c>
      <c r="B12" s="30">
        <v>2</v>
      </c>
      <c r="C12" s="30">
        <v>1</v>
      </c>
      <c r="D12" s="30">
        <f t="shared" ref="D12:D36" si="0">B12*C12</f>
        <v>2</v>
      </c>
      <c r="E12" s="30">
        <v>0</v>
      </c>
      <c r="F12" s="30">
        <f t="shared" ref="F12:F21" si="1">D12*E12</f>
        <v>0</v>
      </c>
      <c r="G12" s="30">
        <f t="shared" ref="G12:G21" si="2">F12*0.05</f>
        <v>0</v>
      </c>
      <c r="H12" s="30">
        <f t="shared" ref="H12:H21" si="3">F12*0.1</f>
        <v>0</v>
      </c>
      <c r="I12" s="70">
        <f t="shared" ref="I12:I17" si="4">$L$6*F12+$L$5*G12+$L$7*H12</f>
        <v>0</v>
      </c>
    </row>
    <row r="13" spans="1:12" ht="15.75" x14ac:dyDescent="0.25">
      <c r="A13" s="33" t="s">
        <v>65</v>
      </c>
      <c r="B13" s="30">
        <v>8</v>
      </c>
      <c r="C13" s="30">
        <v>1</v>
      </c>
      <c r="D13" s="30">
        <f t="shared" si="0"/>
        <v>8</v>
      </c>
      <c r="E13" s="30">
        <f>ROUND(E7*0.05,0)</f>
        <v>2</v>
      </c>
      <c r="F13" s="30">
        <f t="shared" si="1"/>
        <v>16</v>
      </c>
      <c r="G13" s="30">
        <f t="shared" si="2"/>
        <v>0.8</v>
      </c>
      <c r="H13" s="30">
        <f t="shared" si="3"/>
        <v>1.6</v>
      </c>
      <c r="I13" s="69">
        <f t="shared" si="4"/>
        <v>978.12800000000004</v>
      </c>
    </row>
    <row r="14" spans="1:12" x14ac:dyDescent="0.25">
      <c r="A14" s="33" t="s">
        <v>66</v>
      </c>
      <c r="B14" s="30">
        <v>2</v>
      </c>
      <c r="C14" s="30">
        <v>1</v>
      </c>
      <c r="D14" s="30">
        <f t="shared" si="0"/>
        <v>2</v>
      </c>
      <c r="E14" s="30">
        <v>0</v>
      </c>
      <c r="F14" s="30">
        <f t="shared" si="1"/>
        <v>0</v>
      </c>
      <c r="G14" s="30">
        <f t="shared" si="2"/>
        <v>0</v>
      </c>
      <c r="H14" s="30">
        <f t="shared" si="3"/>
        <v>0</v>
      </c>
      <c r="I14" s="70">
        <f t="shared" si="4"/>
        <v>0</v>
      </c>
    </row>
    <row r="15" spans="1:12" x14ac:dyDescent="0.25">
      <c r="A15" s="33" t="s">
        <v>67</v>
      </c>
      <c r="B15" s="30">
        <v>2</v>
      </c>
      <c r="C15" s="30">
        <v>1</v>
      </c>
      <c r="D15" s="30">
        <f t="shared" si="0"/>
        <v>2</v>
      </c>
      <c r="E15" s="30">
        <v>0</v>
      </c>
      <c r="F15" s="30">
        <f t="shared" si="1"/>
        <v>0</v>
      </c>
      <c r="G15" s="30">
        <f t="shared" si="2"/>
        <v>0</v>
      </c>
      <c r="H15" s="30">
        <f t="shared" si="3"/>
        <v>0</v>
      </c>
      <c r="I15" s="70">
        <f t="shared" si="4"/>
        <v>0</v>
      </c>
    </row>
    <row r="16" spans="1:12" ht="15.75" x14ac:dyDescent="0.25">
      <c r="A16" s="33" t="s">
        <v>68</v>
      </c>
      <c r="B16" s="30">
        <v>20</v>
      </c>
      <c r="C16" s="30">
        <v>1</v>
      </c>
      <c r="D16" s="30">
        <f t="shared" si="0"/>
        <v>20</v>
      </c>
      <c r="E16" s="30">
        <v>36</v>
      </c>
      <c r="F16" s="34">
        <f t="shared" si="1"/>
        <v>720</v>
      </c>
      <c r="G16" s="30">
        <f t="shared" si="2"/>
        <v>36</v>
      </c>
      <c r="H16" s="30">
        <f t="shared" si="3"/>
        <v>72</v>
      </c>
      <c r="I16" s="69">
        <f t="shared" si="4"/>
        <v>44015.759999999995</v>
      </c>
    </row>
    <row r="17" spans="1:9" ht="15.75" x14ac:dyDescent="0.25">
      <c r="A17" s="33" t="s">
        <v>69</v>
      </c>
      <c r="B17" s="30">
        <v>4</v>
      </c>
      <c r="C17" s="30">
        <v>1</v>
      </c>
      <c r="D17" s="30">
        <f t="shared" si="0"/>
        <v>4</v>
      </c>
      <c r="E17" s="30">
        <f>ROUND(E7*0.1,0)</f>
        <v>4</v>
      </c>
      <c r="F17" s="30">
        <f t="shared" si="1"/>
        <v>16</v>
      </c>
      <c r="G17" s="30">
        <f t="shared" si="2"/>
        <v>0.8</v>
      </c>
      <c r="H17" s="30">
        <f t="shared" si="3"/>
        <v>1.6</v>
      </c>
      <c r="I17" s="69">
        <f t="shared" si="4"/>
        <v>978.12800000000004</v>
      </c>
    </row>
    <row r="18" spans="1:9" x14ac:dyDescent="0.25">
      <c r="A18" s="33" t="s">
        <v>70</v>
      </c>
      <c r="B18" s="30" t="s">
        <v>55</v>
      </c>
      <c r="C18" s="30"/>
      <c r="D18" s="30"/>
      <c r="E18" s="30"/>
      <c r="F18" s="30"/>
      <c r="G18" s="30"/>
      <c r="H18" s="30"/>
      <c r="I18" s="69"/>
    </row>
    <row r="19" spans="1:9" x14ac:dyDescent="0.25">
      <c r="A19" s="33" t="s">
        <v>71</v>
      </c>
      <c r="B19" s="30" t="s">
        <v>55</v>
      </c>
      <c r="C19" s="30"/>
      <c r="D19" s="30"/>
      <c r="E19" s="30"/>
      <c r="F19" s="30"/>
      <c r="G19" s="30"/>
      <c r="H19" s="30"/>
      <c r="I19" s="69"/>
    </row>
    <row r="20" spans="1:9" x14ac:dyDescent="0.25">
      <c r="A20" s="33" t="s">
        <v>72</v>
      </c>
      <c r="B20" s="30" t="s">
        <v>55</v>
      </c>
      <c r="C20" s="30"/>
      <c r="D20" s="30"/>
      <c r="E20" s="30"/>
      <c r="F20" s="30"/>
      <c r="G20" s="30"/>
      <c r="H20" s="30"/>
      <c r="I20" s="69"/>
    </row>
    <row r="21" spans="1:9" ht="28.5" x14ac:dyDescent="0.25">
      <c r="A21" s="35" t="s">
        <v>73</v>
      </c>
      <c r="B21" s="30">
        <v>12</v>
      </c>
      <c r="C21" s="30">
        <v>2</v>
      </c>
      <c r="D21" s="30">
        <f t="shared" si="0"/>
        <v>24</v>
      </c>
      <c r="E21" s="30">
        <f>ROUND(E7*0.8,0)</f>
        <v>29</v>
      </c>
      <c r="F21" s="34">
        <f t="shared" si="1"/>
        <v>696</v>
      </c>
      <c r="G21" s="30">
        <f t="shared" si="2"/>
        <v>34.800000000000004</v>
      </c>
      <c r="H21" s="30">
        <f t="shared" si="3"/>
        <v>69.600000000000009</v>
      </c>
      <c r="I21" s="69">
        <f>$L$6*F21+$L$5*G21+$L$7*H21</f>
        <v>42548.567999999999</v>
      </c>
    </row>
    <row r="22" spans="1:9" s="39" customFormat="1" x14ac:dyDescent="0.25">
      <c r="A22" s="36" t="s">
        <v>74</v>
      </c>
      <c r="B22" s="37"/>
      <c r="C22" s="37"/>
      <c r="D22" s="37"/>
      <c r="E22" s="37"/>
      <c r="F22" s="83">
        <f>SUM(F4:H21)</f>
        <v>1706.5999999999997</v>
      </c>
      <c r="G22" s="83"/>
      <c r="H22" s="83"/>
      <c r="I22" s="38">
        <f>SUM(I4:I21)</f>
        <v>90721.371999999988</v>
      </c>
    </row>
    <row r="23" spans="1:9" x14ac:dyDescent="0.25">
      <c r="A23" s="29" t="s">
        <v>75</v>
      </c>
      <c r="B23" s="30"/>
      <c r="C23" s="30"/>
      <c r="D23" s="30"/>
      <c r="E23" s="30"/>
      <c r="F23" s="30"/>
      <c r="G23" s="30"/>
      <c r="H23" s="30"/>
      <c r="I23" s="31"/>
    </row>
    <row r="24" spans="1:9" x14ac:dyDescent="0.25">
      <c r="A24" s="32" t="s">
        <v>76</v>
      </c>
      <c r="B24" s="30" t="s">
        <v>77</v>
      </c>
      <c r="C24" s="30"/>
      <c r="D24" s="30"/>
      <c r="E24" s="30"/>
      <c r="F24" s="30"/>
      <c r="G24" s="30"/>
      <c r="H24" s="30"/>
      <c r="I24" s="31"/>
    </row>
    <row r="25" spans="1:9" x14ac:dyDescent="0.25">
      <c r="A25" s="32" t="s">
        <v>78</v>
      </c>
      <c r="B25" s="30">
        <v>4</v>
      </c>
      <c r="C25" s="30">
        <v>1</v>
      </c>
      <c r="D25" s="30">
        <f t="shared" si="0"/>
        <v>4</v>
      </c>
      <c r="E25" s="30">
        <v>36</v>
      </c>
      <c r="F25" s="30">
        <f>D25*E25</f>
        <v>144</v>
      </c>
      <c r="G25" s="30">
        <f t="shared" ref="G25:G36" si="5">F25*0.05</f>
        <v>7.2</v>
      </c>
      <c r="H25" s="30">
        <f>F25*0.1</f>
        <v>14.4</v>
      </c>
      <c r="I25" s="69">
        <f>$L$6*F25+$L$5*G25+$L$7*H25</f>
        <v>8803.1519999999982</v>
      </c>
    </row>
    <row r="26" spans="1:9" x14ac:dyDescent="0.25">
      <c r="A26" s="32" t="s">
        <v>79</v>
      </c>
      <c r="B26" s="30"/>
      <c r="C26" s="30"/>
      <c r="D26" s="30"/>
      <c r="E26" s="30"/>
      <c r="F26" s="30"/>
      <c r="G26" s="30"/>
      <c r="H26" s="30"/>
      <c r="I26" s="69"/>
    </row>
    <row r="27" spans="1:9" x14ac:dyDescent="0.25">
      <c r="A27" s="33" t="s">
        <v>80</v>
      </c>
      <c r="B27" s="30">
        <v>4</v>
      </c>
      <c r="C27" s="30">
        <v>2</v>
      </c>
      <c r="D27" s="30">
        <f t="shared" si="0"/>
        <v>8</v>
      </c>
      <c r="E27" s="30">
        <v>36</v>
      </c>
      <c r="F27" s="30">
        <f t="shared" ref="F27:F36" si="6">D27*E27</f>
        <v>288</v>
      </c>
      <c r="G27" s="30">
        <f t="shared" si="5"/>
        <v>14.4</v>
      </c>
      <c r="H27" s="30">
        <f t="shared" ref="H27:H36" si="7">F27*0.1</f>
        <v>28.8</v>
      </c>
      <c r="I27" s="69">
        <f t="shared" ref="I27:I32" si="8">$L$6*F27+$L$5*G27+$L$7*H27</f>
        <v>17606.303999999996</v>
      </c>
    </row>
    <row r="28" spans="1:9" ht="28.5" x14ac:dyDescent="0.25">
      <c r="A28" s="35" t="s">
        <v>81</v>
      </c>
      <c r="B28" s="30">
        <v>4</v>
      </c>
      <c r="C28" s="30">
        <v>1</v>
      </c>
      <c r="D28" s="30">
        <f t="shared" si="0"/>
        <v>4</v>
      </c>
      <c r="E28" s="30">
        <f>ROUND(E7*0.3,0)</f>
        <v>11</v>
      </c>
      <c r="F28" s="30">
        <f t="shared" si="6"/>
        <v>44</v>
      </c>
      <c r="G28" s="30">
        <f t="shared" si="5"/>
        <v>2.2000000000000002</v>
      </c>
      <c r="H28" s="30">
        <f t="shared" si="7"/>
        <v>4.4000000000000004</v>
      </c>
      <c r="I28" s="69">
        <f t="shared" si="8"/>
        <v>2689.8520000000003</v>
      </c>
    </row>
    <row r="29" spans="1:9" ht="15.75" x14ac:dyDescent="0.25">
      <c r="A29" s="33" t="s">
        <v>82</v>
      </c>
      <c r="B29" s="30">
        <v>1</v>
      </c>
      <c r="C29" s="30">
        <v>12</v>
      </c>
      <c r="D29" s="30">
        <f t="shared" si="0"/>
        <v>12</v>
      </c>
      <c r="E29" s="30">
        <f>ROUND(E7*0.9,0)</f>
        <v>32</v>
      </c>
      <c r="F29" s="34">
        <f t="shared" si="6"/>
        <v>384</v>
      </c>
      <c r="G29" s="30">
        <f t="shared" si="5"/>
        <v>19.200000000000003</v>
      </c>
      <c r="H29" s="30">
        <f t="shared" si="7"/>
        <v>38.400000000000006</v>
      </c>
      <c r="I29" s="69">
        <f t="shared" si="8"/>
        <v>23475.072</v>
      </c>
    </row>
    <row r="30" spans="1:9" ht="15.75" x14ac:dyDescent="0.25">
      <c r="A30" s="33" t="s">
        <v>83</v>
      </c>
      <c r="B30" s="30">
        <v>0.5</v>
      </c>
      <c r="C30" s="30">
        <v>12</v>
      </c>
      <c r="D30" s="30">
        <f t="shared" si="0"/>
        <v>6</v>
      </c>
      <c r="E30" s="30">
        <f>ROUND(E7*0.7,0)</f>
        <v>25</v>
      </c>
      <c r="F30" s="30">
        <f t="shared" si="6"/>
        <v>150</v>
      </c>
      <c r="G30" s="30">
        <f t="shared" si="5"/>
        <v>7.5</v>
      </c>
      <c r="H30" s="30">
        <f t="shared" si="7"/>
        <v>15</v>
      </c>
      <c r="I30" s="69">
        <f t="shared" si="8"/>
        <v>9169.9500000000007</v>
      </c>
    </row>
    <row r="31" spans="1:9" ht="15.75" x14ac:dyDescent="0.25">
      <c r="A31" s="33" t="s">
        <v>84</v>
      </c>
      <c r="B31" s="30">
        <v>1</v>
      </c>
      <c r="C31" s="30">
        <v>6</v>
      </c>
      <c r="D31" s="30">
        <f t="shared" si="0"/>
        <v>6</v>
      </c>
      <c r="E31" s="30">
        <f>ROUND(E7*0.2,0)</f>
        <v>7</v>
      </c>
      <c r="F31" s="30">
        <f t="shared" si="6"/>
        <v>42</v>
      </c>
      <c r="G31" s="30">
        <f t="shared" si="5"/>
        <v>2.1</v>
      </c>
      <c r="H31" s="30">
        <f t="shared" si="7"/>
        <v>4.2</v>
      </c>
      <c r="I31" s="69">
        <f t="shared" si="8"/>
        <v>2567.5860000000002</v>
      </c>
    </row>
    <row r="32" spans="1:9" ht="15.75" x14ac:dyDescent="0.25">
      <c r="A32" s="32" t="s">
        <v>85</v>
      </c>
      <c r="B32" s="30">
        <v>20</v>
      </c>
      <c r="C32" s="30">
        <v>1</v>
      </c>
      <c r="D32" s="30">
        <f t="shared" si="0"/>
        <v>20</v>
      </c>
      <c r="E32" s="30">
        <v>36</v>
      </c>
      <c r="F32" s="34">
        <f t="shared" si="6"/>
        <v>720</v>
      </c>
      <c r="G32" s="30">
        <f t="shared" si="5"/>
        <v>36</v>
      </c>
      <c r="H32" s="30">
        <f t="shared" si="7"/>
        <v>72</v>
      </c>
      <c r="I32" s="69">
        <f t="shared" si="8"/>
        <v>44015.759999999995</v>
      </c>
    </row>
    <row r="33" spans="1:10" x14ac:dyDescent="0.25">
      <c r="A33" s="32" t="s">
        <v>86</v>
      </c>
      <c r="B33" s="30"/>
      <c r="C33" s="30"/>
      <c r="D33" s="30"/>
      <c r="E33" s="30"/>
      <c r="F33" s="30"/>
      <c r="G33" s="30"/>
      <c r="H33" s="30"/>
      <c r="I33" s="69"/>
    </row>
    <row r="34" spans="1:10" ht="25.5" x14ac:dyDescent="0.25">
      <c r="A34" s="35" t="s">
        <v>87</v>
      </c>
      <c r="B34" s="30" t="s">
        <v>88</v>
      </c>
      <c r="C34" s="30"/>
      <c r="D34" s="30"/>
      <c r="E34" s="30"/>
      <c r="F34" s="30"/>
      <c r="G34" s="30"/>
      <c r="H34" s="30"/>
      <c r="I34" s="69"/>
    </row>
    <row r="35" spans="1:10" ht="15.75" x14ac:dyDescent="0.25">
      <c r="A35" s="32" t="s">
        <v>89</v>
      </c>
      <c r="B35" s="30">
        <v>4</v>
      </c>
      <c r="C35" s="30">
        <v>50</v>
      </c>
      <c r="D35" s="30">
        <f t="shared" si="0"/>
        <v>200</v>
      </c>
      <c r="E35" s="30">
        <v>36</v>
      </c>
      <c r="F35" s="34">
        <f t="shared" si="6"/>
        <v>7200</v>
      </c>
      <c r="G35" s="34">
        <f t="shared" si="5"/>
        <v>360</v>
      </c>
      <c r="H35" s="34">
        <f t="shared" si="7"/>
        <v>720</v>
      </c>
      <c r="I35" s="69">
        <f>$L$6*F35+$L$5*G35+$L$7*H35</f>
        <v>440157.6</v>
      </c>
    </row>
    <row r="36" spans="1:10" x14ac:dyDescent="0.25">
      <c r="A36" s="32" t="s">
        <v>90</v>
      </c>
      <c r="B36" s="30">
        <v>20</v>
      </c>
      <c r="C36" s="30">
        <v>1</v>
      </c>
      <c r="D36" s="30">
        <f t="shared" si="0"/>
        <v>20</v>
      </c>
      <c r="E36" s="30">
        <v>36</v>
      </c>
      <c r="F36" s="34">
        <f t="shared" si="6"/>
        <v>720</v>
      </c>
      <c r="G36" s="30">
        <f t="shared" si="5"/>
        <v>36</v>
      </c>
      <c r="H36" s="30">
        <f t="shared" si="7"/>
        <v>72</v>
      </c>
      <c r="I36" s="69">
        <f>$L$6*F36+$L$5*G36+$L$7*H36</f>
        <v>44015.759999999995</v>
      </c>
    </row>
    <row r="37" spans="1:10" s="39" customFormat="1" x14ac:dyDescent="0.25">
      <c r="A37" s="36" t="s">
        <v>91</v>
      </c>
      <c r="B37" s="37"/>
      <c r="C37" s="37"/>
      <c r="D37" s="37"/>
      <c r="E37" s="37"/>
      <c r="F37" s="83">
        <f>SUM(F23:H36)</f>
        <v>11145.8</v>
      </c>
      <c r="G37" s="83"/>
      <c r="H37" s="83"/>
      <c r="I37" s="38">
        <f>SUM(I23:I36)</f>
        <v>592501.03599999996</v>
      </c>
    </row>
    <row r="38" spans="1:10" ht="15.75" x14ac:dyDescent="0.25">
      <c r="A38" s="41" t="s">
        <v>202</v>
      </c>
      <c r="B38" s="41"/>
      <c r="C38" s="41"/>
      <c r="D38" s="41"/>
      <c r="E38" s="42"/>
      <c r="F38" s="84">
        <f>ROUND(F22+F37,-2)</f>
        <v>12900</v>
      </c>
      <c r="G38" s="84"/>
      <c r="H38" s="84"/>
      <c r="I38" s="43">
        <f>ROUND(I37+I22,-3)</f>
        <v>683000</v>
      </c>
    </row>
    <row r="39" spans="1:10" ht="15.75" x14ac:dyDescent="0.25">
      <c r="A39" s="41" t="s">
        <v>203</v>
      </c>
      <c r="B39" s="76"/>
      <c r="C39" s="76"/>
      <c r="D39" s="76"/>
      <c r="E39" s="76"/>
      <c r="F39" s="76"/>
      <c r="G39" s="76"/>
      <c r="H39" s="76"/>
      <c r="I39" s="45">
        <f>'Capital O&amp;M'!G10</f>
        <v>55900</v>
      </c>
    </row>
    <row r="40" spans="1:10" ht="15.75" x14ac:dyDescent="0.25">
      <c r="A40" s="41" t="s">
        <v>204</v>
      </c>
      <c r="B40" s="76"/>
      <c r="C40" s="76"/>
      <c r="D40" s="76"/>
      <c r="E40" s="76"/>
      <c r="F40" s="76"/>
      <c r="G40" s="76"/>
      <c r="H40" s="76"/>
      <c r="I40" s="45">
        <f>ROUND(I38+I39,-3)</f>
        <v>739000</v>
      </c>
    </row>
    <row r="42" spans="1:10" x14ac:dyDescent="0.25">
      <c r="A42" s="46" t="s">
        <v>14</v>
      </c>
    </row>
    <row r="43" spans="1:10" ht="38.25" customHeight="1" x14ac:dyDescent="0.25">
      <c r="A43" s="80" t="s">
        <v>95</v>
      </c>
      <c r="B43" s="80"/>
      <c r="C43" s="80"/>
      <c r="D43" s="80"/>
      <c r="E43" s="80"/>
      <c r="F43" s="80"/>
      <c r="G43" s="80"/>
      <c r="H43" s="80"/>
      <c r="I43" s="80"/>
      <c r="J43" s="80"/>
    </row>
    <row r="44" spans="1:10" ht="46.15" customHeight="1" x14ac:dyDescent="0.25">
      <c r="A44" s="80" t="s">
        <v>268</v>
      </c>
      <c r="B44" s="80"/>
      <c r="C44" s="80"/>
      <c r="D44" s="80"/>
      <c r="E44" s="80"/>
      <c r="F44" s="80"/>
      <c r="G44" s="80"/>
      <c r="H44" s="80"/>
      <c r="I44" s="80"/>
      <c r="J44" s="80"/>
    </row>
    <row r="45" spans="1:10" ht="15.75" x14ac:dyDescent="0.25">
      <c r="A45" s="47" t="s">
        <v>96</v>
      </c>
    </row>
    <row r="46" spans="1:10" ht="15.75" x14ac:dyDescent="0.25">
      <c r="A46" s="47" t="s">
        <v>205</v>
      </c>
    </row>
    <row r="47" spans="1:10" ht="15.75" x14ac:dyDescent="0.25">
      <c r="A47" s="47" t="s">
        <v>98</v>
      </c>
    </row>
    <row r="48" spans="1:10" ht="15.75" x14ac:dyDescent="0.25">
      <c r="A48" s="47" t="s">
        <v>206</v>
      </c>
    </row>
    <row r="49" spans="1:10" ht="15.75" x14ac:dyDescent="0.25">
      <c r="A49" s="47" t="s">
        <v>207</v>
      </c>
    </row>
    <row r="50" spans="1:10" ht="15.75" x14ac:dyDescent="0.25">
      <c r="A50" s="47" t="s">
        <v>208</v>
      </c>
    </row>
    <row r="51" spans="1:10" ht="15.75" x14ac:dyDescent="0.25">
      <c r="A51" s="47" t="s">
        <v>209</v>
      </c>
    </row>
    <row r="52" spans="1:10" ht="15.75" x14ac:dyDescent="0.25">
      <c r="A52" s="47" t="s">
        <v>210</v>
      </c>
    </row>
    <row r="53" spans="1:10" ht="15.75" x14ac:dyDescent="0.25">
      <c r="A53" s="47" t="s">
        <v>211</v>
      </c>
    </row>
    <row r="54" spans="1:10" ht="15.75" x14ac:dyDescent="0.25">
      <c r="A54" s="47" t="s">
        <v>105</v>
      </c>
    </row>
    <row r="55" spans="1:10" ht="15.75" x14ac:dyDescent="0.25">
      <c r="A55" s="47" t="s">
        <v>106</v>
      </c>
    </row>
    <row r="56" spans="1:10" ht="15.75" x14ac:dyDescent="0.25">
      <c r="A56" s="47" t="s">
        <v>107</v>
      </c>
    </row>
    <row r="57" spans="1:10" ht="25.5" customHeight="1" x14ac:dyDescent="0.25">
      <c r="A57" s="80" t="s">
        <v>212</v>
      </c>
      <c r="B57" s="80"/>
      <c r="C57" s="80"/>
      <c r="D57" s="80"/>
      <c r="E57" s="80"/>
      <c r="F57" s="80"/>
      <c r="G57" s="80"/>
      <c r="H57" s="80"/>
      <c r="I57" s="80"/>
      <c r="J57" s="80"/>
    </row>
  </sheetData>
  <mergeCells count="7">
    <mergeCell ref="A57:J57"/>
    <mergeCell ref="K4:L4"/>
    <mergeCell ref="F22:H22"/>
    <mergeCell ref="F37:H37"/>
    <mergeCell ref="F38:H38"/>
    <mergeCell ref="A43:J43"/>
    <mergeCell ref="A44:J4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8370-5352-467B-A577-546A7B65CCBD}">
  <dimension ref="A1:L56"/>
  <sheetViews>
    <sheetView workbookViewId="0">
      <selection activeCell="A2" sqref="A2"/>
    </sheetView>
  </sheetViews>
  <sheetFormatPr defaultColWidth="8.85546875" defaultRowHeight="15" x14ac:dyDescent="0.25"/>
  <cols>
    <col min="1" max="1" width="61.85546875" customWidth="1"/>
    <col min="2" max="2" width="11.28515625" customWidth="1"/>
    <col min="3" max="3" width="11" customWidth="1"/>
    <col min="4" max="4" width="9.28515625" customWidth="1"/>
    <col min="5" max="5" width="11" customWidth="1"/>
    <col min="7" max="7" width="11.42578125" customWidth="1"/>
    <col min="9" max="9" width="14.5703125" customWidth="1"/>
    <col min="11" max="11" width="13.7109375" customWidth="1"/>
  </cols>
  <sheetData>
    <row r="1" spans="1:12" x14ac:dyDescent="0.25">
      <c r="A1" s="18" t="s">
        <v>213</v>
      </c>
    </row>
    <row r="3" spans="1:12" ht="99.75" customHeight="1" x14ac:dyDescent="0.25">
      <c r="A3" s="17" t="s">
        <v>15</v>
      </c>
      <c r="B3" s="17" t="s">
        <v>48</v>
      </c>
      <c r="C3" s="17" t="s">
        <v>16</v>
      </c>
      <c r="D3" s="17" t="s">
        <v>8</v>
      </c>
      <c r="E3" s="17" t="s">
        <v>49</v>
      </c>
      <c r="F3" s="17" t="s">
        <v>50</v>
      </c>
      <c r="G3" s="17" t="s">
        <v>51</v>
      </c>
      <c r="H3" s="17" t="s">
        <v>52</v>
      </c>
      <c r="I3" s="17" t="s">
        <v>53</v>
      </c>
    </row>
    <row r="4" spans="1:12" x14ac:dyDescent="0.25">
      <c r="A4" s="71" t="s">
        <v>54</v>
      </c>
      <c r="B4" s="6" t="s">
        <v>55</v>
      </c>
      <c r="C4" s="6"/>
      <c r="D4" s="6"/>
      <c r="E4" s="6"/>
      <c r="F4" s="6"/>
      <c r="G4" s="6"/>
      <c r="H4" s="6"/>
      <c r="I4" s="48"/>
      <c r="K4" s="103" t="s">
        <v>9</v>
      </c>
      <c r="L4" s="104"/>
    </row>
    <row r="5" spans="1:12" x14ac:dyDescent="0.25">
      <c r="A5" s="71" t="s">
        <v>56</v>
      </c>
      <c r="B5" s="6" t="s">
        <v>55</v>
      </c>
      <c r="C5" s="6"/>
      <c r="D5" s="6"/>
      <c r="E5" s="6"/>
      <c r="F5" s="6"/>
      <c r="G5" s="6"/>
      <c r="H5" s="6"/>
      <c r="I5" s="48"/>
      <c r="K5" s="59" t="s">
        <v>10</v>
      </c>
      <c r="L5" s="68">
        <v>73.459999999999994</v>
      </c>
    </row>
    <row r="6" spans="1:12" x14ac:dyDescent="0.25">
      <c r="A6" s="71" t="s">
        <v>57</v>
      </c>
      <c r="B6" s="6"/>
      <c r="C6" s="6"/>
      <c r="D6" s="6"/>
      <c r="E6" s="6"/>
      <c r="F6" s="6"/>
      <c r="G6" s="6"/>
      <c r="H6" s="6"/>
      <c r="I6" s="48"/>
      <c r="K6" s="59" t="s">
        <v>11</v>
      </c>
      <c r="L6" s="68">
        <v>54.51</v>
      </c>
    </row>
    <row r="7" spans="1:12" ht="15.75" x14ac:dyDescent="0.25">
      <c r="A7" s="32" t="s">
        <v>58</v>
      </c>
      <c r="B7" s="6">
        <v>1</v>
      </c>
      <c r="C7" s="6">
        <v>1</v>
      </c>
      <c r="D7" s="30">
        <f>B7*C7</f>
        <v>1</v>
      </c>
      <c r="E7" s="30">
        <v>36</v>
      </c>
      <c r="F7" s="30">
        <f>D7*E7</f>
        <v>36</v>
      </c>
      <c r="G7" s="30">
        <f>F7*0.05</f>
        <v>1.8</v>
      </c>
      <c r="H7" s="30">
        <f>F7*0.1</f>
        <v>3.6</v>
      </c>
      <c r="I7" s="49">
        <f>$L$6*F7+$L$5*G7+$L$7*H7</f>
        <v>2200.7879999999996</v>
      </c>
      <c r="K7" s="59" t="s">
        <v>12</v>
      </c>
      <c r="L7" s="68">
        <v>29.5</v>
      </c>
    </row>
    <row r="8" spans="1:12" x14ac:dyDescent="0.25">
      <c r="A8" s="72" t="s">
        <v>59</v>
      </c>
      <c r="B8" s="6"/>
      <c r="C8" s="6"/>
      <c r="D8" s="30"/>
      <c r="E8" s="6"/>
      <c r="F8" s="30"/>
      <c r="G8" s="30"/>
      <c r="H8" s="30"/>
      <c r="I8" s="48"/>
    </row>
    <row r="9" spans="1:12" ht="15.75" x14ac:dyDescent="0.25">
      <c r="A9" s="73" t="s">
        <v>110</v>
      </c>
      <c r="B9" s="6">
        <v>280</v>
      </c>
      <c r="C9" s="6">
        <v>1</v>
      </c>
      <c r="D9" s="30">
        <f t="shared" ref="D9:D37" si="0">B9*C9</f>
        <v>280</v>
      </c>
      <c r="E9" s="6">
        <v>1</v>
      </c>
      <c r="F9" s="30">
        <f t="shared" ref="F9:F23" si="1">D9*E9</f>
        <v>280</v>
      </c>
      <c r="G9" s="30">
        <f t="shared" ref="G9:G23" si="2">F9*0.05</f>
        <v>14</v>
      </c>
      <c r="H9" s="30">
        <f t="shared" ref="H9:H23" si="3">F9*0.1</f>
        <v>28</v>
      </c>
      <c r="I9" s="49">
        <f>$L$6*F9+$L$5*G9+$L$7*H9</f>
        <v>17117.239999999998</v>
      </c>
    </row>
    <row r="10" spans="1:12" ht="15.75" x14ac:dyDescent="0.25">
      <c r="A10" s="73" t="s">
        <v>111</v>
      </c>
      <c r="B10" s="6">
        <v>280</v>
      </c>
      <c r="C10" s="6">
        <v>1</v>
      </c>
      <c r="D10" s="30">
        <f t="shared" si="0"/>
        <v>280</v>
      </c>
      <c r="E10" s="6">
        <f>ROUND(E9*0.2,0)</f>
        <v>0</v>
      </c>
      <c r="F10" s="30">
        <f t="shared" si="1"/>
        <v>0</v>
      </c>
      <c r="G10" s="30">
        <f t="shared" si="2"/>
        <v>0</v>
      </c>
      <c r="H10" s="30">
        <f t="shared" si="3"/>
        <v>0</v>
      </c>
      <c r="I10" s="48">
        <f>$L$6*F10+$L$5*G10+$L$7*H10</f>
        <v>0</v>
      </c>
    </row>
    <row r="11" spans="1:12" x14ac:dyDescent="0.25">
      <c r="A11" s="72" t="s">
        <v>60</v>
      </c>
      <c r="B11" s="6" t="s">
        <v>61</v>
      </c>
      <c r="C11" s="6"/>
      <c r="D11" s="30"/>
      <c r="E11" s="6"/>
      <c r="F11" s="30"/>
      <c r="G11" s="30"/>
      <c r="H11" s="30"/>
      <c r="I11" s="48"/>
    </row>
    <row r="12" spans="1:12" x14ac:dyDescent="0.25">
      <c r="A12" s="72" t="s">
        <v>62</v>
      </c>
      <c r="B12" s="6" t="s">
        <v>61</v>
      </c>
      <c r="C12" s="6"/>
      <c r="D12" s="30"/>
      <c r="E12" s="6"/>
      <c r="F12" s="30"/>
      <c r="G12" s="30"/>
      <c r="H12" s="30"/>
      <c r="I12" s="48"/>
    </row>
    <row r="13" spans="1:12" x14ac:dyDescent="0.25">
      <c r="A13" s="72" t="s">
        <v>63</v>
      </c>
      <c r="B13" s="6"/>
      <c r="C13" s="6"/>
      <c r="D13" s="30"/>
      <c r="E13" s="6"/>
      <c r="F13" s="30"/>
      <c r="G13" s="30"/>
      <c r="H13" s="30"/>
      <c r="I13" s="48"/>
    </row>
    <row r="14" spans="1:12" x14ac:dyDescent="0.25">
      <c r="A14" s="73" t="s">
        <v>64</v>
      </c>
      <c r="B14" s="6">
        <v>2</v>
      </c>
      <c r="C14" s="6">
        <v>1</v>
      </c>
      <c r="D14" s="30">
        <f t="shared" si="0"/>
        <v>2</v>
      </c>
      <c r="E14" s="6">
        <v>0</v>
      </c>
      <c r="F14" s="30">
        <f t="shared" si="1"/>
        <v>0</v>
      </c>
      <c r="G14" s="30">
        <f t="shared" si="2"/>
        <v>0</v>
      </c>
      <c r="H14" s="30">
        <f t="shared" si="3"/>
        <v>0</v>
      </c>
      <c r="I14" s="48">
        <f t="shared" ref="I14:I19" si="4">$L$6*F14+$L$5*G14+$L$7*H14</f>
        <v>0</v>
      </c>
    </row>
    <row r="15" spans="1:12" ht="15.75" x14ac:dyDescent="0.25">
      <c r="A15" s="73" t="s">
        <v>112</v>
      </c>
      <c r="B15" s="6">
        <v>8</v>
      </c>
      <c r="C15" s="6">
        <v>1</v>
      </c>
      <c r="D15" s="30">
        <f t="shared" si="0"/>
        <v>8</v>
      </c>
      <c r="E15" s="6">
        <f>ROUND(E7*0.05,0)</f>
        <v>2</v>
      </c>
      <c r="F15" s="30">
        <f t="shared" si="1"/>
        <v>16</v>
      </c>
      <c r="G15" s="30">
        <f t="shared" si="2"/>
        <v>0.8</v>
      </c>
      <c r="H15" s="30">
        <f t="shared" si="3"/>
        <v>1.6</v>
      </c>
      <c r="I15" s="49">
        <f t="shared" si="4"/>
        <v>978.12800000000004</v>
      </c>
    </row>
    <row r="16" spans="1:12" x14ac:dyDescent="0.25">
      <c r="A16" s="73" t="s">
        <v>66</v>
      </c>
      <c r="B16" s="6">
        <v>2</v>
      </c>
      <c r="C16" s="6">
        <v>1</v>
      </c>
      <c r="D16" s="30">
        <f t="shared" si="0"/>
        <v>2</v>
      </c>
      <c r="E16" s="6">
        <v>0</v>
      </c>
      <c r="F16" s="30">
        <f t="shared" si="1"/>
        <v>0</v>
      </c>
      <c r="G16" s="30">
        <f t="shared" si="2"/>
        <v>0</v>
      </c>
      <c r="H16" s="30">
        <f t="shared" si="3"/>
        <v>0</v>
      </c>
      <c r="I16" s="48">
        <f t="shared" si="4"/>
        <v>0</v>
      </c>
    </row>
    <row r="17" spans="1:9" x14ac:dyDescent="0.25">
      <c r="A17" s="73" t="s">
        <v>67</v>
      </c>
      <c r="B17" s="6">
        <v>2</v>
      </c>
      <c r="C17" s="6">
        <v>1</v>
      </c>
      <c r="D17" s="30">
        <f t="shared" si="0"/>
        <v>2</v>
      </c>
      <c r="E17" s="6">
        <v>0</v>
      </c>
      <c r="F17" s="30">
        <f t="shared" si="1"/>
        <v>0</v>
      </c>
      <c r="G17" s="30">
        <f t="shared" si="2"/>
        <v>0</v>
      </c>
      <c r="H17" s="30">
        <f t="shared" si="3"/>
        <v>0</v>
      </c>
      <c r="I17" s="48">
        <f t="shared" si="4"/>
        <v>0</v>
      </c>
    </row>
    <row r="18" spans="1:9" ht="15.75" x14ac:dyDescent="0.25">
      <c r="A18" s="73" t="s">
        <v>113</v>
      </c>
      <c r="B18" s="6">
        <v>10</v>
      </c>
      <c r="C18" s="6">
        <v>1</v>
      </c>
      <c r="D18" s="30">
        <f t="shared" si="0"/>
        <v>10</v>
      </c>
      <c r="E18" s="6">
        <v>36</v>
      </c>
      <c r="F18" s="30">
        <f t="shared" si="1"/>
        <v>360</v>
      </c>
      <c r="G18" s="30">
        <f t="shared" si="2"/>
        <v>18</v>
      </c>
      <c r="H18" s="30">
        <f t="shared" si="3"/>
        <v>36</v>
      </c>
      <c r="I18" s="49">
        <f t="shared" si="4"/>
        <v>22007.879999999997</v>
      </c>
    </row>
    <row r="19" spans="1:9" ht="15.75" x14ac:dyDescent="0.25">
      <c r="A19" s="73" t="s">
        <v>114</v>
      </c>
      <c r="B19" s="6">
        <v>4</v>
      </c>
      <c r="C19" s="6">
        <v>1</v>
      </c>
      <c r="D19" s="30">
        <f t="shared" si="0"/>
        <v>4</v>
      </c>
      <c r="E19" s="6">
        <f>ROUND(E7*0.1,0)</f>
        <v>4</v>
      </c>
      <c r="F19" s="30">
        <f t="shared" si="1"/>
        <v>16</v>
      </c>
      <c r="G19" s="30">
        <f t="shared" si="2"/>
        <v>0.8</v>
      </c>
      <c r="H19" s="30">
        <f t="shared" si="3"/>
        <v>1.6</v>
      </c>
      <c r="I19" s="49">
        <f t="shared" si="4"/>
        <v>978.12800000000004</v>
      </c>
    </row>
    <row r="20" spans="1:9" x14ac:dyDescent="0.25">
      <c r="A20" s="73" t="s">
        <v>70</v>
      </c>
      <c r="B20" s="6" t="s">
        <v>115</v>
      </c>
      <c r="C20" s="6"/>
      <c r="D20" s="30"/>
      <c r="E20" s="6"/>
      <c r="F20" s="30"/>
      <c r="G20" s="30"/>
      <c r="H20" s="30"/>
      <c r="I20" s="48"/>
    </row>
    <row r="21" spans="1:9" ht="15.75" x14ac:dyDescent="0.25">
      <c r="A21" s="73" t="s">
        <v>116</v>
      </c>
      <c r="B21" s="6">
        <v>2</v>
      </c>
      <c r="C21" s="6">
        <v>1</v>
      </c>
      <c r="D21" s="30">
        <f t="shared" si="0"/>
        <v>2</v>
      </c>
      <c r="E21" s="6">
        <v>1</v>
      </c>
      <c r="F21" s="30">
        <f t="shared" si="1"/>
        <v>2</v>
      </c>
      <c r="G21" s="30">
        <f t="shared" si="2"/>
        <v>0.1</v>
      </c>
      <c r="H21" s="30">
        <f t="shared" si="3"/>
        <v>0.2</v>
      </c>
      <c r="I21" s="49">
        <f>$L$6*F21+$L$5*G21+$L$7*H21</f>
        <v>122.26600000000001</v>
      </c>
    </row>
    <row r="22" spans="1:9" x14ac:dyDescent="0.25">
      <c r="A22" s="73" t="s">
        <v>72</v>
      </c>
      <c r="B22" s="6" t="s">
        <v>115</v>
      </c>
      <c r="C22" s="6"/>
      <c r="D22" s="30"/>
      <c r="E22" s="6"/>
      <c r="F22" s="30"/>
      <c r="G22" s="30"/>
      <c r="H22" s="30"/>
      <c r="I22" s="48"/>
    </row>
    <row r="23" spans="1:9" ht="28.5" x14ac:dyDescent="0.25">
      <c r="A23" s="73" t="s">
        <v>117</v>
      </c>
      <c r="B23" s="6">
        <v>11</v>
      </c>
      <c r="C23" s="6">
        <v>2</v>
      </c>
      <c r="D23" s="30">
        <f t="shared" si="0"/>
        <v>22</v>
      </c>
      <c r="E23" s="6">
        <f>ROUND(E7*0.8,0)</f>
        <v>29</v>
      </c>
      <c r="F23" s="30">
        <f t="shared" si="1"/>
        <v>638</v>
      </c>
      <c r="G23" s="30">
        <f t="shared" si="2"/>
        <v>31.900000000000002</v>
      </c>
      <c r="H23" s="30">
        <f t="shared" si="3"/>
        <v>63.800000000000004</v>
      </c>
      <c r="I23" s="49">
        <f>$L$6*F23+$L$5*G23+$L$7*H23</f>
        <v>39002.853999999999</v>
      </c>
    </row>
    <row r="24" spans="1:9" s="39" customFormat="1" x14ac:dyDescent="0.25">
      <c r="A24" s="74" t="s">
        <v>74</v>
      </c>
      <c r="B24" s="75"/>
      <c r="C24" s="75"/>
      <c r="D24" s="37"/>
      <c r="E24" s="75"/>
      <c r="F24" s="85">
        <f>SUM(F4:H23)</f>
        <v>1550.2</v>
      </c>
      <c r="G24" s="86"/>
      <c r="H24" s="87"/>
      <c r="I24" s="50">
        <f>SUM(I4:I23)</f>
        <v>82407.283999999985</v>
      </c>
    </row>
    <row r="25" spans="1:9" x14ac:dyDescent="0.25">
      <c r="A25" s="71" t="s">
        <v>75</v>
      </c>
      <c r="B25" s="6"/>
      <c r="C25" s="6"/>
      <c r="D25" s="30"/>
      <c r="E25" s="6"/>
      <c r="F25" s="6"/>
      <c r="G25" s="6"/>
      <c r="H25" s="6"/>
      <c r="I25" s="45"/>
    </row>
    <row r="26" spans="1:9" x14ac:dyDescent="0.25">
      <c r="A26" s="32" t="s">
        <v>76</v>
      </c>
      <c r="B26" s="6" t="s">
        <v>77</v>
      </c>
      <c r="C26" s="6"/>
      <c r="D26" s="30"/>
      <c r="E26" s="6"/>
      <c r="F26" s="6"/>
      <c r="G26" s="6"/>
      <c r="H26" s="6"/>
      <c r="I26" s="45"/>
    </row>
    <row r="27" spans="1:9" x14ac:dyDescent="0.25">
      <c r="A27" s="72" t="s">
        <v>78</v>
      </c>
      <c r="B27" s="6">
        <v>4</v>
      </c>
      <c r="C27" s="6">
        <v>1</v>
      </c>
      <c r="D27" s="30">
        <f t="shared" si="0"/>
        <v>4</v>
      </c>
      <c r="E27" s="6">
        <v>36</v>
      </c>
      <c r="F27" s="30">
        <f>D27*E27</f>
        <v>144</v>
      </c>
      <c r="G27" s="30">
        <f t="shared" ref="G27:G37" si="5">F27*0.05</f>
        <v>7.2</v>
      </c>
      <c r="H27" s="30">
        <f>F27*0.1</f>
        <v>14.4</v>
      </c>
      <c r="I27" s="49">
        <f>$L$6*F27+$L$5*G27+$L$7*H27</f>
        <v>8803.1519999999982</v>
      </c>
    </row>
    <row r="28" spans="1:9" x14ac:dyDescent="0.25">
      <c r="A28" s="72" t="s">
        <v>79</v>
      </c>
      <c r="B28" s="6"/>
      <c r="C28" s="6"/>
      <c r="D28" s="30"/>
      <c r="E28" s="6"/>
      <c r="F28" s="30"/>
      <c r="G28" s="30"/>
      <c r="H28" s="30"/>
      <c r="I28" s="48"/>
    </row>
    <row r="29" spans="1:9" x14ac:dyDescent="0.25">
      <c r="A29" s="73" t="s">
        <v>118</v>
      </c>
      <c r="B29" s="6">
        <v>1</v>
      </c>
      <c r="C29" s="6">
        <v>12</v>
      </c>
      <c r="D29" s="30">
        <f t="shared" si="0"/>
        <v>12</v>
      </c>
      <c r="E29" s="6">
        <v>36</v>
      </c>
      <c r="F29" s="30">
        <f t="shared" ref="F29:F37" si="6">D29*E29</f>
        <v>432</v>
      </c>
      <c r="G29" s="30">
        <f t="shared" si="5"/>
        <v>21.6</v>
      </c>
      <c r="H29" s="30">
        <f t="shared" ref="H29:H37" si="7">F29*0.1</f>
        <v>43.2</v>
      </c>
      <c r="I29" s="49">
        <f>$L$6*F29+$L$5*G29+$L$7*H29</f>
        <v>26409.456000000002</v>
      </c>
    </row>
    <row r="30" spans="1:9" ht="15.75" x14ac:dyDescent="0.25">
      <c r="A30" s="73" t="s">
        <v>119</v>
      </c>
      <c r="B30" s="6">
        <v>1</v>
      </c>
      <c r="C30" s="6">
        <v>250</v>
      </c>
      <c r="D30" s="30">
        <f t="shared" si="0"/>
        <v>250</v>
      </c>
      <c r="E30" s="6">
        <v>4</v>
      </c>
      <c r="F30" s="34">
        <f t="shared" si="6"/>
        <v>1000</v>
      </c>
      <c r="G30" s="30">
        <f t="shared" si="5"/>
        <v>50</v>
      </c>
      <c r="H30" s="30">
        <f t="shared" si="7"/>
        <v>100</v>
      </c>
      <c r="I30" s="49">
        <f>$L$6*F30+$L$5*G30+$L$7*H30</f>
        <v>61133</v>
      </c>
    </row>
    <row r="31" spans="1:9" ht="15.75" x14ac:dyDescent="0.25">
      <c r="A31" s="73" t="s">
        <v>120</v>
      </c>
      <c r="B31" s="6">
        <v>0.5</v>
      </c>
      <c r="C31" s="6">
        <v>250</v>
      </c>
      <c r="D31" s="30">
        <f t="shared" si="0"/>
        <v>125</v>
      </c>
      <c r="E31" s="6">
        <v>1</v>
      </c>
      <c r="F31" s="30">
        <f t="shared" si="6"/>
        <v>125</v>
      </c>
      <c r="G31" s="30">
        <f t="shared" si="5"/>
        <v>6.25</v>
      </c>
      <c r="H31" s="30">
        <f t="shared" si="7"/>
        <v>12.5</v>
      </c>
      <c r="I31" s="49">
        <f>$L$6*F31+$L$5*G31+$L$7*H31</f>
        <v>7641.625</v>
      </c>
    </row>
    <row r="32" spans="1:9" x14ac:dyDescent="0.25">
      <c r="A32" s="73" t="s">
        <v>121</v>
      </c>
      <c r="B32" s="6">
        <v>0.25</v>
      </c>
      <c r="C32" s="6">
        <v>250</v>
      </c>
      <c r="D32" s="30">
        <f t="shared" si="0"/>
        <v>62.5</v>
      </c>
      <c r="E32" s="6">
        <v>36</v>
      </c>
      <c r="F32" s="34">
        <f t="shared" si="6"/>
        <v>2250</v>
      </c>
      <c r="G32" s="30">
        <f t="shared" si="5"/>
        <v>112.5</v>
      </c>
      <c r="H32" s="30">
        <f t="shared" si="7"/>
        <v>225</v>
      </c>
      <c r="I32" s="49">
        <f>$L$6*F32+$L$5*G32+$L$7*H32</f>
        <v>137549.25</v>
      </c>
    </row>
    <row r="33" spans="1:10" ht="15.75" x14ac:dyDescent="0.25">
      <c r="A33" s="72" t="s">
        <v>122</v>
      </c>
      <c r="B33" s="6">
        <v>10</v>
      </c>
      <c r="C33" s="6">
        <v>1</v>
      </c>
      <c r="D33" s="30">
        <f t="shared" si="0"/>
        <v>10</v>
      </c>
      <c r="E33" s="6">
        <v>36</v>
      </c>
      <c r="F33" s="30">
        <f t="shared" si="6"/>
        <v>360</v>
      </c>
      <c r="G33" s="30">
        <f t="shared" si="5"/>
        <v>18</v>
      </c>
      <c r="H33" s="30">
        <f t="shared" si="7"/>
        <v>36</v>
      </c>
      <c r="I33" s="49">
        <f>$L$6*F33+$L$5*G33+$L$7*H33</f>
        <v>22007.879999999997</v>
      </c>
    </row>
    <row r="34" spans="1:10" x14ac:dyDescent="0.25">
      <c r="A34" s="72" t="s">
        <v>123</v>
      </c>
      <c r="B34" s="6"/>
      <c r="C34" s="6"/>
      <c r="D34" s="30"/>
      <c r="E34" s="6"/>
      <c r="F34" s="30"/>
      <c r="G34" s="30"/>
      <c r="H34" s="30"/>
      <c r="I34" s="48"/>
    </row>
    <row r="35" spans="1:10" x14ac:dyDescent="0.25">
      <c r="A35" s="73" t="s">
        <v>124</v>
      </c>
      <c r="B35" s="6" t="s">
        <v>88</v>
      </c>
      <c r="C35" s="8"/>
      <c r="D35" s="30"/>
      <c r="E35" s="8"/>
      <c r="F35" s="30"/>
      <c r="G35" s="30"/>
      <c r="H35" s="30"/>
      <c r="I35" s="48"/>
    </row>
    <row r="36" spans="1:10" x14ac:dyDescent="0.25">
      <c r="A36" s="72" t="s">
        <v>125</v>
      </c>
      <c r="B36" s="6">
        <v>8</v>
      </c>
      <c r="C36" s="6">
        <v>50</v>
      </c>
      <c r="D36" s="30">
        <f t="shared" si="0"/>
        <v>400</v>
      </c>
      <c r="E36" s="6">
        <v>36</v>
      </c>
      <c r="F36" s="34">
        <f t="shared" si="6"/>
        <v>14400</v>
      </c>
      <c r="G36" s="34">
        <f t="shared" si="5"/>
        <v>720</v>
      </c>
      <c r="H36" s="34">
        <f t="shared" si="7"/>
        <v>1440</v>
      </c>
      <c r="I36" s="49">
        <f>$L$6*F36+$L$5*G36+$L$7*H36</f>
        <v>880315.2</v>
      </c>
    </row>
    <row r="37" spans="1:10" x14ac:dyDescent="0.25">
      <c r="A37" s="72" t="s">
        <v>90</v>
      </c>
      <c r="B37" s="6">
        <v>20</v>
      </c>
      <c r="C37" s="6">
        <v>1</v>
      </c>
      <c r="D37" s="30">
        <f t="shared" si="0"/>
        <v>20</v>
      </c>
      <c r="E37" s="6">
        <v>36</v>
      </c>
      <c r="F37" s="34">
        <f t="shared" si="6"/>
        <v>720</v>
      </c>
      <c r="G37" s="30">
        <f t="shared" si="5"/>
        <v>36</v>
      </c>
      <c r="H37" s="30">
        <f t="shared" si="7"/>
        <v>72</v>
      </c>
      <c r="I37" s="49">
        <f>$L$6*F37+$L$5*G37+$L$7*H37</f>
        <v>44015.759999999995</v>
      </c>
    </row>
    <row r="38" spans="1:10" s="39" customFormat="1" x14ac:dyDescent="0.25">
      <c r="A38" s="74" t="s">
        <v>91</v>
      </c>
      <c r="B38" s="75"/>
      <c r="C38" s="75"/>
      <c r="D38" s="75"/>
      <c r="E38" s="75"/>
      <c r="F38" s="85">
        <f>SUM(F25:H37)</f>
        <v>22345.65</v>
      </c>
      <c r="G38" s="86"/>
      <c r="H38" s="87"/>
      <c r="I38" s="50">
        <f>SUM(I25:I37)</f>
        <v>1187875.3230000001</v>
      </c>
    </row>
    <row r="39" spans="1:10" ht="15.75" x14ac:dyDescent="0.25">
      <c r="A39" s="11" t="s">
        <v>126</v>
      </c>
      <c r="B39" s="8"/>
      <c r="C39" s="8"/>
      <c r="D39" s="8"/>
      <c r="E39" s="8"/>
      <c r="F39" s="88">
        <f>ROUND(F24+F38,-2)</f>
        <v>23900</v>
      </c>
      <c r="G39" s="89"/>
      <c r="H39" s="90"/>
      <c r="I39" s="45">
        <f>ROUND(I24+I38,-4)</f>
        <v>1270000</v>
      </c>
    </row>
    <row r="40" spans="1:10" x14ac:dyDescent="0.25">
      <c r="A40" s="11" t="s">
        <v>127</v>
      </c>
      <c r="B40" s="44"/>
      <c r="C40" s="44"/>
      <c r="D40" s="44"/>
      <c r="E40" s="44"/>
      <c r="F40" s="44"/>
      <c r="G40" s="44"/>
      <c r="H40" s="44"/>
      <c r="I40" s="45">
        <v>0</v>
      </c>
    </row>
    <row r="41" spans="1:10" x14ac:dyDescent="0.25">
      <c r="A41" s="11" t="s">
        <v>128</v>
      </c>
      <c r="B41" s="44"/>
      <c r="C41" s="44"/>
      <c r="D41" s="44"/>
      <c r="E41" s="44"/>
      <c r="F41" s="44"/>
      <c r="G41" s="44"/>
      <c r="H41" s="44"/>
      <c r="I41" s="45">
        <f>ROUND(I39+I40,-4)</f>
        <v>1270000</v>
      </c>
    </row>
    <row r="43" spans="1:10" x14ac:dyDescent="0.25">
      <c r="A43" s="46" t="s">
        <v>14</v>
      </c>
    </row>
    <row r="44" spans="1:10" ht="30.75" customHeight="1" x14ac:dyDescent="0.25">
      <c r="A44" s="80" t="s">
        <v>95</v>
      </c>
      <c r="B44" s="80"/>
      <c r="C44" s="80"/>
      <c r="D44" s="80"/>
      <c r="E44" s="80"/>
      <c r="F44" s="80"/>
      <c r="G44" s="80"/>
      <c r="H44" s="80"/>
      <c r="I44" s="80"/>
      <c r="J44" s="80"/>
    </row>
    <row r="45" spans="1:10" ht="44.45" customHeight="1" x14ac:dyDescent="0.25">
      <c r="A45" s="80" t="s">
        <v>268</v>
      </c>
      <c r="B45" s="80"/>
      <c r="C45" s="80"/>
      <c r="D45" s="80"/>
      <c r="E45" s="80"/>
      <c r="F45" s="80"/>
      <c r="G45" s="80"/>
      <c r="H45" s="80"/>
      <c r="I45" s="80"/>
      <c r="J45" s="80"/>
    </row>
    <row r="46" spans="1:10" ht="15.75" x14ac:dyDescent="0.25">
      <c r="A46" s="47" t="s">
        <v>96</v>
      </c>
    </row>
    <row r="47" spans="1:10" ht="15.75" x14ac:dyDescent="0.25">
      <c r="A47" s="47" t="s">
        <v>214</v>
      </c>
    </row>
    <row r="48" spans="1:10" ht="15.75" x14ac:dyDescent="0.25">
      <c r="A48" s="47" t="s">
        <v>215</v>
      </c>
    </row>
    <row r="49" spans="1:10" ht="15.75" x14ac:dyDescent="0.25">
      <c r="A49" s="47" t="s">
        <v>216</v>
      </c>
    </row>
    <row r="50" spans="1:10" ht="15.75" x14ac:dyDescent="0.25">
      <c r="A50" s="47" t="s">
        <v>217</v>
      </c>
    </row>
    <row r="51" spans="1:10" ht="15.75" x14ac:dyDescent="0.25">
      <c r="A51" s="47" t="s">
        <v>218</v>
      </c>
    </row>
    <row r="52" spans="1:10" ht="35.25" customHeight="1" x14ac:dyDescent="0.25">
      <c r="A52" s="80" t="s">
        <v>134</v>
      </c>
      <c r="B52" s="80"/>
      <c r="C52" s="80"/>
      <c r="D52" s="80"/>
      <c r="E52" s="80"/>
      <c r="F52" s="80"/>
      <c r="G52" s="80"/>
      <c r="H52" s="80"/>
      <c r="I52" s="80"/>
      <c r="J52" s="80"/>
    </row>
    <row r="53" spans="1:10" ht="15.75" x14ac:dyDescent="0.25">
      <c r="A53" s="47" t="s">
        <v>135</v>
      </c>
    </row>
    <row r="54" spans="1:10" ht="15.75" x14ac:dyDescent="0.25">
      <c r="A54" s="47" t="s">
        <v>136</v>
      </c>
    </row>
    <row r="55" spans="1:10" ht="15.75" x14ac:dyDescent="0.25">
      <c r="A55" s="47" t="s">
        <v>137</v>
      </c>
    </row>
    <row r="56" spans="1:10" ht="15.75" x14ac:dyDescent="0.25">
      <c r="A56" s="47" t="s">
        <v>138</v>
      </c>
    </row>
  </sheetData>
  <mergeCells count="7">
    <mergeCell ref="A52:J52"/>
    <mergeCell ref="K4:L4"/>
    <mergeCell ref="F24:H24"/>
    <mergeCell ref="F38:H38"/>
    <mergeCell ref="F39:H39"/>
    <mergeCell ref="A44:J44"/>
    <mergeCell ref="A45:J4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1AC78-97BD-4844-8DF1-E99FB682F03D}">
  <dimension ref="A1:L54"/>
  <sheetViews>
    <sheetView workbookViewId="0">
      <selection activeCell="A2" sqref="A2"/>
    </sheetView>
  </sheetViews>
  <sheetFormatPr defaultRowHeight="15" x14ac:dyDescent="0.25"/>
  <cols>
    <col min="1" max="1" width="50" customWidth="1"/>
    <col min="2" max="2" width="11.28515625" customWidth="1"/>
    <col min="3" max="3" width="11" customWidth="1"/>
    <col min="4" max="4" width="9.28515625" customWidth="1"/>
    <col min="5" max="5" width="11" customWidth="1"/>
    <col min="7" max="7" width="11.42578125" customWidth="1"/>
    <col min="9" max="9" width="14.5703125" customWidth="1"/>
    <col min="11" max="11" width="11.7109375" customWidth="1"/>
  </cols>
  <sheetData>
    <row r="1" spans="1:12" x14ac:dyDescent="0.25">
      <c r="A1" s="18" t="s">
        <v>219</v>
      </c>
    </row>
    <row r="3" spans="1:12" ht="76.5" x14ac:dyDescent="0.25">
      <c r="A3" s="17" t="s">
        <v>15</v>
      </c>
      <c r="B3" s="17" t="s">
        <v>48</v>
      </c>
      <c r="C3" s="17" t="s">
        <v>16</v>
      </c>
      <c r="D3" s="17" t="s">
        <v>8</v>
      </c>
      <c r="E3" s="17" t="s">
        <v>49</v>
      </c>
      <c r="F3" s="17" t="s">
        <v>50</v>
      </c>
      <c r="G3" s="17" t="s">
        <v>51</v>
      </c>
      <c r="H3" s="17" t="s">
        <v>52</v>
      </c>
      <c r="I3" s="17" t="s">
        <v>53</v>
      </c>
    </row>
    <row r="4" spans="1:12" x14ac:dyDescent="0.25">
      <c r="A4" s="29" t="s">
        <v>54</v>
      </c>
      <c r="B4" s="30" t="s">
        <v>55</v>
      </c>
      <c r="C4" s="30"/>
      <c r="D4" s="30"/>
      <c r="E4" s="30"/>
      <c r="F4" s="30"/>
      <c r="G4" s="30"/>
      <c r="H4" s="30"/>
      <c r="I4" s="31"/>
      <c r="K4" s="103" t="s">
        <v>9</v>
      </c>
      <c r="L4" s="104"/>
    </row>
    <row r="5" spans="1:12" x14ac:dyDescent="0.25">
      <c r="A5" s="29" t="s">
        <v>56</v>
      </c>
      <c r="B5" s="30" t="s">
        <v>55</v>
      </c>
      <c r="C5" s="30"/>
      <c r="D5" s="30"/>
      <c r="E5" s="30"/>
      <c r="F5" s="30"/>
      <c r="G5" s="30"/>
      <c r="H5" s="30"/>
      <c r="I5" s="31"/>
      <c r="K5" s="59" t="s">
        <v>10</v>
      </c>
      <c r="L5" s="68">
        <v>73.459999999999994</v>
      </c>
    </row>
    <row r="6" spans="1:12" x14ac:dyDescent="0.25">
      <c r="A6" s="29" t="s">
        <v>57</v>
      </c>
      <c r="B6" s="30"/>
      <c r="C6" s="30"/>
      <c r="D6" s="30"/>
      <c r="E6" s="30"/>
      <c r="F6" s="30"/>
      <c r="G6" s="30"/>
      <c r="H6" s="30"/>
      <c r="I6" s="31"/>
      <c r="K6" s="59" t="s">
        <v>11</v>
      </c>
      <c r="L6" s="68">
        <v>54.51</v>
      </c>
    </row>
    <row r="7" spans="1:12" ht="15.75" x14ac:dyDescent="0.25">
      <c r="A7" s="32" t="s">
        <v>58</v>
      </c>
      <c r="B7" s="30">
        <v>1</v>
      </c>
      <c r="C7" s="30">
        <v>1</v>
      </c>
      <c r="D7" s="30">
        <f>B7*C7</f>
        <v>1</v>
      </c>
      <c r="E7" s="30">
        <v>1</v>
      </c>
      <c r="F7" s="30">
        <f>D7*E7</f>
        <v>1</v>
      </c>
      <c r="G7" s="30">
        <f>F7*0.05</f>
        <v>0.05</v>
      </c>
      <c r="H7" s="30">
        <f>F7*0.1</f>
        <v>0.1</v>
      </c>
      <c r="I7" s="49">
        <f>$L$6*F7+$L$5*G7+$L$7*H7</f>
        <v>61.133000000000003</v>
      </c>
      <c r="K7" s="59" t="s">
        <v>12</v>
      </c>
      <c r="L7" s="68">
        <v>29.5</v>
      </c>
    </row>
    <row r="8" spans="1:12" x14ac:dyDescent="0.25">
      <c r="A8" s="32" t="s">
        <v>59</v>
      </c>
      <c r="B8" s="30" t="s">
        <v>55</v>
      </c>
      <c r="C8" s="30"/>
      <c r="D8" s="30"/>
      <c r="E8" s="30"/>
      <c r="F8" s="30"/>
      <c r="G8" s="30"/>
      <c r="H8" s="30"/>
      <c r="I8" s="49"/>
    </row>
    <row r="9" spans="1:12" x14ac:dyDescent="0.25">
      <c r="A9" s="33" t="s">
        <v>140</v>
      </c>
      <c r="B9" s="30">
        <v>280</v>
      </c>
      <c r="C9" s="30">
        <v>1</v>
      </c>
      <c r="D9" s="30">
        <f t="shared" ref="D9:D39" si="0">B9*C9</f>
        <v>280</v>
      </c>
      <c r="E9" s="30">
        <v>0</v>
      </c>
      <c r="F9" s="30">
        <f t="shared" ref="F9:F23" si="1">D9*E9</f>
        <v>0</v>
      </c>
      <c r="G9" s="30">
        <f t="shared" ref="G9:G23" si="2">F9*0.05</f>
        <v>0</v>
      </c>
      <c r="H9" s="30">
        <f t="shared" ref="H9:H23" si="3">F9*0.1</f>
        <v>0</v>
      </c>
      <c r="I9" s="48">
        <f>$L$6*F9+$L$5*G9+$L$7*H9</f>
        <v>0</v>
      </c>
    </row>
    <row r="10" spans="1:12" x14ac:dyDescent="0.25">
      <c r="A10" s="33" t="s">
        <v>141</v>
      </c>
      <c r="B10" s="30">
        <v>280</v>
      </c>
      <c r="C10" s="30">
        <v>1</v>
      </c>
      <c r="D10" s="30">
        <f t="shared" si="0"/>
        <v>280</v>
      </c>
      <c r="E10" s="30">
        <v>0</v>
      </c>
      <c r="F10" s="30">
        <f t="shared" si="1"/>
        <v>0</v>
      </c>
      <c r="G10" s="30">
        <f t="shared" si="2"/>
        <v>0</v>
      </c>
      <c r="H10" s="30">
        <f t="shared" si="3"/>
        <v>0</v>
      </c>
      <c r="I10" s="48">
        <f>$L$6*F10+$L$5*G10+$L$7*H10</f>
        <v>0</v>
      </c>
    </row>
    <row r="11" spans="1:12" x14ac:dyDescent="0.25">
      <c r="A11" s="32" t="s">
        <v>60</v>
      </c>
      <c r="B11" s="30" t="s">
        <v>61</v>
      </c>
      <c r="C11" s="30"/>
      <c r="D11" s="30"/>
      <c r="E11" s="30"/>
      <c r="F11" s="30"/>
      <c r="G11" s="30"/>
      <c r="H11" s="30"/>
      <c r="I11" s="49"/>
    </row>
    <row r="12" spans="1:12" x14ac:dyDescent="0.25">
      <c r="A12" s="32" t="s">
        <v>62</v>
      </c>
      <c r="B12" s="30" t="s">
        <v>61</v>
      </c>
      <c r="C12" s="30"/>
      <c r="D12" s="30"/>
      <c r="E12" s="30"/>
      <c r="F12" s="30"/>
      <c r="G12" s="30"/>
      <c r="H12" s="30"/>
      <c r="I12" s="49"/>
    </row>
    <row r="13" spans="1:12" x14ac:dyDescent="0.25">
      <c r="A13" s="32" t="s">
        <v>63</v>
      </c>
      <c r="B13" s="30"/>
      <c r="C13" s="30"/>
      <c r="D13" s="30"/>
      <c r="E13" s="30"/>
      <c r="F13" s="30"/>
      <c r="G13" s="30"/>
      <c r="H13" s="30"/>
      <c r="I13" s="49"/>
    </row>
    <row r="14" spans="1:12" x14ac:dyDescent="0.25">
      <c r="A14" s="33" t="s">
        <v>64</v>
      </c>
      <c r="B14" s="30">
        <v>2</v>
      </c>
      <c r="C14" s="30">
        <v>1</v>
      </c>
      <c r="D14" s="30">
        <f t="shared" si="0"/>
        <v>2</v>
      </c>
      <c r="E14" s="30">
        <v>0</v>
      </c>
      <c r="F14" s="30">
        <f t="shared" si="1"/>
        <v>0</v>
      </c>
      <c r="G14" s="30">
        <f t="shared" si="2"/>
        <v>0</v>
      </c>
      <c r="H14" s="30">
        <f t="shared" si="3"/>
        <v>0</v>
      </c>
      <c r="I14" s="48">
        <f t="shared" ref="I14:I19" si="4">$L$6*F14+$L$5*G14+$L$7*H14</f>
        <v>0</v>
      </c>
    </row>
    <row r="15" spans="1:12" x14ac:dyDescent="0.25">
      <c r="A15" s="33" t="s">
        <v>142</v>
      </c>
      <c r="B15" s="30">
        <v>8</v>
      </c>
      <c r="C15" s="30">
        <v>1</v>
      </c>
      <c r="D15" s="30">
        <f t="shared" si="0"/>
        <v>8</v>
      </c>
      <c r="E15" s="30">
        <v>0</v>
      </c>
      <c r="F15" s="30">
        <f t="shared" si="1"/>
        <v>0</v>
      </c>
      <c r="G15" s="30">
        <f t="shared" si="2"/>
        <v>0</v>
      </c>
      <c r="H15" s="30">
        <f t="shared" si="3"/>
        <v>0</v>
      </c>
      <c r="I15" s="48">
        <f t="shared" si="4"/>
        <v>0</v>
      </c>
    </row>
    <row r="16" spans="1:12" x14ac:dyDescent="0.25">
      <c r="A16" s="33" t="s">
        <v>66</v>
      </c>
      <c r="B16" s="30">
        <v>2</v>
      </c>
      <c r="C16" s="30">
        <v>1</v>
      </c>
      <c r="D16" s="30">
        <f t="shared" si="0"/>
        <v>2</v>
      </c>
      <c r="E16" s="30">
        <v>0</v>
      </c>
      <c r="F16" s="30">
        <f t="shared" si="1"/>
        <v>0</v>
      </c>
      <c r="G16" s="30">
        <f t="shared" si="2"/>
        <v>0</v>
      </c>
      <c r="H16" s="30">
        <f t="shared" si="3"/>
        <v>0</v>
      </c>
      <c r="I16" s="48">
        <f t="shared" si="4"/>
        <v>0</v>
      </c>
    </row>
    <row r="17" spans="1:9" x14ac:dyDescent="0.25">
      <c r="A17" s="33" t="s">
        <v>67</v>
      </c>
      <c r="B17" s="30">
        <v>2</v>
      </c>
      <c r="C17" s="30">
        <v>1</v>
      </c>
      <c r="D17" s="30">
        <f t="shared" si="0"/>
        <v>2</v>
      </c>
      <c r="E17" s="30">
        <v>0</v>
      </c>
      <c r="F17" s="30">
        <f t="shared" si="1"/>
        <v>0</v>
      </c>
      <c r="G17" s="30">
        <f t="shared" si="2"/>
        <v>0</v>
      </c>
      <c r="H17" s="30">
        <f t="shared" si="3"/>
        <v>0</v>
      </c>
      <c r="I17" s="48">
        <f t="shared" si="4"/>
        <v>0</v>
      </c>
    </row>
    <row r="18" spans="1:9" ht="15.75" x14ac:dyDescent="0.25">
      <c r="A18" s="33" t="s">
        <v>143</v>
      </c>
      <c r="B18" s="30">
        <v>10</v>
      </c>
      <c r="C18" s="30">
        <v>1</v>
      </c>
      <c r="D18" s="30">
        <f t="shared" si="0"/>
        <v>10</v>
      </c>
      <c r="E18" s="30">
        <v>1</v>
      </c>
      <c r="F18" s="30">
        <f t="shared" si="1"/>
        <v>10</v>
      </c>
      <c r="G18" s="30">
        <f t="shared" si="2"/>
        <v>0.5</v>
      </c>
      <c r="H18" s="30">
        <f t="shared" si="3"/>
        <v>1</v>
      </c>
      <c r="I18" s="49">
        <f t="shared" si="4"/>
        <v>611.33000000000004</v>
      </c>
    </row>
    <row r="19" spans="1:9" x14ac:dyDescent="0.25">
      <c r="A19" s="33" t="s">
        <v>144</v>
      </c>
      <c r="B19" s="30">
        <v>4</v>
      </c>
      <c r="C19" s="30">
        <v>1</v>
      </c>
      <c r="D19" s="30">
        <f t="shared" si="0"/>
        <v>4</v>
      </c>
      <c r="E19" s="30">
        <v>0</v>
      </c>
      <c r="F19" s="30">
        <f t="shared" si="1"/>
        <v>0</v>
      </c>
      <c r="G19" s="30">
        <f t="shared" si="2"/>
        <v>0</v>
      </c>
      <c r="H19" s="30">
        <f t="shared" si="3"/>
        <v>0</v>
      </c>
      <c r="I19" s="48">
        <f t="shared" si="4"/>
        <v>0</v>
      </c>
    </row>
    <row r="20" spans="1:9" x14ac:dyDescent="0.25">
      <c r="A20" s="33" t="s">
        <v>70</v>
      </c>
      <c r="B20" s="30" t="s">
        <v>55</v>
      </c>
      <c r="C20" s="30"/>
      <c r="D20" s="30"/>
      <c r="E20" s="30"/>
      <c r="F20" s="30"/>
      <c r="G20" s="30"/>
      <c r="H20" s="30"/>
      <c r="I20" s="49"/>
    </row>
    <row r="21" spans="1:9" x14ac:dyDescent="0.25">
      <c r="A21" s="33" t="s">
        <v>71</v>
      </c>
      <c r="B21" s="30">
        <v>2</v>
      </c>
      <c r="C21" s="30">
        <v>1</v>
      </c>
      <c r="D21" s="30">
        <f t="shared" si="0"/>
        <v>2</v>
      </c>
      <c r="E21" s="30">
        <v>0</v>
      </c>
      <c r="F21" s="30">
        <f t="shared" si="1"/>
        <v>0</v>
      </c>
      <c r="G21" s="30">
        <f t="shared" si="2"/>
        <v>0</v>
      </c>
      <c r="H21" s="30">
        <f t="shared" si="3"/>
        <v>0</v>
      </c>
      <c r="I21" s="48">
        <f>$L$6*F21+$L$5*G21+$L$7*H21</f>
        <v>0</v>
      </c>
    </row>
    <row r="22" spans="1:9" x14ac:dyDescent="0.25">
      <c r="A22" s="33" t="s">
        <v>72</v>
      </c>
      <c r="B22" s="30" t="s">
        <v>115</v>
      </c>
      <c r="C22" s="30"/>
      <c r="D22" s="30"/>
      <c r="E22" s="30"/>
      <c r="F22" s="30"/>
      <c r="G22" s="30"/>
      <c r="H22" s="30"/>
      <c r="I22" s="49"/>
    </row>
    <row r="23" spans="1:9" ht="28.5" x14ac:dyDescent="0.25">
      <c r="A23" s="35" t="s">
        <v>145</v>
      </c>
      <c r="B23" s="30">
        <v>12</v>
      </c>
      <c r="C23" s="30">
        <v>2</v>
      </c>
      <c r="D23" s="30">
        <f t="shared" si="0"/>
        <v>24</v>
      </c>
      <c r="E23" s="30">
        <v>1</v>
      </c>
      <c r="F23" s="30">
        <f t="shared" si="1"/>
        <v>24</v>
      </c>
      <c r="G23" s="30">
        <f t="shared" si="2"/>
        <v>1.2000000000000002</v>
      </c>
      <c r="H23" s="30">
        <f t="shared" si="3"/>
        <v>2.4000000000000004</v>
      </c>
      <c r="I23" s="49">
        <f>$L$6*F23+$L$5*G23+$L$7*H23</f>
        <v>1467.192</v>
      </c>
    </row>
    <row r="24" spans="1:9" s="39" customFormat="1" x14ac:dyDescent="0.25">
      <c r="A24" s="36" t="s">
        <v>74</v>
      </c>
      <c r="B24" s="37"/>
      <c r="C24" s="37"/>
      <c r="D24" s="37"/>
      <c r="E24" s="37"/>
      <c r="F24" s="91">
        <f>SUM(F4:H23)</f>
        <v>40.25</v>
      </c>
      <c r="G24" s="91"/>
      <c r="H24" s="91"/>
      <c r="I24" s="38">
        <f>SUM(I4:I23)</f>
        <v>2139.6550000000002</v>
      </c>
    </row>
    <row r="25" spans="1:9" x14ac:dyDescent="0.25">
      <c r="A25" s="29" t="s">
        <v>75</v>
      </c>
      <c r="B25" s="30"/>
      <c r="C25" s="30"/>
      <c r="D25" s="30"/>
      <c r="E25" s="30"/>
      <c r="F25" s="30"/>
      <c r="G25" s="30"/>
      <c r="H25" s="30"/>
      <c r="I25" s="31"/>
    </row>
    <row r="26" spans="1:9" x14ac:dyDescent="0.25">
      <c r="A26" s="32" t="s">
        <v>76</v>
      </c>
      <c r="B26" s="30" t="s">
        <v>77</v>
      </c>
      <c r="C26" s="30"/>
      <c r="D26" s="30"/>
      <c r="E26" s="30"/>
      <c r="F26" s="30"/>
      <c r="G26" s="30"/>
      <c r="H26" s="30"/>
      <c r="I26" s="31"/>
    </row>
    <row r="27" spans="1:9" x14ac:dyDescent="0.25">
      <c r="A27" s="32" t="s">
        <v>78</v>
      </c>
      <c r="B27" s="30">
        <v>4</v>
      </c>
      <c r="C27" s="30">
        <v>1</v>
      </c>
      <c r="D27" s="30">
        <f t="shared" si="0"/>
        <v>4</v>
      </c>
      <c r="E27" s="30">
        <v>1</v>
      </c>
      <c r="F27" s="30">
        <f>D27*E27</f>
        <v>4</v>
      </c>
      <c r="G27" s="30">
        <f t="shared" ref="G27:G39" si="5">F27*0.05</f>
        <v>0.2</v>
      </c>
      <c r="H27" s="30">
        <f>F27*0.1</f>
        <v>0.4</v>
      </c>
      <c r="I27" s="49">
        <f>$L$6*F27+$L$5*G27+$L$7*H27</f>
        <v>244.53200000000001</v>
      </c>
    </row>
    <row r="28" spans="1:9" ht="15.75" x14ac:dyDescent="0.25">
      <c r="A28" s="32" t="s">
        <v>146</v>
      </c>
      <c r="B28" s="30"/>
      <c r="C28" s="30"/>
      <c r="D28" s="30"/>
      <c r="E28" s="30"/>
      <c r="F28" s="30"/>
      <c r="G28" s="30"/>
      <c r="H28" s="30"/>
      <c r="I28" s="49"/>
    </row>
    <row r="29" spans="1:9" x14ac:dyDescent="0.25">
      <c r="A29" s="33" t="s">
        <v>147</v>
      </c>
      <c r="B29" s="30">
        <v>8</v>
      </c>
      <c r="C29" s="30">
        <v>1</v>
      </c>
      <c r="D29" s="30">
        <f t="shared" si="0"/>
        <v>8</v>
      </c>
      <c r="E29" s="30">
        <v>1</v>
      </c>
      <c r="F29" s="30">
        <f t="shared" ref="F29:F39" si="6">D29*E29</f>
        <v>8</v>
      </c>
      <c r="G29" s="30">
        <f t="shared" si="5"/>
        <v>0.4</v>
      </c>
      <c r="H29" s="30">
        <f t="shared" ref="H29:H39" si="7">F29*0.1</f>
        <v>0.8</v>
      </c>
      <c r="I29" s="49">
        <f t="shared" ref="I29:I35" si="8">$L$6*F29+$L$5*G29+$L$7*H29</f>
        <v>489.06400000000002</v>
      </c>
    </row>
    <row r="30" spans="1:9" x14ac:dyDescent="0.25">
      <c r="A30" s="33" t="s">
        <v>148</v>
      </c>
      <c r="B30" s="30">
        <v>1</v>
      </c>
      <c r="C30" s="30">
        <v>12</v>
      </c>
      <c r="D30" s="30">
        <f t="shared" si="0"/>
        <v>12</v>
      </c>
      <c r="E30" s="30">
        <v>1</v>
      </c>
      <c r="F30" s="30">
        <f t="shared" si="6"/>
        <v>12</v>
      </c>
      <c r="G30" s="30">
        <f t="shared" si="5"/>
        <v>0.60000000000000009</v>
      </c>
      <c r="H30" s="30">
        <f t="shared" si="7"/>
        <v>1.2000000000000002</v>
      </c>
      <c r="I30" s="49">
        <f t="shared" si="8"/>
        <v>733.596</v>
      </c>
    </row>
    <row r="31" spans="1:9" x14ac:dyDescent="0.25">
      <c r="A31" s="33" t="s">
        <v>149</v>
      </c>
      <c r="B31" s="30">
        <v>4</v>
      </c>
      <c r="C31" s="30">
        <v>3</v>
      </c>
      <c r="D31" s="30">
        <f t="shared" si="0"/>
        <v>12</v>
      </c>
      <c r="E31" s="30">
        <v>0</v>
      </c>
      <c r="F31" s="30">
        <f t="shared" si="6"/>
        <v>0</v>
      </c>
      <c r="G31" s="30">
        <f t="shared" si="5"/>
        <v>0</v>
      </c>
      <c r="H31" s="30">
        <f t="shared" si="7"/>
        <v>0</v>
      </c>
      <c r="I31" s="48">
        <f t="shared" si="8"/>
        <v>0</v>
      </c>
    </row>
    <row r="32" spans="1:9" ht="25.5" x14ac:dyDescent="0.25">
      <c r="A32" s="35" t="s">
        <v>150</v>
      </c>
      <c r="B32" s="30">
        <v>1</v>
      </c>
      <c r="C32" s="30">
        <v>12</v>
      </c>
      <c r="D32" s="30">
        <f t="shared" si="0"/>
        <v>12</v>
      </c>
      <c r="E32" s="30">
        <v>1</v>
      </c>
      <c r="F32" s="30">
        <f t="shared" si="6"/>
        <v>12</v>
      </c>
      <c r="G32" s="30">
        <f t="shared" si="5"/>
        <v>0.60000000000000009</v>
      </c>
      <c r="H32" s="30">
        <f t="shared" si="7"/>
        <v>1.2000000000000002</v>
      </c>
      <c r="I32" s="49">
        <f t="shared" si="8"/>
        <v>733.596</v>
      </c>
    </row>
    <row r="33" spans="1:10" x14ac:dyDescent="0.25">
      <c r="A33" s="33" t="s">
        <v>151</v>
      </c>
      <c r="B33" s="30">
        <v>8</v>
      </c>
      <c r="C33" s="30">
        <v>2</v>
      </c>
      <c r="D33" s="30">
        <f t="shared" si="0"/>
        <v>16</v>
      </c>
      <c r="E33" s="30">
        <v>1</v>
      </c>
      <c r="F33" s="30">
        <f t="shared" si="6"/>
        <v>16</v>
      </c>
      <c r="G33" s="30">
        <f t="shared" si="5"/>
        <v>0.8</v>
      </c>
      <c r="H33" s="30">
        <f t="shared" si="7"/>
        <v>1.6</v>
      </c>
      <c r="I33" s="49">
        <f t="shared" si="8"/>
        <v>978.12800000000004</v>
      </c>
    </row>
    <row r="34" spans="1:10" x14ac:dyDescent="0.25">
      <c r="A34" s="33" t="s">
        <v>152</v>
      </c>
      <c r="B34" s="30">
        <v>0.5</v>
      </c>
      <c r="C34" s="30">
        <v>250</v>
      </c>
      <c r="D34" s="30">
        <f t="shared" si="0"/>
        <v>125</v>
      </c>
      <c r="E34" s="30">
        <v>0</v>
      </c>
      <c r="F34" s="30">
        <f t="shared" si="6"/>
        <v>0</v>
      </c>
      <c r="G34" s="30">
        <f t="shared" si="5"/>
        <v>0</v>
      </c>
      <c r="H34" s="30">
        <f t="shared" si="7"/>
        <v>0</v>
      </c>
      <c r="I34" s="48">
        <f t="shared" si="8"/>
        <v>0</v>
      </c>
    </row>
    <row r="35" spans="1:10" ht="15.75" x14ac:dyDescent="0.25">
      <c r="A35" s="32" t="s">
        <v>153</v>
      </c>
      <c r="B35" s="30">
        <v>10</v>
      </c>
      <c r="C35" s="30">
        <v>1</v>
      </c>
      <c r="D35" s="30">
        <f t="shared" si="0"/>
        <v>10</v>
      </c>
      <c r="E35" s="30">
        <v>1</v>
      </c>
      <c r="F35" s="30">
        <f t="shared" si="6"/>
        <v>10</v>
      </c>
      <c r="G35" s="30">
        <f t="shared" si="5"/>
        <v>0.5</v>
      </c>
      <c r="H35" s="30">
        <f t="shared" si="7"/>
        <v>1</v>
      </c>
      <c r="I35" s="49">
        <f t="shared" si="8"/>
        <v>611.33000000000004</v>
      </c>
    </row>
    <row r="36" spans="1:10" x14ac:dyDescent="0.25">
      <c r="A36" s="32" t="s">
        <v>86</v>
      </c>
      <c r="B36" s="30"/>
      <c r="C36" s="30"/>
      <c r="D36" s="30"/>
      <c r="E36" s="30"/>
      <c r="F36" s="30"/>
      <c r="G36" s="30"/>
      <c r="H36" s="30"/>
      <c r="I36" s="49"/>
    </row>
    <row r="37" spans="1:10" ht="25.5" x14ac:dyDescent="0.25">
      <c r="A37" s="35" t="s">
        <v>87</v>
      </c>
      <c r="B37" s="30" t="s">
        <v>88</v>
      </c>
      <c r="C37" s="30"/>
      <c r="D37" s="30"/>
      <c r="E37" s="30"/>
      <c r="F37" s="30"/>
      <c r="G37" s="30"/>
      <c r="H37" s="30"/>
      <c r="I37" s="49"/>
    </row>
    <row r="38" spans="1:10" x14ac:dyDescent="0.25">
      <c r="A38" s="32" t="s">
        <v>125</v>
      </c>
      <c r="B38" s="30">
        <v>4</v>
      </c>
      <c r="C38" s="30">
        <v>1</v>
      </c>
      <c r="D38" s="30">
        <f t="shared" si="0"/>
        <v>4</v>
      </c>
      <c r="E38" s="30">
        <v>1</v>
      </c>
      <c r="F38" s="30">
        <f t="shared" si="6"/>
        <v>4</v>
      </c>
      <c r="G38" s="30">
        <f t="shared" si="5"/>
        <v>0.2</v>
      </c>
      <c r="H38" s="30">
        <f t="shared" si="7"/>
        <v>0.4</v>
      </c>
      <c r="I38" s="49">
        <f>$L$6*F38+$L$5*G38+$L$7*H38</f>
        <v>244.53200000000001</v>
      </c>
    </row>
    <row r="39" spans="1:10" x14ac:dyDescent="0.25">
      <c r="A39" s="32" t="s">
        <v>90</v>
      </c>
      <c r="B39" s="30">
        <v>10</v>
      </c>
      <c r="C39" s="30">
        <v>1</v>
      </c>
      <c r="D39" s="30">
        <f t="shared" si="0"/>
        <v>10</v>
      </c>
      <c r="E39" s="30">
        <v>1</v>
      </c>
      <c r="F39" s="30">
        <f t="shared" si="6"/>
        <v>10</v>
      </c>
      <c r="G39" s="30">
        <f t="shared" si="5"/>
        <v>0.5</v>
      </c>
      <c r="H39" s="30">
        <f t="shared" si="7"/>
        <v>1</v>
      </c>
      <c r="I39" s="49">
        <f>$L$6*F39+$L$5*G39+$L$7*H39</f>
        <v>611.33000000000004</v>
      </c>
    </row>
    <row r="40" spans="1:10" s="39" customFormat="1" x14ac:dyDescent="0.25">
      <c r="A40" s="36" t="s">
        <v>91</v>
      </c>
      <c r="B40" s="37"/>
      <c r="C40" s="37"/>
      <c r="D40" s="37"/>
      <c r="E40" s="37"/>
      <c r="F40" s="91">
        <f>SUM(F25:H39)</f>
        <v>87.40000000000002</v>
      </c>
      <c r="G40" s="91"/>
      <c r="H40" s="91"/>
      <c r="I40" s="38">
        <f>SUM(I25:I39)</f>
        <v>4646.1080000000002</v>
      </c>
    </row>
    <row r="41" spans="1:10" ht="15.75" x14ac:dyDescent="0.25">
      <c r="A41" s="41" t="s">
        <v>154</v>
      </c>
      <c r="B41" s="42"/>
      <c r="C41" s="42"/>
      <c r="D41" s="42"/>
      <c r="E41" s="42"/>
      <c r="F41" s="92">
        <f>ROUND(F24+F40,0)</f>
        <v>128</v>
      </c>
      <c r="G41" s="93"/>
      <c r="H41" s="93"/>
      <c r="I41" s="43">
        <f>ROUND(I24+I40,-1)</f>
        <v>6790</v>
      </c>
    </row>
    <row r="42" spans="1:10" x14ac:dyDescent="0.25">
      <c r="A42" s="11" t="s">
        <v>155</v>
      </c>
      <c r="B42" s="44"/>
      <c r="C42" s="44"/>
      <c r="D42" s="44"/>
      <c r="E42" s="44"/>
      <c r="F42" s="44"/>
      <c r="G42" s="44"/>
      <c r="H42" s="44"/>
      <c r="I42" s="45">
        <v>0</v>
      </c>
    </row>
    <row r="43" spans="1:10" x14ac:dyDescent="0.25">
      <c r="A43" s="11" t="s">
        <v>156</v>
      </c>
      <c r="B43" s="44"/>
      <c r="C43" s="44"/>
      <c r="D43" s="44"/>
      <c r="E43" s="44"/>
      <c r="F43" s="44"/>
      <c r="G43" s="44"/>
      <c r="H43" s="44"/>
      <c r="I43" s="45">
        <f>ROUND(I41+I42,-1)</f>
        <v>6790</v>
      </c>
    </row>
    <row r="45" spans="1:10" x14ac:dyDescent="0.25">
      <c r="A45" s="46" t="s">
        <v>14</v>
      </c>
    </row>
    <row r="46" spans="1:10" ht="35.25" customHeight="1" x14ac:dyDescent="0.25">
      <c r="A46" s="80" t="s">
        <v>157</v>
      </c>
      <c r="B46" s="80"/>
      <c r="C46" s="80"/>
      <c r="D46" s="80"/>
      <c r="E46" s="80"/>
      <c r="F46" s="80"/>
      <c r="G46" s="80"/>
      <c r="H46" s="80"/>
      <c r="I46" s="80"/>
      <c r="J46" s="80"/>
    </row>
    <row r="47" spans="1:10" ht="45" customHeight="1" x14ac:dyDescent="0.25">
      <c r="A47" s="80" t="s">
        <v>268</v>
      </c>
      <c r="B47" s="80"/>
      <c r="C47" s="80"/>
      <c r="D47" s="80"/>
      <c r="E47" s="80"/>
      <c r="F47" s="80"/>
      <c r="G47" s="80"/>
      <c r="H47" s="80"/>
      <c r="I47" s="80"/>
      <c r="J47" s="80"/>
    </row>
    <row r="48" spans="1:10" ht="15.75" x14ac:dyDescent="0.25">
      <c r="A48" s="47" t="s">
        <v>96</v>
      </c>
    </row>
    <row r="49" spans="1:10" ht="15.75" x14ac:dyDescent="0.25">
      <c r="A49" s="47" t="s">
        <v>220</v>
      </c>
    </row>
    <row r="50" spans="1:10" ht="35.25" customHeight="1" x14ac:dyDescent="0.25">
      <c r="A50" s="80" t="s">
        <v>159</v>
      </c>
      <c r="B50" s="80"/>
      <c r="C50" s="80"/>
      <c r="D50" s="80"/>
      <c r="E50" s="80"/>
      <c r="F50" s="80"/>
      <c r="G50" s="80"/>
      <c r="H50" s="80"/>
      <c r="I50" s="80"/>
      <c r="J50" s="80"/>
    </row>
    <row r="51" spans="1:10" ht="15.75" x14ac:dyDescent="0.25">
      <c r="A51" s="47" t="s">
        <v>160</v>
      </c>
    </row>
    <row r="52" spans="1:10" ht="15.75" x14ac:dyDescent="0.25">
      <c r="A52" s="47" t="s">
        <v>161</v>
      </c>
    </row>
    <row r="53" spans="1:10" ht="15.75" x14ac:dyDescent="0.25">
      <c r="A53" s="47" t="s">
        <v>162</v>
      </c>
    </row>
    <row r="54" spans="1:10" ht="15.75" x14ac:dyDescent="0.25">
      <c r="A54" s="47" t="s">
        <v>163</v>
      </c>
    </row>
  </sheetData>
  <mergeCells count="7">
    <mergeCell ref="A50:J50"/>
    <mergeCell ref="K4:L4"/>
    <mergeCell ref="F24:H24"/>
    <mergeCell ref="F40:H40"/>
    <mergeCell ref="F41:H41"/>
    <mergeCell ref="A46:J46"/>
    <mergeCell ref="A47:J4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2024-10-21T21:26:39+00:00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1E926813-C510-40A8-AC2B-C2D5D9F3AAC1}"/>
</file>

<file path=customXml/itemProps3.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123E56CE-A2D5-4624-BF79-5DD9EE4650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Summary</vt:lpstr>
      <vt:lpstr>Table 1a</vt:lpstr>
      <vt:lpstr>Table 1b</vt:lpstr>
      <vt:lpstr>Table 1c</vt:lpstr>
      <vt:lpstr>Table 1d</vt:lpstr>
      <vt:lpstr>Table 1e</vt:lpstr>
      <vt:lpstr>Table 2a</vt:lpstr>
      <vt:lpstr>Table 2b</vt:lpstr>
      <vt:lpstr>Table 2c</vt:lpstr>
      <vt:lpstr>Table 2d</vt:lpstr>
      <vt:lpstr>Table 2e</vt:lpstr>
      <vt:lpstr>Table 3</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2023-08-21T15:40:11Z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ies>
</file>