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llc-my.sharepoint.com/personal/samuel_seong_summitllc_us/Documents/Documents/"/>
    </mc:Choice>
  </mc:AlternateContent>
  <xr:revisionPtr revIDLastSave="313" documentId="8_{2B7D4217-A2A9-4232-B7C2-9986CD5AA809}" xr6:coauthVersionLast="47" xr6:coauthVersionMax="47" xr10:uidLastSave="{E3D803F1-7A18-488E-804E-7E0B4C7E2762}"/>
  <bookViews>
    <workbookView xWindow="-120" yWindow="-120" windowWidth="29040" windowHeight="15840" xr2:uid="{B06E0DB6-15D7-4B75-866D-492910379ACC}"/>
  </bookViews>
  <sheets>
    <sheet name="Leverage Calculations" sheetId="6" r:id="rId1"/>
    <sheet name="Enrolled Loan Data Tabl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6" l="1"/>
  <c r="D55" i="6"/>
  <c r="D45" i="6"/>
  <c r="D25" i="6"/>
  <c r="D15" i="6"/>
  <c r="D8" i="6" s="1"/>
  <c r="D35" i="6"/>
  <c r="G36" i="6"/>
  <c r="G37" i="6"/>
  <c r="C12" i="7"/>
  <c r="D12" i="7"/>
  <c r="E12" i="7"/>
  <c r="F12" i="7"/>
  <c r="G12" i="7"/>
  <c r="H12" i="7"/>
  <c r="I12" i="7"/>
  <c r="J12" i="7"/>
  <c r="K12" i="7"/>
  <c r="B12" i="7"/>
  <c r="C11" i="7"/>
  <c r="D11" i="7"/>
  <c r="E11" i="7"/>
  <c r="F11" i="7"/>
  <c r="G11" i="7"/>
  <c r="H11" i="7"/>
  <c r="I11" i="7"/>
  <c r="J11" i="7"/>
  <c r="K11" i="7"/>
  <c r="B11" i="7"/>
  <c r="C10" i="7"/>
  <c r="D10" i="7"/>
  <c r="E10" i="7"/>
  <c r="F10" i="7"/>
  <c r="G10" i="7"/>
  <c r="H10" i="7"/>
  <c r="I10" i="7"/>
  <c r="J10" i="7"/>
  <c r="K10" i="7"/>
  <c r="B10" i="7"/>
  <c r="B49" i="7"/>
  <c r="B48" i="7"/>
  <c r="C48" i="7" s="1"/>
  <c r="D48" i="7" s="1"/>
  <c r="E48" i="7" s="1"/>
  <c r="F48" i="7" s="1"/>
  <c r="G48" i="7" s="1"/>
  <c r="H48" i="7" s="1"/>
  <c r="I48" i="7" s="1"/>
  <c r="J48" i="7" s="1"/>
  <c r="K48" i="7" s="1"/>
  <c r="K45" i="7"/>
  <c r="B40" i="7"/>
  <c r="C40" i="7" s="1"/>
  <c r="D40" i="7" s="1"/>
  <c r="E40" i="7" s="1"/>
  <c r="F40" i="7" s="1"/>
  <c r="G40" i="7" s="1"/>
  <c r="H40" i="7" s="1"/>
  <c r="I40" i="7" s="1"/>
  <c r="J40" i="7" s="1"/>
  <c r="K40" i="7" s="1"/>
  <c r="B34" i="7" s="1"/>
  <c r="B39" i="7"/>
  <c r="C39" i="7" s="1"/>
  <c r="D39" i="7" s="1"/>
  <c r="E39" i="7" s="1"/>
  <c r="F39" i="7" s="1"/>
  <c r="G39" i="7" s="1"/>
  <c r="H39" i="7" s="1"/>
  <c r="I39" i="7" s="1"/>
  <c r="J39" i="7" s="1"/>
  <c r="K39" i="7" s="1"/>
  <c r="K36" i="7"/>
  <c r="B31" i="7"/>
  <c r="K30" i="7"/>
  <c r="J30" i="7"/>
  <c r="I30" i="7"/>
  <c r="H30" i="7"/>
  <c r="G30" i="7"/>
  <c r="F30" i="7"/>
  <c r="E30" i="7"/>
  <c r="D30" i="7"/>
  <c r="C30" i="7"/>
  <c r="B30" i="7"/>
  <c r="K27" i="7"/>
  <c r="B22" i="7"/>
  <c r="B21" i="7"/>
  <c r="C21" i="7" s="1"/>
  <c r="D21" i="7" s="1"/>
  <c r="E21" i="7" s="1"/>
  <c r="F21" i="7" s="1"/>
  <c r="G21" i="7" s="1"/>
  <c r="H21" i="7" s="1"/>
  <c r="I21" i="7" s="1"/>
  <c r="J21" i="7" s="1"/>
  <c r="K21" i="7" s="1"/>
  <c r="K18" i="7"/>
  <c r="K9" i="7"/>
  <c r="D10" i="6"/>
  <c r="B6" i="7" s="1"/>
  <c r="D21" i="6"/>
  <c r="M16" i="6"/>
  <c r="N16" i="6" s="1"/>
  <c r="B13" i="7" l="1"/>
  <c r="C22" i="7"/>
  <c r="C31" i="7"/>
  <c r="D31" i="7" s="1"/>
  <c r="E31" i="7" s="1"/>
  <c r="F31" i="7" s="1"/>
  <c r="G31" i="7" s="1"/>
  <c r="H31" i="7" s="1"/>
  <c r="I31" i="7" s="1"/>
  <c r="J31" i="7" s="1"/>
  <c r="K31" i="7" s="1"/>
  <c r="B25" i="7" s="1"/>
  <c r="C49" i="7"/>
  <c r="D49" i="7" s="1"/>
  <c r="E49" i="7" s="1"/>
  <c r="F49" i="7" s="1"/>
  <c r="G49" i="7" s="1"/>
  <c r="H49" i="7" s="1"/>
  <c r="I49" i="7" s="1"/>
  <c r="J49" i="7" s="1"/>
  <c r="K49" i="7" s="1"/>
  <c r="B43" i="7" s="1"/>
  <c r="M19" i="6"/>
  <c r="N19" i="6" s="1"/>
  <c r="M18" i="6"/>
  <c r="N18" i="6" s="1"/>
  <c r="C13" i="7" l="1"/>
  <c r="D22" i="7"/>
  <c r="D13" i="7" s="1"/>
  <c r="M20" i="6"/>
  <c r="N20" i="6" s="1"/>
  <c r="E22" i="7" l="1"/>
  <c r="E13" i="7" s="1"/>
  <c r="M21" i="6"/>
  <c r="F22" i="7" l="1"/>
  <c r="F13" i="7" s="1"/>
  <c r="N21" i="6"/>
  <c r="G22" i="7" l="1"/>
  <c r="G13" i="7" s="1"/>
  <c r="H22" i="7" l="1"/>
  <c r="H13" i="7" s="1"/>
  <c r="I22" i="7" l="1"/>
  <c r="I13" i="7" s="1"/>
  <c r="J22" i="7" l="1"/>
  <c r="J13" i="7" s="1"/>
  <c r="K22" i="7" l="1"/>
  <c r="K13" i="7" s="1"/>
  <c r="B16" i="7" l="1"/>
  <c r="B7" i="7" s="1"/>
  <c r="M10" i="6"/>
  <c r="N10" i="6" s="1"/>
  <c r="M9" i="6"/>
  <c r="N9" i="6" s="1"/>
  <c r="M26" i="6"/>
  <c r="N26" i="6" s="1"/>
  <c r="I37" i="6"/>
  <c r="I38" i="6" s="1"/>
  <c r="M36" i="6"/>
  <c r="H68" i="6"/>
  <c r="H69" i="6"/>
  <c r="H70" i="6"/>
  <c r="H67" i="6"/>
  <c r="G58" i="6"/>
  <c r="G59" i="6"/>
  <c r="G60" i="6"/>
  <c r="G57" i="6"/>
  <c r="G47" i="6"/>
  <c r="G48" i="6"/>
  <c r="G49" i="6"/>
  <c r="G46" i="6"/>
  <c r="M37" i="6" l="1"/>
  <c r="N37" i="6" s="1"/>
  <c r="I39" i="6"/>
  <c r="M38" i="6"/>
  <c r="N38" i="6" s="1"/>
  <c r="N36" i="6"/>
  <c r="M48" i="6"/>
  <c r="M49" i="6"/>
  <c r="M46" i="6"/>
  <c r="M47" i="6"/>
  <c r="I27" i="6"/>
  <c r="I28" i="6" s="1"/>
  <c r="M58" i="6"/>
  <c r="M59" i="6"/>
  <c r="M60" i="6"/>
  <c r="M57" i="6"/>
  <c r="M56" i="6"/>
  <c r="H61" i="6"/>
  <c r="M69" i="6"/>
  <c r="M70" i="6"/>
  <c r="M67" i="6"/>
  <c r="M68" i="6"/>
  <c r="I71" i="6"/>
  <c r="H50" i="6"/>
  <c r="I29" i="6" l="1"/>
  <c r="M28" i="6"/>
  <c r="M39" i="6"/>
  <c r="I40" i="6"/>
  <c r="M27" i="6"/>
  <c r="J61" i="6"/>
  <c r="M71" i="6"/>
  <c r="M50" i="6"/>
  <c r="N27" i="6" l="1"/>
  <c r="I30" i="6"/>
  <c r="M29" i="6"/>
  <c r="N29" i="6" s="1"/>
  <c r="I41" i="6"/>
  <c r="M41" i="6" s="1"/>
  <c r="N41" i="6" s="1"/>
  <c r="M40" i="6"/>
  <c r="N39" i="6"/>
  <c r="N28" i="6"/>
  <c r="I31" i="6" l="1"/>
  <c r="M31" i="6" s="1"/>
  <c r="N31" i="6" s="1"/>
  <c r="M30" i="6"/>
  <c r="N40" i="6"/>
  <c r="N30" i="6" l="1"/>
</calcChain>
</file>

<file path=xl/sharedStrings.xml><?xml version="1.0" encoding="utf-8"?>
<sst xmlns="http://schemas.openxmlformats.org/spreadsheetml/2006/main" count="138" uniqueCount="67">
  <si>
    <t>Multiple</t>
  </si>
  <si>
    <t>Weighted Avg.</t>
  </si>
  <si>
    <t>Loan Tenor (yrs)</t>
  </si>
  <si>
    <t>Loan Guarantee Program</t>
  </si>
  <si>
    <t>Average % Loan Guarantee</t>
  </si>
  <si>
    <t>% of Guarantee set aside as cash reserve</t>
  </si>
  <si>
    <t>Average % Participation</t>
  </si>
  <si>
    <t>VC Program</t>
  </si>
  <si>
    <t>Funding Round</t>
  </si>
  <si>
    <t>Avg % of principal as Collateral Support</t>
  </si>
  <si>
    <t>Assumed Loss %</t>
  </si>
  <si>
    <t>Assumed loss %</t>
  </si>
  <si>
    <t>% of total portfolio</t>
  </si>
  <si>
    <t>Time Horizon (yrs)</t>
  </si>
  <si>
    <t>revolving</t>
  </si>
  <si>
    <t>Term of Collateral Support</t>
  </si>
  <si>
    <t>Cumulative Success %</t>
  </si>
  <si>
    <t>Federal Funds %</t>
  </si>
  <si>
    <t>Round Success %</t>
  </si>
  <si>
    <t>Time until recycling (yrs)</t>
  </si>
  <si>
    <t>Expected Funds Spent</t>
  </si>
  <si>
    <t>Expected Federal Funds Spent</t>
  </si>
  <si>
    <t>Round Size ($000's)</t>
  </si>
  <si>
    <t>6+</t>
  </si>
  <si>
    <t>VC (Accelerator Example)</t>
  </si>
  <si>
    <t>Maximum Leverage Ratio:</t>
  </si>
  <si>
    <t>General Assumptions</t>
  </si>
  <si>
    <t>Portfolio Composition Assumptions</t>
  </si>
  <si>
    <t>Legend:</t>
  </si>
  <si>
    <t>To be Completed by Applicant</t>
  </si>
  <si>
    <t>Loan Participation Program</t>
  </si>
  <si>
    <t>Collateral Support Program</t>
  </si>
  <si>
    <t>Output</t>
  </si>
  <si>
    <t>Total</t>
  </si>
  <si>
    <t>Static Field</t>
  </si>
  <si>
    <t>Calculated Field</t>
  </si>
  <si>
    <t>Amount to be Allocated to Program</t>
  </si>
  <si>
    <t>Summary</t>
  </si>
  <si>
    <t>Total Maximum Leverage Ratio:</t>
  </si>
  <si>
    <t>Total Amounts Allocated</t>
  </si>
  <si>
    <t>Federal Contributions</t>
  </si>
  <si>
    <t>Borrower Premium Contribution</t>
  </si>
  <si>
    <t>Financial Institution Lender Premium Contribution</t>
  </si>
  <si>
    <t>Total Loan Loss Referve Percentage</t>
  </si>
  <si>
    <t>Capital Access Programs</t>
  </si>
  <si>
    <t>Statutory Allocation</t>
  </si>
  <si>
    <t>Total Cumulative Federal Funds</t>
  </si>
  <si>
    <t>Program Total Funded Amount</t>
  </si>
  <si>
    <t>Venture Capital Fund (VC) Program:</t>
  </si>
  <si>
    <t>Venture Capital Fund Program - Projections</t>
  </si>
  <si>
    <t>Number of New Investments per Year</t>
  </si>
  <si>
    <t>Federal Contributions Deployed</t>
  </si>
  <si>
    <t>Cumulative Number of Investments</t>
  </si>
  <si>
    <t>Cumulative Federal Funds</t>
  </si>
  <si>
    <t>Loan Participation Programs</t>
  </si>
  <si>
    <t>Loan Participation Programs - Projections</t>
  </si>
  <si>
    <t>Number of New Loans (count Federal + Private funds as one loan)</t>
  </si>
  <si>
    <t>Loan Guarantee Program - Projections</t>
  </si>
  <si>
    <t>Number of New Loans</t>
  </si>
  <si>
    <t>Collateral Support Program (CSP)</t>
  </si>
  <si>
    <t>CSP - Projections</t>
  </si>
  <si>
    <t>TOTAL FUNDED AMOUNT FOR OCSPs</t>
  </si>
  <si>
    <t>Applicant Aggregate Projections for OCSPs</t>
  </si>
  <si>
    <t>Total Annual Federal Funds</t>
  </si>
  <si>
    <t>Totla Number of New Investments per Year</t>
  </si>
  <si>
    <t>Total Cumulative Number of New Investments</t>
  </si>
  <si>
    <t>TOTAL AMOUNTS ALLOCATED ON LEVERAGE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</si>
</sst>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_(* #,##0.00000_);_(* \(#,##0.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E1F2"/>
        <bgColor rgb="FF000000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0" fillId="0" borderId="0" xfId="0" applyBorder="1"/>
    <xf numFmtId="0" fontId="11" fillId="0" borderId="0" xfId="0" applyFont="1" applyFill="1" applyBorder="1" applyAlignment="1">
      <alignment horizontal="left"/>
    </xf>
    <xf numFmtId="2" fontId="2" fillId="0" borderId="0" xfId="2" applyNumberFormat="1" applyFont="1" applyFill="1" applyBorder="1"/>
    <xf numFmtId="0" fontId="11" fillId="0" borderId="0" xfId="0" applyFont="1" applyBorder="1"/>
    <xf numFmtId="2" fontId="2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/>
    <xf numFmtId="2" fontId="4" fillId="0" borderId="0" xfId="0" applyNumberFormat="1" applyFont="1"/>
    <xf numFmtId="0" fontId="0" fillId="0" borderId="2" xfId="0" applyBorder="1"/>
    <xf numFmtId="2" fontId="0" fillId="3" borderId="0" xfId="0" applyNumberFormat="1" applyFill="1"/>
    <xf numFmtId="0" fontId="0" fillId="3" borderId="0" xfId="0" applyFill="1" applyBorder="1"/>
    <xf numFmtId="2" fontId="2" fillId="0" borderId="0" xfId="0" applyNumberFormat="1" applyFont="1" applyBorder="1" applyAlignment="1"/>
    <xf numFmtId="0" fontId="0" fillId="5" borderId="0" xfId="0" applyFill="1"/>
    <xf numFmtId="0" fontId="0" fillId="5" borderId="0" xfId="0" applyFill="1" applyBorder="1"/>
    <xf numFmtId="0" fontId="0" fillId="6" borderId="0" xfId="0" applyFill="1"/>
    <xf numFmtId="0" fontId="6" fillId="2" borderId="2" xfId="2" applyNumberFormat="1" applyFont="1" applyFill="1" applyBorder="1"/>
    <xf numFmtId="9" fontId="6" fillId="2" borderId="2" xfId="2" applyFont="1" applyFill="1" applyBorder="1"/>
    <xf numFmtId="0" fontId="5" fillId="5" borderId="0" xfId="0" applyFont="1" applyFill="1" applyBorder="1"/>
    <xf numFmtId="0" fontId="6" fillId="5" borderId="0" xfId="0" applyFont="1" applyFill="1" applyBorder="1"/>
    <xf numFmtId="2" fontId="6" fillId="5" borderId="0" xfId="0" applyNumberFormat="1" applyFont="1" applyFill="1" applyBorder="1"/>
    <xf numFmtId="0" fontId="6" fillId="2" borderId="2" xfId="0" applyFont="1" applyFill="1" applyBorder="1"/>
    <xf numFmtId="9" fontId="6" fillId="2" borderId="2" xfId="0" applyNumberFormat="1" applyFont="1" applyFill="1" applyBorder="1"/>
    <xf numFmtId="0" fontId="10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164" fontId="6" fillId="5" borderId="0" xfId="3" applyNumberFormat="1" applyFont="1" applyFill="1" applyBorder="1"/>
    <xf numFmtId="0" fontId="12" fillId="5" borderId="0" xfId="0" applyFont="1" applyFill="1" applyBorder="1"/>
    <xf numFmtId="0" fontId="4" fillId="5" borderId="0" xfId="0" applyFont="1" applyFill="1" applyBorder="1"/>
    <xf numFmtId="2" fontId="10" fillId="5" borderId="0" xfId="0" applyNumberFormat="1" applyFont="1" applyFill="1" applyBorder="1"/>
    <xf numFmtId="0" fontId="9" fillId="3" borderId="0" xfId="0" applyFont="1" applyFill="1" applyAlignment="1"/>
    <xf numFmtId="0" fontId="0" fillId="7" borderId="0" xfId="0" applyFill="1"/>
    <xf numFmtId="0" fontId="0" fillId="7" borderId="0" xfId="0" applyFill="1" applyBorder="1"/>
    <xf numFmtId="0" fontId="10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left"/>
    </xf>
    <xf numFmtId="164" fontId="6" fillId="7" borderId="0" xfId="3" applyNumberFormat="1" applyFont="1" applyFill="1" applyBorder="1"/>
    <xf numFmtId="0" fontId="9" fillId="7" borderId="0" xfId="0" applyFont="1" applyFill="1" applyAlignment="1"/>
    <xf numFmtId="0" fontId="12" fillId="7" borderId="0" xfId="0" applyFont="1" applyFill="1" applyBorder="1"/>
    <xf numFmtId="0" fontId="4" fillId="7" borderId="0" xfId="0" applyFont="1" applyFill="1" applyBorder="1"/>
    <xf numFmtId="0" fontId="6" fillId="7" borderId="0" xfId="0" applyFont="1" applyFill="1" applyBorder="1"/>
    <xf numFmtId="2" fontId="10" fillId="7" borderId="0" xfId="0" applyNumberFormat="1" applyFont="1" applyFill="1" applyBorder="1"/>
    <xf numFmtId="0" fontId="3" fillId="5" borderId="0" xfId="0" applyFont="1" applyFill="1" applyBorder="1"/>
    <xf numFmtId="0" fontId="0" fillId="5" borderId="2" xfId="0" applyFill="1" applyBorder="1"/>
    <xf numFmtId="0" fontId="5" fillId="0" borderId="2" xfId="0" applyFont="1" applyBorder="1"/>
    <xf numFmtId="0" fontId="6" fillId="0" borderId="2" xfId="0" applyFont="1" applyBorder="1"/>
    <xf numFmtId="164" fontId="6" fillId="2" borderId="2" xfId="3" applyNumberFormat="1" applyFont="1" applyFill="1" applyBorder="1"/>
    <xf numFmtId="2" fontId="0" fillId="5" borderId="0" xfId="0" applyNumberFormat="1" applyFill="1"/>
    <xf numFmtId="0" fontId="3" fillId="0" borderId="2" xfId="0" applyFont="1" applyBorder="1"/>
    <xf numFmtId="0" fontId="6" fillId="0" borderId="4" xfId="0" applyFont="1" applyBorder="1" applyAlignment="1">
      <alignment horizontal="left" indent="3"/>
    </xf>
    <xf numFmtId="0" fontId="6" fillId="2" borderId="4" xfId="0" applyFont="1" applyFill="1" applyBorder="1"/>
    <xf numFmtId="9" fontId="6" fillId="2" borderId="4" xfId="2" applyFont="1" applyFill="1" applyBorder="1"/>
    <xf numFmtId="0" fontId="6" fillId="0" borderId="3" xfId="0" applyFont="1" applyBorder="1"/>
    <xf numFmtId="0" fontId="6" fillId="0" borderId="3" xfId="0" applyFont="1" applyFill="1" applyBorder="1"/>
    <xf numFmtId="0" fontId="0" fillId="0" borderId="4" xfId="0" applyBorder="1"/>
    <xf numFmtId="9" fontId="6" fillId="2" borderId="4" xfId="0" applyNumberFormat="1" applyFont="1" applyFill="1" applyBorder="1"/>
    <xf numFmtId="0" fontId="0" fillId="8" borderId="4" xfId="0" applyFill="1" applyBorder="1"/>
    <xf numFmtId="164" fontId="6" fillId="2" borderId="4" xfId="3" applyNumberFormat="1" applyFont="1" applyFill="1" applyBorder="1"/>
    <xf numFmtId="0" fontId="6" fillId="0" borderId="3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Border="1"/>
    <xf numFmtId="0" fontId="14" fillId="0" borderId="3" xfId="0" applyFont="1" applyBorder="1" applyAlignment="1">
      <alignment wrapText="1"/>
    </xf>
    <xf numFmtId="0" fontId="0" fillId="6" borderId="2" xfId="0" applyFill="1" applyBorder="1"/>
    <xf numFmtId="2" fontId="8" fillId="6" borderId="2" xfId="0" applyNumberFormat="1" applyFont="1" applyFill="1" applyBorder="1"/>
    <xf numFmtId="10" fontId="6" fillId="6" borderId="4" xfId="2" applyNumberFormat="1" applyFont="1" applyFill="1" applyBorder="1"/>
    <xf numFmtId="10" fontId="6" fillId="6" borderId="2" xfId="2" applyNumberFormat="1" applyFont="1" applyFill="1" applyBorder="1"/>
    <xf numFmtId="43" fontId="6" fillId="6" borderId="4" xfId="1" applyFont="1" applyFill="1" applyBorder="1"/>
    <xf numFmtId="43" fontId="6" fillId="6" borderId="2" xfId="1" applyFont="1" applyFill="1" applyBorder="1"/>
    <xf numFmtId="9" fontId="6" fillId="6" borderId="0" xfId="2" applyFont="1" applyFill="1" applyBorder="1"/>
    <xf numFmtId="0" fontId="6" fillId="6" borderId="2" xfId="0" applyFont="1" applyFill="1" applyBorder="1"/>
    <xf numFmtId="0" fontId="6" fillId="6" borderId="4" xfId="0" applyFont="1" applyFill="1" applyBorder="1"/>
    <xf numFmtId="9" fontId="6" fillId="5" borderId="0" xfId="2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164" fontId="8" fillId="6" borderId="2" xfId="3" applyNumberFormat="1" applyFont="1" applyFill="1" applyBorder="1"/>
    <xf numFmtId="9" fontId="8" fillId="6" borderId="2" xfId="2" applyFont="1" applyFill="1" applyBorder="1"/>
    <xf numFmtId="0" fontId="3" fillId="5" borderId="0" xfId="0" applyFont="1" applyFill="1"/>
    <xf numFmtId="0" fontId="4" fillId="5" borderId="0" xfId="0" applyFont="1" applyFill="1"/>
    <xf numFmtId="0" fontId="15" fillId="0" borderId="0" xfId="0" applyFont="1"/>
    <xf numFmtId="0" fontId="8" fillId="0" borderId="2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2" fillId="0" borderId="0" xfId="0" applyFont="1"/>
    <xf numFmtId="0" fontId="5" fillId="3" borderId="0" xfId="0" applyFont="1" applyFill="1"/>
    <xf numFmtId="0" fontId="0" fillId="3" borderId="0" xfId="0" applyFill="1"/>
    <xf numFmtId="0" fontId="17" fillId="0" borderId="0" xfId="0" applyFont="1"/>
    <xf numFmtId="0" fontId="5" fillId="0" borderId="5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6" fillId="9" borderId="8" xfId="0" applyFont="1" applyFill="1" applyBorder="1"/>
    <xf numFmtId="164" fontId="6" fillId="9" borderId="8" xfId="3" applyNumberFormat="1" applyFont="1" applyFill="1" applyBorder="1"/>
    <xf numFmtId="0" fontId="6" fillId="6" borderId="8" xfId="0" applyFont="1" applyFill="1" applyBorder="1"/>
    <xf numFmtId="0" fontId="6" fillId="3" borderId="0" xfId="0" applyFont="1" applyFill="1"/>
    <xf numFmtId="43" fontId="6" fillId="0" borderId="0" xfId="0" applyNumberFormat="1" applyFont="1"/>
    <xf numFmtId="164" fontId="6" fillId="2" borderId="8" xfId="3" applyNumberFormat="1" applyFont="1" applyFill="1" applyBorder="1"/>
    <xf numFmtId="0" fontId="6" fillId="6" borderId="11" xfId="0" applyFont="1" applyFill="1" applyBorder="1"/>
    <xf numFmtId="0" fontId="6" fillId="6" borderId="1" xfId="0" applyFont="1" applyFill="1" applyBorder="1"/>
    <xf numFmtId="9" fontId="6" fillId="0" borderId="0" xfId="2" applyFont="1" applyBorder="1"/>
    <xf numFmtId="0" fontId="6" fillId="0" borderId="12" xfId="0" applyFont="1" applyBorder="1"/>
    <xf numFmtId="165" fontId="6" fillId="6" borderId="8" xfId="0" applyNumberFormat="1" applyFont="1" applyFill="1" applyBorder="1"/>
    <xf numFmtId="0" fontId="5" fillId="0" borderId="0" xfId="0" applyFont="1"/>
    <xf numFmtId="164" fontId="6" fillId="9" borderId="0" xfId="3" applyNumberFormat="1" applyFont="1" applyFill="1" applyBorder="1"/>
    <xf numFmtId="0" fontId="16" fillId="0" borderId="8" xfId="0" applyFont="1" applyBorder="1"/>
    <xf numFmtId="165" fontId="16" fillId="6" borderId="12" xfId="1" applyNumberFormat="1" applyFont="1" applyFill="1" applyBorder="1"/>
    <xf numFmtId="164" fontId="16" fillId="6" borderId="12" xfId="3" applyNumberFormat="1" applyFont="1" applyFill="1" applyBorder="1"/>
    <xf numFmtId="0" fontId="16" fillId="0" borderId="10" xfId="0" applyFont="1" applyBorder="1"/>
    <xf numFmtId="164" fontId="16" fillId="6" borderId="13" xfId="3" applyNumberFormat="1" applyFont="1" applyFill="1" applyBorder="1"/>
    <xf numFmtId="165" fontId="16" fillId="6" borderId="14" xfId="1" applyNumberFormat="1" applyFont="1" applyFill="1" applyBorder="1"/>
    <xf numFmtId="164" fontId="16" fillId="6" borderId="4" xfId="3" applyNumberFormat="1" applyFont="1" applyFill="1" applyBorder="1"/>
    <xf numFmtId="0" fontId="6" fillId="0" borderId="8" xfId="0" applyFont="1" applyBorder="1"/>
    <xf numFmtId="0" fontId="6" fillId="9" borderId="0" xfId="0" applyFont="1" applyFill="1" applyBorder="1"/>
    <xf numFmtId="0" fontId="6" fillId="9" borderId="15" xfId="0" applyFont="1" applyFill="1" applyBorder="1"/>
    <xf numFmtId="164" fontId="6" fillId="9" borderId="15" xfId="3" applyNumberFormat="1" applyFont="1" applyFill="1" applyBorder="1"/>
    <xf numFmtId="0" fontId="6" fillId="0" borderId="11" xfId="0" applyFont="1" applyBorder="1"/>
    <xf numFmtId="0" fontId="6" fillId="6" borderId="16" xfId="0" applyFont="1" applyFill="1" applyBorder="1"/>
    <xf numFmtId="0" fontId="6" fillId="0" borderId="10" xfId="0" applyFont="1" applyBorder="1"/>
    <xf numFmtId="165" fontId="6" fillId="6" borderId="10" xfId="1" applyNumberFormat="1" applyFont="1" applyFill="1" applyBorder="1"/>
    <xf numFmtId="165" fontId="6" fillId="6" borderId="9" xfId="1" applyNumberFormat="1" applyFont="1" applyFill="1" applyBorder="1"/>
    <xf numFmtId="165" fontId="6" fillId="6" borderId="13" xfId="1" applyNumberFormat="1" applyFont="1" applyFill="1" applyBorder="1"/>
    <xf numFmtId="0" fontId="6" fillId="0" borderId="14" xfId="0" applyFont="1" applyBorder="1"/>
    <xf numFmtId="165" fontId="6" fillId="9" borderId="1" xfId="1" applyNumberFormat="1" applyFont="1" applyFill="1" applyBorder="1"/>
    <xf numFmtId="165" fontId="6" fillId="9" borderId="16" xfId="1" applyNumberFormat="1" applyFont="1" applyFill="1" applyBorder="1"/>
    <xf numFmtId="165" fontId="6" fillId="6" borderId="0" xfId="0" applyNumberFormat="1" applyFont="1" applyFill="1" applyBorder="1"/>
    <xf numFmtId="165" fontId="6" fillId="6" borderId="15" xfId="0" applyNumberFormat="1" applyFont="1" applyFill="1" applyBorder="1"/>
    <xf numFmtId="164" fontId="6" fillId="6" borderId="10" xfId="3" applyNumberFormat="1" applyFont="1" applyFill="1" applyBorder="1"/>
    <xf numFmtId="164" fontId="6" fillId="6" borderId="9" xfId="3" applyNumberFormat="1" applyFont="1" applyFill="1" applyBorder="1"/>
    <xf numFmtId="164" fontId="6" fillId="6" borderId="13" xfId="3" applyNumberFormat="1" applyFont="1" applyFill="1" applyBorder="1"/>
    <xf numFmtId="0" fontId="6" fillId="9" borderId="11" xfId="0" applyFont="1" applyFill="1" applyBorder="1"/>
    <xf numFmtId="0" fontId="6" fillId="9" borderId="1" xfId="0" applyFont="1" applyFill="1" applyBorder="1"/>
    <xf numFmtId="0" fontId="6" fillId="9" borderId="16" xfId="0" applyFont="1" applyFill="1" applyBorder="1"/>
    <xf numFmtId="0" fontId="6" fillId="0" borderId="8" xfId="0" applyFont="1" applyBorder="1" applyAlignment="1">
      <alignment horizontal="left" indent="1"/>
    </xf>
    <xf numFmtId="0" fontId="6" fillId="6" borderId="0" xfId="0" applyFont="1" applyFill="1" applyBorder="1"/>
    <xf numFmtId="0" fontId="6" fillId="6" borderId="15" xfId="0" applyFont="1" applyFill="1" applyBorder="1"/>
    <xf numFmtId="164" fontId="0" fillId="6" borderId="2" xfId="3" applyNumberFormat="1" applyFont="1" applyFill="1" applyBorder="1"/>
    <xf numFmtId="164" fontId="6" fillId="6" borderId="2" xfId="3" applyNumberFormat="1" applyFont="1" applyFill="1" applyBorder="1"/>
    <xf numFmtId="0" fontId="12" fillId="0" borderId="0" xfId="0" applyFont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left" vertical="center"/>
    </xf>
    <xf numFmtId="9" fontId="6" fillId="5" borderId="1" xfId="2" applyFont="1" applyFill="1" applyBorder="1" applyAlignment="1">
      <alignment horizontal="right"/>
    </xf>
    <xf numFmtId="0" fontId="10" fillId="4" borderId="6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right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4" fontId="6" fillId="9" borderId="5" xfId="3" applyNumberFormat="1" applyFont="1" applyFill="1" applyBorder="1" applyAlignment="1">
      <alignment horizontal="center"/>
    </xf>
    <xf numFmtId="164" fontId="6" fillId="9" borderId="7" xfId="3" applyNumberFormat="1" applyFont="1" applyFill="1" applyBorder="1" applyAlignment="1">
      <alignment horizontal="center"/>
    </xf>
    <xf numFmtId="0" fontId="15" fillId="5" borderId="0" xfId="0" applyFont="1" applyFill="1"/>
    <xf numFmtId="0" fontId="2" fillId="5" borderId="0" xfId="0" applyFont="1" applyFill="1"/>
    <xf numFmtId="2" fontId="4" fillId="5" borderId="0" xfId="0" applyNumberFormat="1" applyFont="1" applyFill="1"/>
    <xf numFmtId="0" fontId="6" fillId="5" borderId="0" xfId="0" applyFont="1" applyFill="1"/>
    <xf numFmtId="9" fontId="6" fillId="5" borderId="0" xfId="2" applyFont="1" applyFill="1"/>
    <xf numFmtId="2" fontId="5" fillId="5" borderId="0" xfId="0" applyNumberFormat="1" applyFont="1" applyFill="1"/>
    <xf numFmtId="3" fontId="6" fillId="5" borderId="0" xfId="2" applyNumberFormat="1" applyFont="1" applyFill="1"/>
    <xf numFmtId="4" fontId="10" fillId="5" borderId="0" xfId="2" applyNumberFormat="1" applyFont="1" applyFill="1" applyBorder="1"/>
    <xf numFmtId="2" fontId="9" fillId="5" borderId="0" xfId="0" applyNumberFormat="1" applyFont="1" applyFill="1"/>
    <xf numFmtId="166" fontId="6" fillId="5" borderId="0" xfId="0" applyNumberFormat="1" applyFont="1" applyFill="1"/>
    <xf numFmtId="165" fontId="0" fillId="5" borderId="0" xfId="0" applyNumberFormat="1" applyFill="1"/>
    <xf numFmtId="9" fontId="6" fillId="5" borderId="0" xfId="2" applyFont="1" applyFill="1" applyBorder="1"/>
    <xf numFmtId="167" fontId="0" fillId="5" borderId="0" xfId="0" applyNumberFormat="1" applyFill="1"/>
    <xf numFmtId="165" fontId="6" fillId="5" borderId="0" xfId="1" applyNumberFormat="1" applyFont="1" applyFill="1"/>
    <xf numFmtId="0" fontId="5" fillId="5" borderId="0" xfId="0" applyFont="1" applyFill="1"/>
    <xf numFmtId="2" fontId="6" fillId="5" borderId="0" xfId="2" applyNumberFormat="1" applyFont="1" applyFill="1"/>
    <xf numFmtId="43" fontId="6" fillId="5" borderId="0" xfId="1" applyFont="1" applyFill="1" applyBorder="1"/>
    <xf numFmtId="2" fontId="2" fillId="5" borderId="0" xfId="0" applyNumberFormat="1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D8BE-ACC7-4ABA-93BF-8E2884759B50}">
  <dimension ref="A1:P74"/>
  <sheetViews>
    <sheetView tabSelected="1" topLeftCell="A46" workbookViewId="0">
      <selection activeCell="C67" sqref="C67:D67"/>
    </sheetView>
  </sheetViews>
  <sheetFormatPr defaultColWidth="0" defaultRowHeight="15" zeroHeight="1" x14ac:dyDescent="0.25"/>
  <cols>
    <col min="1" max="1" width="4.5703125" style="32" customWidth="1"/>
    <col min="2" max="2" width="2.28515625" style="15" customWidth="1"/>
    <col min="3" max="3" width="48.85546875" style="2" bestFit="1" customWidth="1"/>
    <col min="4" max="4" width="28.140625" style="2" bestFit="1" customWidth="1"/>
    <col min="5" max="5" width="4.42578125" style="2" customWidth="1"/>
    <col min="6" max="6" width="15.28515625" style="2" bestFit="1" customWidth="1"/>
    <col min="7" max="7" width="15.5703125" style="2" bestFit="1" customWidth="1"/>
    <col min="8" max="8" width="18" style="2" bestFit="1" customWidth="1"/>
    <col min="9" max="9" width="20.5703125" style="2" bestFit="1" customWidth="1"/>
    <col min="10" max="10" width="21.85546875" style="2" bestFit="1" customWidth="1"/>
    <col min="11" max="11" width="2.7109375" style="15" customWidth="1"/>
    <col min="12" max="12" width="4.5703125" style="32" customWidth="1"/>
    <col min="13" max="13" width="20.5703125" style="2" hidden="1" customWidth="1"/>
    <col min="14" max="14" width="23.140625" style="2" hidden="1" customWidth="1"/>
    <col min="15" max="15" width="23.85546875" style="2" hidden="1" customWidth="1"/>
    <col min="16" max="16384" width="9.140625" style="2" hidden="1"/>
  </cols>
  <sheetData>
    <row r="1" spans="1:16" s="31" customFormat="1" x14ac:dyDescent="0.25"/>
    <row r="2" spans="1:16" customFormat="1" x14ac:dyDescent="0.25">
      <c r="A2" s="31"/>
      <c r="B2" s="14"/>
      <c r="C2" s="41" t="s">
        <v>28</v>
      </c>
      <c r="D2" s="42" t="s">
        <v>34</v>
      </c>
      <c r="E2" s="14"/>
      <c r="F2" s="14"/>
      <c r="G2" s="14"/>
      <c r="H2" s="14"/>
      <c r="I2" s="14"/>
      <c r="J2" s="14"/>
      <c r="K2" s="14"/>
      <c r="L2" s="31"/>
    </row>
    <row r="3" spans="1:16" customFormat="1" x14ac:dyDescent="0.25">
      <c r="A3" s="31"/>
      <c r="B3" s="14"/>
      <c r="C3" s="41"/>
      <c r="D3" s="61" t="s">
        <v>35</v>
      </c>
      <c r="E3" s="14"/>
      <c r="F3" s="14"/>
      <c r="G3" s="14"/>
      <c r="H3" s="14"/>
      <c r="I3" s="14"/>
      <c r="J3" s="14"/>
      <c r="K3" s="14"/>
      <c r="L3" s="31"/>
    </row>
    <row r="4" spans="1:16" customFormat="1" x14ac:dyDescent="0.25">
      <c r="A4" s="31"/>
      <c r="B4" s="14"/>
      <c r="C4" s="15"/>
      <c r="D4" s="23" t="s">
        <v>29</v>
      </c>
      <c r="E4" s="14"/>
      <c r="F4" s="14"/>
      <c r="G4" s="14"/>
      <c r="H4" s="14"/>
      <c r="I4" s="14"/>
      <c r="J4" s="14"/>
      <c r="K4" s="14"/>
      <c r="L4" s="31"/>
    </row>
    <row r="5" spans="1:16" customFormat="1" ht="6.75" customHeight="1" x14ac:dyDescent="0.25">
      <c r="A5" s="31"/>
      <c r="B5" s="14"/>
      <c r="C5" s="14"/>
      <c r="D5" s="14"/>
      <c r="E5" s="14"/>
      <c r="F5" s="14"/>
      <c r="G5" s="14"/>
      <c r="H5" s="14"/>
      <c r="I5" s="14"/>
      <c r="J5" s="14"/>
      <c r="K5" s="14"/>
      <c r="L5" s="31"/>
      <c r="M5" s="16"/>
    </row>
    <row r="6" spans="1:16" customFormat="1" ht="22.5" customHeight="1" x14ac:dyDescent="0.25">
      <c r="A6" s="31"/>
      <c r="B6" s="138" t="s">
        <v>37</v>
      </c>
      <c r="C6" s="138"/>
      <c r="D6" s="138"/>
      <c r="E6" s="138"/>
      <c r="F6" s="138"/>
      <c r="G6" s="138"/>
      <c r="H6" s="138"/>
      <c r="I6" s="138"/>
      <c r="J6" s="138"/>
      <c r="K6" s="138"/>
      <c r="L6" s="31"/>
      <c r="M6" s="16"/>
    </row>
    <row r="7" spans="1:16" customFormat="1" x14ac:dyDescent="0.25">
      <c r="A7" s="31"/>
      <c r="B7" s="14"/>
      <c r="C7" s="139" t="s">
        <v>32</v>
      </c>
      <c r="D7" s="140"/>
      <c r="E7" s="14"/>
      <c r="F7" s="14"/>
      <c r="G7" s="14"/>
      <c r="H7" s="14"/>
      <c r="I7" s="14"/>
      <c r="J7" s="14"/>
      <c r="K7" s="24"/>
      <c r="L7" s="33"/>
    </row>
    <row r="8" spans="1:16" customFormat="1" x14ac:dyDescent="0.25">
      <c r="A8" s="31"/>
      <c r="B8" s="14"/>
      <c r="C8" s="43" t="s">
        <v>38</v>
      </c>
      <c r="D8" s="62" t="str">
        <f>IFERROR((D15*D17+D27*D25+D35*D37+D45*D47+D55*D57+D66*D68)/D10, "")</f>
        <v/>
      </c>
      <c r="E8" s="19"/>
      <c r="F8" s="14"/>
      <c r="G8" s="14"/>
      <c r="H8" s="14"/>
      <c r="I8" s="14"/>
      <c r="J8" s="14"/>
      <c r="K8" s="25"/>
      <c r="L8" s="34"/>
      <c r="M8" s="3" t="s">
        <v>20</v>
      </c>
      <c r="N8" s="136" t="s">
        <v>21</v>
      </c>
      <c r="O8" s="136"/>
      <c r="P8" s="1"/>
    </row>
    <row r="9" spans="1:16" customFormat="1" x14ac:dyDescent="0.25">
      <c r="A9" s="31"/>
      <c r="B9" s="14"/>
      <c r="C9" s="137" t="s">
        <v>26</v>
      </c>
      <c r="D9" s="137"/>
      <c r="E9" s="20"/>
      <c r="F9" s="14"/>
      <c r="G9" s="14"/>
      <c r="H9" s="14"/>
      <c r="I9" s="14"/>
      <c r="J9" s="14"/>
      <c r="K9" s="26"/>
      <c r="L9" s="35"/>
      <c r="M9" s="4">
        <f>J9*I9</f>
        <v>0</v>
      </c>
      <c r="N9" s="13">
        <f>M9*G9</f>
        <v>0</v>
      </c>
      <c r="O9" s="13"/>
    </row>
    <row r="10" spans="1:16" customFormat="1" x14ac:dyDescent="0.25">
      <c r="A10" s="31"/>
      <c r="B10" s="14"/>
      <c r="C10" s="10" t="s">
        <v>39</v>
      </c>
      <c r="D10" s="72">
        <f>D17+D27+D37+D47+D57+D68</f>
        <v>16</v>
      </c>
      <c r="E10" s="20"/>
      <c r="F10" s="14"/>
      <c r="G10" s="14"/>
      <c r="H10" s="14"/>
      <c r="I10" s="14"/>
      <c r="J10" s="14"/>
      <c r="K10" s="26"/>
      <c r="L10" s="35"/>
      <c r="M10" s="4">
        <f>J10*I10</f>
        <v>0</v>
      </c>
      <c r="N10" s="13">
        <f t="shared" ref="N10" si="0">M10*G10</f>
        <v>0</v>
      </c>
      <c r="O10" s="13"/>
    </row>
    <row r="11" spans="1:16" customFormat="1" x14ac:dyDescent="0.25">
      <c r="A11" s="31"/>
      <c r="B11" s="14"/>
      <c r="C11" s="10" t="s">
        <v>45</v>
      </c>
      <c r="D11" s="45"/>
      <c r="E11" s="20"/>
      <c r="F11" s="14"/>
      <c r="G11" s="14"/>
      <c r="H11" s="14"/>
      <c r="I11" s="14"/>
      <c r="J11" s="14"/>
      <c r="K11" s="26"/>
      <c r="L11" s="35"/>
      <c r="M11" s="4"/>
      <c r="N11" s="13"/>
      <c r="O11" s="13"/>
    </row>
    <row r="12" spans="1:16" customFormat="1" ht="6.75" customHeight="1" x14ac:dyDescent="0.25">
      <c r="A12" s="3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31"/>
      <c r="M12" s="16"/>
    </row>
    <row r="13" spans="1:16" customFormat="1" ht="22.5" customHeight="1" x14ac:dyDescent="0.25">
      <c r="A13" s="31"/>
      <c r="B13" s="138" t="s">
        <v>44</v>
      </c>
      <c r="C13" s="138"/>
      <c r="D13" s="138"/>
      <c r="E13" s="138"/>
      <c r="F13" s="138"/>
      <c r="G13" s="138"/>
      <c r="H13" s="138"/>
      <c r="I13" s="138"/>
      <c r="J13" s="138"/>
      <c r="K13" s="138"/>
      <c r="L13" s="31"/>
      <c r="M13" s="16"/>
    </row>
    <row r="14" spans="1:16" customFormat="1" x14ac:dyDescent="0.25">
      <c r="A14" s="31"/>
      <c r="B14" s="14"/>
      <c r="C14" s="139" t="s">
        <v>32</v>
      </c>
      <c r="D14" s="140"/>
      <c r="E14" s="14"/>
      <c r="F14" s="14"/>
      <c r="G14" s="14"/>
      <c r="H14" s="14"/>
      <c r="I14" s="14"/>
      <c r="J14" s="14"/>
      <c r="K14" s="24"/>
      <c r="L14" s="33"/>
    </row>
    <row r="15" spans="1:16" customFormat="1" x14ac:dyDescent="0.25">
      <c r="A15" s="31"/>
      <c r="B15" s="14"/>
      <c r="C15" s="43" t="s">
        <v>25</v>
      </c>
      <c r="D15" s="62" t="str">
        <f>IFERROR(1/D21,"")</f>
        <v/>
      </c>
      <c r="E15" s="19"/>
      <c r="F15" s="14"/>
      <c r="G15" s="14"/>
      <c r="H15" s="14"/>
      <c r="I15" s="14"/>
      <c r="J15" s="14"/>
      <c r="K15" s="25"/>
      <c r="L15" s="34"/>
      <c r="M15" s="3" t="s">
        <v>20</v>
      </c>
      <c r="N15" s="136" t="s">
        <v>21</v>
      </c>
      <c r="O15" s="136"/>
      <c r="P15" s="1"/>
    </row>
    <row r="16" spans="1:16" customFormat="1" x14ac:dyDescent="0.25">
      <c r="A16" s="31"/>
      <c r="B16" s="14"/>
      <c r="C16" s="137" t="s">
        <v>26</v>
      </c>
      <c r="D16" s="137"/>
      <c r="E16" s="20"/>
      <c r="F16" s="14"/>
      <c r="G16" s="14"/>
      <c r="H16" s="14"/>
      <c r="I16" s="14"/>
      <c r="J16" s="14"/>
      <c r="K16" s="26"/>
      <c r="L16" s="35"/>
      <c r="M16" s="4">
        <f>J16*I16</f>
        <v>0</v>
      </c>
      <c r="N16" s="13">
        <f>M16*G16</f>
        <v>0</v>
      </c>
      <c r="O16" s="13"/>
    </row>
    <row r="17" spans="1:16" customFormat="1" x14ac:dyDescent="0.25">
      <c r="A17" s="31"/>
      <c r="B17" s="14"/>
      <c r="C17" s="10" t="s">
        <v>36</v>
      </c>
      <c r="D17" s="45"/>
      <c r="E17" s="20"/>
      <c r="F17" s="14"/>
      <c r="G17" s="14"/>
      <c r="H17" s="14"/>
      <c r="I17" s="14"/>
      <c r="J17" s="14"/>
      <c r="K17" s="26"/>
      <c r="L17" s="35"/>
      <c r="M17" s="4"/>
      <c r="N17" s="13"/>
      <c r="O17" s="13"/>
    </row>
    <row r="18" spans="1:16" customFormat="1" x14ac:dyDescent="0.25">
      <c r="A18" s="31"/>
      <c r="B18" s="14"/>
      <c r="C18" s="10" t="s">
        <v>40</v>
      </c>
      <c r="D18" s="18"/>
      <c r="E18" s="20"/>
      <c r="F18" s="14"/>
      <c r="G18" s="14"/>
      <c r="H18" s="14"/>
      <c r="I18" s="14"/>
      <c r="J18" s="14"/>
      <c r="K18" s="26"/>
      <c r="L18" s="35"/>
      <c r="M18" s="4">
        <f>J18*I18</f>
        <v>0</v>
      </c>
      <c r="N18" s="13">
        <f t="shared" ref="N18:N21" si="1">M18*G18</f>
        <v>0</v>
      </c>
      <c r="O18" s="13"/>
    </row>
    <row r="19" spans="1:16" customFormat="1" x14ac:dyDescent="0.25">
      <c r="A19" s="31"/>
      <c r="B19" s="14"/>
      <c r="C19" s="10" t="s">
        <v>41</v>
      </c>
      <c r="D19" s="18"/>
      <c r="E19" s="20"/>
      <c r="F19" s="14"/>
      <c r="G19" s="14"/>
      <c r="H19" s="14"/>
      <c r="I19" s="14"/>
      <c r="J19" s="14"/>
      <c r="K19" s="26"/>
      <c r="L19" s="35"/>
      <c r="M19" s="4">
        <f>J19*I19</f>
        <v>0</v>
      </c>
      <c r="N19" s="13">
        <f t="shared" si="1"/>
        <v>0</v>
      </c>
      <c r="O19" s="13"/>
    </row>
    <row r="20" spans="1:16" customFormat="1" x14ac:dyDescent="0.25">
      <c r="A20" s="31"/>
      <c r="B20" s="14"/>
      <c r="C20" s="10" t="s">
        <v>42</v>
      </c>
      <c r="D20" s="18"/>
      <c r="E20" s="20"/>
      <c r="F20" s="14"/>
      <c r="G20" s="14"/>
      <c r="H20" s="14"/>
      <c r="I20" s="14"/>
      <c r="J20" s="14"/>
      <c r="K20" s="26"/>
      <c r="L20" s="35"/>
      <c r="M20" s="4">
        <f>J20*I20</f>
        <v>0</v>
      </c>
      <c r="N20" s="13">
        <f t="shared" si="1"/>
        <v>0</v>
      </c>
      <c r="O20" s="13"/>
    </row>
    <row r="21" spans="1:16" customFormat="1" x14ac:dyDescent="0.25">
      <c r="A21" s="31"/>
      <c r="B21" s="14"/>
      <c r="C21" s="10" t="s">
        <v>43</v>
      </c>
      <c r="D21" s="73">
        <f>SUM(D18:D20)</f>
        <v>0</v>
      </c>
      <c r="E21" s="20"/>
      <c r="F21" s="14"/>
      <c r="G21" s="14"/>
      <c r="H21" s="14"/>
      <c r="I21" s="14"/>
      <c r="J21" s="14"/>
      <c r="K21" s="26"/>
      <c r="L21" s="35"/>
      <c r="M21" s="4">
        <f t="shared" ref="M21" si="2">J21*I21</f>
        <v>0</v>
      </c>
      <c r="N21" s="13">
        <f t="shared" si="1"/>
        <v>0</v>
      </c>
      <c r="O21" s="13"/>
    </row>
    <row r="22" spans="1:16" customFormat="1" ht="6.75" customHeight="1" x14ac:dyDescent="0.25">
      <c r="A22" s="3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31"/>
      <c r="M22" s="11"/>
    </row>
    <row r="23" spans="1:16" customFormat="1" ht="22.5" customHeight="1" x14ac:dyDescent="0.25">
      <c r="A23" s="31"/>
      <c r="B23" s="138" t="s">
        <v>24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31"/>
      <c r="M23" s="16"/>
    </row>
    <row r="24" spans="1:16" customFormat="1" x14ac:dyDescent="0.25">
      <c r="A24" s="31"/>
      <c r="B24" s="14"/>
      <c r="C24" s="139" t="s">
        <v>32</v>
      </c>
      <c r="D24" s="140"/>
      <c r="E24" s="14"/>
      <c r="F24" s="139" t="s">
        <v>27</v>
      </c>
      <c r="G24" s="143"/>
      <c r="H24" s="143"/>
      <c r="I24" s="143"/>
      <c r="J24" s="140"/>
      <c r="K24" s="24"/>
      <c r="L24" s="33"/>
    </row>
    <row r="25" spans="1:16" customFormat="1" ht="15.75" thickBot="1" x14ac:dyDescent="0.3">
      <c r="A25" s="31"/>
      <c r="B25" s="14"/>
      <c r="C25" s="43" t="s">
        <v>25</v>
      </c>
      <c r="D25" s="62">
        <f>IFERROR((SUM(M26:M31)-SUM(N26:O31))/SUM(N26:O31),"")</f>
        <v>15.028225806451612</v>
      </c>
      <c r="E25" s="19"/>
      <c r="F25" s="57" t="s">
        <v>8</v>
      </c>
      <c r="G25" s="57" t="s">
        <v>17</v>
      </c>
      <c r="H25" s="57" t="s">
        <v>18</v>
      </c>
      <c r="I25" s="57" t="s">
        <v>16</v>
      </c>
      <c r="J25" s="58" t="s">
        <v>22</v>
      </c>
      <c r="K25" s="25"/>
      <c r="L25" s="34"/>
      <c r="M25" s="3" t="s">
        <v>20</v>
      </c>
      <c r="N25" s="136" t="s">
        <v>21</v>
      </c>
      <c r="O25" s="136"/>
      <c r="P25" s="1"/>
    </row>
    <row r="26" spans="1:16" customFormat="1" x14ac:dyDescent="0.25">
      <c r="A26" s="31"/>
      <c r="B26" s="14"/>
      <c r="C26" s="137" t="s">
        <v>26</v>
      </c>
      <c r="D26" s="137"/>
      <c r="E26" s="20"/>
      <c r="F26" s="59">
        <v>1</v>
      </c>
      <c r="G26" s="54">
        <v>0.5</v>
      </c>
      <c r="H26" s="55"/>
      <c r="I26" s="63">
        <v>1</v>
      </c>
      <c r="J26" s="56">
        <v>150</v>
      </c>
      <c r="K26" s="26"/>
      <c r="L26" s="35"/>
      <c r="M26" s="4">
        <f>J26*I26</f>
        <v>150</v>
      </c>
      <c r="N26" s="13">
        <f>M26*G26</f>
        <v>75</v>
      </c>
      <c r="O26" s="13"/>
    </row>
    <row r="27" spans="1:16" customFormat="1" x14ac:dyDescent="0.25">
      <c r="A27" s="31"/>
      <c r="B27" s="14"/>
      <c r="C27" s="10" t="s">
        <v>36</v>
      </c>
      <c r="D27" s="45"/>
      <c r="E27" s="20"/>
      <c r="F27" s="44">
        <v>2</v>
      </c>
      <c r="G27" s="23">
        <v>0.08</v>
      </c>
      <c r="H27" s="23">
        <v>0.5</v>
      </c>
      <c r="I27" s="64">
        <f>H27*I26</f>
        <v>0.5</v>
      </c>
      <c r="J27" s="45">
        <v>450</v>
      </c>
      <c r="K27" s="26"/>
      <c r="L27" s="35"/>
      <c r="M27" s="4">
        <f>J27*I27</f>
        <v>225</v>
      </c>
      <c r="N27" s="13">
        <f t="shared" ref="N27:N31" si="3">M27*G27</f>
        <v>18</v>
      </c>
      <c r="O27" s="13"/>
    </row>
    <row r="28" spans="1:16" customFormat="1" x14ac:dyDescent="0.25">
      <c r="A28" s="31"/>
      <c r="B28" s="14"/>
      <c r="C28" s="20"/>
      <c r="D28" s="20"/>
      <c r="E28" s="20"/>
      <c r="F28" s="44">
        <v>3</v>
      </c>
      <c r="G28" s="23">
        <v>0</v>
      </c>
      <c r="H28" s="23">
        <v>0.17</v>
      </c>
      <c r="I28" s="64">
        <f>H28*I27</f>
        <v>8.5000000000000006E-2</v>
      </c>
      <c r="J28" s="45">
        <v>2500</v>
      </c>
      <c r="K28" s="26"/>
      <c r="L28" s="35"/>
      <c r="M28" s="4">
        <f>J28*I28</f>
        <v>212.50000000000003</v>
      </c>
      <c r="N28" s="13">
        <f t="shared" si="3"/>
        <v>0</v>
      </c>
      <c r="O28" s="13"/>
    </row>
    <row r="29" spans="1:16" customFormat="1" x14ac:dyDescent="0.25">
      <c r="A29" s="31"/>
      <c r="B29" s="14"/>
      <c r="C29" s="20"/>
      <c r="D29" s="20"/>
      <c r="E29" s="20"/>
      <c r="F29" s="44">
        <v>4</v>
      </c>
      <c r="G29" s="23">
        <v>0</v>
      </c>
      <c r="H29" s="23">
        <v>0.25</v>
      </c>
      <c r="I29" s="64">
        <f>H29*I28</f>
        <v>2.1250000000000002E-2</v>
      </c>
      <c r="J29" s="45">
        <v>10000</v>
      </c>
      <c r="K29" s="26"/>
      <c r="L29" s="35"/>
      <c r="M29" s="4">
        <f>J29*I29</f>
        <v>212.50000000000003</v>
      </c>
      <c r="N29" s="13">
        <f t="shared" si="3"/>
        <v>0</v>
      </c>
      <c r="O29" s="13"/>
    </row>
    <row r="30" spans="1:16" customFormat="1" x14ac:dyDescent="0.25">
      <c r="A30" s="31"/>
      <c r="B30" s="14"/>
      <c r="C30" s="20"/>
      <c r="D30" s="20"/>
      <c r="E30" s="20"/>
      <c r="F30" s="44">
        <v>5</v>
      </c>
      <c r="G30" s="23">
        <v>0</v>
      </c>
      <c r="H30" s="23">
        <v>0.5</v>
      </c>
      <c r="I30" s="64">
        <f>H30*I29</f>
        <v>1.0625000000000001E-2</v>
      </c>
      <c r="J30" s="45">
        <v>20000</v>
      </c>
      <c r="K30" s="26"/>
      <c r="L30" s="35"/>
      <c r="M30" s="4">
        <f t="shared" ref="M30:M31" si="4">J30*I30</f>
        <v>212.50000000000003</v>
      </c>
      <c r="N30" s="13">
        <f t="shared" si="3"/>
        <v>0</v>
      </c>
      <c r="O30" s="13"/>
    </row>
    <row r="31" spans="1:16" customFormat="1" x14ac:dyDescent="0.25">
      <c r="A31" s="31"/>
      <c r="B31" s="14"/>
      <c r="C31" s="20"/>
      <c r="D31" s="20"/>
      <c r="E31" s="20"/>
      <c r="F31" s="44" t="s">
        <v>23</v>
      </c>
      <c r="G31" s="23">
        <v>0</v>
      </c>
      <c r="H31" s="23">
        <v>0.9</v>
      </c>
      <c r="I31" s="64">
        <f>H31*I30</f>
        <v>9.5625000000000016E-3</v>
      </c>
      <c r="J31" s="45">
        <v>50000</v>
      </c>
      <c r="K31" s="26"/>
      <c r="L31" s="35"/>
      <c r="M31" s="4">
        <f t="shared" si="4"/>
        <v>478.12500000000006</v>
      </c>
      <c r="N31" s="13">
        <f t="shared" si="3"/>
        <v>0</v>
      </c>
      <c r="O31" s="13"/>
    </row>
    <row r="32" spans="1:16" customFormat="1" ht="6.75" customHeight="1" x14ac:dyDescent="0.25">
      <c r="A32" s="3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31"/>
      <c r="M32" s="11"/>
    </row>
    <row r="33" spans="1:16" customFormat="1" ht="22.5" customHeight="1" x14ac:dyDescent="0.25">
      <c r="A33" s="31"/>
      <c r="B33" s="138" t="s">
        <v>7</v>
      </c>
      <c r="C33" s="138"/>
      <c r="D33" s="138"/>
      <c r="E33" s="138"/>
      <c r="F33" s="138"/>
      <c r="G33" s="138"/>
      <c r="H33" s="138"/>
      <c r="I33" s="138"/>
      <c r="J33" s="138"/>
      <c r="K33" s="138"/>
      <c r="L33" s="36"/>
      <c r="M33" s="30"/>
      <c r="P33" s="9"/>
    </row>
    <row r="34" spans="1:16" customFormat="1" x14ac:dyDescent="0.25">
      <c r="A34" s="31"/>
      <c r="B34" s="14"/>
      <c r="C34" s="137" t="s">
        <v>32</v>
      </c>
      <c r="D34" s="137"/>
      <c r="E34" s="14"/>
      <c r="F34" s="137" t="s">
        <v>27</v>
      </c>
      <c r="G34" s="137"/>
      <c r="H34" s="137"/>
      <c r="I34" s="137"/>
      <c r="J34" s="137"/>
      <c r="K34" s="24"/>
      <c r="L34" s="33"/>
    </row>
    <row r="35" spans="1:16" customFormat="1" ht="15.75" thickBot="1" x14ac:dyDescent="0.3">
      <c r="A35" s="31"/>
      <c r="B35" s="14"/>
      <c r="C35" s="43" t="s">
        <v>25</v>
      </c>
      <c r="D35" s="62">
        <f>IFERROR((SUM(M36:M41)-SUM(N36:O41))/SUM(N36:O41),"")</f>
        <v>30.245283018867923</v>
      </c>
      <c r="E35" s="19"/>
      <c r="F35" s="57" t="s">
        <v>8</v>
      </c>
      <c r="G35" s="57" t="s">
        <v>17</v>
      </c>
      <c r="H35" s="57" t="s">
        <v>18</v>
      </c>
      <c r="I35" s="57" t="s">
        <v>16</v>
      </c>
      <c r="J35" s="58" t="s">
        <v>22</v>
      </c>
      <c r="K35" s="25"/>
      <c r="L35" s="34"/>
      <c r="M35" s="3" t="s">
        <v>20</v>
      </c>
      <c r="N35" s="136" t="s">
        <v>21</v>
      </c>
      <c r="O35" s="136"/>
      <c r="P35" s="7"/>
    </row>
    <row r="36" spans="1:16" customFormat="1" x14ac:dyDescent="0.25">
      <c r="A36" s="31"/>
      <c r="B36" s="14"/>
      <c r="C36" s="137" t="s">
        <v>26</v>
      </c>
      <c r="D36" s="137"/>
      <c r="E36" s="15"/>
      <c r="F36" s="53">
        <v>1</v>
      </c>
      <c r="G36" s="54">
        <f>0.25/3</f>
        <v>8.3333333333333329E-2</v>
      </c>
      <c r="H36" s="55"/>
      <c r="I36" s="63">
        <v>1</v>
      </c>
      <c r="J36" s="56">
        <v>450</v>
      </c>
      <c r="K36" s="26"/>
      <c r="L36" s="35"/>
      <c r="M36" s="4">
        <f>J36*I36</f>
        <v>450</v>
      </c>
      <c r="N36" s="13">
        <f>M36*G36</f>
        <v>37.5</v>
      </c>
      <c r="O36" s="13"/>
      <c r="P36" s="2"/>
    </row>
    <row r="37" spans="1:16" customFormat="1" x14ac:dyDescent="0.25">
      <c r="A37" s="31"/>
      <c r="B37" s="14"/>
      <c r="C37" s="10" t="s">
        <v>36</v>
      </c>
      <c r="D37" s="45">
        <v>4</v>
      </c>
      <c r="E37" s="21"/>
      <c r="F37" s="10">
        <v>2</v>
      </c>
      <c r="G37" s="23">
        <f>0.25/6</f>
        <v>4.1666666666666664E-2</v>
      </c>
      <c r="H37" s="23">
        <v>0.17</v>
      </c>
      <c r="I37" s="64">
        <f>H37*I36</f>
        <v>0.17</v>
      </c>
      <c r="J37" s="45">
        <v>2500</v>
      </c>
      <c r="K37" s="26"/>
      <c r="L37" s="35"/>
      <c r="M37" s="4">
        <f>J37*I37</f>
        <v>425.00000000000006</v>
      </c>
      <c r="N37" s="13">
        <f t="shared" ref="N37:N41" si="5">M37*G37</f>
        <v>17.708333333333336</v>
      </c>
      <c r="O37" s="13"/>
      <c r="P37" s="2"/>
    </row>
    <row r="38" spans="1:16" customFormat="1" x14ac:dyDescent="0.25">
      <c r="A38" s="31"/>
      <c r="B38" s="14"/>
      <c r="C38" s="20"/>
      <c r="D38" s="20"/>
      <c r="E38" s="20"/>
      <c r="F38" s="10">
        <v>3</v>
      </c>
      <c r="G38" s="23">
        <v>0</v>
      </c>
      <c r="H38" s="23">
        <v>0.25</v>
      </c>
      <c r="I38" s="64">
        <f>H38*I37</f>
        <v>4.2500000000000003E-2</v>
      </c>
      <c r="J38" s="45">
        <v>10000</v>
      </c>
      <c r="K38" s="26"/>
      <c r="L38" s="35"/>
      <c r="M38" s="4">
        <f>J38*I38</f>
        <v>425.00000000000006</v>
      </c>
      <c r="N38" s="13">
        <f t="shared" si="5"/>
        <v>0</v>
      </c>
      <c r="O38" s="13"/>
      <c r="P38" s="2"/>
    </row>
    <row r="39" spans="1:16" customFormat="1" x14ac:dyDescent="0.25">
      <c r="A39" s="31"/>
      <c r="B39" s="14"/>
      <c r="C39" s="20"/>
      <c r="D39" s="20"/>
      <c r="E39" s="20"/>
      <c r="F39" s="10">
        <v>4</v>
      </c>
      <c r="G39" s="23">
        <v>0</v>
      </c>
      <c r="H39" s="23">
        <v>0.5</v>
      </c>
      <c r="I39" s="64">
        <f>H39*I38</f>
        <v>2.1250000000000002E-2</v>
      </c>
      <c r="J39" s="45">
        <v>20000</v>
      </c>
      <c r="K39" s="26"/>
      <c r="L39" s="35"/>
      <c r="M39" s="4">
        <f>J39*I39</f>
        <v>425.00000000000006</v>
      </c>
      <c r="N39" s="13">
        <f t="shared" si="5"/>
        <v>0</v>
      </c>
      <c r="O39" s="13"/>
      <c r="P39" s="2"/>
    </row>
    <row r="40" spans="1:16" customFormat="1" x14ac:dyDescent="0.25">
      <c r="A40" s="31"/>
      <c r="B40" s="14"/>
      <c r="C40" s="20"/>
      <c r="D40" s="20"/>
      <c r="E40" s="20"/>
      <c r="F40" s="10">
        <v>5</v>
      </c>
      <c r="G40" s="23">
        <v>0</v>
      </c>
      <c r="H40" s="23">
        <v>0.75</v>
      </c>
      <c r="I40" s="64">
        <f>H40*I39</f>
        <v>1.59375E-2</v>
      </c>
      <c r="J40" s="45">
        <v>0</v>
      </c>
      <c r="K40" s="26"/>
      <c r="L40" s="35"/>
      <c r="M40" s="4">
        <f t="shared" ref="M40:M41" si="6">J40*I40</f>
        <v>0</v>
      </c>
      <c r="N40" s="13">
        <f t="shared" si="5"/>
        <v>0</v>
      </c>
      <c r="O40" s="13"/>
      <c r="P40" s="2"/>
    </row>
    <row r="41" spans="1:16" customFormat="1" x14ac:dyDescent="0.25">
      <c r="A41" s="31"/>
      <c r="B41" s="14"/>
      <c r="C41" s="20"/>
      <c r="D41" s="20"/>
      <c r="E41" s="20"/>
      <c r="F41" s="10" t="s">
        <v>23</v>
      </c>
      <c r="G41" s="23">
        <v>0</v>
      </c>
      <c r="H41" s="23">
        <v>0</v>
      </c>
      <c r="I41" s="64">
        <f>H41*I40</f>
        <v>0</v>
      </c>
      <c r="J41" s="45">
        <v>0</v>
      </c>
      <c r="K41" s="26"/>
      <c r="L41" s="35"/>
      <c r="M41" s="4">
        <f t="shared" si="6"/>
        <v>0</v>
      </c>
      <c r="N41" s="13">
        <f t="shared" si="5"/>
        <v>0</v>
      </c>
      <c r="O41" s="13"/>
      <c r="P41" s="2"/>
    </row>
    <row r="42" spans="1:16" s="14" customFormat="1" ht="6.75" customHeight="1" x14ac:dyDescent="0.25">
      <c r="A42" s="31"/>
      <c r="L42" s="31"/>
      <c r="M42" s="46"/>
    </row>
    <row r="43" spans="1:16" ht="24" customHeight="1" x14ac:dyDescent="0.25">
      <c r="B43" s="141" t="s">
        <v>30</v>
      </c>
      <c r="C43" s="141"/>
      <c r="D43" s="141"/>
      <c r="E43" s="141"/>
      <c r="F43" s="141"/>
      <c r="G43" s="141"/>
      <c r="H43" s="141"/>
      <c r="I43" s="141"/>
      <c r="J43" s="141"/>
      <c r="K43" s="141"/>
      <c r="M43" s="12"/>
    </row>
    <row r="44" spans="1:16" customFormat="1" x14ac:dyDescent="0.25">
      <c r="A44" s="31"/>
      <c r="B44" s="14"/>
      <c r="C44" s="137" t="s">
        <v>32</v>
      </c>
      <c r="D44" s="137"/>
      <c r="E44" s="14"/>
      <c r="F44" s="137" t="s">
        <v>27</v>
      </c>
      <c r="G44" s="137"/>
      <c r="H44" s="137"/>
      <c r="I44" s="137"/>
      <c r="J44" s="137"/>
      <c r="K44" s="24"/>
      <c r="L44" s="33"/>
    </row>
    <row r="45" spans="1:16" ht="15.75" thickBot="1" x14ac:dyDescent="0.3">
      <c r="C45" s="43" t="s">
        <v>25</v>
      </c>
      <c r="D45" s="62">
        <f>IFERROR((M50)*(1/D50-1),"")</f>
        <v>17.379000000000001</v>
      </c>
      <c r="E45" s="19"/>
      <c r="F45" s="51" t="s">
        <v>2</v>
      </c>
      <c r="G45" s="51" t="s">
        <v>0</v>
      </c>
      <c r="H45" s="52" t="s">
        <v>12</v>
      </c>
      <c r="I45" s="15"/>
      <c r="J45" s="27"/>
      <c r="K45" s="27"/>
      <c r="L45" s="37"/>
      <c r="M45" s="5" t="s">
        <v>1</v>
      </c>
    </row>
    <row r="46" spans="1:16" x14ac:dyDescent="0.25">
      <c r="C46" s="137" t="s">
        <v>26</v>
      </c>
      <c r="D46" s="137"/>
      <c r="E46" s="15"/>
      <c r="F46" s="49">
        <v>1</v>
      </c>
      <c r="G46" s="65">
        <f>ROUNDDOWN(($D$49-$D$48)/(F46+0.25),0)*(1-$D$51)+1</f>
        <v>4.92</v>
      </c>
      <c r="H46" s="50">
        <v>0</v>
      </c>
      <c r="I46" s="15"/>
      <c r="J46" s="28"/>
      <c r="K46" s="28"/>
      <c r="L46" s="38"/>
      <c r="M46" s="6">
        <f>G46*H46</f>
        <v>0</v>
      </c>
    </row>
    <row r="47" spans="1:16" x14ac:dyDescent="0.25">
      <c r="C47" s="10" t="s">
        <v>36</v>
      </c>
      <c r="D47" s="45">
        <v>4</v>
      </c>
      <c r="E47" s="21"/>
      <c r="F47" s="22">
        <v>3</v>
      </c>
      <c r="G47" s="66">
        <f>ROUNDDOWN(($D$49-$D$48)/(F47+0.25),0)*(1-$D$51)+1</f>
        <v>1.98</v>
      </c>
      <c r="H47" s="18">
        <v>0.05</v>
      </c>
      <c r="I47" s="15"/>
      <c r="J47" s="28"/>
      <c r="K47" s="28"/>
      <c r="L47" s="38"/>
      <c r="M47" s="6">
        <f>G47*H47</f>
        <v>9.9000000000000005E-2</v>
      </c>
    </row>
    <row r="48" spans="1:16" x14ac:dyDescent="0.25">
      <c r="C48" s="10" t="s">
        <v>19</v>
      </c>
      <c r="D48" s="17">
        <v>4</v>
      </c>
      <c r="E48" s="20"/>
      <c r="F48" s="22">
        <v>5</v>
      </c>
      <c r="G48" s="66">
        <f>ROUNDDOWN(($D$49-$D$48)/(F48+0.25),0)*(1-$D$51)+1</f>
        <v>1.98</v>
      </c>
      <c r="H48" s="18">
        <v>0.9</v>
      </c>
      <c r="I48" s="15"/>
      <c r="J48" s="28"/>
      <c r="K48" s="28"/>
      <c r="L48" s="38"/>
      <c r="M48" s="6">
        <f>G48*H48</f>
        <v>1.782</v>
      </c>
    </row>
    <row r="49" spans="1:13" x14ac:dyDescent="0.25">
      <c r="C49" s="44" t="s">
        <v>13</v>
      </c>
      <c r="D49" s="17">
        <v>10</v>
      </c>
      <c r="E49" s="20"/>
      <c r="F49" s="22">
        <v>10</v>
      </c>
      <c r="G49" s="66">
        <f>ROUNDDOWN(($D$49-$D$48)/(F49+0.25),0)*(1-$D$51)+1</f>
        <v>1</v>
      </c>
      <c r="H49" s="18">
        <v>0.05</v>
      </c>
      <c r="I49" s="15"/>
      <c r="J49" s="28"/>
      <c r="K49" s="28"/>
      <c r="L49" s="38"/>
      <c r="M49" s="6">
        <f>G49*H49</f>
        <v>0.05</v>
      </c>
    </row>
    <row r="50" spans="1:13" x14ac:dyDescent="0.25">
      <c r="C50" s="44" t="s">
        <v>6</v>
      </c>
      <c r="D50" s="18">
        <v>0.1</v>
      </c>
      <c r="E50" s="20"/>
      <c r="F50" s="142" t="s">
        <v>33</v>
      </c>
      <c r="G50" s="142"/>
      <c r="H50" s="67">
        <f>SUM(H46:H49)</f>
        <v>1</v>
      </c>
      <c r="I50" s="15"/>
      <c r="J50" s="20"/>
      <c r="K50" s="20"/>
      <c r="L50" s="39"/>
      <c r="M50" s="6">
        <f>SUM(M46:M49)</f>
        <v>1.931</v>
      </c>
    </row>
    <row r="51" spans="1:13" x14ac:dyDescent="0.25">
      <c r="C51" s="44" t="s">
        <v>10</v>
      </c>
      <c r="D51" s="18">
        <v>0.02</v>
      </c>
      <c r="E51" s="20"/>
      <c r="F51" s="70"/>
      <c r="G51" s="70"/>
      <c r="H51" s="15"/>
      <c r="I51" s="15"/>
      <c r="J51" s="20"/>
      <c r="K51" s="20"/>
      <c r="L51" s="39"/>
      <c r="M51" s="6"/>
    </row>
    <row r="52" spans="1:13" s="14" customFormat="1" ht="6.75" customHeight="1" x14ac:dyDescent="0.25">
      <c r="A52" s="31"/>
      <c r="L52" s="31"/>
      <c r="M52" s="46"/>
    </row>
    <row r="53" spans="1:13" ht="24" customHeight="1" x14ac:dyDescent="0.25">
      <c r="B53" s="141" t="s">
        <v>3</v>
      </c>
      <c r="C53" s="141"/>
      <c r="D53" s="141"/>
      <c r="E53" s="141"/>
      <c r="F53" s="141"/>
      <c r="G53" s="141"/>
      <c r="H53" s="141"/>
      <c r="I53" s="141"/>
      <c r="J53" s="141"/>
      <c r="K53" s="141"/>
      <c r="M53" s="12"/>
    </row>
    <row r="54" spans="1:13" customFormat="1" x14ac:dyDescent="0.25">
      <c r="A54" s="31"/>
      <c r="B54" s="14"/>
      <c r="C54" s="137" t="s">
        <v>32</v>
      </c>
      <c r="D54" s="137"/>
      <c r="E54" s="14"/>
      <c r="F54" s="137" t="s">
        <v>27</v>
      </c>
      <c r="G54" s="137"/>
      <c r="H54" s="137"/>
      <c r="I54" s="137"/>
      <c r="J54" s="137"/>
      <c r="K54" s="24"/>
      <c r="L54" s="33"/>
    </row>
    <row r="55" spans="1:13" ht="15.75" thickBot="1" x14ac:dyDescent="0.3">
      <c r="C55" s="47" t="s">
        <v>25</v>
      </c>
      <c r="D55" s="62">
        <f>IFERROR(J61*(1/(D60*D61)-1),"")</f>
        <v>7.5246153846153838</v>
      </c>
      <c r="E55" s="15"/>
      <c r="F55" s="51" t="s">
        <v>2</v>
      </c>
      <c r="G55" s="51" t="s">
        <v>0</v>
      </c>
      <c r="H55" s="52" t="s">
        <v>12</v>
      </c>
      <c r="I55" s="15"/>
      <c r="J55" s="27"/>
      <c r="K55" s="27"/>
      <c r="L55" s="37"/>
      <c r="M55" s="5" t="s">
        <v>1</v>
      </c>
    </row>
    <row r="56" spans="1:13" x14ac:dyDescent="0.25">
      <c r="C56" s="137" t="s">
        <v>26</v>
      </c>
      <c r="D56" s="137"/>
      <c r="E56" s="15"/>
      <c r="F56" s="48" t="s">
        <v>14</v>
      </c>
      <c r="G56" s="49">
        <v>1.5</v>
      </c>
      <c r="H56" s="50">
        <v>0.2</v>
      </c>
      <c r="I56" s="15"/>
      <c r="J56" s="27"/>
      <c r="K56" s="27"/>
      <c r="L56" s="37"/>
      <c r="M56" s="8">
        <f>G56*H56</f>
        <v>0.30000000000000004</v>
      </c>
    </row>
    <row r="57" spans="1:13" x14ac:dyDescent="0.25">
      <c r="C57" s="10" t="s">
        <v>36</v>
      </c>
      <c r="D57" s="45">
        <v>4</v>
      </c>
      <c r="E57" s="21"/>
      <c r="F57" s="22">
        <v>1</v>
      </c>
      <c r="G57" s="68">
        <f>ROUNDDOWN(($D$59-$D$58)/(F57+0.25),0)*(1-$D$62)+1</f>
        <v>4.2</v>
      </c>
      <c r="H57" s="18">
        <v>0.05</v>
      </c>
      <c r="I57" s="15"/>
      <c r="J57" s="28"/>
      <c r="K57" s="28"/>
      <c r="L57" s="38"/>
      <c r="M57" s="8">
        <f>G57*H57</f>
        <v>0.21000000000000002</v>
      </c>
    </row>
    <row r="58" spans="1:13" x14ac:dyDescent="0.25">
      <c r="C58" s="10" t="s">
        <v>19</v>
      </c>
      <c r="D58" s="17">
        <v>5</v>
      </c>
      <c r="E58" s="20"/>
      <c r="F58" s="22">
        <v>3</v>
      </c>
      <c r="G58" s="68">
        <f>ROUNDDOWN(($D$59-$D$58)/(F58+0.25),0)*(1-$D$62)+1</f>
        <v>1.8</v>
      </c>
      <c r="H58" s="18">
        <v>0.25</v>
      </c>
      <c r="I58" s="15"/>
      <c r="J58" s="28"/>
      <c r="K58" s="28"/>
      <c r="L58" s="38"/>
      <c r="M58" s="6">
        <f>G58*H58</f>
        <v>0.45</v>
      </c>
    </row>
    <row r="59" spans="1:13" x14ac:dyDescent="0.25">
      <c r="C59" s="44" t="s">
        <v>13</v>
      </c>
      <c r="D59" s="17">
        <v>10</v>
      </c>
      <c r="E59" s="20"/>
      <c r="F59" s="22">
        <v>5</v>
      </c>
      <c r="G59" s="68">
        <f>ROUNDDOWN(($D$59-$D$58)/(F59+0.25),0)*(1-$D$62)+1</f>
        <v>1</v>
      </c>
      <c r="H59" s="18">
        <v>0.5</v>
      </c>
      <c r="I59" s="15"/>
      <c r="J59" s="28"/>
      <c r="K59" s="28"/>
      <c r="L59" s="38"/>
      <c r="M59" s="6">
        <f>G59*H59</f>
        <v>0.5</v>
      </c>
    </row>
    <row r="60" spans="1:13" x14ac:dyDescent="0.25">
      <c r="C60" s="44" t="s">
        <v>4</v>
      </c>
      <c r="D60" s="18">
        <v>0.65</v>
      </c>
      <c r="E60" s="20"/>
      <c r="F60" s="22">
        <v>10</v>
      </c>
      <c r="G60" s="68">
        <f>ROUNDDOWN(($D$59-$D$58)/(F60+0.25),0)*(1-$D$62)+1</f>
        <v>1</v>
      </c>
      <c r="H60" s="18">
        <v>0</v>
      </c>
      <c r="I60" s="15"/>
      <c r="J60" s="28"/>
      <c r="K60" s="28"/>
      <c r="L60" s="38"/>
      <c r="M60" s="6">
        <f>G60*H60</f>
        <v>0</v>
      </c>
    </row>
    <row r="61" spans="1:13" x14ac:dyDescent="0.25">
      <c r="C61" s="44" t="s">
        <v>5</v>
      </c>
      <c r="D61" s="18">
        <v>0.25</v>
      </c>
      <c r="E61" s="20"/>
      <c r="F61" s="144" t="s">
        <v>33</v>
      </c>
      <c r="G61" s="144"/>
      <c r="H61" s="67">
        <f>SUM(H56:H60)</f>
        <v>1</v>
      </c>
      <c r="I61" s="15"/>
      <c r="J61" s="29">
        <f>SUM(M56:M60)</f>
        <v>1.46</v>
      </c>
      <c r="K61" s="29"/>
      <c r="L61" s="40"/>
    </row>
    <row r="62" spans="1:13" x14ac:dyDescent="0.25">
      <c r="C62" s="44" t="s">
        <v>11</v>
      </c>
      <c r="D62" s="18">
        <v>0.2</v>
      </c>
      <c r="E62" s="20"/>
      <c r="F62" s="71"/>
      <c r="G62" s="71"/>
      <c r="H62" s="15"/>
      <c r="I62" s="15"/>
      <c r="J62" s="29"/>
      <c r="K62" s="29"/>
      <c r="L62" s="40"/>
    </row>
    <row r="63" spans="1:13" s="14" customFormat="1" ht="6.75" customHeight="1" x14ac:dyDescent="0.25">
      <c r="A63" s="31"/>
      <c r="L63" s="31"/>
      <c r="M63" s="46"/>
    </row>
    <row r="64" spans="1:13" ht="24" customHeight="1" x14ac:dyDescent="0.25">
      <c r="B64" s="141" t="s">
        <v>31</v>
      </c>
      <c r="C64" s="141"/>
      <c r="D64" s="141"/>
      <c r="E64" s="141"/>
      <c r="F64" s="141"/>
      <c r="G64" s="141"/>
      <c r="H64" s="141"/>
      <c r="I64" s="141"/>
      <c r="J64" s="141"/>
      <c r="K64" s="141"/>
      <c r="M64" s="12"/>
    </row>
    <row r="65" spans="1:16" customFormat="1" x14ac:dyDescent="0.25">
      <c r="A65" s="31"/>
      <c r="B65" s="14"/>
      <c r="C65" s="137" t="s">
        <v>32</v>
      </c>
      <c r="D65" s="137"/>
      <c r="E65" s="14"/>
      <c r="F65" s="137" t="s">
        <v>27</v>
      </c>
      <c r="G65" s="137"/>
      <c r="H65" s="137"/>
      <c r="I65" s="137"/>
      <c r="J65" s="137"/>
      <c r="K65" s="24"/>
      <c r="L65" s="33"/>
    </row>
    <row r="66" spans="1:16" ht="25.5" thickBot="1" x14ac:dyDescent="0.3">
      <c r="C66" s="47" t="s">
        <v>25</v>
      </c>
      <c r="D66" s="62">
        <f>IFERROR(M71*(1/D71-1),"")</f>
        <v>8.3119999999999994</v>
      </c>
      <c r="E66" s="15"/>
      <c r="F66" s="51" t="s">
        <v>2</v>
      </c>
      <c r="G66" s="60" t="s">
        <v>15</v>
      </c>
      <c r="H66" s="51" t="s">
        <v>0</v>
      </c>
      <c r="I66" s="52" t="s">
        <v>12</v>
      </c>
      <c r="J66" s="15"/>
      <c r="M66" s="5" t="s">
        <v>1</v>
      </c>
      <c r="P66" s="7"/>
    </row>
    <row r="67" spans="1:16" x14ac:dyDescent="0.25">
      <c r="C67" s="137" t="s">
        <v>26</v>
      </c>
      <c r="D67" s="137"/>
      <c r="E67" s="15"/>
      <c r="F67" s="49">
        <v>1</v>
      </c>
      <c r="G67" s="49">
        <v>1</v>
      </c>
      <c r="H67" s="69">
        <f>ROUNDDOWN(($D$70-$D$69)/(G67+0.25),0)*(1-$D$72)+1</f>
        <v>4.92</v>
      </c>
      <c r="I67" s="50">
        <v>0.05</v>
      </c>
      <c r="J67" s="15"/>
      <c r="M67" s="6">
        <f>H67*I67</f>
        <v>0.246</v>
      </c>
      <c r="P67" s="7"/>
    </row>
    <row r="68" spans="1:16" x14ac:dyDescent="0.25">
      <c r="C68" s="10" t="s">
        <v>36</v>
      </c>
      <c r="D68" s="45">
        <v>4</v>
      </c>
      <c r="E68" s="21"/>
      <c r="F68" s="22">
        <v>3</v>
      </c>
      <c r="G68" s="22">
        <v>3</v>
      </c>
      <c r="H68" s="68">
        <f>ROUNDDOWN(($D$70-$D$69)/(G68+0.25),0)*(1-$D$72)+1</f>
        <v>1.98</v>
      </c>
      <c r="I68" s="18">
        <v>0.25</v>
      </c>
      <c r="J68" s="15"/>
      <c r="M68" s="6">
        <f>H68*I68</f>
        <v>0.495</v>
      </c>
      <c r="P68" s="7"/>
    </row>
    <row r="69" spans="1:16" x14ac:dyDescent="0.25">
      <c r="C69" s="10" t="s">
        <v>19</v>
      </c>
      <c r="D69" s="17">
        <v>4</v>
      </c>
      <c r="E69" s="20"/>
      <c r="F69" s="22">
        <v>5</v>
      </c>
      <c r="G69" s="22">
        <v>3.5</v>
      </c>
      <c r="H69" s="68">
        <f>ROUNDDOWN(($D$70-$D$69)/(G69+0.25),0)*(1-$D$72)+1</f>
        <v>1.98</v>
      </c>
      <c r="I69" s="18">
        <v>0.65</v>
      </c>
      <c r="J69" s="15"/>
      <c r="M69" s="6">
        <f>H69*I69</f>
        <v>1.2869999999999999</v>
      </c>
      <c r="P69" s="7"/>
    </row>
    <row r="70" spans="1:16" x14ac:dyDescent="0.25">
      <c r="C70" s="44" t="s">
        <v>13</v>
      </c>
      <c r="D70" s="17">
        <v>10</v>
      </c>
      <c r="E70" s="20"/>
      <c r="F70" s="22">
        <v>10</v>
      </c>
      <c r="G70" s="22">
        <v>7</v>
      </c>
      <c r="H70" s="68">
        <f>ROUNDDOWN(($D$70-$D$69)/(G70+0.25),0)*(1-$D$72)+1</f>
        <v>1</v>
      </c>
      <c r="I70" s="18">
        <v>0.05</v>
      </c>
      <c r="J70" s="15"/>
      <c r="M70" s="6">
        <f>H70*I70</f>
        <v>0.05</v>
      </c>
    </row>
    <row r="71" spans="1:16" x14ac:dyDescent="0.25">
      <c r="C71" s="44" t="s">
        <v>9</v>
      </c>
      <c r="D71" s="18">
        <v>0.2</v>
      </c>
      <c r="E71" s="15"/>
      <c r="F71" s="144" t="s">
        <v>33</v>
      </c>
      <c r="G71" s="144"/>
      <c r="H71" s="144"/>
      <c r="I71" s="67">
        <f>SUM(I67:I70)</f>
        <v>1</v>
      </c>
      <c r="J71" s="15"/>
      <c r="M71" s="6">
        <f>SUM(M67:M70)</f>
        <v>2.0779999999999998</v>
      </c>
    </row>
    <row r="72" spans="1:16" x14ac:dyDescent="0.25">
      <c r="C72" s="44" t="s">
        <v>10</v>
      </c>
      <c r="D72" s="18">
        <v>0.02</v>
      </c>
      <c r="E72" s="15"/>
      <c r="F72" s="71"/>
      <c r="G72" s="71"/>
      <c r="H72" s="71"/>
      <c r="I72" s="15"/>
      <c r="J72" s="15"/>
      <c r="M72" s="6"/>
    </row>
    <row r="73" spans="1:16" s="14" customFormat="1" ht="6.75" customHeight="1" x14ac:dyDescent="0.25">
      <c r="A73" s="31"/>
      <c r="L73" s="31"/>
      <c r="M73" s="46"/>
    </row>
    <row r="74" spans="1:16" s="31" customFormat="1" x14ac:dyDescent="0.25"/>
  </sheetData>
  <mergeCells count="33">
    <mergeCell ref="C67:D67"/>
    <mergeCell ref="F71:H71"/>
    <mergeCell ref="F61:G61"/>
    <mergeCell ref="B64:K64"/>
    <mergeCell ref="C65:D65"/>
    <mergeCell ref="F65:J65"/>
    <mergeCell ref="C56:D56"/>
    <mergeCell ref="B43:K43"/>
    <mergeCell ref="C44:D44"/>
    <mergeCell ref="F44:J44"/>
    <mergeCell ref="C46:D46"/>
    <mergeCell ref="F50:G50"/>
    <mergeCell ref="C36:D36"/>
    <mergeCell ref="B23:K23"/>
    <mergeCell ref="B53:K53"/>
    <mergeCell ref="C54:D54"/>
    <mergeCell ref="F54:J54"/>
    <mergeCell ref="C24:D24"/>
    <mergeCell ref="F24:J24"/>
    <mergeCell ref="B33:K33"/>
    <mergeCell ref="C34:D34"/>
    <mergeCell ref="F34:J34"/>
    <mergeCell ref="B6:K6"/>
    <mergeCell ref="C7:D7"/>
    <mergeCell ref="N8:O8"/>
    <mergeCell ref="N25:O25"/>
    <mergeCell ref="N35:O35"/>
    <mergeCell ref="N15:O15"/>
    <mergeCell ref="C16:D16"/>
    <mergeCell ref="C9:D9"/>
    <mergeCell ref="C26:D26"/>
    <mergeCell ref="B13:K13"/>
    <mergeCell ref="C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D2CA-D37B-4C2F-B712-F2219406C706}">
  <dimension ref="A1:S50"/>
  <sheetViews>
    <sheetView topLeftCell="A10" zoomScaleNormal="100" workbookViewId="0">
      <selection activeCell="E44" sqref="E44"/>
    </sheetView>
  </sheetViews>
  <sheetFormatPr defaultColWidth="0" defaultRowHeight="15" zeroHeight="1" x14ac:dyDescent="0.25"/>
  <cols>
    <col min="1" max="1" width="64.7109375" customWidth="1"/>
    <col min="2" max="11" width="19.28515625" customWidth="1"/>
    <col min="12" max="12" width="3.140625" customWidth="1"/>
    <col min="13" max="13" width="13" hidden="1" customWidth="1"/>
    <col min="14" max="14" width="12.42578125" hidden="1" customWidth="1"/>
    <col min="15" max="16" width="14.28515625" hidden="1" customWidth="1"/>
    <col min="17" max="17" width="13.28515625" hidden="1" customWidth="1"/>
    <col min="18" max="19" width="0" hidden="1" customWidth="1"/>
    <col min="20" max="16384" width="9.140625" hidden="1"/>
  </cols>
  <sheetData>
    <row r="1" spans="1:16" x14ac:dyDescent="0.25">
      <c r="A1" s="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x14ac:dyDescent="0.25">
      <c r="A2" s="74" t="s">
        <v>28</v>
      </c>
      <c r="B2" s="145" t="s">
        <v>34</v>
      </c>
      <c r="C2" s="146"/>
      <c r="D2" s="14"/>
      <c r="E2" s="14"/>
      <c r="F2" s="14"/>
      <c r="G2" s="14"/>
      <c r="H2" s="14"/>
      <c r="I2" s="14"/>
      <c r="J2" s="14"/>
      <c r="K2" s="14"/>
      <c r="L2" s="14"/>
    </row>
    <row r="3" spans="1:16" x14ac:dyDescent="0.25">
      <c r="A3" s="74"/>
      <c r="B3" s="147" t="s">
        <v>35</v>
      </c>
      <c r="C3" s="148"/>
      <c r="D3" s="14"/>
      <c r="E3" s="14"/>
      <c r="F3" s="14"/>
      <c r="G3" s="14"/>
      <c r="H3" s="14"/>
      <c r="I3" s="14"/>
      <c r="J3" s="14"/>
      <c r="K3" s="14"/>
      <c r="L3" s="14"/>
    </row>
    <row r="4" spans="1:16" x14ac:dyDescent="0.25">
      <c r="A4" s="14"/>
      <c r="B4" s="149" t="s">
        <v>29</v>
      </c>
      <c r="C4" s="150"/>
      <c r="D4" s="14"/>
      <c r="E4" s="14"/>
      <c r="F4" s="14"/>
      <c r="G4" s="14"/>
      <c r="H4" s="14"/>
      <c r="I4" s="14"/>
      <c r="J4" s="14"/>
      <c r="K4" s="14"/>
      <c r="L4" s="14"/>
    </row>
    <row r="5" spans="1:16" s="14" customFormat="1" x14ac:dyDescent="0.25">
      <c r="A5" s="75"/>
    </row>
    <row r="6" spans="1:16" x14ac:dyDescent="0.25">
      <c r="A6" s="76" t="s">
        <v>66</v>
      </c>
      <c r="B6" s="134">
        <f>'Leverage Calculations'!D10</f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6" x14ac:dyDescent="0.25">
      <c r="A7" s="76" t="s">
        <v>61</v>
      </c>
      <c r="B7" s="134">
        <f>B16+B25+B34+B43</f>
        <v>110032000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6" x14ac:dyDescent="0.25">
      <c r="A8" s="151"/>
      <c r="B8" s="151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6" s="81" customFormat="1" x14ac:dyDescent="0.25">
      <c r="A9" s="77" t="s">
        <v>62</v>
      </c>
      <c r="B9" s="78">
        <v>2022</v>
      </c>
      <c r="C9" s="79">
        <v>2023</v>
      </c>
      <c r="D9" s="79">
        <v>2024</v>
      </c>
      <c r="E9" s="79">
        <v>2025</v>
      </c>
      <c r="F9" s="79">
        <v>2026</v>
      </c>
      <c r="G9" s="79">
        <v>2027</v>
      </c>
      <c r="H9" s="79">
        <v>2028</v>
      </c>
      <c r="I9" s="79">
        <v>2029</v>
      </c>
      <c r="J9" s="79">
        <v>2030</v>
      </c>
      <c r="K9" s="80">
        <f>J9+1</f>
        <v>2031</v>
      </c>
      <c r="L9" s="152"/>
    </row>
    <row r="10" spans="1:16" s="81" customFormat="1" x14ac:dyDescent="0.25">
      <c r="A10" s="103" t="s">
        <v>64</v>
      </c>
      <c r="B10" s="108">
        <f>B19+B28+B37+B46</f>
        <v>33</v>
      </c>
      <c r="C10" s="108">
        <f t="shared" ref="C10:K10" si="0">C19+C28+C37+C46</f>
        <v>53.4</v>
      </c>
      <c r="D10" s="108">
        <f t="shared" si="0"/>
        <v>73.616</v>
      </c>
      <c r="E10" s="108">
        <f t="shared" si="0"/>
        <v>81.224639999999994</v>
      </c>
      <c r="F10" s="108">
        <f t="shared" si="0"/>
        <v>87.8089856</v>
      </c>
      <c r="G10" s="108">
        <f t="shared" si="0"/>
        <v>89.315559424</v>
      </c>
      <c r="H10" s="108">
        <f t="shared" si="0"/>
        <v>91.297550376960004</v>
      </c>
      <c r="I10" s="108">
        <f t="shared" si="0"/>
        <v>50.901699135078395</v>
      </c>
      <c r="J10" s="108">
        <f t="shared" si="0"/>
        <v>54.099499850203131</v>
      </c>
      <c r="K10" s="104">
        <f t="shared" si="0"/>
        <v>59.580302869400121</v>
      </c>
      <c r="L10" s="152"/>
    </row>
    <row r="11" spans="1:16" s="81" customFormat="1" x14ac:dyDescent="0.25">
      <c r="A11" s="103" t="s">
        <v>65</v>
      </c>
      <c r="B11" s="104">
        <f>B21+B30+B39+B48</f>
        <v>33</v>
      </c>
      <c r="C11" s="104">
        <f t="shared" ref="C11:K11" si="1">C21+C30+C39+C48</f>
        <v>86.4</v>
      </c>
      <c r="D11" s="104">
        <f t="shared" si="1"/>
        <v>160.01599999999999</v>
      </c>
      <c r="E11" s="104">
        <f t="shared" si="1"/>
        <v>241.24063999999998</v>
      </c>
      <c r="F11" s="104">
        <f t="shared" si="1"/>
        <v>329.04962560000001</v>
      </c>
      <c r="G11" s="104">
        <f t="shared" si="1"/>
        <v>418.36518502399997</v>
      </c>
      <c r="H11" s="104">
        <f t="shared" si="1"/>
        <v>509.66273540096</v>
      </c>
      <c r="I11" s="104">
        <f t="shared" si="1"/>
        <v>560.56443453603833</v>
      </c>
      <c r="J11" s="104">
        <f t="shared" si="1"/>
        <v>614.66393438624152</v>
      </c>
      <c r="K11" s="104">
        <f t="shared" si="1"/>
        <v>674.24423725564156</v>
      </c>
      <c r="L11" s="152"/>
    </row>
    <row r="12" spans="1:16" s="81" customFormat="1" x14ac:dyDescent="0.25">
      <c r="A12" s="103" t="s">
        <v>63</v>
      </c>
      <c r="B12" s="105">
        <f>B20+B29+B38+B47</f>
        <v>6004400</v>
      </c>
      <c r="C12" s="105">
        <f t="shared" ref="C12:K12" si="2">C20+C29+C38+C47</f>
        <v>10004400</v>
      </c>
      <c r="D12" s="105">
        <f t="shared" si="2"/>
        <v>14004400</v>
      </c>
      <c r="E12" s="105">
        <f t="shared" si="2"/>
        <v>15004400</v>
      </c>
      <c r="F12" s="105">
        <f t="shared" si="2"/>
        <v>16004400</v>
      </c>
      <c r="G12" s="105">
        <f t="shared" si="2"/>
        <v>16002000</v>
      </c>
      <c r="H12" s="105">
        <f t="shared" si="2"/>
        <v>15002000</v>
      </c>
      <c r="I12" s="105">
        <f t="shared" si="2"/>
        <v>6002000</v>
      </c>
      <c r="J12" s="105">
        <f t="shared" si="2"/>
        <v>6002000</v>
      </c>
      <c r="K12" s="105">
        <f t="shared" si="2"/>
        <v>6002000</v>
      </c>
      <c r="L12" s="152"/>
    </row>
    <row r="13" spans="1:16" s="81" customFormat="1" x14ac:dyDescent="0.25">
      <c r="A13" s="106" t="s">
        <v>46</v>
      </c>
      <c r="B13" s="109">
        <f t="shared" ref="B13:K13" si="3">B22+B31+B40+B49</f>
        <v>6004400</v>
      </c>
      <c r="C13" s="109">
        <f t="shared" si="3"/>
        <v>16008800</v>
      </c>
      <c r="D13" s="109">
        <f t="shared" si="3"/>
        <v>30013200</v>
      </c>
      <c r="E13" s="109">
        <f t="shared" si="3"/>
        <v>45017600</v>
      </c>
      <c r="F13" s="109">
        <f t="shared" si="3"/>
        <v>61022000</v>
      </c>
      <c r="G13" s="109">
        <f t="shared" si="3"/>
        <v>77024000</v>
      </c>
      <c r="H13" s="109">
        <f t="shared" si="3"/>
        <v>92026000</v>
      </c>
      <c r="I13" s="109">
        <f t="shared" si="3"/>
        <v>98028000</v>
      </c>
      <c r="J13" s="109">
        <f t="shared" si="3"/>
        <v>104030000</v>
      </c>
      <c r="K13" s="107">
        <f t="shared" si="3"/>
        <v>110032000</v>
      </c>
      <c r="L13" s="152"/>
    </row>
    <row r="14" spans="1:16" s="81" customFormat="1" x14ac:dyDescent="0.25">
      <c r="A14" s="75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2"/>
    </row>
    <row r="15" spans="1:16" s="83" customFormat="1" x14ac:dyDescent="0.25">
      <c r="A15" s="82" t="s">
        <v>48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</row>
    <row r="16" spans="1:16" x14ac:dyDescent="0.25">
      <c r="A16" s="84" t="s">
        <v>47</v>
      </c>
      <c r="B16" s="135">
        <f>K22</f>
        <v>60000000</v>
      </c>
      <c r="C16" s="154"/>
      <c r="D16" s="154"/>
      <c r="E16" s="154"/>
      <c r="F16" s="154"/>
      <c r="G16" s="160"/>
      <c r="H16" s="154"/>
      <c r="I16" s="154"/>
      <c r="J16" s="154"/>
      <c r="K16" s="154"/>
      <c r="L16" s="154"/>
      <c r="M16" s="89"/>
      <c r="N16" s="89"/>
      <c r="O16" s="89"/>
      <c r="P16" s="89"/>
    </row>
    <row r="17" spans="1:16" x14ac:dyDescent="0.25">
      <c r="A17" s="154"/>
      <c r="B17" s="154"/>
      <c r="C17" s="154"/>
      <c r="D17" s="155"/>
      <c r="E17" s="156"/>
      <c r="F17" s="154"/>
      <c r="G17" s="154"/>
      <c r="H17" s="154"/>
      <c r="I17" s="157"/>
      <c r="J17" s="158"/>
      <c r="K17" s="159"/>
      <c r="L17" s="159"/>
      <c r="M17" s="94"/>
      <c r="N17" s="89"/>
      <c r="O17" s="89"/>
      <c r="P17" s="89"/>
    </row>
    <row r="18" spans="1:16" x14ac:dyDescent="0.25">
      <c r="A18" s="85" t="s">
        <v>49</v>
      </c>
      <c r="B18" s="86">
        <v>2022</v>
      </c>
      <c r="C18" s="87">
        <v>2023</v>
      </c>
      <c r="D18" s="87">
        <v>2024</v>
      </c>
      <c r="E18" s="87">
        <v>2025</v>
      </c>
      <c r="F18" s="87">
        <v>2026</v>
      </c>
      <c r="G18" s="87">
        <v>2027</v>
      </c>
      <c r="H18" s="87">
        <v>2028</v>
      </c>
      <c r="I18" s="87">
        <v>2029</v>
      </c>
      <c r="J18" s="87">
        <v>2030</v>
      </c>
      <c r="K18" s="88">
        <f>J18+1</f>
        <v>2031</v>
      </c>
      <c r="L18" s="14"/>
    </row>
    <row r="19" spans="1:16" x14ac:dyDescent="0.25">
      <c r="A19" s="110" t="s">
        <v>50</v>
      </c>
      <c r="B19" s="90">
        <v>20</v>
      </c>
      <c r="C19" s="111">
        <v>35</v>
      </c>
      <c r="D19" s="111">
        <v>50</v>
      </c>
      <c r="E19" s="111">
        <v>50</v>
      </c>
      <c r="F19" s="111">
        <v>50</v>
      </c>
      <c r="G19" s="111">
        <v>50</v>
      </c>
      <c r="H19" s="111">
        <v>45</v>
      </c>
      <c r="I19" s="111"/>
      <c r="J19" s="111"/>
      <c r="K19" s="112"/>
      <c r="L19" s="14"/>
    </row>
    <row r="20" spans="1:16" x14ac:dyDescent="0.25">
      <c r="A20" s="110" t="s">
        <v>51</v>
      </c>
      <c r="B20" s="91">
        <v>4000000</v>
      </c>
      <c r="C20" s="102">
        <v>7000000</v>
      </c>
      <c r="D20" s="102">
        <v>10000000</v>
      </c>
      <c r="E20" s="102">
        <v>10000000</v>
      </c>
      <c r="F20" s="102">
        <v>10000000</v>
      </c>
      <c r="G20" s="102">
        <v>10000000</v>
      </c>
      <c r="H20" s="102">
        <v>9000000</v>
      </c>
      <c r="I20" s="102">
        <v>0</v>
      </c>
      <c r="J20" s="102">
        <v>0</v>
      </c>
      <c r="K20" s="113">
        <v>0</v>
      </c>
      <c r="L20" s="14"/>
    </row>
    <row r="21" spans="1:16" x14ac:dyDescent="0.25">
      <c r="A21" s="114" t="s">
        <v>52</v>
      </c>
      <c r="B21" s="96">
        <f>B19</f>
        <v>20</v>
      </c>
      <c r="C21" s="97">
        <f t="shared" ref="C21:K21" si="4">C19+B21</f>
        <v>55</v>
      </c>
      <c r="D21" s="97">
        <f t="shared" si="4"/>
        <v>105</v>
      </c>
      <c r="E21" s="97">
        <f t="shared" si="4"/>
        <v>155</v>
      </c>
      <c r="F21" s="97">
        <f t="shared" si="4"/>
        <v>205</v>
      </c>
      <c r="G21" s="97">
        <f t="shared" si="4"/>
        <v>255</v>
      </c>
      <c r="H21" s="97">
        <f t="shared" si="4"/>
        <v>300</v>
      </c>
      <c r="I21" s="97">
        <f t="shared" si="4"/>
        <v>300</v>
      </c>
      <c r="J21" s="97">
        <f t="shared" si="4"/>
        <v>300</v>
      </c>
      <c r="K21" s="115">
        <f t="shared" si="4"/>
        <v>300</v>
      </c>
      <c r="L21" s="14"/>
    </row>
    <row r="22" spans="1:16" x14ac:dyDescent="0.25">
      <c r="A22" s="116" t="s">
        <v>53</v>
      </c>
      <c r="B22" s="117">
        <f>B20</f>
        <v>4000000</v>
      </c>
      <c r="C22" s="118">
        <f>C20+B22</f>
        <v>11000000</v>
      </c>
      <c r="D22" s="118">
        <f t="shared" ref="D22:J22" si="5">C22+D20</f>
        <v>21000000</v>
      </c>
      <c r="E22" s="118">
        <f t="shared" si="5"/>
        <v>31000000</v>
      </c>
      <c r="F22" s="118">
        <f t="shared" si="5"/>
        <v>41000000</v>
      </c>
      <c r="G22" s="118">
        <f t="shared" si="5"/>
        <v>51000000</v>
      </c>
      <c r="H22" s="118">
        <f t="shared" si="5"/>
        <v>60000000</v>
      </c>
      <c r="I22" s="118">
        <f t="shared" si="5"/>
        <v>60000000</v>
      </c>
      <c r="J22" s="118">
        <f t="shared" si="5"/>
        <v>60000000</v>
      </c>
      <c r="K22" s="119">
        <f>K20+J22</f>
        <v>60000000</v>
      </c>
      <c r="L22" s="161"/>
    </row>
    <row r="23" spans="1:16" x14ac:dyDescent="0.25">
      <c r="A23" s="154"/>
      <c r="B23" s="154"/>
      <c r="C23" s="154"/>
      <c r="D23" s="154"/>
      <c r="E23" s="154"/>
      <c r="F23" s="20"/>
      <c r="G23" s="167"/>
      <c r="H23" s="162"/>
      <c r="I23" s="162"/>
      <c r="J23" s="162"/>
      <c r="K23" s="162"/>
      <c r="L23" s="162"/>
      <c r="M23" s="98"/>
      <c r="N23" s="98"/>
      <c r="O23" s="98"/>
      <c r="P23" s="98"/>
    </row>
    <row r="24" spans="1:16" s="83" customFormat="1" x14ac:dyDescent="0.25">
      <c r="A24" s="82" t="s">
        <v>54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84" t="s">
        <v>47</v>
      </c>
      <c r="B25" s="135">
        <f>K31</f>
        <v>50000000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89"/>
      <c r="N25" s="89"/>
      <c r="O25" s="89"/>
      <c r="P25" s="89"/>
    </row>
    <row r="26" spans="1:16" x14ac:dyDescent="0.25">
      <c r="A26" s="154"/>
      <c r="B26" s="154"/>
      <c r="C26" s="154"/>
      <c r="D26" s="162"/>
      <c r="E26" s="156"/>
      <c r="F26" s="154"/>
      <c r="G26" s="154"/>
      <c r="H26" s="154"/>
      <c r="I26" s="155"/>
      <c r="J26" s="168"/>
      <c r="K26" s="153"/>
      <c r="L26" s="152"/>
      <c r="M26" s="89"/>
      <c r="N26" s="89"/>
      <c r="O26" s="89"/>
    </row>
    <row r="27" spans="1:16" x14ac:dyDescent="0.25">
      <c r="A27" s="43" t="s">
        <v>55</v>
      </c>
      <c r="B27" s="87">
        <v>2022</v>
      </c>
      <c r="C27" s="87">
        <v>2023</v>
      </c>
      <c r="D27" s="87">
        <v>2024</v>
      </c>
      <c r="E27" s="87">
        <v>2025</v>
      </c>
      <c r="F27" s="87">
        <v>2026</v>
      </c>
      <c r="G27" s="87">
        <v>2027</v>
      </c>
      <c r="H27" s="87">
        <v>2028</v>
      </c>
      <c r="I27" s="87">
        <v>2029</v>
      </c>
      <c r="J27" s="87">
        <v>2030</v>
      </c>
      <c r="K27" s="88">
        <f>J27+1</f>
        <v>2031</v>
      </c>
      <c r="L27" s="14"/>
    </row>
    <row r="28" spans="1:16" x14ac:dyDescent="0.25">
      <c r="A28" s="120" t="s">
        <v>56</v>
      </c>
      <c r="B28" s="121">
        <v>10</v>
      </c>
      <c r="C28" s="121">
        <v>15.4</v>
      </c>
      <c r="D28" s="121">
        <v>20.616</v>
      </c>
      <c r="E28" s="121">
        <v>28.224640000000001</v>
      </c>
      <c r="F28" s="121">
        <v>34.8089856</v>
      </c>
      <c r="G28" s="121">
        <v>36.315559424</v>
      </c>
      <c r="H28" s="121">
        <v>43.297550376960004</v>
      </c>
      <c r="I28" s="121">
        <v>47.901699135078395</v>
      </c>
      <c r="J28" s="121">
        <v>51.099499850203131</v>
      </c>
      <c r="K28" s="122">
        <v>56.580302869400121</v>
      </c>
      <c r="L28" s="14"/>
    </row>
    <row r="29" spans="1:16" x14ac:dyDescent="0.25">
      <c r="A29" s="99" t="s">
        <v>40</v>
      </c>
      <c r="B29" s="102">
        <v>2000000</v>
      </c>
      <c r="C29" s="102">
        <v>3000000</v>
      </c>
      <c r="D29" s="102">
        <v>4000000</v>
      </c>
      <c r="E29" s="102">
        <v>5000000</v>
      </c>
      <c r="F29" s="102">
        <v>6000000</v>
      </c>
      <c r="G29" s="102">
        <v>6000000</v>
      </c>
      <c r="H29" s="102">
        <v>6000000</v>
      </c>
      <c r="I29" s="102">
        <v>6000000</v>
      </c>
      <c r="J29" s="102">
        <v>6000000</v>
      </c>
      <c r="K29" s="113">
        <v>6000000</v>
      </c>
      <c r="L29" s="163"/>
    </row>
    <row r="30" spans="1:16" x14ac:dyDescent="0.25">
      <c r="A30" s="110" t="s">
        <v>52</v>
      </c>
      <c r="B30" s="100">
        <f>B28</f>
        <v>10</v>
      </c>
      <c r="C30" s="123">
        <f>SUM($B28:C28)</f>
        <v>25.4</v>
      </c>
      <c r="D30" s="123">
        <f>SUM($B28:D28)</f>
        <v>46.015999999999998</v>
      </c>
      <c r="E30" s="123">
        <f>SUM($B28:E28)</f>
        <v>74.240639999999999</v>
      </c>
      <c r="F30" s="123">
        <f>SUM($B28:F28)</f>
        <v>109.0496256</v>
      </c>
      <c r="G30" s="123">
        <f>SUM($B28:G28)</f>
        <v>145.365185024</v>
      </c>
      <c r="H30" s="123">
        <f>SUM($B28:H28)</f>
        <v>188.66273540096</v>
      </c>
      <c r="I30" s="123">
        <f>SUM($B28:I28)</f>
        <v>236.56443453603839</v>
      </c>
      <c r="J30" s="123">
        <f>SUM($B28:J28)</f>
        <v>287.66393438624152</v>
      </c>
      <c r="K30" s="124">
        <f>SUM($B28:K28)</f>
        <v>344.24423725564162</v>
      </c>
      <c r="L30" s="14"/>
    </row>
    <row r="31" spans="1:16" x14ac:dyDescent="0.25">
      <c r="A31" s="116" t="s">
        <v>53</v>
      </c>
      <c r="B31" s="125">
        <f>B29</f>
        <v>2000000</v>
      </c>
      <c r="C31" s="126">
        <f t="shared" ref="C31:K31" si="6">C29+B31</f>
        <v>5000000</v>
      </c>
      <c r="D31" s="126">
        <f t="shared" si="6"/>
        <v>9000000</v>
      </c>
      <c r="E31" s="126">
        <f t="shared" si="6"/>
        <v>14000000</v>
      </c>
      <c r="F31" s="126">
        <f t="shared" si="6"/>
        <v>20000000</v>
      </c>
      <c r="G31" s="126">
        <f t="shared" si="6"/>
        <v>26000000</v>
      </c>
      <c r="H31" s="126">
        <f t="shared" si="6"/>
        <v>32000000</v>
      </c>
      <c r="I31" s="126">
        <f t="shared" si="6"/>
        <v>38000000</v>
      </c>
      <c r="J31" s="126">
        <f t="shared" si="6"/>
        <v>44000000</v>
      </c>
      <c r="K31" s="127">
        <f t="shared" si="6"/>
        <v>50000000</v>
      </c>
      <c r="L31" s="164"/>
    </row>
    <row r="32" spans="1:16" x14ac:dyDescent="0.25">
      <c r="A32" s="165"/>
      <c r="B32" s="165"/>
      <c r="C32" s="165"/>
      <c r="D32" s="165"/>
      <c r="E32" s="165"/>
      <c r="F32" s="19"/>
      <c r="G32" s="165"/>
      <c r="H32" s="165"/>
      <c r="I32" s="165"/>
      <c r="J32" s="165"/>
      <c r="K32" s="165"/>
      <c r="L32" s="165"/>
      <c r="M32" s="101"/>
      <c r="N32" s="101"/>
      <c r="O32" s="101"/>
      <c r="P32" s="101"/>
    </row>
    <row r="33" spans="1:16" s="83" customFormat="1" x14ac:dyDescent="0.25">
      <c r="A33" s="82" t="s">
        <v>3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x14ac:dyDescent="0.25">
      <c r="A34" s="84" t="s">
        <v>47</v>
      </c>
      <c r="B34" s="135">
        <f>K40</f>
        <v>12000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01"/>
      <c r="N34" s="101"/>
      <c r="O34" s="101"/>
      <c r="P34" s="101"/>
    </row>
    <row r="35" spans="1:16" x14ac:dyDescent="0.25">
      <c r="A35" s="154"/>
      <c r="B35" s="154"/>
      <c r="C35" s="154"/>
      <c r="D35" s="155"/>
      <c r="E35" s="156"/>
      <c r="F35" s="154"/>
      <c r="G35" s="154"/>
      <c r="H35" s="154"/>
      <c r="I35" s="164"/>
      <c r="J35" s="155"/>
      <c r="K35" s="156"/>
      <c r="L35" s="154"/>
      <c r="M35" s="89"/>
      <c r="N35" s="89"/>
      <c r="O35" s="89"/>
      <c r="P35" s="89"/>
    </row>
    <row r="36" spans="1:16" x14ac:dyDescent="0.25">
      <c r="A36" s="85" t="s">
        <v>57</v>
      </c>
      <c r="B36" s="86">
        <v>2022</v>
      </c>
      <c r="C36" s="87">
        <v>2023</v>
      </c>
      <c r="D36" s="87">
        <v>2024</v>
      </c>
      <c r="E36" s="87">
        <v>2025</v>
      </c>
      <c r="F36" s="87">
        <v>2026</v>
      </c>
      <c r="G36" s="87">
        <v>2027</v>
      </c>
      <c r="H36" s="87">
        <v>2028</v>
      </c>
      <c r="I36" s="87">
        <v>2029</v>
      </c>
      <c r="J36" s="87">
        <v>2030</v>
      </c>
      <c r="K36" s="88">
        <f>J36+1</f>
        <v>2031</v>
      </c>
      <c r="L36" s="14"/>
    </row>
    <row r="37" spans="1:16" x14ac:dyDescent="0.25">
      <c r="A37" s="114" t="s">
        <v>58</v>
      </c>
      <c r="B37" s="128">
        <v>1</v>
      </c>
      <c r="C37" s="129">
        <v>1</v>
      </c>
      <c r="D37" s="129">
        <v>1</v>
      </c>
      <c r="E37" s="129">
        <v>1</v>
      </c>
      <c r="F37" s="129">
        <v>1</v>
      </c>
      <c r="G37" s="129">
        <v>1</v>
      </c>
      <c r="H37" s="129">
        <v>1</v>
      </c>
      <c r="I37" s="129">
        <v>1</v>
      </c>
      <c r="J37" s="129">
        <v>1</v>
      </c>
      <c r="K37" s="130">
        <v>1</v>
      </c>
      <c r="L37" s="14"/>
    </row>
    <row r="38" spans="1:16" x14ac:dyDescent="0.25">
      <c r="A38" s="131" t="s">
        <v>40</v>
      </c>
      <c r="B38" s="95">
        <v>2400</v>
      </c>
      <c r="C38" s="102">
        <v>2400</v>
      </c>
      <c r="D38" s="102">
        <v>2400</v>
      </c>
      <c r="E38" s="102">
        <v>2400</v>
      </c>
      <c r="F38" s="102">
        <v>2400</v>
      </c>
      <c r="G38" s="102"/>
      <c r="H38" s="102"/>
      <c r="I38" s="102"/>
      <c r="J38" s="102"/>
      <c r="K38" s="113"/>
      <c r="L38" s="166"/>
    </row>
    <row r="39" spans="1:16" x14ac:dyDescent="0.25">
      <c r="A39" s="110" t="s">
        <v>52</v>
      </c>
      <c r="B39" s="92">
        <f>B37</f>
        <v>1</v>
      </c>
      <c r="C39" s="132">
        <f t="shared" ref="C39:K39" si="7">C37+B39</f>
        <v>2</v>
      </c>
      <c r="D39" s="132">
        <f t="shared" si="7"/>
        <v>3</v>
      </c>
      <c r="E39" s="132">
        <f t="shared" si="7"/>
        <v>4</v>
      </c>
      <c r="F39" s="132">
        <f t="shared" si="7"/>
        <v>5</v>
      </c>
      <c r="G39" s="132">
        <f t="shared" si="7"/>
        <v>6</v>
      </c>
      <c r="H39" s="132">
        <f t="shared" si="7"/>
        <v>7</v>
      </c>
      <c r="I39" s="132">
        <f t="shared" si="7"/>
        <v>8</v>
      </c>
      <c r="J39" s="132">
        <f t="shared" si="7"/>
        <v>9</v>
      </c>
      <c r="K39" s="133">
        <f t="shared" si="7"/>
        <v>10</v>
      </c>
      <c r="L39" s="14"/>
    </row>
    <row r="40" spans="1:16" x14ac:dyDescent="0.25">
      <c r="A40" s="116" t="s">
        <v>53</v>
      </c>
      <c r="B40" s="125">
        <f>B38</f>
        <v>2400</v>
      </c>
      <c r="C40" s="126">
        <f t="shared" ref="C40:K40" si="8">B40+C38</f>
        <v>4800</v>
      </c>
      <c r="D40" s="126">
        <f t="shared" si="8"/>
        <v>7200</v>
      </c>
      <c r="E40" s="126">
        <f t="shared" si="8"/>
        <v>9600</v>
      </c>
      <c r="F40" s="126">
        <f t="shared" si="8"/>
        <v>12000</v>
      </c>
      <c r="G40" s="126">
        <f t="shared" si="8"/>
        <v>12000</v>
      </c>
      <c r="H40" s="126">
        <f t="shared" si="8"/>
        <v>12000</v>
      </c>
      <c r="I40" s="126">
        <f t="shared" si="8"/>
        <v>12000</v>
      </c>
      <c r="J40" s="126">
        <f t="shared" si="8"/>
        <v>12000</v>
      </c>
      <c r="K40" s="127">
        <f t="shared" si="8"/>
        <v>12000</v>
      </c>
      <c r="L40" s="14"/>
    </row>
    <row r="41" spans="1:16" x14ac:dyDescent="0.25">
      <c r="A41" s="165"/>
      <c r="B41" s="165"/>
      <c r="C41" s="165"/>
      <c r="D41" s="165"/>
      <c r="E41" s="165"/>
      <c r="F41" s="19"/>
      <c r="G41" s="165"/>
      <c r="H41" s="165"/>
      <c r="I41" s="165"/>
      <c r="J41" s="165"/>
      <c r="K41" s="165"/>
      <c r="L41" s="165"/>
      <c r="M41" s="101"/>
      <c r="N41" s="101"/>
      <c r="O41" s="101"/>
      <c r="P41" s="101"/>
    </row>
    <row r="42" spans="1:16" s="83" customFormat="1" x14ac:dyDescent="0.25">
      <c r="A42" s="82" t="s">
        <v>59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</row>
    <row r="43" spans="1:16" x14ac:dyDescent="0.25">
      <c r="A43" s="84" t="s">
        <v>47</v>
      </c>
      <c r="B43" s="135">
        <f>K49</f>
        <v>20000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01"/>
      <c r="N43" s="101"/>
      <c r="O43" s="101"/>
      <c r="P43" s="101"/>
    </row>
    <row r="44" spans="1:16" x14ac:dyDescent="0.25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01"/>
      <c r="N44" s="101"/>
      <c r="O44" s="101"/>
      <c r="P44" s="101"/>
    </row>
    <row r="45" spans="1:16" x14ac:dyDescent="0.25">
      <c r="A45" s="43" t="s">
        <v>60</v>
      </c>
      <c r="B45" s="86">
        <v>2022</v>
      </c>
      <c r="C45" s="87">
        <v>2023</v>
      </c>
      <c r="D45" s="87">
        <v>2024</v>
      </c>
      <c r="E45" s="87">
        <v>2025</v>
      </c>
      <c r="F45" s="87">
        <v>2026</v>
      </c>
      <c r="G45" s="87">
        <v>2027</v>
      </c>
      <c r="H45" s="87">
        <v>2028</v>
      </c>
      <c r="I45" s="87">
        <v>2029</v>
      </c>
      <c r="J45" s="87">
        <v>2030</v>
      </c>
      <c r="K45" s="88">
        <f>J45+1</f>
        <v>2031</v>
      </c>
      <c r="L45" s="14"/>
    </row>
    <row r="46" spans="1:16" x14ac:dyDescent="0.25">
      <c r="A46" s="114" t="s">
        <v>58</v>
      </c>
      <c r="B46" s="128">
        <v>2</v>
      </c>
      <c r="C46" s="129">
        <v>2</v>
      </c>
      <c r="D46" s="129">
        <v>2</v>
      </c>
      <c r="E46" s="129">
        <v>2</v>
      </c>
      <c r="F46" s="129">
        <v>2</v>
      </c>
      <c r="G46" s="129">
        <v>2</v>
      </c>
      <c r="H46" s="129">
        <v>2</v>
      </c>
      <c r="I46" s="129">
        <v>2</v>
      </c>
      <c r="J46" s="129">
        <v>2</v>
      </c>
      <c r="K46" s="130">
        <v>2</v>
      </c>
      <c r="L46" s="14"/>
    </row>
    <row r="47" spans="1:16" x14ac:dyDescent="0.25">
      <c r="A47" s="110" t="s">
        <v>40</v>
      </c>
      <c r="B47" s="91">
        <v>2000</v>
      </c>
      <c r="C47" s="102">
        <v>2000</v>
      </c>
      <c r="D47" s="102">
        <v>2000</v>
      </c>
      <c r="E47" s="102">
        <v>2000</v>
      </c>
      <c r="F47" s="102">
        <v>2000</v>
      </c>
      <c r="G47" s="102">
        <v>2000</v>
      </c>
      <c r="H47" s="102">
        <v>2000</v>
      </c>
      <c r="I47" s="102">
        <v>2000</v>
      </c>
      <c r="J47" s="102">
        <v>2000</v>
      </c>
      <c r="K47" s="113">
        <v>2000</v>
      </c>
      <c r="L47" s="14"/>
    </row>
    <row r="48" spans="1:16" x14ac:dyDescent="0.25">
      <c r="A48" s="110" t="s">
        <v>52</v>
      </c>
      <c r="B48" s="92">
        <f>B46</f>
        <v>2</v>
      </c>
      <c r="C48" s="132">
        <f t="shared" ref="C48:K48" si="9">B48+C46</f>
        <v>4</v>
      </c>
      <c r="D48" s="132">
        <f t="shared" si="9"/>
        <v>6</v>
      </c>
      <c r="E48" s="132">
        <f t="shared" si="9"/>
        <v>8</v>
      </c>
      <c r="F48" s="132">
        <f t="shared" si="9"/>
        <v>10</v>
      </c>
      <c r="G48" s="132">
        <f t="shared" si="9"/>
        <v>12</v>
      </c>
      <c r="H48" s="132">
        <f t="shared" si="9"/>
        <v>14</v>
      </c>
      <c r="I48" s="132">
        <f t="shared" si="9"/>
        <v>16</v>
      </c>
      <c r="J48" s="132">
        <f t="shared" si="9"/>
        <v>18</v>
      </c>
      <c r="K48" s="133">
        <f t="shared" si="9"/>
        <v>20</v>
      </c>
      <c r="L48" s="14"/>
    </row>
    <row r="49" spans="1:12" x14ac:dyDescent="0.25">
      <c r="A49" s="116" t="s">
        <v>53</v>
      </c>
      <c r="B49" s="117">
        <f>B47</f>
        <v>2000</v>
      </c>
      <c r="C49" s="118">
        <f t="shared" ref="C49:K49" si="10">B49+C47</f>
        <v>4000</v>
      </c>
      <c r="D49" s="118">
        <f t="shared" si="10"/>
        <v>6000</v>
      </c>
      <c r="E49" s="118">
        <f t="shared" si="10"/>
        <v>8000</v>
      </c>
      <c r="F49" s="118">
        <f t="shared" si="10"/>
        <v>10000</v>
      </c>
      <c r="G49" s="118">
        <f t="shared" si="10"/>
        <v>12000</v>
      </c>
      <c r="H49" s="118">
        <f t="shared" si="10"/>
        <v>14000</v>
      </c>
      <c r="I49" s="118">
        <f t="shared" si="10"/>
        <v>16000</v>
      </c>
      <c r="J49" s="118">
        <f t="shared" si="10"/>
        <v>18000</v>
      </c>
      <c r="K49" s="119">
        <f t="shared" si="10"/>
        <v>20000</v>
      </c>
      <c r="L49" s="14"/>
    </row>
    <row r="50" spans="1:12" x14ac:dyDescent="0.25">
      <c r="A50" s="154"/>
      <c r="B50" s="154"/>
      <c r="C50" s="14"/>
      <c r="D50" s="14"/>
      <c r="E50" s="14"/>
      <c r="F50" s="15"/>
      <c r="G50" s="14"/>
      <c r="H50" s="14"/>
      <c r="I50" s="14"/>
      <c r="J50" s="14"/>
      <c r="K50" s="14"/>
      <c r="L50" s="14"/>
    </row>
  </sheetData>
  <mergeCells count="3">
    <mergeCell ref="B2:C2"/>
    <mergeCell ref="B3:C3"/>
    <mergeCell ref="B4:C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13FEC4229FD459EDAD0598D7CAB59" ma:contentTypeVersion="6" ma:contentTypeDescription="Create a new document." ma:contentTypeScope="" ma:versionID="11795917a9242a6854870d3d6eec7040">
  <xsd:schema xmlns:xsd="http://www.w3.org/2001/XMLSchema" xmlns:xs="http://www.w3.org/2001/XMLSchema" xmlns:p="http://schemas.microsoft.com/office/2006/metadata/properties" xmlns:ns2="f261ae65-95f9-41e0-9fc3-f2f03edf2035" xmlns:ns3="55e4e12d-ab07-40f1-89fd-ca7ba78ced87" targetNamespace="http://schemas.microsoft.com/office/2006/metadata/properties" ma:root="true" ma:fieldsID="442466ffa03a1db019c7c92c14638df8" ns2:_="" ns3:_="">
    <xsd:import namespace="f261ae65-95f9-41e0-9fc3-f2f03edf2035"/>
    <xsd:import namespace="55e4e12d-ab07-40f1-89fd-ca7ba78ced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1ae65-95f9-41e0-9fc3-f2f03edf2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4e12d-ab07-40f1-89fd-ca7ba78ced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780A7-11C5-4F44-80BA-63789D3A3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1ae65-95f9-41e0-9fc3-f2f03edf2035"/>
    <ds:schemaRef ds:uri="55e4e12d-ab07-40f1-89fd-ca7ba78ce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7564C-44F4-48FF-AD6D-38AC7D626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7534D-6992-469A-894F-0C3D9EAE4FEA}">
  <ds:schemaRefs>
    <ds:schemaRef ds:uri="55e4e12d-ab07-40f1-89fd-ca7ba78ced87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f261ae65-95f9-41e0-9fc3-f2f03edf2035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Leverage Calculations</vt:lpstr>
      <vt:lpstr>Enrolled Loan Data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Piccolo</dc:creator>
  <cp:lastModifiedBy>Samuel Seong</cp:lastModifiedBy>
  <dcterms:created xsi:type="dcterms:W3CDTF">2021-07-23T17:37:07Z</dcterms:created>
  <dcterms:modified xsi:type="dcterms:W3CDTF">2021-11-10T18:36:16Z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0x01010024313FEC4229FD459EDAD0598D7CAB59</vt:lpwstr>
  </property>
</Properties>
</file>