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defaultThemeVersion="166925"/>
  <mc:AlternateContent xmlns:mc="http://schemas.openxmlformats.org/markup-compatibility/2006">
    <mc:Choice Requires="x15">
      <x15ac:absPath xmlns:x15ac="http://schemas.microsoft.com/office/spreadsheetml/2010/11/ac" url="S:\Tracy\ICRs - SPPD\FY2024\1053.14 Electric Utility Steam Generating NSPS\Send to EPA\"/>
    </mc:Choice>
  </mc:AlternateContent>
  <xr:revisionPtr revIDLastSave="1" documentId="13_ncr:1_{6C435D20-3696-4BA2-BB1E-F68047DF577E}" xr6:coauthVersionLast="47" xr6:coauthVersionMax="47" xr10:uidLastSave="{30C77968-DE3E-4959-BA51-C7F9F79F0CD8}"/>
  <bookViews>
    <workbookView xWindow="-28920" yWindow="-3765" windowWidth="29040" windowHeight="16440" xr2:uid="{D855CF00-F869-48B3-9963-4AD001D31E8A}"/>
  </bookViews>
  <sheets>
    <sheet name="Summary" sheetId="6" r:id="rId1"/>
    <sheet name="Table 1" sheetId="1" r:id="rId2"/>
    <sheet name="Table 2" sheetId="2" r:id="rId3"/>
    <sheet name="Capital O&amp;M" sheetId="3" r:id="rId4"/>
    <sheet name="Responses" sheetId="5" r:id="rId5"/>
    <sheet name="Respondents"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 i="6" l="1"/>
  <c r="E10" i="5"/>
  <c r="E9" i="5"/>
  <c r="E8" i="5"/>
  <c r="G5" i="3" l="1"/>
  <c r="G6" i="3"/>
  <c r="D5" i="3"/>
  <c r="I15" i="2"/>
  <c r="F15" i="2"/>
  <c r="I14" i="2"/>
  <c r="I13" i="2"/>
  <c r="I11" i="2"/>
  <c r="I10" i="2"/>
  <c r="I9" i="2"/>
  <c r="I8" i="2"/>
  <c r="I6" i="2"/>
  <c r="I5" i="2"/>
  <c r="F13" i="2"/>
  <c r="D13" i="2"/>
  <c r="E14" i="2"/>
  <c r="E13" i="2"/>
  <c r="F22" i="1"/>
  <c r="E21" i="1" l="1"/>
  <c r="E20" i="1"/>
  <c r="I28" i="1"/>
  <c r="I21" i="1"/>
  <c r="I20" i="1"/>
  <c r="I18" i="1"/>
  <c r="I17" i="1"/>
  <c r="I16" i="1"/>
  <c r="I15" i="1"/>
  <c r="I11" i="1"/>
  <c r="I10" i="1"/>
  <c r="I9" i="1"/>
  <c r="I7" i="1"/>
  <c r="E5" i="3" l="1"/>
  <c r="B5" i="3" l="1"/>
  <c r="D20" i="1" l="1"/>
  <c r="I33" i="1"/>
  <c r="D6" i="3"/>
  <c r="B7" i="6"/>
  <c r="B3" i="6"/>
  <c r="E5" i="5"/>
  <c r="E6" i="5"/>
  <c r="E7" i="5"/>
  <c r="E4" i="5"/>
  <c r="D28" i="1"/>
  <c r="F28" i="1" s="1"/>
  <c r="G28" i="1" s="1"/>
  <c r="D21" i="1"/>
  <c r="D18" i="1"/>
  <c r="F18" i="1" s="1"/>
  <c r="D17" i="1"/>
  <c r="F17" i="1" s="1"/>
  <c r="D16" i="1"/>
  <c r="F16" i="1" s="1"/>
  <c r="D15" i="1"/>
  <c r="F15" i="1" s="1"/>
  <c r="D11" i="1"/>
  <c r="F11" i="1" s="1"/>
  <c r="D10" i="1"/>
  <c r="F10" i="1" s="1"/>
  <c r="D9" i="1"/>
  <c r="F9" i="1" s="1"/>
  <c r="D7" i="1"/>
  <c r="F7" i="1" s="1"/>
  <c r="F14" i="2"/>
  <c r="H14" i="2" s="1"/>
  <c r="D14" i="2"/>
  <c r="D11" i="2"/>
  <c r="F11" i="2" s="1"/>
  <c r="G10" i="2"/>
  <c r="F10" i="2"/>
  <c r="D10" i="2"/>
  <c r="D9" i="2"/>
  <c r="F9" i="2" s="1"/>
  <c r="D8" i="2"/>
  <c r="F8" i="2" s="1"/>
  <c r="D6" i="2"/>
  <c r="F6" i="2" s="1"/>
  <c r="D5" i="2"/>
  <c r="F5" i="2" s="1"/>
  <c r="H5" i="2" s="1"/>
  <c r="B6" i="6" l="1"/>
  <c r="I34" i="1"/>
  <c r="G13" i="2"/>
  <c r="F21" i="1"/>
  <c r="G17" i="1"/>
  <c r="H17" i="1"/>
  <c r="F20" i="1"/>
  <c r="H28" i="1"/>
  <c r="F31" i="1" s="1"/>
  <c r="H15" i="1"/>
  <c r="G15" i="1"/>
  <c r="H21" i="1"/>
  <c r="G21" i="1"/>
  <c r="H10" i="1"/>
  <c r="G10" i="1"/>
  <c r="H11" i="1"/>
  <c r="G11" i="1"/>
  <c r="H20" i="1"/>
  <c r="G20" i="1"/>
  <c r="H16" i="1"/>
  <c r="G16" i="1"/>
  <c r="H9" i="1"/>
  <c r="G9" i="1"/>
  <c r="G7" i="1"/>
  <c r="I31" i="1"/>
  <c r="H7" i="1"/>
  <c r="G18" i="1"/>
  <c r="H18" i="1"/>
  <c r="H11" i="2"/>
  <c r="G11" i="2"/>
  <c r="H6" i="2"/>
  <c r="G6" i="2"/>
  <c r="H8" i="2"/>
  <c r="G8" i="2"/>
  <c r="H9" i="2"/>
  <c r="G9" i="2"/>
  <c r="G5" i="2"/>
  <c r="G14" i="2"/>
  <c r="H10" i="2"/>
  <c r="H13" i="2" l="1"/>
  <c r="F32" i="1"/>
  <c r="M31" i="1" s="1"/>
  <c r="I22" i="1"/>
  <c r="I32" i="1" s="1"/>
  <c r="B5" i="6" s="1"/>
  <c r="I6" i="3" l="1"/>
  <c r="B2" i="6" l="1"/>
</calcChain>
</file>

<file path=xl/sharedStrings.xml><?xml version="1.0" encoding="utf-8"?>
<sst xmlns="http://schemas.openxmlformats.org/spreadsheetml/2006/main" count="163" uniqueCount="138">
  <si>
    <t>ICR Summary Information</t>
  </si>
  <si>
    <t>Hours per Response</t>
  </si>
  <si>
    <t>Number of Respondents</t>
  </si>
  <si>
    <t>Total Estimated Burden Hours</t>
  </si>
  <si>
    <t>Total Estimated Costs</t>
  </si>
  <si>
    <t>Annualized Capital O&amp;M</t>
  </si>
  <si>
    <t>Total Annual Responses</t>
  </si>
  <si>
    <t>Form Number</t>
  </si>
  <si>
    <t>Not Applicable</t>
  </si>
  <si>
    <t>Table 1: Annual Respondent Burden and Cost –  NSPS for Electric Utility Steam Generating Units (40 CFR Part 60, Subpart Da) (Renewal)</t>
  </si>
  <si>
    <t>Burden Item</t>
  </si>
  <si>
    <t>(A)
Person hours per occurrence</t>
  </si>
  <si>
    <t>(B)
No. of occurrences per respondent per year</t>
  </si>
  <si>
    <t>(C) 
Person hours per respondent per year 
(C=AxB)</t>
  </si>
  <si>
    <r>
      <t xml:space="preserve">(D)
Respondents per year </t>
    </r>
    <r>
      <rPr>
        <vertAlign val="superscript"/>
        <sz val="10"/>
        <color theme="1"/>
        <rFont val="Times New Roman"/>
        <family val="1"/>
      </rPr>
      <t>a</t>
    </r>
  </si>
  <si>
    <t>(E) 
Technical person- hours per year (E=CxD)</t>
  </si>
  <si>
    <t>(F)
Management person hours per year (Ex0.05)</t>
  </si>
  <si>
    <t>(G)
Clerical person hours per year (Ex0.1)</t>
  </si>
  <si>
    <r>
      <t xml:space="preserve">(H)
Cost, $ </t>
    </r>
    <r>
      <rPr>
        <vertAlign val="superscript"/>
        <sz val="10"/>
        <color theme="1"/>
        <rFont val="Times New Roman"/>
        <family val="1"/>
      </rPr>
      <t>b</t>
    </r>
  </si>
  <si>
    <t>1.  Applications</t>
  </si>
  <si>
    <t>N/A</t>
  </si>
  <si>
    <t>Labor Rates</t>
  </si>
  <si>
    <t>2.  Survey and Studies</t>
  </si>
  <si>
    <t>Management</t>
  </si>
  <si>
    <t>3.  Reporting requirements</t>
  </si>
  <si>
    <t>Technical</t>
  </si>
  <si>
    <r>
      <t xml:space="preserve">A.  Familiarize with regulatory requirements </t>
    </r>
    <r>
      <rPr>
        <vertAlign val="superscript"/>
        <sz val="10"/>
        <color theme="1"/>
        <rFont val="Times New Roman"/>
        <family val="1"/>
      </rPr>
      <t>c</t>
    </r>
  </si>
  <si>
    <t>Clerical</t>
  </si>
  <si>
    <t>B.  Required activities</t>
  </si>
  <si>
    <t>Initial emissions tests</t>
  </si>
  <si>
    <t>Reference Method 9</t>
  </si>
  <si>
    <r>
      <t xml:space="preserve">Repeat performance test </t>
    </r>
    <r>
      <rPr>
        <vertAlign val="superscript"/>
        <sz val="10"/>
        <color theme="1"/>
        <rFont val="Times New Roman"/>
        <family val="1"/>
      </rPr>
      <t>d</t>
    </r>
  </si>
  <si>
    <t>C.  Create information</t>
  </si>
  <si>
    <t>See 3B</t>
  </si>
  <si>
    <t>D.  Gather existing information</t>
  </si>
  <si>
    <t>See 3E</t>
  </si>
  <si>
    <t>E.  Write report</t>
  </si>
  <si>
    <t>Notification of  construction/reconstruction</t>
  </si>
  <si>
    <t>Notification of actual startup</t>
  </si>
  <si>
    <t>Notification of initial performance test</t>
  </si>
  <si>
    <t>Notification of demonstration of CMS</t>
  </si>
  <si>
    <t>Report of performance test</t>
  </si>
  <si>
    <r>
      <t xml:space="preserve">Semiannual report </t>
    </r>
    <r>
      <rPr>
        <vertAlign val="superscript"/>
        <sz val="10"/>
        <color theme="1"/>
        <rFont val="Times New Roman"/>
        <family val="1"/>
      </rPr>
      <t>e</t>
    </r>
  </si>
  <si>
    <r>
      <t xml:space="preserve">Quarterly report </t>
    </r>
    <r>
      <rPr>
        <vertAlign val="superscript"/>
        <sz val="10"/>
        <color theme="1"/>
        <rFont val="Times New Roman"/>
        <family val="1"/>
      </rPr>
      <t>f</t>
    </r>
  </si>
  <si>
    <t>Subtotal for Reporting Requirements</t>
  </si>
  <si>
    <t>4.  Recordkeeping requirements</t>
  </si>
  <si>
    <t>A.  Familiarize with regulatory requirements</t>
  </si>
  <si>
    <t>See 3A</t>
  </si>
  <si>
    <t>B.  Plan activities</t>
  </si>
  <si>
    <t>See 4C</t>
  </si>
  <si>
    <t>Implement activities</t>
  </si>
  <si>
    <t>Develop record system</t>
  </si>
  <si>
    <r>
      <t xml:space="preserve">C.  Time to check computer system and calibrate continuous monitor </t>
    </r>
    <r>
      <rPr>
        <vertAlign val="superscript"/>
        <sz val="10"/>
        <color theme="1"/>
        <rFont val="Times New Roman"/>
        <family val="1"/>
      </rPr>
      <t>g</t>
    </r>
  </si>
  <si>
    <t>D.  Train personnel</t>
  </si>
  <si>
    <t>E.  Audits</t>
  </si>
  <si>
    <t>Subtotal for Recordkeeping Requirements</t>
  </si>
  <si>
    <t>hr/response</t>
  </si>
  <si>
    <r>
      <t xml:space="preserve">TOTAL LABOR BURDEN AND COSTS (rounded) </t>
    </r>
    <r>
      <rPr>
        <b/>
        <vertAlign val="superscript"/>
        <sz val="10"/>
        <color theme="1"/>
        <rFont val="Times New Roman"/>
        <family val="1"/>
      </rPr>
      <t>h</t>
    </r>
  </si>
  <si>
    <r>
      <t xml:space="preserve">TOTAL CAPITAL AND O&amp;M COST (rounded) </t>
    </r>
    <r>
      <rPr>
        <b/>
        <vertAlign val="superscript"/>
        <sz val="10"/>
        <color theme="1"/>
        <rFont val="Times New Roman"/>
        <family val="1"/>
      </rPr>
      <t>h</t>
    </r>
  </si>
  <si>
    <r>
      <t xml:space="preserve">GRAND TOTAL (rounded) </t>
    </r>
    <r>
      <rPr>
        <b/>
        <vertAlign val="superscript"/>
        <sz val="10"/>
        <color theme="1"/>
        <rFont val="Times New Roman"/>
        <family val="1"/>
      </rPr>
      <t>h</t>
    </r>
  </si>
  <si>
    <t>Assumptions:</t>
  </si>
  <si>
    <r>
      <t xml:space="preserve">a </t>
    </r>
    <r>
      <rPr>
        <sz val="10"/>
        <rFont val="Times New Roman"/>
        <family val="1"/>
      </rPr>
      <t xml:space="preserve"> We have assumed that there are an average of 732 existing respondents subject to the rule and no new sources that will become subject to the rule over the three-year period of this ICR.</t>
    </r>
  </si>
  <si>
    <r>
      <t>b</t>
    </r>
    <r>
      <rPr>
        <sz val="10"/>
        <rFont val="Times New Roman"/>
        <family val="1"/>
      </rPr>
      <t xml:space="preserve">  This ICR uses the following labor rates: Managerial $163.17 ($77.70 + 110%); Technical $130.28 ($62.04 + 110%); and Clerical $65.71 ($31.29 + 110%).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</si>
  <si>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r>
      <t xml:space="preserve">c  </t>
    </r>
    <r>
      <rPr>
        <sz val="10"/>
        <color theme="1"/>
        <rFont val="Times New Roman"/>
        <family val="1"/>
      </rPr>
      <t xml:space="preserve">We have assumed that all respondents will have to familiarize with the regulatory requirements each year. </t>
    </r>
  </si>
  <si>
    <r>
      <t xml:space="preserve">d </t>
    </r>
    <r>
      <rPr>
        <sz val="10"/>
        <color theme="1"/>
        <rFont val="Times New Roman"/>
        <family val="1"/>
      </rPr>
      <t xml:space="preserve"> We have assumed that 20 percent of initial performance tests will be repeated due to failure.</t>
    </r>
  </si>
  <si>
    <r>
      <t xml:space="preserve">e </t>
    </r>
    <r>
      <rPr>
        <sz val="10"/>
        <color theme="1"/>
        <rFont val="Times New Roman"/>
        <family val="1"/>
      </rPr>
      <t xml:space="preserve"> We have assumed that 80 percent of respondents will each take 8 hours two times per year to write the semiannual report.</t>
    </r>
  </si>
  <si>
    <r>
      <t xml:space="preserve">f </t>
    </r>
    <r>
      <rPr>
        <sz val="10"/>
        <color theme="1"/>
        <rFont val="Times New Roman"/>
        <family val="1"/>
      </rPr>
      <t xml:space="preserve"> We have assumed that 20 percent of respondents will each take 8 hours four times per year to write the quarterly report.</t>
    </r>
  </si>
  <si>
    <r>
      <t xml:space="preserve">g </t>
    </r>
    <r>
      <rPr>
        <sz val="10"/>
        <color theme="1"/>
        <rFont val="Times New Roman"/>
        <family val="1"/>
      </rPr>
      <t xml:space="preserve"> We have assumed that each respondent will take 30 minutes each day to check computer system and calibrate continuous monitors.</t>
    </r>
  </si>
  <si>
    <r>
      <t xml:space="preserve">h  </t>
    </r>
    <r>
      <rPr>
        <sz val="10"/>
        <color theme="1"/>
        <rFont val="Times New Roman"/>
        <family val="1"/>
      </rPr>
      <t>Totals have been rounded to 3 significant figures. Figures may not add exactly due to rounding.</t>
    </r>
  </si>
  <si>
    <t>Table 2: Average Annual EPA Burden and Cost – NSPS for Electric Utility Steam Generating Units (40 CFR Part 60, Subpart Da) (Renewal)</t>
  </si>
  <si>
    <t>Burden item</t>
  </si>
  <si>
    <t>(A)
 Person hours per occurrence</t>
  </si>
  <si>
    <t>(B) 
No. of occurrences per respondent per year</t>
  </si>
  <si>
    <t>(C) 
Person hours per respondent per year (C=AxB)</t>
  </si>
  <si>
    <r>
      <t xml:space="preserve">(D) 
Respondents per year  </t>
    </r>
    <r>
      <rPr>
        <vertAlign val="superscript"/>
        <sz val="10"/>
        <rFont val="Times New Roman"/>
        <family val="1"/>
      </rPr>
      <t>a</t>
    </r>
  </si>
  <si>
    <t>(F) 
Management person hours per year (Ex0.05)</t>
  </si>
  <si>
    <t>(G) 
Clerical person hours per year (Ex0.1)</t>
  </si>
  <si>
    <r>
      <t xml:space="preserve">(H) 
Cost, $ </t>
    </r>
    <r>
      <rPr>
        <vertAlign val="superscript"/>
        <sz val="10"/>
        <rFont val="Times New Roman"/>
        <family val="1"/>
      </rPr>
      <t>b</t>
    </r>
  </si>
  <si>
    <t>Performance tests</t>
  </si>
  <si>
    <t xml:space="preserve">  </t>
  </si>
  <si>
    <t>New plants</t>
  </si>
  <si>
    <r>
      <t xml:space="preserve">Review startup report </t>
    </r>
    <r>
      <rPr>
        <vertAlign val="superscript"/>
        <sz val="10"/>
        <color theme="1"/>
        <rFont val="Times New Roman"/>
        <family val="1"/>
      </rPr>
      <t>c</t>
    </r>
  </si>
  <si>
    <t xml:space="preserve">Technical </t>
  </si>
  <si>
    <t>Report Review</t>
  </si>
  <si>
    <t>Notification of construction/reconstruction</t>
  </si>
  <si>
    <t>Notification of initial test</t>
  </si>
  <si>
    <t>Notification of CMS demonstration</t>
  </si>
  <si>
    <t>Review excess emissions reports</t>
  </si>
  <si>
    <r>
      <t xml:space="preserve">Semiannual </t>
    </r>
    <r>
      <rPr>
        <vertAlign val="superscript"/>
        <sz val="10"/>
        <color theme="1"/>
        <rFont val="Times New Roman"/>
        <family val="1"/>
      </rPr>
      <t>d</t>
    </r>
  </si>
  <si>
    <r>
      <t xml:space="preserve">Quarterly </t>
    </r>
    <r>
      <rPr>
        <vertAlign val="superscript"/>
        <sz val="10"/>
        <color theme="1"/>
        <rFont val="Times New Roman"/>
        <family val="1"/>
      </rPr>
      <t>e</t>
    </r>
  </si>
  <si>
    <r>
      <t xml:space="preserve">TOTAL (rounded) </t>
    </r>
    <r>
      <rPr>
        <b/>
        <vertAlign val="superscript"/>
        <sz val="10"/>
        <color theme="1"/>
        <rFont val="Times New Roman"/>
        <family val="1"/>
      </rPr>
      <t>f</t>
    </r>
  </si>
  <si>
    <r>
      <t xml:space="preserve"> </t>
    </r>
    <r>
      <rPr>
        <b/>
        <sz val="10"/>
        <color theme="1"/>
        <rFont val="Times New Roman"/>
        <family val="1"/>
      </rPr>
      <t>Assumptions:</t>
    </r>
  </si>
  <si>
    <r>
      <t>a</t>
    </r>
    <r>
      <rPr>
        <sz val="10"/>
        <color theme="1"/>
        <rFont val="Times New Roman"/>
        <family val="1"/>
      </rPr>
      <t xml:space="preserve">  We have assumed that there are an average of 732 existing respondents subject to the rule and no new sources that will become subject to the rule over the three-year period of this ICR.</t>
    </r>
  </si>
  <si>
    <r>
      <t>b</t>
    </r>
    <r>
      <rPr>
        <sz val="10"/>
        <rFont val="Times New Roman"/>
        <family val="1"/>
      </rPr>
      <t xml:space="preserve">  This cost is based on the average hourly labor rate as follows: Managerial $73.46 (GS-13, Step 5, $45.91 + 60%); Technical $54.51 (GS-12, Step 1, $34.07 + 60%); and Clerical $29.50 (GS-6, Step 3, $18.44 + 60%). These rates are from the Office of Personnel Management (OPM), 2023 General Schedule, which excludes locality rates of pay. The rates have been increased by 60 percent to account for the benefit packages available to government employees.</t>
    </r>
  </si>
  <si>
    <r>
      <t xml:space="preserve">c </t>
    </r>
    <r>
      <rPr>
        <sz val="10"/>
        <color theme="1"/>
        <rFont val="Times New Roman"/>
        <family val="1"/>
      </rPr>
      <t xml:space="preserve"> We have assumed that it will take 40 hours to review each startup report.</t>
    </r>
  </si>
  <si>
    <r>
      <t xml:space="preserve">d </t>
    </r>
    <r>
      <rPr>
        <sz val="10"/>
        <color theme="1"/>
        <rFont val="Times New Roman"/>
        <family val="1"/>
      </rPr>
      <t xml:space="preserve"> We have assumed that it will take 8 hours two times per year to review each semiannual report.</t>
    </r>
  </si>
  <si>
    <r>
      <t xml:space="preserve">e </t>
    </r>
    <r>
      <rPr>
        <sz val="10"/>
        <color theme="1"/>
        <rFont val="Times New Roman"/>
        <family val="1"/>
      </rPr>
      <t xml:space="preserve"> We have assumed that it will take 8 hours four times per year to review each the quarterly report.</t>
    </r>
  </si>
  <si>
    <r>
      <t xml:space="preserve">f  </t>
    </r>
    <r>
      <rPr>
        <sz val="10"/>
        <color theme="1"/>
        <rFont val="Times New Roman"/>
        <family val="1"/>
      </rPr>
      <t>Totals have been rounded to 3 significant figures. Figures may not add exactly due to rounding.</t>
    </r>
  </si>
  <si>
    <r>
      <t>Capital/Startup vs. Operation and Maintenance (O&amp;M) Costs</t>
    </r>
    <r>
      <rPr>
        <sz val="10"/>
        <color theme="1"/>
        <rFont val="Times New Roman"/>
        <family val="1"/>
      </rPr>
      <t> </t>
    </r>
  </si>
  <si>
    <t>(A)</t>
  </si>
  <si>
    <t>(B)</t>
  </si>
  <si>
    <t>(C)</t>
  </si>
  <si>
    <t>(D)</t>
  </si>
  <si>
    <t>(E)</t>
  </si>
  <si>
    <t>(F)</t>
  </si>
  <si>
    <t>(G)</t>
  </si>
  <si>
    <t>Continuous Monitoring Device</t>
  </si>
  <si>
    <r>
      <t>Capital/Startup Cost for One Respondent</t>
    </r>
    <r>
      <rPr>
        <b/>
        <vertAlign val="superscript"/>
        <sz val="10"/>
        <color theme="1"/>
        <rFont val="Times New Roman"/>
        <family val="1"/>
      </rPr>
      <t xml:space="preserve"> a</t>
    </r>
  </si>
  <si>
    <t xml:space="preserve">Number of New  Respondents </t>
  </si>
  <si>
    <t>Total Capital/Startup Cost,  (B X C)</t>
  </si>
  <si>
    <r>
      <t xml:space="preserve">Annual O&amp;M Costs for One Respondent </t>
    </r>
    <r>
      <rPr>
        <b/>
        <vertAlign val="superscript"/>
        <sz val="10"/>
        <color theme="1"/>
        <rFont val="Times New Roman"/>
        <family val="1"/>
      </rPr>
      <t>a</t>
    </r>
  </si>
  <si>
    <r>
      <t>Number of Respondents with O&amp;M</t>
    </r>
    <r>
      <rPr>
        <b/>
        <vertAlign val="superscript"/>
        <sz val="10"/>
        <color theme="1"/>
        <rFont val="Times New Roman"/>
        <family val="1"/>
      </rPr>
      <t xml:space="preserve"> </t>
    </r>
  </si>
  <si>
    <t>Total O&amp;M, 
(E X F)</t>
  </si>
  <si>
    <t xml:space="preserve">SO2, PM, and NOx </t>
  </si>
  <si>
    <r>
      <t>Total (rounded)</t>
    </r>
    <r>
      <rPr>
        <b/>
        <vertAlign val="superscript"/>
        <sz val="10"/>
        <color theme="1"/>
        <rFont val="Times New Roman"/>
        <family val="1"/>
      </rPr>
      <t xml:space="preserve"> b</t>
    </r>
  </si>
  <si>
    <t>Assumptions</t>
  </si>
  <si>
    <r>
      <t>a</t>
    </r>
    <r>
      <rPr>
        <sz val="10"/>
        <rFont val="Times New Roman"/>
        <family val="1"/>
      </rPr>
      <t xml:space="preserve">  Costs have been increased from 2008 to 2022 $ using the CEPCI Equipment Cost Index.</t>
    </r>
  </si>
  <si>
    <r>
      <t>b</t>
    </r>
    <r>
      <rPr>
        <sz val="10"/>
        <rFont val="Times New Roman"/>
        <family val="1"/>
      </rPr>
      <t xml:space="preserve">  Totals have been rounded to 3 significant figures. Figures may not add exactly due to rounding.</t>
    </r>
  </si>
  <si>
    <t>Information Collection Activity</t>
  </si>
  <si>
    <r>
      <t xml:space="preserve">Number of Respondents </t>
    </r>
    <r>
      <rPr>
        <vertAlign val="superscript"/>
        <sz val="10"/>
        <color rgb="FF000000"/>
        <rFont val="Times New Roman"/>
        <family val="1"/>
      </rPr>
      <t>a</t>
    </r>
  </si>
  <si>
    <t>Number of Responses</t>
  </si>
  <si>
    <t>Number of Existing Respondents That Keep Records But Do Not Submit Reports</t>
  </si>
  <si>
    <t>Total Annual Responses E=(BxC)+D</t>
  </si>
  <si>
    <t>Notification of construction/ reconstruction</t>
  </si>
  <si>
    <t>Notify of initial performance test</t>
  </si>
  <si>
    <t>Semiannual report</t>
  </si>
  <si>
    <t>Quarterly report</t>
  </si>
  <si>
    <t>Total</t>
  </si>
  <si>
    <t>Respondents That Submit Reports</t>
  </si>
  <si>
    <t>Respondents That Do Not Submit Any Reports</t>
  </si>
  <si>
    <t>Year</t>
  </si>
  <si>
    <r>
      <t xml:space="preserve">Number of New Respondents </t>
    </r>
    <r>
      <rPr>
        <b/>
        <vertAlign val="superscript"/>
        <sz val="10"/>
        <color rgb="FF000000"/>
        <rFont val="Times New Roman"/>
        <family val="1"/>
      </rPr>
      <t>a</t>
    </r>
  </si>
  <si>
    <t>Number of Existing Respondents</t>
  </si>
  <si>
    <t>Number of Existing Respondents that keep records but do not submit reports</t>
  </si>
  <si>
    <t>Number of Existing Respondents That Are Also New Respondents</t>
  </si>
  <si>
    <t>Number of Respondents (E=A+B+C-D)</t>
  </si>
  <si>
    <t>Average</t>
  </si>
  <si>
    <r>
      <t xml:space="preserve">a </t>
    </r>
    <r>
      <rPr>
        <sz val="10"/>
        <color rgb="FF000000"/>
        <rFont val="Times New Roman"/>
        <family val="1"/>
      </rPr>
      <t xml:space="preserve">  New respondents include sources with constructed and reconstructed affected facilities.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</si>
</sst>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1" formatCode="_(* #,##0_);_(* \(#,##0\);_(* &quot;-&quot;_);_(@_)"/>
    <numFmt numFmtId="164" formatCode="General_)"/>
    <numFmt numFmtId="165" formatCode="&quot;$&quot;#,##0.00"/>
    <numFmt numFmtId="166" formatCode="&quot;$&quot;#,##0"/>
    <numFmt numFmtId="167" formatCode="0.0"/>
  </numFmts>
  <fonts count="28">
    <font>
      <sz val="11"/>
      <color theme="1"/>
      <name val="Calibri"/>
      <family val="2"/>
      <scheme val="minor"/>
    </font>
    <font>
      <b/>
      <sz val="12"/>
      <color theme="1"/>
      <name val="Times New Roman"/>
      <family val="1"/>
    </font>
    <font>
      <sz val="10"/>
      <color theme="1"/>
      <name val="Times New Roman"/>
      <family val="1"/>
    </font>
    <font>
      <b/>
      <sz val="10"/>
      <color theme="1"/>
      <name val="Times New Roman"/>
      <family val="1"/>
    </font>
    <font>
      <b/>
      <vertAlign val="superscript"/>
      <sz val="10"/>
      <color theme="1"/>
      <name val="Times New Roman"/>
      <family val="1"/>
    </font>
    <font>
      <vertAlign val="superscript"/>
      <sz val="10"/>
      <color theme="1"/>
      <name val="Times New Roman"/>
      <family val="1"/>
    </font>
    <font>
      <b/>
      <i/>
      <sz val="10"/>
      <color theme="1"/>
      <name val="Times New Roman"/>
      <family val="1"/>
    </font>
    <font>
      <i/>
      <sz val="10"/>
      <color theme="1"/>
      <name val="Times New Roman"/>
      <family val="1"/>
    </font>
    <font>
      <sz val="10"/>
      <color rgb="FFFF0000"/>
      <name val="Times New Roman"/>
      <family val="1"/>
    </font>
    <font>
      <sz val="10"/>
      <name val="Times New Roman"/>
      <family val="1"/>
    </font>
    <font>
      <sz val="8"/>
      <name val="Helv"/>
    </font>
    <font>
      <b/>
      <u/>
      <sz val="10"/>
      <name val="Times New Roman"/>
      <family val="1"/>
    </font>
    <font>
      <b/>
      <sz val="12"/>
      <color rgb="FF000000"/>
      <name val="Times New Roman"/>
      <family val="1"/>
    </font>
    <font>
      <sz val="10"/>
      <color rgb="FF000000"/>
      <name val="Times New Roman"/>
      <family val="1"/>
    </font>
    <font>
      <b/>
      <sz val="10"/>
      <color rgb="FF000000"/>
      <name val="Times New Roman"/>
      <family val="1"/>
    </font>
    <font>
      <b/>
      <vertAlign val="superscript"/>
      <sz val="10"/>
      <color rgb="FF000000"/>
      <name val="Times New Roman"/>
      <family val="1"/>
    </font>
    <font>
      <b/>
      <sz val="10"/>
      <color rgb="FFFF0000"/>
      <name val="Times New Roman"/>
      <family val="1"/>
    </font>
    <font>
      <vertAlign val="superscript"/>
      <sz val="10"/>
      <name val="Times New Roman"/>
      <family val="1"/>
    </font>
    <font>
      <b/>
      <sz val="16"/>
      <color theme="1"/>
      <name val="Times New Roman"/>
      <family val="1"/>
    </font>
    <font>
      <vertAlign val="superscript"/>
      <sz val="10"/>
      <color rgb="FF000000"/>
      <name val="Times New Roman"/>
      <family val="1"/>
    </font>
    <font>
      <sz val="10"/>
      <color theme="1"/>
      <name val="Calibri"/>
      <family val="2"/>
      <scheme val="minor"/>
    </font>
    <font>
      <sz val="10"/>
      <color rgb="FFFF0000"/>
      <name val="Calibri"/>
      <family val="2"/>
      <scheme val="minor"/>
    </font>
    <font>
      <sz val="8"/>
      <name val="Calibri"/>
      <family val="2"/>
      <scheme val="minor"/>
    </font>
    <font>
      <sz val="12"/>
      <color theme="1"/>
      <name val="Times New Roman"/>
      <family val="1"/>
    </font>
    <font>
      <sz val="12"/>
      <color rgb="FF000000"/>
      <name val="Times New Roman"/>
      <family val="1"/>
    </font>
    <font>
      <sz val="9"/>
      <color theme="1"/>
      <name val="Times New Roman"/>
      <family val="1"/>
    </font>
    <font>
      <b/>
      <sz val="9"/>
      <color theme="1"/>
      <name val="Times New Roman"/>
      <family val="1"/>
    </font>
    <font>
      <b/>
      <sz val="10"/>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164" fontId="10" fillId="0" borderId="0"/>
  </cellStyleXfs>
  <cellXfs count="113">
    <xf numFmtId="0" fontId="0" fillId="0" borderId="0" xfId="0"/>
    <xf numFmtId="0" fontId="2" fillId="0" borderId="0" xfId="0" applyFont="1"/>
    <xf numFmtId="0" fontId="8" fillId="0" borderId="0" xfId="0" applyFont="1"/>
    <xf numFmtId="164" fontId="11" fillId="0" borderId="0" xfId="1" applyFont="1" applyAlignment="1">
      <alignment horizontal="center" vertical="center" wrapText="1"/>
    </xf>
    <xf numFmtId="164" fontId="9" fillId="0" borderId="0" xfId="1" applyFont="1" applyAlignment="1">
      <alignment horizontal="center" vertical="center" wrapText="1"/>
    </xf>
    <xf numFmtId="165" fontId="9" fillId="0" borderId="0" xfId="1" applyNumberFormat="1" applyFont="1" applyAlignment="1">
      <alignment horizontal="right" wrapText="1"/>
    </xf>
    <xf numFmtId="0" fontId="9" fillId="0" borderId="0" xfId="0" applyFont="1"/>
    <xf numFmtId="0" fontId="2" fillId="0" borderId="0" xfId="0" applyFont="1" applyAlignment="1">
      <alignment horizontal="right"/>
    </xf>
    <xf numFmtId="0" fontId="8" fillId="0" borderId="0" xfId="0" applyFont="1" applyAlignment="1">
      <alignment wrapText="1"/>
    </xf>
    <xf numFmtId="0" fontId="16" fillId="0" borderId="0" xfId="0" applyFont="1"/>
    <xf numFmtId="0" fontId="13" fillId="0" borderId="1" xfId="0" applyFont="1" applyBorder="1"/>
    <xf numFmtId="41" fontId="16" fillId="0" borderId="0" xfId="0" applyNumberFormat="1" applyFont="1"/>
    <xf numFmtId="164" fontId="11" fillId="0" borderId="0" xfId="1" applyFont="1" applyAlignment="1">
      <alignment wrapText="1"/>
    </xf>
    <xf numFmtId="0" fontId="20" fillId="0" borderId="0" xfId="0" applyFont="1"/>
    <xf numFmtId="0" fontId="1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9" fillId="0" borderId="0" xfId="0" applyFont="1" applyAlignme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6"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6" fontId="2" fillId="0" borderId="0" xfId="0" applyNumberFormat="1" applyFont="1" applyAlignment="1">
      <alignment horizontal="center" vertical="center" wrapText="1"/>
    </xf>
    <xf numFmtId="6" fontId="3" fillId="0" borderId="0" xfId="0" applyNumberFormat="1" applyFont="1" applyAlignment="1">
      <alignment horizontal="center" vertical="center" wrapText="1"/>
    </xf>
    <xf numFmtId="0" fontId="14" fillId="0" borderId="1" xfId="0" applyFont="1" applyBorder="1" applyAlignment="1">
      <alignment horizontal="center" vertical="center" wrapText="1"/>
    </xf>
    <xf numFmtId="0" fontId="13" fillId="0" borderId="0" xfId="0" applyFont="1" applyAlignment="1">
      <alignment vertical="top" wrapText="1"/>
    </xf>
    <xf numFmtId="165" fontId="9" fillId="0" borderId="1" xfId="0" applyNumberFormat="1" applyFont="1" applyBorder="1"/>
    <xf numFmtId="0" fontId="9" fillId="0" borderId="1" xfId="0" applyFont="1" applyBorder="1" applyAlignment="1">
      <alignment horizontal="left" vertical="center" wrapText="1"/>
    </xf>
    <xf numFmtId="6"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left" vertical="center" wrapText="1" indent="2"/>
    </xf>
    <xf numFmtId="0" fontId="1" fillId="0" borderId="0" xfId="0" applyFont="1"/>
    <xf numFmtId="0" fontId="2" fillId="0" borderId="1" xfId="0" applyFont="1" applyBorder="1" applyAlignment="1">
      <alignment horizontal="left" vertical="center" wrapText="1" indent="1"/>
    </xf>
    <xf numFmtId="8"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1" fontId="2" fillId="0" borderId="1" xfId="0" applyNumberFormat="1" applyFont="1" applyBorder="1" applyAlignment="1">
      <alignment horizontal="center" vertical="center" wrapText="1"/>
    </xf>
    <xf numFmtId="3" fontId="2" fillId="0" borderId="0" xfId="0" applyNumberFormat="1" applyFont="1"/>
    <xf numFmtId="0" fontId="3" fillId="0" borderId="0" xfId="0" applyFont="1"/>
    <xf numFmtId="0" fontId="21" fillId="0" borderId="0" xfId="0" applyFont="1" applyAlignment="1">
      <alignment vertical="top" wrapText="1"/>
    </xf>
    <xf numFmtId="41" fontId="9" fillId="0" borderId="0" xfId="0" applyNumberFormat="1" applyFont="1"/>
    <xf numFmtId="0" fontId="18" fillId="0" borderId="0" xfId="0" applyFont="1"/>
    <xf numFmtId="0" fontId="3" fillId="0" borderId="0" xfId="0" applyFont="1" applyAlignment="1">
      <alignment horizontal="center" wrapText="1"/>
    </xf>
    <xf numFmtId="0" fontId="2" fillId="0" borderId="0" xfId="0" applyFont="1" applyAlignment="1">
      <alignment horizontal="left" vertical="top" wrapText="1" indent="1"/>
    </xf>
    <xf numFmtId="0" fontId="2" fillId="0" borderId="0" xfId="0" applyFont="1" applyAlignment="1">
      <alignment horizontal="center" wrapText="1"/>
    </xf>
    <xf numFmtId="0" fontId="2" fillId="0" borderId="0" xfId="0" applyFont="1" applyAlignment="1">
      <alignment horizontal="right" wrapText="1"/>
    </xf>
    <xf numFmtId="3" fontId="2" fillId="0" borderId="0" xfId="0" applyNumberFormat="1" applyFont="1" applyAlignment="1">
      <alignment horizontal="center" wrapText="1"/>
    </xf>
    <xf numFmtId="166" fontId="2" fillId="0" borderId="0" xfId="0" applyNumberFormat="1" applyFont="1" applyAlignment="1">
      <alignment horizontal="right" wrapText="1"/>
    </xf>
    <xf numFmtId="1" fontId="2" fillId="0" borderId="0" xfId="0" applyNumberFormat="1" applyFont="1" applyAlignment="1">
      <alignment horizontal="center" wrapText="1"/>
    </xf>
    <xf numFmtId="167" fontId="2" fillId="0" borderId="0" xfId="0" applyNumberFormat="1" applyFont="1" applyAlignment="1">
      <alignment horizontal="center" wrapText="1"/>
    </xf>
    <xf numFmtId="0" fontId="7" fillId="0" borderId="0" xfId="0" applyFont="1" applyAlignment="1">
      <alignment vertical="top" wrapText="1"/>
    </xf>
    <xf numFmtId="3" fontId="6" fillId="0" borderId="0" xfId="0" applyNumberFormat="1" applyFont="1" applyAlignment="1">
      <alignment wrapText="1"/>
    </xf>
    <xf numFmtId="6" fontId="6" fillId="0" borderId="0" xfId="0" applyNumberFormat="1" applyFont="1" applyAlignment="1">
      <alignment horizontal="right" wrapText="1"/>
    </xf>
    <xf numFmtId="0" fontId="3" fillId="0" borderId="0" xfId="0" applyFont="1" applyAlignment="1">
      <alignment wrapText="1"/>
    </xf>
    <xf numFmtId="0" fontId="13" fillId="0" borderId="0" xfId="0" applyFont="1" applyAlignment="1">
      <alignment vertical="top"/>
    </xf>
    <xf numFmtId="3" fontId="2" fillId="0" borderId="1" xfId="0" applyNumberFormat="1" applyFont="1" applyBorder="1" applyAlignment="1">
      <alignment horizontal="center" vertical="center" wrapText="1"/>
    </xf>
    <xf numFmtId="164" fontId="8" fillId="0" borderId="0" xfId="1" applyFont="1" applyAlignment="1">
      <alignment vertical="center"/>
    </xf>
    <xf numFmtId="164" fontId="8" fillId="0" borderId="0" xfId="1" applyFont="1"/>
    <xf numFmtId="0" fontId="23" fillId="0" borderId="0" xfId="0" applyFont="1" applyAlignment="1">
      <alignment vertical="center" wrapText="1"/>
    </xf>
    <xf numFmtId="0" fontId="24" fillId="0" borderId="0" xfId="0" applyFont="1" applyAlignment="1">
      <alignment vertical="center" wrapText="1"/>
    </xf>
    <xf numFmtId="0" fontId="2" fillId="0" borderId="0" xfId="0" applyFont="1" applyAlignment="1">
      <alignment horizontal="center" vertical="center" wrapText="1"/>
    </xf>
    <xf numFmtId="6" fontId="20" fillId="0" borderId="0" xfId="0" applyNumberFormat="1" applyFont="1"/>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1" fontId="3" fillId="0" borderId="3" xfId="0" applyNumberFormat="1" applyFont="1" applyBorder="1" applyAlignment="1">
      <alignment horizontal="center" vertical="center" wrapText="1"/>
    </xf>
    <xf numFmtId="0" fontId="2" fillId="0" borderId="1" xfId="0" applyFont="1" applyBorder="1" applyAlignment="1">
      <alignment horizontal="center" vertical="top" wrapText="1"/>
    </xf>
    <xf numFmtId="0" fontId="9" fillId="0" borderId="1" xfId="0" applyFont="1" applyBorder="1" applyAlignment="1">
      <alignment horizontal="center" vertical="top" wrapText="1"/>
    </xf>
    <xf numFmtId="164" fontId="8" fillId="0" borderId="0" xfId="1" applyFont="1" applyAlignment="1">
      <alignment horizontal="left" vertical="center"/>
    </xf>
    <xf numFmtId="3" fontId="0" fillId="0" borderId="0" xfId="0" applyNumberFormat="1"/>
    <xf numFmtId="6" fontId="0" fillId="0" borderId="0" xfId="0" applyNumberFormat="1"/>
    <xf numFmtId="1" fontId="0" fillId="0" borderId="0" xfId="0" applyNumberFormat="1"/>
    <xf numFmtId="8" fontId="2" fillId="0" borderId="0" xfId="0" applyNumberFormat="1" applyFont="1"/>
    <xf numFmtId="0" fontId="23" fillId="0" borderId="0" xfId="0" applyFont="1" applyAlignment="1">
      <alignment vertical="center"/>
    </xf>
    <xf numFmtId="0" fontId="23" fillId="0" borderId="0" xfId="0" applyFont="1" applyAlignment="1">
      <alignment horizontal="left" vertical="center" indent="5"/>
    </xf>
    <xf numFmtId="0" fontId="2" fillId="0" borderId="1" xfId="0" applyFont="1" applyBorder="1" applyAlignment="1">
      <alignment vertical="top" wrapText="1"/>
    </xf>
    <xf numFmtId="6" fontId="2" fillId="0" borderId="1" xfId="0" applyNumberFormat="1" applyFont="1" applyBorder="1" applyAlignment="1">
      <alignment horizontal="right" vertical="center" wrapText="1"/>
    </xf>
    <xf numFmtId="1" fontId="2" fillId="0" borderId="1" xfId="0" applyNumberFormat="1" applyFont="1" applyBorder="1" applyAlignment="1">
      <alignment vertical="top" wrapText="1"/>
    </xf>
    <xf numFmtId="6" fontId="3" fillId="0" borderId="1" xfId="0" applyNumberFormat="1" applyFont="1" applyBorder="1" applyAlignment="1">
      <alignment horizontal="right" vertical="center" wrapText="1"/>
    </xf>
    <xf numFmtId="0" fontId="24" fillId="0" borderId="0" xfId="0" applyFont="1" applyAlignment="1">
      <alignment horizontal="left" vertical="center" indent="10"/>
    </xf>
    <xf numFmtId="0" fontId="6" fillId="0" borderId="1" xfId="0" applyFont="1" applyBorder="1" applyAlignment="1">
      <alignment vertical="center" wrapText="1"/>
    </xf>
    <xf numFmtId="0" fontId="0" fillId="0" borderId="1" xfId="0" applyBorder="1"/>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3" fontId="26" fillId="0" borderId="1" xfId="0" applyNumberFormat="1" applyFont="1" applyBorder="1" applyAlignment="1">
      <alignment horizontal="center" vertical="center" wrapText="1"/>
    </xf>
    <xf numFmtId="3" fontId="2" fillId="0" borderId="0" xfId="0" applyNumberFormat="1" applyFont="1" applyAlignment="1">
      <alignment horizontal="left" vertical="top" wrapText="1" indent="1"/>
    </xf>
    <xf numFmtId="0" fontId="21" fillId="0" borderId="0" xfId="0" applyFont="1" applyAlignment="1">
      <alignment horizontal="left" vertical="top" wrapText="1" indent="1"/>
    </xf>
    <xf numFmtId="0" fontId="21" fillId="0" borderId="0" xfId="0" applyFont="1"/>
    <xf numFmtId="0" fontId="3" fillId="0" borderId="0" xfId="0" applyFont="1" applyAlignment="1">
      <alignment vertical="center" wrapText="1"/>
    </xf>
    <xf numFmtId="0" fontId="17" fillId="0" borderId="0" xfId="0" applyFont="1" applyAlignment="1">
      <alignment vertical="center" wrapText="1"/>
    </xf>
    <xf numFmtId="0" fontId="9" fillId="0" borderId="0" xfId="0" applyFont="1" applyAlignment="1">
      <alignment wrapText="1"/>
    </xf>
    <xf numFmtId="165" fontId="24" fillId="0" borderId="0" xfId="0" applyNumberFormat="1" applyFont="1" applyAlignment="1">
      <alignment horizontal="left" vertical="center" indent="10"/>
    </xf>
    <xf numFmtId="8" fontId="9" fillId="0" borderId="1" xfId="0" applyNumberFormat="1" applyFont="1" applyBorder="1" applyAlignment="1">
      <alignment horizontal="right" vertical="center" wrapText="1"/>
    </xf>
    <xf numFmtId="6" fontId="9" fillId="0" borderId="1" xfId="0" applyNumberFormat="1" applyFont="1" applyBorder="1" applyAlignment="1">
      <alignment horizontal="right" vertical="center" wrapText="1"/>
    </xf>
    <xf numFmtId="6" fontId="27" fillId="0" borderId="1" xfId="0" applyNumberFormat="1" applyFont="1" applyBorder="1" applyAlignment="1">
      <alignment horizontal="right" vertical="center" wrapText="1"/>
    </xf>
    <xf numFmtId="0" fontId="1" fillId="0" borderId="3" xfId="0" applyFont="1" applyBorder="1" applyAlignment="1">
      <alignment horizontal="left"/>
    </xf>
    <xf numFmtId="0" fontId="0" fillId="0" borderId="3" xfId="0" applyBorder="1"/>
    <xf numFmtId="0" fontId="17" fillId="0" borderId="0" xfId="0" applyFont="1" applyAlignment="1">
      <alignment vertical="center"/>
    </xf>
    <xf numFmtId="3" fontId="2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4" fillId="0" borderId="1" xfId="0" applyFont="1" applyBorder="1" applyAlignment="1">
      <alignment vertical="center" wrapText="1"/>
    </xf>
    <xf numFmtId="0" fontId="0" fillId="0" borderId="0" xfId="0" applyAlignment="1">
      <alignment horizontal="center"/>
    </xf>
    <xf numFmtId="0" fontId="17" fillId="0" borderId="0" xfId="0" applyFont="1" applyAlignment="1">
      <alignment horizontal="left" vertical="top" wrapText="1"/>
    </xf>
    <xf numFmtId="0" fontId="9" fillId="0" borderId="0" xfId="0" applyFont="1" applyAlignment="1">
      <alignment horizontal="left" vertical="top" wrapText="1"/>
    </xf>
    <xf numFmtId="0" fontId="13" fillId="0" borderId="1" xfId="0" applyFont="1" applyBorder="1" applyAlignment="1">
      <alignment horizontal="center"/>
    </xf>
    <xf numFmtId="3" fontId="3" fillId="0" borderId="1" xfId="0" applyNumberFormat="1" applyFont="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left"/>
    </xf>
    <xf numFmtId="0" fontId="5" fillId="0" borderId="0" xfId="0" applyFont="1" applyAlignment="1">
      <alignment horizontal="left" vertical="center" wrapText="1"/>
    </xf>
    <xf numFmtId="0" fontId="17" fillId="0" borderId="0" xfId="0" applyFont="1" applyAlignment="1">
      <alignment horizontal="left"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vertical="center" wrapText="1"/>
    </xf>
  </cellXfs>
  <cellStyles count="2">
    <cellStyle name="Normal" xfId="0" builtinId="0"/>
    <cellStyle name="Normal_SSI Burden Estimate BML 060710" xfId="1" xr:uid="{A07D4530-980E-478C-AD05-99F0F1CD297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1E90-6FAB-477D-9C4D-FB71EFB87D93}">
  <dimension ref="A1:B8"/>
  <sheetViews>
    <sheetView tabSelected="1" workbookViewId="0">
      <selection activeCell="G9" sqref="G9"/>
    </sheetView>
  </sheetViews>
  <sheetFormatPr defaultRowHeight="15"/>
  <cols>
    <col min="1" max="1" width="27.85546875" bestFit="1" customWidth="1"/>
    <col min="2" max="2" width="16.5703125" customWidth="1"/>
  </cols>
  <sheetData>
    <row r="1" spans="1:2">
      <c r="A1" s="100" t="s">
        <v>0</v>
      </c>
      <c r="B1" s="100"/>
    </row>
    <row r="2" spans="1:2">
      <c r="A2" t="s">
        <v>1</v>
      </c>
      <c r="B2" s="69">
        <f>'Table 1'!M31</f>
        <v>97.380410022779046</v>
      </c>
    </row>
    <row r="3" spans="1:2">
      <c r="A3" t="s">
        <v>2</v>
      </c>
      <c r="B3">
        <f>Respondents!F8</f>
        <v>732</v>
      </c>
    </row>
    <row r="4" spans="1:2">
      <c r="A4" t="s">
        <v>3</v>
      </c>
      <c r="B4" s="67">
        <f>'Table 1'!F32</f>
        <v>171000</v>
      </c>
    </row>
    <row r="5" spans="1:2">
      <c r="A5" t="s">
        <v>4</v>
      </c>
      <c r="B5" s="68">
        <f>'Table 1'!I34</f>
        <v>37100000</v>
      </c>
    </row>
    <row r="6" spans="1:2">
      <c r="A6" t="s">
        <v>5</v>
      </c>
      <c r="B6" s="68">
        <f>'Table 1'!I33</f>
        <v>15600000</v>
      </c>
    </row>
    <row r="7" spans="1:2">
      <c r="A7" t="s">
        <v>6</v>
      </c>
      <c r="B7" s="69">
        <f>Responses!E10</f>
        <v>1756</v>
      </c>
    </row>
    <row r="8" spans="1:2">
      <c r="A8" t="s">
        <v>7</v>
      </c>
      <c r="B8" t="s">
        <v>8</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54DA1-2EC2-470A-B0BB-BC64BD0BE2BC}">
  <dimension ref="A1:U59"/>
  <sheetViews>
    <sheetView topLeftCell="A10" zoomScaleNormal="100" workbookViewId="0">
      <selection activeCell="I28" sqref="I28"/>
    </sheetView>
  </sheetViews>
  <sheetFormatPr defaultRowHeight="15"/>
  <cols>
    <col min="1" max="1" width="45.28515625" customWidth="1"/>
    <col min="2" max="8" width="11" customWidth="1"/>
    <col min="9" max="9" width="14.140625" customWidth="1"/>
    <col min="10" max="10" width="6.7109375" customWidth="1"/>
    <col min="11" max="11" width="11.42578125" customWidth="1"/>
    <col min="12" max="12" width="12.42578125" customWidth="1"/>
    <col min="13" max="13" width="47.85546875" customWidth="1"/>
    <col min="14" max="14" width="12.140625" customWidth="1"/>
    <col min="21" max="21" width="11.7109375" customWidth="1"/>
  </cols>
  <sheetData>
    <row r="1" spans="1:21" ht="20.25">
      <c r="A1" s="30" t="s">
        <v>9</v>
      </c>
      <c r="B1" s="1"/>
      <c r="C1" s="1"/>
      <c r="D1" s="1"/>
      <c r="E1" s="1"/>
      <c r="F1" s="1"/>
      <c r="G1" s="1"/>
      <c r="H1" s="1"/>
      <c r="I1" s="7"/>
      <c r="J1" s="1"/>
      <c r="K1" s="1"/>
      <c r="L1" s="1"/>
      <c r="M1" s="39"/>
      <c r="N1" s="9"/>
    </row>
    <row r="2" spans="1:21" s="1" customFormat="1" ht="12.75">
      <c r="F2" s="6"/>
      <c r="G2" s="6"/>
      <c r="H2" s="6"/>
      <c r="I2" s="7"/>
      <c r="J2" s="2"/>
    </row>
    <row r="3" spans="1:21" s="1" customFormat="1" ht="82.15" customHeight="1">
      <c r="A3" s="15" t="s">
        <v>10</v>
      </c>
      <c r="B3" s="64" t="s">
        <v>11</v>
      </c>
      <c r="C3" s="64" t="s">
        <v>12</v>
      </c>
      <c r="D3" s="64" t="s">
        <v>13</v>
      </c>
      <c r="E3" s="64" t="s">
        <v>14</v>
      </c>
      <c r="F3" s="64" t="s">
        <v>15</v>
      </c>
      <c r="G3" s="64" t="s">
        <v>16</v>
      </c>
      <c r="H3" s="64" t="s">
        <v>17</v>
      </c>
      <c r="I3" s="64" t="s">
        <v>18</v>
      </c>
      <c r="J3" s="2"/>
      <c r="M3" s="40"/>
      <c r="N3" s="40"/>
      <c r="O3" s="40"/>
      <c r="P3" s="40"/>
      <c r="Q3" s="40"/>
      <c r="R3" s="40"/>
      <c r="S3" s="40"/>
      <c r="T3" s="40"/>
      <c r="U3" s="40"/>
    </row>
    <row r="4" spans="1:21" s="1" customFormat="1" ht="12.75">
      <c r="A4" s="17" t="s">
        <v>19</v>
      </c>
      <c r="B4" s="15" t="s">
        <v>20</v>
      </c>
      <c r="C4" s="73"/>
      <c r="D4" s="73"/>
      <c r="E4" s="73"/>
      <c r="F4" s="73"/>
      <c r="G4" s="73"/>
      <c r="H4" s="73"/>
      <c r="I4" s="33"/>
      <c r="J4" s="2"/>
      <c r="K4" s="103" t="s">
        <v>21</v>
      </c>
      <c r="L4" s="103"/>
      <c r="O4" s="42"/>
      <c r="P4" s="42"/>
      <c r="Q4" s="42"/>
      <c r="R4" s="42"/>
      <c r="S4" s="42"/>
      <c r="T4" s="42"/>
      <c r="U4" s="43"/>
    </row>
    <row r="5" spans="1:21" s="1" customFormat="1" ht="12.75">
      <c r="A5" s="17" t="s">
        <v>22</v>
      </c>
      <c r="B5" s="15" t="s">
        <v>20</v>
      </c>
      <c r="C5" s="73"/>
      <c r="D5" s="73"/>
      <c r="E5" s="73"/>
      <c r="F5" s="73"/>
      <c r="G5" s="73"/>
      <c r="H5" s="73"/>
      <c r="I5" s="33"/>
      <c r="J5" s="8"/>
      <c r="K5" s="10" t="s">
        <v>23</v>
      </c>
      <c r="L5" s="25">
        <v>163.16999999999999</v>
      </c>
      <c r="M5" s="85"/>
      <c r="N5" s="42"/>
      <c r="O5" s="42"/>
      <c r="P5" s="42"/>
      <c r="Q5" s="42"/>
      <c r="R5" s="44"/>
      <c r="S5" s="42"/>
      <c r="T5" s="42"/>
      <c r="U5" s="45"/>
    </row>
    <row r="6" spans="1:21" s="1" customFormat="1" ht="12.75">
      <c r="A6" s="17" t="s">
        <v>24</v>
      </c>
      <c r="B6" s="73"/>
      <c r="C6" s="73"/>
      <c r="D6" s="73"/>
      <c r="E6" s="73"/>
      <c r="F6" s="73"/>
      <c r="G6" s="73"/>
      <c r="H6" s="73"/>
      <c r="I6" s="33"/>
      <c r="J6" s="2"/>
      <c r="K6" s="10" t="s">
        <v>25</v>
      </c>
      <c r="L6" s="25">
        <v>130.28</v>
      </c>
      <c r="M6" s="41"/>
      <c r="N6" s="42"/>
      <c r="O6" s="42"/>
      <c r="P6" s="42"/>
      <c r="Q6" s="42"/>
      <c r="R6" s="42"/>
      <c r="S6" s="42"/>
      <c r="T6" s="42"/>
      <c r="U6" s="45"/>
    </row>
    <row r="7" spans="1:21" s="1" customFormat="1" ht="15.75">
      <c r="A7" s="31" t="s">
        <v>26</v>
      </c>
      <c r="B7" s="15">
        <v>1</v>
      </c>
      <c r="C7" s="15">
        <v>1</v>
      </c>
      <c r="D7" s="15">
        <f>B7*C7</f>
        <v>1</v>
      </c>
      <c r="E7" s="15">
        <v>732</v>
      </c>
      <c r="F7" s="15">
        <f>D7*E7</f>
        <v>732</v>
      </c>
      <c r="G7" s="15">
        <f>+F7*0.05</f>
        <v>36.6</v>
      </c>
      <c r="H7" s="15">
        <f>+F7*0.1</f>
        <v>73.2</v>
      </c>
      <c r="I7" s="91">
        <f>+$L$5*G7+$L$6*F7+$L$7*H7</f>
        <v>106146.954</v>
      </c>
      <c r="J7" s="2"/>
      <c r="K7" s="10" t="s">
        <v>27</v>
      </c>
      <c r="L7" s="25">
        <v>65.709999999999994</v>
      </c>
      <c r="M7" s="41"/>
      <c r="N7" s="42"/>
      <c r="O7" s="42"/>
      <c r="P7" s="42"/>
      <c r="Q7" s="42"/>
      <c r="R7" s="42"/>
      <c r="S7" s="42"/>
      <c r="T7" s="42"/>
      <c r="U7" s="45"/>
    </row>
    <row r="8" spans="1:21" s="1" customFormat="1" ht="15.75">
      <c r="A8" s="31" t="s">
        <v>28</v>
      </c>
      <c r="B8" s="73"/>
      <c r="C8" s="73"/>
      <c r="D8" s="15"/>
      <c r="E8" s="73"/>
      <c r="F8" s="73"/>
      <c r="G8" s="73"/>
      <c r="H8" s="73"/>
      <c r="I8" s="32"/>
      <c r="J8" s="2"/>
      <c r="K8" s="55"/>
      <c r="L8" s="12"/>
      <c r="M8" s="77"/>
      <c r="N8" s="77"/>
      <c r="O8" s="42"/>
      <c r="P8" s="42"/>
      <c r="Q8" s="46"/>
      <c r="R8" s="46"/>
      <c r="S8" s="46"/>
      <c r="T8" s="46"/>
      <c r="U8" s="45"/>
    </row>
    <row r="9" spans="1:21" s="1" customFormat="1" ht="15.75">
      <c r="A9" s="29" t="s">
        <v>29</v>
      </c>
      <c r="B9" s="15">
        <v>160</v>
      </c>
      <c r="C9" s="15">
        <v>1</v>
      </c>
      <c r="D9" s="15">
        <f t="shared" ref="D9:D28" si="0">B9*C9</f>
        <v>160</v>
      </c>
      <c r="E9" s="15">
        <v>0</v>
      </c>
      <c r="F9" s="53">
        <f t="shared" ref="F9:F21" si="1">D9*E9</f>
        <v>0</v>
      </c>
      <c r="G9" s="15">
        <f t="shared" ref="G9:G21" si="2">+F9*0.05</f>
        <v>0</v>
      </c>
      <c r="H9" s="15">
        <f t="shared" ref="H9:H21" si="3">+F9*0.1</f>
        <v>0</v>
      </c>
      <c r="I9" s="91">
        <f t="shared" ref="I9:I11" si="4">+$L$5*G9+$L$6*F9+$L$7*H9</f>
        <v>0</v>
      </c>
      <c r="J9" s="2"/>
      <c r="K9" s="66"/>
      <c r="L9" s="3"/>
      <c r="M9" s="77"/>
      <c r="N9" s="77"/>
      <c r="O9" s="42"/>
      <c r="P9" s="42"/>
      <c r="Q9" s="46"/>
      <c r="R9" s="46"/>
      <c r="S9" s="46"/>
      <c r="T9" s="46"/>
      <c r="U9" s="45"/>
    </row>
    <row r="10" spans="1:21" s="1" customFormat="1" ht="15.75">
      <c r="A10" s="29" t="s">
        <v>30</v>
      </c>
      <c r="B10" s="15">
        <v>4</v>
      </c>
      <c r="C10" s="15">
        <v>30</v>
      </c>
      <c r="D10" s="15">
        <f t="shared" si="0"/>
        <v>120</v>
      </c>
      <c r="E10" s="15">
        <v>0</v>
      </c>
      <c r="F10" s="53">
        <f t="shared" si="1"/>
        <v>0</v>
      </c>
      <c r="G10" s="15">
        <f t="shared" si="2"/>
        <v>0</v>
      </c>
      <c r="H10" s="15">
        <f t="shared" si="3"/>
        <v>0</v>
      </c>
      <c r="I10" s="91">
        <f t="shared" si="4"/>
        <v>0</v>
      </c>
      <c r="J10" s="2"/>
      <c r="K10" s="3"/>
      <c r="L10" s="3"/>
      <c r="M10" s="90"/>
      <c r="N10" s="77"/>
      <c r="O10" s="42"/>
      <c r="P10" s="42"/>
      <c r="Q10" s="46"/>
      <c r="R10" s="46"/>
      <c r="S10" s="46"/>
      <c r="T10" s="46"/>
      <c r="U10" s="45"/>
    </row>
    <row r="11" spans="1:21" s="1" customFormat="1" ht="15.75">
      <c r="A11" s="29" t="s">
        <v>31</v>
      </c>
      <c r="B11" s="15">
        <v>60</v>
      </c>
      <c r="C11" s="15">
        <v>0.2</v>
      </c>
      <c r="D11" s="15">
        <f t="shared" si="0"/>
        <v>12</v>
      </c>
      <c r="E11" s="15">
        <v>0</v>
      </c>
      <c r="F11" s="15">
        <f t="shared" si="1"/>
        <v>0</v>
      </c>
      <c r="G11" s="15">
        <f t="shared" si="2"/>
        <v>0</v>
      </c>
      <c r="H11" s="15">
        <f t="shared" si="3"/>
        <v>0</v>
      </c>
      <c r="I11" s="91">
        <f t="shared" si="4"/>
        <v>0</v>
      </c>
      <c r="J11" s="2"/>
      <c r="K11" s="4"/>
      <c r="L11" s="5"/>
      <c r="M11" s="41"/>
      <c r="N11" s="42"/>
      <c r="O11" s="42"/>
      <c r="P11" s="42"/>
      <c r="Q11" s="46"/>
      <c r="R11" s="46"/>
      <c r="S11" s="47"/>
      <c r="T11" s="47"/>
      <c r="U11" s="45"/>
    </row>
    <row r="12" spans="1:21" s="1" customFormat="1" ht="12.75">
      <c r="A12" s="31" t="s">
        <v>32</v>
      </c>
      <c r="B12" s="15" t="s">
        <v>33</v>
      </c>
      <c r="C12" s="73"/>
      <c r="D12" s="15"/>
      <c r="E12" s="73"/>
      <c r="F12" s="73"/>
      <c r="G12" s="73"/>
      <c r="H12" s="73"/>
      <c r="I12" s="74"/>
      <c r="J12" s="2"/>
      <c r="K12" s="4"/>
      <c r="L12" s="5"/>
      <c r="M12" s="41"/>
      <c r="N12" s="42"/>
      <c r="O12" s="42"/>
      <c r="P12" s="42"/>
      <c r="Q12" s="46"/>
      <c r="R12" s="46"/>
      <c r="S12" s="47"/>
      <c r="T12" s="47"/>
      <c r="U12" s="45"/>
    </row>
    <row r="13" spans="1:21" s="1" customFormat="1" ht="12.75">
      <c r="A13" s="31" t="s">
        <v>34</v>
      </c>
      <c r="B13" s="15" t="s">
        <v>35</v>
      </c>
      <c r="C13" s="73"/>
      <c r="D13" s="15"/>
      <c r="E13" s="73"/>
      <c r="F13" s="73"/>
      <c r="G13" s="73"/>
      <c r="H13" s="73"/>
      <c r="I13" s="74"/>
      <c r="J13" s="2"/>
      <c r="K13" s="4"/>
      <c r="L13" s="5"/>
      <c r="M13" s="41"/>
      <c r="N13" s="42"/>
      <c r="O13" s="42"/>
      <c r="P13" s="42"/>
      <c r="Q13" s="42"/>
      <c r="R13" s="42"/>
      <c r="S13" s="42"/>
      <c r="T13" s="42"/>
      <c r="U13" s="45"/>
    </row>
    <row r="14" spans="1:21" s="1" customFormat="1" ht="18" customHeight="1">
      <c r="A14" s="31" t="s">
        <v>36</v>
      </c>
      <c r="B14" s="73"/>
      <c r="C14" s="73"/>
      <c r="D14" s="15"/>
      <c r="E14" s="73"/>
      <c r="F14" s="73"/>
      <c r="G14" s="73"/>
      <c r="H14" s="73"/>
      <c r="I14" s="74"/>
      <c r="J14" s="8"/>
      <c r="K14" s="54"/>
      <c r="L14" s="5"/>
      <c r="M14" s="41"/>
      <c r="N14" s="42"/>
      <c r="O14" s="42"/>
      <c r="P14" s="42"/>
      <c r="Q14" s="42"/>
      <c r="R14" s="42"/>
      <c r="S14" s="42"/>
      <c r="T14" s="42"/>
      <c r="U14" s="45"/>
    </row>
    <row r="15" spans="1:21" s="1" customFormat="1" ht="12.75">
      <c r="A15" s="29" t="s">
        <v>37</v>
      </c>
      <c r="B15" s="15">
        <v>2</v>
      </c>
      <c r="C15" s="15">
        <v>1</v>
      </c>
      <c r="D15" s="15">
        <f t="shared" si="0"/>
        <v>2</v>
      </c>
      <c r="E15" s="15">
        <v>0</v>
      </c>
      <c r="F15" s="15">
        <f t="shared" si="1"/>
        <v>0</v>
      </c>
      <c r="G15" s="15">
        <f t="shared" si="2"/>
        <v>0</v>
      </c>
      <c r="H15" s="15">
        <f t="shared" si="3"/>
        <v>0</v>
      </c>
      <c r="I15" s="91">
        <f>+$L$5*G15+$L$6*F15+$L$7*H15</f>
        <v>0</v>
      </c>
      <c r="J15" s="2"/>
      <c r="K15" s="54"/>
      <c r="M15" s="41"/>
      <c r="N15" s="42"/>
      <c r="O15" s="42"/>
      <c r="P15" s="42"/>
      <c r="Q15" s="42"/>
      <c r="R15" s="42"/>
      <c r="S15" s="42"/>
      <c r="T15" s="42"/>
      <c r="U15" s="45"/>
    </row>
    <row r="16" spans="1:21" s="1" customFormat="1" ht="27.75" customHeight="1">
      <c r="A16" s="29" t="s">
        <v>38</v>
      </c>
      <c r="B16" s="15">
        <v>2</v>
      </c>
      <c r="C16" s="15">
        <v>1</v>
      </c>
      <c r="D16" s="15">
        <f t="shared" si="0"/>
        <v>2</v>
      </c>
      <c r="E16" s="15">
        <v>0</v>
      </c>
      <c r="F16" s="15">
        <f t="shared" si="1"/>
        <v>0</v>
      </c>
      <c r="G16" s="15">
        <f t="shared" si="2"/>
        <v>0</v>
      </c>
      <c r="H16" s="15">
        <f t="shared" si="3"/>
        <v>0</v>
      </c>
      <c r="I16" s="91">
        <f>+$L$5*G16+$L$6*F16+$L$7*H16</f>
        <v>0</v>
      </c>
      <c r="J16" s="2"/>
      <c r="K16" s="54"/>
      <c r="M16" s="41"/>
      <c r="N16" s="42"/>
      <c r="O16" s="42"/>
      <c r="P16" s="42"/>
      <c r="Q16" s="42"/>
      <c r="R16" s="42"/>
      <c r="S16" s="42"/>
      <c r="T16" s="42"/>
      <c r="U16" s="45"/>
    </row>
    <row r="17" spans="1:21" s="1" customFormat="1" ht="12.75">
      <c r="A17" s="29" t="s">
        <v>39</v>
      </c>
      <c r="B17" s="15">
        <v>2</v>
      </c>
      <c r="C17" s="15">
        <v>1.2</v>
      </c>
      <c r="D17" s="15">
        <f t="shared" si="0"/>
        <v>2.4</v>
      </c>
      <c r="E17" s="15">
        <v>0</v>
      </c>
      <c r="F17" s="15">
        <f t="shared" si="1"/>
        <v>0</v>
      </c>
      <c r="G17" s="15">
        <f t="shared" si="2"/>
        <v>0</v>
      </c>
      <c r="H17" s="15">
        <f t="shared" si="3"/>
        <v>0</v>
      </c>
      <c r="I17" s="91">
        <f t="shared" ref="I17:I18" si="5">+$L$5*G17+$L$6*F17+$L$7*H17</f>
        <v>0</v>
      </c>
      <c r="J17" s="2"/>
      <c r="K17" s="54"/>
      <c r="M17" s="41"/>
      <c r="N17" s="42"/>
      <c r="O17" s="42"/>
      <c r="P17" s="42"/>
      <c r="Q17" s="42"/>
      <c r="R17" s="42"/>
      <c r="S17" s="42"/>
      <c r="T17" s="42"/>
      <c r="U17" s="45"/>
    </row>
    <row r="18" spans="1:21" s="1" customFormat="1" ht="19.5" customHeight="1">
      <c r="A18" s="29" t="s">
        <v>40</v>
      </c>
      <c r="B18" s="15">
        <v>2</v>
      </c>
      <c r="C18" s="15">
        <v>1</v>
      </c>
      <c r="D18" s="15">
        <f t="shared" si="0"/>
        <v>2</v>
      </c>
      <c r="E18" s="15">
        <v>0</v>
      </c>
      <c r="F18" s="15">
        <f t="shared" si="1"/>
        <v>0</v>
      </c>
      <c r="G18" s="15">
        <f t="shared" si="2"/>
        <v>0</v>
      </c>
      <c r="H18" s="15">
        <f t="shared" si="3"/>
        <v>0</v>
      </c>
      <c r="I18" s="91">
        <f t="shared" si="5"/>
        <v>0</v>
      </c>
      <c r="J18" s="2"/>
      <c r="K18" s="54"/>
      <c r="M18" s="41"/>
      <c r="N18" s="42"/>
      <c r="O18" s="42"/>
      <c r="P18" s="42"/>
      <c r="Q18" s="42"/>
      <c r="R18" s="42"/>
      <c r="S18" s="42"/>
      <c r="T18" s="42"/>
      <c r="U18" s="45"/>
    </row>
    <row r="19" spans="1:21" s="1" customFormat="1" ht="16.5" customHeight="1">
      <c r="A19" s="29" t="s">
        <v>41</v>
      </c>
      <c r="B19" s="15" t="s">
        <v>33</v>
      </c>
      <c r="C19" s="73"/>
      <c r="D19" s="15"/>
      <c r="E19" s="73"/>
      <c r="F19" s="73"/>
      <c r="G19" s="73"/>
      <c r="H19" s="73"/>
      <c r="I19" s="32"/>
      <c r="J19" s="2"/>
      <c r="K19" s="2"/>
      <c r="M19" s="41"/>
      <c r="N19" s="42"/>
      <c r="O19" s="42"/>
      <c r="P19" s="42"/>
      <c r="Q19" s="42"/>
      <c r="R19" s="42"/>
      <c r="S19" s="42"/>
      <c r="T19" s="42"/>
      <c r="U19" s="45"/>
    </row>
    <row r="20" spans="1:21" s="1" customFormat="1" ht="15.75">
      <c r="A20" s="29" t="s">
        <v>42</v>
      </c>
      <c r="B20" s="15">
        <v>8</v>
      </c>
      <c r="C20" s="15">
        <v>2</v>
      </c>
      <c r="D20" s="15">
        <f>B20*C20</f>
        <v>16</v>
      </c>
      <c r="E20" s="34">
        <f>0.8*E7</f>
        <v>585.6</v>
      </c>
      <c r="F20" s="53">
        <f t="shared" si="1"/>
        <v>9369.6</v>
      </c>
      <c r="G20" s="53">
        <f t="shared" si="2"/>
        <v>468.48</v>
      </c>
      <c r="H20" s="53">
        <f t="shared" si="3"/>
        <v>936.96</v>
      </c>
      <c r="I20" s="91">
        <f t="shared" ref="I20:I21" si="6">+$L$5*G20+$L$6*F20+$L$7*H20</f>
        <v>1358681.0112000001</v>
      </c>
      <c r="J20" s="2"/>
      <c r="M20" s="41"/>
      <c r="N20" s="42"/>
      <c r="O20" s="42"/>
      <c r="P20" s="42"/>
      <c r="Q20" s="42"/>
      <c r="R20" s="42"/>
      <c r="S20" s="42"/>
      <c r="T20" s="42"/>
      <c r="U20" s="45"/>
    </row>
    <row r="21" spans="1:21" s="1" customFormat="1" ht="15.75">
      <c r="A21" s="29" t="s">
        <v>43</v>
      </c>
      <c r="B21" s="15">
        <v>8</v>
      </c>
      <c r="C21" s="15">
        <v>4</v>
      </c>
      <c r="D21" s="15">
        <f t="shared" si="0"/>
        <v>32</v>
      </c>
      <c r="E21" s="34">
        <f>0.2*E7</f>
        <v>146.4</v>
      </c>
      <c r="F21" s="53">
        <f t="shared" si="1"/>
        <v>4684.8</v>
      </c>
      <c r="G21" s="53">
        <f t="shared" si="2"/>
        <v>234.24</v>
      </c>
      <c r="H21" s="53">
        <f t="shared" si="3"/>
        <v>468.48</v>
      </c>
      <c r="I21" s="91">
        <f t="shared" si="6"/>
        <v>679340.50560000003</v>
      </c>
      <c r="J21" s="2"/>
      <c r="M21" s="41"/>
      <c r="N21" s="42"/>
      <c r="O21" s="42"/>
      <c r="P21" s="42"/>
      <c r="Q21" s="42"/>
      <c r="R21" s="44"/>
      <c r="S21" s="42"/>
      <c r="T21" s="42"/>
      <c r="U21" s="45"/>
    </row>
    <row r="22" spans="1:21" s="1" customFormat="1" ht="13.5">
      <c r="A22" s="78" t="s">
        <v>44</v>
      </c>
      <c r="B22" s="73"/>
      <c r="C22" s="73"/>
      <c r="D22" s="15"/>
      <c r="E22" s="73"/>
      <c r="F22" s="104">
        <f>SUM(F7:H21)</f>
        <v>17004.36</v>
      </c>
      <c r="G22" s="104"/>
      <c r="H22" s="104"/>
      <c r="I22" s="76">
        <f>SUM(I7:I21)</f>
        <v>2144168.4708000002</v>
      </c>
      <c r="J22" s="2"/>
      <c r="K22" s="2"/>
      <c r="M22" s="48"/>
      <c r="N22" s="48"/>
      <c r="O22" s="48"/>
      <c r="P22" s="48"/>
      <c r="Q22" s="48"/>
      <c r="R22" s="49"/>
      <c r="S22" s="49"/>
      <c r="T22" s="49"/>
      <c r="U22" s="50"/>
    </row>
    <row r="23" spans="1:21" s="1" customFormat="1" ht="12.75">
      <c r="A23" s="17" t="s">
        <v>45</v>
      </c>
      <c r="B23" s="73"/>
      <c r="C23" s="73"/>
      <c r="D23" s="15"/>
      <c r="E23" s="73"/>
      <c r="F23" s="73"/>
      <c r="G23" s="73"/>
      <c r="H23" s="73"/>
      <c r="I23" s="33"/>
      <c r="J23" s="2"/>
      <c r="K23" s="2"/>
      <c r="M23" s="41"/>
      <c r="N23" s="42"/>
      <c r="O23" s="42"/>
      <c r="P23" s="42"/>
      <c r="Q23" s="42"/>
      <c r="R23" s="42"/>
      <c r="S23" s="42"/>
      <c r="T23" s="42"/>
      <c r="U23" s="43"/>
    </row>
    <row r="24" spans="1:21" s="1" customFormat="1" ht="12.75">
      <c r="A24" s="31" t="s">
        <v>46</v>
      </c>
      <c r="B24" s="15" t="s">
        <v>47</v>
      </c>
      <c r="C24" s="73"/>
      <c r="D24" s="15"/>
      <c r="E24" s="73"/>
      <c r="F24" s="73"/>
      <c r="G24" s="73"/>
      <c r="H24" s="73"/>
      <c r="I24" s="33"/>
      <c r="J24" s="2"/>
      <c r="K24" s="2"/>
      <c r="M24" s="41"/>
      <c r="N24" s="42"/>
      <c r="O24" s="42"/>
      <c r="P24" s="42"/>
      <c r="Q24" s="42"/>
      <c r="R24" s="42"/>
      <c r="S24" s="42"/>
      <c r="T24" s="42"/>
      <c r="U24" s="45"/>
    </row>
    <row r="25" spans="1:21" s="1" customFormat="1" ht="12.75">
      <c r="A25" s="31" t="s">
        <v>48</v>
      </c>
      <c r="B25" s="15" t="s">
        <v>49</v>
      </c>
      <c r="C25" s="73"/>
      <c r="D25" s="15"/>
      <c r="E25" s="73"/>
      <c r="F25" s="73"/>
      <c r="G25" s="73"/>
      <c r="H25" s="73"/>
      <c r="I25" s="33"/>
      <c r="J25" s="2"/>
      <c r="M25" s="41"/>
      <c r="N25" s="42"/>
      <c r="O25" s="42"/>
      <c r="P25" s="42"/>
      <c r="Q25" s="42"/>
      <c r="R25" s="42"/>
      <c r="S25" s="42"/>
      <c r="T25" s="42"/>
      <c r="U25" s="45"/>
    </row>
    <row r="26" spans="1:21" s="1" customFormat="1" ht="12.75">
      <c r="A26" s="29" t="s">
        <v>50</v>
      </c>
      <c r="B26" s="15" t="s">
        <v>33</v>
      </c>
      <c r="C26" s="73"/>
      <c r="D26" s="15"/>
      <c r="E26" s="73"/>
      <c r="F26" s="73"/>
      <c r="G26" s="73"/>
      <c r="H26" s="73"/>
      <c r="I26" s="33"/>
      <c r="J26" s="2"/>
      <c r="K26" s="2"/>
      <c r="M26" s="41"/>
      <c r="N26" s="42"/>
      <c r="O26" s="42"/>
      <c r="P26" s="42"/>
      <c r="Q26" s="42"/>
      <c r="R26" s="44"/>
      <c r="S26" s="42"/>
      <c r="T26" s="42"/>
      <c r="U26" s="45"/>
    </row>
    <row r="27" spans="1:21" s="1" customFormat="1" ht="18" customHeight="1">
      <c r="A27" s="29" t="s">
        <v>51</v>
      </c>
      <c r="B27" s="15" t="s">
        <v>20</v>
      </c>
      <c r="C27" s="73"/>
      <c r="D27" s="15"/>
      <c r="E27" s="73"/>
      <c r="F27" s="73"/>
      <c r="G27" s="73"/>
      <c r="H27" s="73"/>
      <c r="I27" s="33"/>
      <c r="J27" s="2"/>
      <c r="K27" s="2"/>
      <c r="M27" s="41"/>
      <c r="N27" s="42"/>
      <c r="O27" s="42"/>
      <c r="P27" s="42"/>
      <c r="Q27" s="42"/>
      <c r="R27" s="42"/>
      <c r="S27" s="42"/>
      <c r="T27" s="42"/>
      <c r="U27" s="45"/>
    </row>
    <row r="28" spans="1:21" s="1" customFormat="1" ht="28.5">
      <c r="A28" s="31" t="s">
        <v>52</v>
      </c>
      <c r="B28" s="15">
        <v>0.5</v>
      </c>
      <c r="C28" s="15">
        <v>365</v>
      </c>
      <c r="D28" s="15">
        <f t="shared" si="0"/>
        <v>182.5</v>
      </c>
      <c r="E28" s="15">
        <v>732</v>
      </c>
      <c r="F28" s="53">
        <f t="shared" ref="F28" si="7">D28*E28</f>
        <v>133590</v>
      </c>
      <c r="G28" s="53">
        <f t="shared" ref="G28" si="8">+F28*0.05</f>
        <v>6679.5</v>
      </c>
      <c r="H28" s="53">
        <f t="shared" ref="H28" si="9">+F28*0.1</f>
        <v>13359</v>
      </c>
      <c r="I28" s="91">
        <f>+$L$5*G28+$L$6*F28+$L$7*H28</f>
        <v>19371819.105</v>
      </c>
      <c r="J28" s="2"/>
      <c r="K28" s="2"/>
      <c r="M28" s="41"/>
      <c r="N28" s="42"/>
      <c r="O28" s="42"/>
      <c r="P28" s="42"/>
      <c r="Q28" s="42"/>
      <c r="R28" s="42"/>
      <c r="S28" s="42"/>
      <c r="T28" s="42"/>
      <c r="U28" s="45"/>
    </row>
    <row r="29" spans="1:21" s="1" customFormat="1" ht="12.75">
      <c r="A29" s="31" t="s">
        <v>53</v>
      </c>
      <c r="B29" s="15" t="s">
        <v>20</v>
      </c>
      <c r="C29" s="73"/>
      <c r="D29" s="15"/>
      <c r="E29" s="73"/>
      <c r="F29" s="73"/>
      <c r="G29" s="73"/>
      <c r="H29" s="73"/>
      <c r="I29" s="33"/>
      <c r="J29" s="2"/>
      <c r="K29" s="2"/>
      <c r="M29" s="41"/>
      <c r="N29" s="42"/>
      <c r="O29" s="42"/>
      <c r="P29" s="42"/>
      <c r="Q29" s="42"/>
      <c r="R29" s="42"/>
      <c r="S29" s="42"/>
      <c r="T29" s="42"/>
      <c r="U29" s="45"/>
    </row>
    <row r="30" spans="1:21" s="1" customFormat="1" ht="12.75">
      <c r="A30" s="31" t="s">
        <v>54</v>
      </c>
      <c r="B30" s="15" t="s">
        <v>20</v>
      </c>
      <c r="C30" s="73"/>
      <c r="D30" s="15"/>
      <c r="E30" s="73"/>
      <c r="F30" s="73"/>
      <c r="G30" s="73"/>
      <c r="H30" s="73"/>
      <c r="I30" s="33"/>
      <c r="J30" s="2"/>
      <c r="K30" s="2"/>
      <c r="M30" s="41"/>
      <c r="N30" s="42"/>
      <c r="O30" s="42"/>
      <c r="P30" s="42"/>
      <c r="Q30" s="42"/>
      <c r="R30" s="42"/>
      <c r="S30" s="42"/>
      <c r="T30" s="42"/>
      <c r="U30" s="45"/>
    </row>
    <row r="31" spans="1:21" s="1" customFormat="1" ht="13.5">
      <c r="A31" s="78" t="s">
        <v>55</v>
      </c>
      <c r="B31" s="73"/>
      <c r="C31" s="73"/>
      <c r="D31" s="73"/>
      <c r="E31" s="73"/>
      <c r="F31" s="104">
        <f>SUM(F23:H30)</f>
        <v>153628.5</v>
      </c>
      <c r="G31" s="104"/>
      <c r="H31" s="104"/>
      <c r="I31" s="76">
        <f>SUM(I23:I30)</f>
        <v>19371819.105</v>
      </c>
      <c r="J31" s="2"/>
      <c r="K31" s="2"/>
      <c r="M31" s="38">
        <f>F32/Responses!E10</f>
        <v>97.380410022779046</v>
      </c>
      <c r="N31" s="38" t="s">
        <v>56</v>
      </c>
      <c r="O31" s="42"/>
      <c r="P31" s="42"/>
      <c r="Q31" s="42"/>
      <c r="R31" s="42"/>
      <c r="S31" s="42"/>
      <c r="T31" s="42"/>
      <c r="U31" s="45"/>
    </row>
    <row r="32" spans="1:21" s="1" customFormat="1" ht="25.9" customHeight="1">
      <c r="A32" s="18" t="s">
        <v>57</v>
      </c>
      <c r="B32" s="18"/>
      <c r="C32" s="18"/>
      <c r="D32" s="18"/>
      <c r="E32" s="18"/>
      <c r="F32" s="104">
        <f>ROUND(F22+F31,-3)</f>
        <v>171000</v>
      </c>
      <c r="G32" s="104"/>
      <c r="H32" s="104"/>
      <c r="I32" s="76">
        <f>ROUND(I22+I31,-5)</f>
        <v>21500000</v>
      </c>
      <c r="J32" s="2"/>
      <c r="K32" s="2"/>
      <c r="M32" s="84"/>
      <c r="N32" s="42"/>
      <c r="O32" s="42"/>
      <c r="P32" s="42"/>
      <c r="Q32" s="42"/>
      <c r="R32" s="42"/>
      <c r="S32" s="42"/>
      <c r="T32" s="42"/>
      <c r="U32" s="45"/>
    </row>
    <row r="33" spans="1:21" s="1" customFormat="1" ht="19.5" customHeight="1">
      <c r="A33" s="18" t="s">
        <v>58</v>
      </c>
      <c r="B33" s="79"/>
      <c r="C33" s="79"/>
      <c r="D33" s="79"/>
      <c r="E33" s="79"/>
      <c r="F33" s="79"/>
      <c r="G33" s="79"/>
      <c r="H33" s="79"/>
      <c r="I33" s="76">
        <f>'Capital O&amp;M'!G6</f>
        <v>15600000</v>
      </c>
      <c r="J33" s="2"/>
      <c r="K33" s="2"/>
      <c r="M33" s="41"/>
      <c r="N33" s="42"/>
      <c r="O33" s="42"/>
      <c r="P33" s="42"/>
      <c r="Q33" s="42"/>
      <c r="R33" s="42"/>
      <c r="S33" s="42"/>
      <c r="T33" s="42"/>
      <c r="U33" s="45"/>
    </row>
    <row r="34" spans="1:21" s="1" customFormat="1" ht="31.5" customHeight="1">
      <c r="A34" s="18" t="s">
        <v>59</v>
      </c>
      <c r="B34" s="79"/>
      <c r="C34" s="79"/>
      <c r="D34" s="79"/>
      <c r="E34" s="79"/>
      <c r="F34" s="79"/>
      <c r="G34" s="79"/>
      <c r="H34" s="79"/>
      <c r="I34" s="76">
        <f>ROUND(SUM(I32:I33),-5)</f>
        <v>37100000</v>
      </c>
      <c r="J34" s="2"/>
      <c r="K34" s="2"/>
      <c r="M34" s="41"/>
      <c r="N34" s="42"/>
      <c r="O34" s="42"/>
      <c r="P34" s="42"/>
      <c r="Q34" s="42"/>
      <c r="R34" s="44"/>
      <c r="S34" s="42"/>
      <c r="T34" s="42"/>
      <c r="U34" s="45"/>
    </row>
    <row r="35" spans="1:21" s="1" customFormat="1" ht="13.5">
      <c r="G35" s="35"/>
      <c r="I35" s="7"/>
      <c r="J35" s="2"/>
      <c r="M35" s="51"/>
      <c r="N35" s="51"/>
      <c r="O35" s="51"/>
      <c r="P35" s="51"/>
      <c r="Q35" s="51"/>
      <c r="R35" s="51"/>
      <c r="S35" s="51"/>
      <c r="T35" s="51"/>
      <c r="U35" s="50"/>
    </row>
    <row r="36" spans="1:21" s="1" customFormat="1" ht="13.5">
      <c r="A36" s="36" t="s">
        <v>60</v>
      </c>
      <c r="I36" s="7"/>
      <c r="J36" s="2"/>
      <c r="M36" s="51"/>
      <c r="N36" s="51"/>
      <c r="O36" s="51"/>
      <c r="P36" s="51"/>
      <c r="Q36" s="51"/>
      <c r="R36" s="51"/>
      <c r="S36" s="51"/>
      <c r="T36" s="51"/>
      <c r="U36" s="50"/>
    </row>
    <row r="37" spans="1:21" s="1" customFormat="1" ht="34.5" customHeight="1">
      <c r="A37" s="101" t="s">
        <v>61</v>
      </c>
      <c r="B37" s="102"/>
      <c r="C37" s="102"/>
      <c r="D37" s="102"/>
      <c r="E37" s="102"/>
      <c r="F37" s="102"/>
      <c r="G37" s="102"/>
      <c r="H37" s="102"/>
      <c r="I37" s="102"/>
      <c r="J37" s="2"/>
      <c r="M37" s="42"/>
      <c r="N37" s="24"/>
      <c r="O37" s="24"/>
      <c r="P37" s="24"/>
      <c r="Q37" s="24"/>
      <c r="R37" s="24"/>
      <c r="S37" s="24"/>
      <c r="T37" s="24"/>
      <c r="U37" s="24"/>
    </row>
    <row r="38" spans="1:21" s="1" customFormat="1" ht="61.5" customHeight="1">
      <c r="A38" s="101" t="s">
        <v>62</v>
      </c>
      <c r="B38" s="101"/>
      <c r="C38" s="101"/>
      <c r="D38" s="101"/>
      <c r="E38" s="101"/>
      <c r="F38" s="101"/>
      <c r="G38" s="101"/>
      <c r="H38" s="101"/>
      <c r="I38" s="101"/>
      <c r="J38" s="2"/>
      <c r="M38" s="77"/>
      <c r="N38" s="77"/>
      <c r="O38" s="42"/>
      <c r="P38" s="24"/>
      <c r="Q38" s="24"/>
      <c r="R38" s="24"/>
      <c r="S38" s="24"/>
      <c r="T38" s="24"/>
      <c r="U38" s="24"/>
    </row>
    <row r="39" spans="1:21" s="1" customFormat="1" ht="15.75">
      <c r="A39" s="105" t="s">
        <v>63</v>
      </c>
      <c r="B39" s="105"/>
      <c r="C39" s="105"/>
      <c r="D39" s="105"/>
      <c r="E39" s="105"/>
      <c r="F39" s="105"/>
      <c r="G39" s="105"/>
      <c r="H39" s="105"/>
      <c r="I39" s="105"/>
      <c r="J39" s="8"/>
      <c r="M39" s="77"/>
      <c r="N39" s="77"/>
      <c r="O39" s="42"/>
      <c r="P39" s="24"/>
      <c r="Q39" s="24"/>
      <c r="R39" s="24"/>
      <c r="S39" s="24"/>
      <c r="T39" s="24"/>
      <c r="U39" s="24"/>
    </row>
    <row r="40" spans="1:21" s="1" customFormat="1" ht="15.75">
      <c r="A40" s="105" t="s">
        <v>64</v>
      </c>
      <c r="B40" s="105"/>
      <c r="C40" s="105"/>
      <c r="D40" s="105"/>
      <c r="E40" s="105"/>
      <c r="F40" s="105"/>
      <c r="G40" s="105"/>
      <c r="H40" s="105"/>
      <c r="I40" s="105"/>
      <c r="J40" s="86"/>
      <c r="M40" s="77"/>
      <c r="N40" s="77"/>
      <c r="O40" s="42"/>
      <c r="P40" s="24"/>
      <c r="Q40" s="24"/>
      <c r="R40" s="24"/>
      <c r="S40" s="24"/>
      <c r="T40" s="24"/>
      <c r="U40" s="24"/>
    </row>
    <row r="41" spans="1:21" s="1" customFormat="1" ht="15.75">
      <c r="A41" s="105" t="s">
        <v>65</v>
      </c>
      <c r="B41" s="105"/>
      <c r="C41" s="105"/>
      <c r="D41" s="105"/>
      <c r="E41" s="105"/>
      <c r="F41" s="105"/>
      <c r="G41" s="105"/>
      <c r="H41" s="105"/>
      <c r="I41" s="105"/>
      <c r="J41" s="86"/>
      <c r="M41" s="24"/>
      <c r="N41" s="24"/>
      <c r="O41" s="24"/>
      <c r="P41" s="24"/>
      <c r="Q41" s="24"/>
      <c r="R41" s="24"/>
      <c r="S41" s="24"/>
      <c r="T41" s="24"/>
      <c r="U41" s="24"/>
    </row>
    <row r="42" spans="1:21" s="1" customFormat="1" ht="15.75">
      <c r="A42" s="105" t="s">
        <v>66</v>
      </c>
      <c r="B42" s="105"/>
      <c r="C42" s="105"/>
      <c r="D42" s="105"/>
      <c r="E42" s="105"/>
      <c r="F42" s="105"/>
      <c r="G42" s="105"/>
      <c r="H42" s="105"/>
      <c r="I42" s="105"/>
      <c r="J42" s="86"/>
      <c r="M42" s="24"/>
      <c r="N42" s="24"/>
      <c r="O42" s="24"/>
      <c r="P42" s="24"/>
      <c r="Q42" s="24"/>
      <c r="R42" s="24"/>
      <c r="S42" s="24"/>
      <c r="T42" s="24"/>
      <c r="U42" s="24"/>
    </row>
    <row r="43" spans="1:21" s="1" customFormat="1" ht="12.75" customHeight="1">
      <c r="A43" s="105" t="s">
        <v>67</v>
      </c>
      <c r="B43" s="105"/>
      <c r="C43" s="105"/>
      <c r="D43" s="105"/>
      <c r="E43" s="105"/>
      <c r="F43" s="105"/>
      <c r="G43" s="105"/>
      <c r="H43" s="105"/>
      <c r="I43" s="105"/>
      <c r="J43" s="86"/>
      <c r="M43" s="52"/>
      <c r="N43" s="52"/>
      <c r="O43" s="52"/>
      <c r="P43" s="52"/>
      <c r="Q43" s="52"/>
      <c r="R43" s="52"/>
      <c r="S43" s="52"/>
      <c r="T43" s="52"/>
      <c r="U43" s="52"/>
    </row>
    <row r="44" spans="1:21" s="1" customFormat="1" ht="16.149999999999999" customHeight="1">
      <c r="A44" s="105" t="s">
        <v>68</v>
      </c>
      <c r="B44" s="105"/>
      <c r="C44" s="105"/>
      <c r="D44" s="105"/>
      <c r="E44" s="105"/>
      <c r="F44" s="105"/>
      <c r="G44" s="105"/>
      <c r="H44" s="105"/>
      <c r="I44" s="105"/>
      <c r="J44" s="86"/>
      <c r="M44" s="24"/>
      <c r="N44" s="24"/>
      <c r="O44" s="24"/>
      <c r="P44" s="24"/>
      <c r="Q44" s="24"/>
      <c r="R44" s="24"/>
      <c r="S44" s="24"/>
      <c r="T44" s="24"/>
      <c r="U44" s="24"/>
    </row>
    <row r="45" spans="1:21" s="1" customFormat="1" ht="16.899999999999999" customHeight="1">
      <c r="A45" s="88"/>
      <c r="B45" s="89"/>
      <c r="C45" s="89"/>
      <c r="D45" s="89"/>
      <c r="E45" s="89"/>
      <c r="F45" s="89"/>
      <c r="G45" s="89"/>
      <c r="H45" s="89"/>
      <c r="I45" s="89"/>
      <c r="M45" s="24"/>
      <c r="N45" s="24"/>
      <c r="O45" s="24"/>
      <c r="P45" s="24"/>
      <c r="Q45" s="24"/>
      <c r="R45" s="24"/>
      <c r="S45" s="24"/>
      <c r="T45" s="24"/>
      <c r="U45" s="24"/>
    </row>
    <row r="46" spans="1:21" ht="15.75">
      <c r="A46" s="56"/>
      <c r="B46" s="56"/>
      <c r="C46" s="56"/>
    </row>
    <row r="47" spans="1:21" ht="15.75">
      <c r="A47" s="56"/>
      <c r="B47" s="56"/>
      <c r="C47" s="56"/>
    </row>
    <row r="48" spans="1:21" ht="15.75">
      <c r="A48" s="57"/>
      <c r="B48" s="57"/>
      <c r="C48" s="57"/>
    </row>
    <row r="49" spans="1:3" ht="15.75">
      <c r="A49" s="56"/>
      <c r="B49" s="56"/>
      <c r="C49" s="56"/>
    </row>
    <row r="50" spans="1:3" ht="15.75">
      <c r="A50" s="56"/>
      <c r="B50" s="56"/>
      <c r="C50" s="56"/>
    </row>
    <row r="51" spans="1:3" ht="15.75">
      <c r="A51" s="57"/>
      <c r="B51" s="57"/>
      <c r="C51" s="57"/>
    </row>
    <row r="52" spans="1:3" ht="15.75">
      <c r="A52" s="57"/>
      <c r="B52" s="57"/>
      <c r="C52" s="57"/>
    </row>
    <row r="53" spans="1:3" ht="15.75" customHeight="1">
      <c r="A53" s="56"/>
      <c r="B53" s="56"/>
      <c r="C53" s="56"/>
    </row>
    <row r="54" spans="1:3" ht="15" customHeight="1">
      <c r="A54" s="56"/>
      <c r="B54" s="56"/>
      <c r="C54" s="56"/>
    </row>
    <row r="55" spans="1:3" ht="15.75">
      <c r="A55" s="56"/>
      <c r="B55" s="56"/>
      <c r="C55" s="56"/>
    </row>
    <row r="56" spans="1:3" ht="15.75">
      <c r="A56" s="57"/>
      <c r="B56" s="57"/>
      <c r="C56" s="57"/>
    </row>
    <row r="57" spans="1:3" ht="15.75">
      <c r="A57" s="57"/>
      <c r="B57" s="56"/>
      <c r="C57" s="56"/>
    </row>
    <row r="58" spans="1:3" ht="15.75">
      <c r="A58" s="56"/>
      <c r="B58" s="56"/>
      <c r="C58" s="56"/>
    </row>
    <row r="59" spans="1:3" ht="15.75">
      <c r="A59" s="57"/>
      <c r="B59" s="56"/>
      <c r="C59" s="56"/>
    </row>
  </sheetData>
  <sortState xmlns:xlrd2="http://schemas.microsoft.com/office/spreadsheetml/2017/richdata2" ref="A46:C59">
    <sortCondition ref="C46:C59"/>
  </sortState>
  <mergeCells count="12">
    <mergeCell ref="A44:I44"/>
    <mergeCell ref="A39:I39"/>
    <mergeCell ref="A40:I40"/>
    <mergeCell ref="A41:I41"/>
    <mergeCell ref="A42:I42"/>
    <mergeCell ref="A43:I43"/>
    <mergeCell ref="A37:I37"/>
    <mergeCell ref="K4:L4"/>
    <mergeCell ref="A38:I38"/>
    <mergeCell ref="F22:H22"/>
    <mergeCell ref="F31:H31"/>
    <mergeCell ref="F32:H32"/>
  </mergeCells>
  <phoneticPr fontId="22" type="noConversion"/>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443F-7CF2-4AB9-A4F5-AA1F42586018}">
  <dimension ref="A1:N27"/>
  <sheetViews>
    <sheetView topLeftCell="A8" zoomScale="90" zoomScaleNormal="90" workbookViewId="0">
      <selection activeCell="I15" sqref="I15"/>
    </sheetView>
  </sheetViews>
  <sheetFormatPr defaultRowHeight="15"/>
  <cols>
    <col min="1" max="1" width="43.28515625" customWidth="1"/>
    <col min="2" max="9" width="11.7109375" customWidth="1"/>
    <col min="10" max="10" width="8.140625" customWidth="1"/>
    <col min="11" max="11" width="11.85546875" customWidth="1"/>
  </cols>
  <sheetData>
    <row r="1" spans="1:14" ht="15.75">
      <c r="A1" s="30" t="s">
        <v>69</v>
      </c>
      <c r="B1" s="1"/>
      <c r="C1" s="1"/>
      <c r="D1" s="1"/>
      <c r="E1" s="1"/>
      <c r="F1" s="1"/>
      <c r="G1" s="1"/>
      <c r="H1" s="1"/>
      <c r="I1" s="1"/>
    </row>
    <row r="2" spans="1:14">
      <c r="A2" s="1"/>
      <c r="B2" s="1"/>
      <c r="C2" s="1"/>
      <c r="D2" s="1"/>
      <c r="E2" s="1"/>
      <c r="F2" s="6"/>
      <c r="G2" s="6"/>
      <c r="H2" s="6"/>
      <c r="I2" s="6"/>
    </row>
    <row r="3" spans="1:14" ht="76.5">
      <c r="A3" s="28" t="s">
        <v>70</v>
      </c>
      <c r="B3" s="65" t="s">
        <v>71</v>
      </c>
      <c r="C3" s="65" t="s">
        <v>72</v>
      </c>
      <c r="D3" s="65" t="s">
        <v>73</v>
      </c>
      <c r="E3" s="65" t="s">
        <v>74</v>
      </c>
      <c r="F3" s="65" t="s">
        <v>15</v>
      </c>
      <c r="G3" s="65" t="s">
        <v>75</v>
      </c>
      <c r="H3" s="65" t="s">
        <v>76</v>
      </c>
      <c r="I3" s="65" t="s">
        <v>77</v>
      </c>
      <c r="J3" s="1"/>
      <c r="K3" s="1"/>
      <c r="L3" s="1"/>
    </row>
    <row r="4" spans="1:14">
      <c r="A4" s="17" t="s">
        <v>78</v>
      </c>
      <c r="B4" s="73"/>
      <c r="C4" s="73"/>
      <c r="D4" s="73"/>
      <c r="E4" s="73"/>
      <c r="F4" s="73"/>
      <c r="G4" s="73"/>
      <c r="H4" s="73"/>
      <c r="I4" s="33" t="s">
        <v>79</v>
      </c>
      <c r="J4" s="1"/>
      <c r="K4" s="103" t="s">
        <v>21</v>
      </c>
      <c r="L4" s="103"/>
    </row>
    <row r="5" spans="1:14">
      <c r="A5" s="31" t="s">
        <v>80</v>
      </c>
      <c r="B5" s="15">
        <v>24</v>
      </c>
      <c r="C5" s="15">
        <v>1.2</v>
      </c>
      <c r="D5" s="15">
        <f>+B5*C5</f>
        <v>28.799999999999997</v>
      </c>
      <c r="E5" s="15">
        <v>0</v>
      </c>
      <c r="F5" s="15">
        <f>+D5*E5</f>
        <v>0</v>
      </c>
      <c r="G5" s="34">
        <f>+F5*0.05</f>
        <v>0</v>
      </c>
      <c r="H5" s="15">
        <f>+F5*0.1</f>
        <v>0</v>
      </c>
      <c r="I5" s="92">
        <f>+$L$5*G5+$L$6*F5+$L$7*H5</f>
        <v>0</v>
      </c>
      <c r="J5" s="1"/>
      <c r="K5" s="10" t="s">
        <v>23</v>
      </c>
      <c r="L5" s="25">
        <v>73.459999999999994</v>
      </c>
    </row>
    <row r="6" spans="1:14" ht="15.75">
      <c r="A6" s="31" t="s">
        <v>81</v>
      </c>
      <c r="B6" s="15">
        <v>40</v>
      </c>
      <c r="C6" s="15">
        <v>1.2</v>
      </c>
      <c r="D6" s="15">
        <f t="shared" ref="D6:D14" si="0">+B6*C6</f>
        <v>48</v>
      </c>
      <c r="E6" s="15">
        <v>0</v>
      </c>
      <c r="F6" s="15">
        <f t="shared" ref="F6:F14" si="1">+D6*E6</f>
        <v>0</v>
      </c>
      <c r="G6" s="34">
        <f t="shared" ref="G6:G14" si="2">+F6*0.05</f>
        <v>0</v>
      </c>
      <c r="H6" s="15">
        <f t="shared" ref="H6:H14" si="3">+F6*0.1</f>
        <v>0</v>
      </c>
      <c r="I6" s="92">
        <f>+$L$5*G6+$L$6*F6+$L$7*H6</f>
        <v>0</v>
      </c>
      <c r="J6" s="1"/>
      <c r="K6" s="10" t="s">
        <v>82</v>
      </c>
      <c r="L6" s="25">
        <v>54.51</v>
      </c>
    </row>
    <row r="7" spans="1:14">
      <c r="A7" s="17" t="s">
        <v>83</v>
      </c>
      <c r="B7" s="73"/>
      <c r="C7" s="73"/>
      <c r="D7" s="15"/>
      <c r="E7" s="73"/>
      <c r="F7" s="73"/>
      <c r="G7" s="75"/>
      <c r="H7" s="73"/>
      <c r="I7" s="74"/>
      <c r="J7" s="1"/>
      <c r="K7" s="10" t="s">
        <v>27</v>
      </c>
      <c r="L7" s="25">
        <v>29.5</v>
      </c>
    </row>
    <row r="8" spans="1:14">
      <c r="A8" s="31" t="s">
        <v>84</v>
      </c>
      <c r="B8" s="15">
        <v>2</v>
      </c>
      <c r="C8" s="15">
        <v>1</v>
      </c>
      <c r="D8" s="15">
        <f t="shared" si="0"/>
        <v>2</v>
      </c>
      <c r="E8" s="15">
        <v>0</v>
      </c>
      <c r="F8" s="15">
        <f t="shared" si="1"/>
        <v>0</v>
      </c>
      <c r="G8" s="34">
        <f t="shared" si="2"/>
        <v>0</v>
      </c>
      <c r="H8" s="15">
        <f t="shared" si="3"/>
        <v>0</v>
      </c>
      <c r="I8" s="92">
        <f t="shared" ref="I8:I11" si="4">+$L$5*G8+$L$6*F8+$L$7*H8</f>
        <v>0</v>
      </c>
      <c r="J8" s="9"/>
      <c r="K8" s="9"/>
      <c r="L8" s="1"/>
    </row>
    <row r="9" spans="1:14" ht="19.5" customHeight="1">
      <c r="A9" s="31" t="s">
        <v>38</v>
      </c>
      <c r="B9" s="15">
        <v>0.5</v>
      </c>
      <c r="C9" s="15">
        <v>1</v>
      </c>
      <c r="D9" s="15">
        <f t="shared" si="0"/>
        <v>0.5</v>
      </c>
      <c r="E9" s="15">
        <v>0</v>
      </c>
      <c r="F9" s="15">
        <f t="shared" si="1"/>
        <v>0</v>
      </c>
      <c r="G9" s="34">
        <f t="shared" si="2"/>
        <v>0</v>
      </c>
      <c r="H9" s="15">
        <f t="shared" si="3"/>
        <v>0</v>
      </c>
      <c r="I9" s="92">
        <f t="shared" si="4"/>
        <v>0</v>
      </c>
      <c r="J9" s="9"/>
      <c r="M9" s="71"/>
      <c r="N9" s="71"/>
    </row>
    <row r="10" spans="1:14" ht="15.75">
      <c r="A10" s="31" t="s">
        <v>85</v>
      </c>
      <c r="B10" s="15">
        <v>0.5</v>
      </c>
      <c r="C10" s="15">
        <v>1.2</v>
      </c>
      <c r="D10" s="15">
        <f t="shared" si="0"/>
        <v>0.6</v>
      </c>
      <c r="E10" s="15">
        <v>0</v>
      </c>
      <c r="F10" s="15">
        <f t="shared" si="1"/>
        <v>0</v>
      </c>
      <c r="G10" s="34">
        <f t="shared" si="2"/>
        <v>0</v>
      </c>
      <c r="H10" s="15">
        <f t="shared" si="3"/>
        <v>0</v>
      </c>
      <c r="I10" s="92">
        <f t="shared" si="4"/>
        <v>0</v>
      </c>
      <c r="J10" s="11"/>
      <c r="K10" s="72"/>
      <c r="L10" s="72"/>
    </row>
    <row r="11" spans="1:14" ht="15.75">
      <c r="A11" s="31" t="s">
        <v>86</v>
      </c>
      <c r="B11" s="15">
        <v>0.5</v>
      </c>
      <c r="C11" s="15">
        <v>1</v>
      </c>
      <c r="D11" s="15">
        <f t="shared" si="0"/>
        <v>0.5</v>
      </c>
      <c r="E11" s="15">
        <v>0</v>
      </c>
      <c r="F11" s="15">
        <f t="shared" si="1"/>
        <v>0</v>
      </c>
      <c r="G11" s="34">
        <f t="shared" si="2"/>
        <v>0</v>
      </c>
      <c r="H11" s="15">
        <f t="shared" si="3"/>
        <v>0</v>
      </c>
      <c r="I11" s="92">
        <f t="shared" si="4"/>
        <v>0</v>
      </c>
      <c r="J11" s="1"/>
      <c r="M11" s="71"/>
      <c r="N11" s="71"/>
    </row>
    <row r="12" spans="1:14">
      <c r="A12" s="17" t="s">
        <v>87</v>
      </c>
      <c r="B12" s="73"/>
      <c r="C12" s="73"/>
      <c r="D12" s="15"/>
      <c r="E12" s="73"/>
      <c r="F12" s="73"/>
      <c r="G12" s="75"/>
      <c r="H12" s="73"/>
      <c r="I12" s="33"/>
      <c r="J12" s="1"/>
      <c r="K12" s="1"/>
      <c r="L12" s="1"/>
    </row>
    <row r="13" spans="1:14" ht="15" customHeight="1">
      <c r="A13" s="31" t="s">
        <v>88</v>
      </c>
      <c r="B13" s="15">
        <v>8</v>
      </c>
      <c r="C13" s="15">
        <v>2</v>
      </c>
      <c r="D13" s="15">
        <f>+B13*C13</f>
        <v>16</v>
      </c>
      <c r="E13" s="34">
        <f>'Table 1'!E20</f>
        <v>585.6</v>
      </c>
      <c r="F13" s="53">
        <f>+D13*E13</f>
        <v>9369.6</v>
      </c>
      <c r="G13" s="15">
        <f t="shared" si="2"/>
        <v>468.48</v>
      </c>
      <c r="H13" s="15">
        <f t="shared" si="3"/>
        <v>936.96</v>
      </c>
      <c r="I13" s="92">
        <f t="shared" ref="I13:I14" si="5">+$L$5*G13+$L$6*F13+$L$7*H13</f>
        <v>572791.75679999997</v>
      </c>
      <c r="J13" s="1"/>
      <c r="K13" s="1"/>
      <c r="L13" s="1"/>
    </row>
    <row r="14" spans="1:14" ht="15.75">
      <c r="A14" s="31" t="s">
        <v>89</v>
      </c>
      <c r="B14" s="15">
        <v>8</v>
      </c>
      <c r="C14" s="15">
        <v>4</v>
      </c>
      <c r="D14" s="15">
        <f t="shared" si="0"/>
        <v>32</v>
      </c>
      <c r="E14" s="34">
        <f>'Table 1'!E21</f>
        <v>146.4</v>
      </c>
      <c r="F14" s="53">
        <f t="shared" si="1"/>
        <v>4684.8</v>
      </c>
      <c r="G14" s="15">
        <f t="shared" si="2"/>
        <v>234.24</v>
      </c>
      <c r="H14" s="15">
        <f t="shared" si="3"/>
        <v>468.48</v>
      </c>
      <c r="I14" s="92">
        <f t="shared" si="5"/>
        <v>286395.87839999999</v>
      </c>
      <c r="J14" s="1"/>
      <c r="K14" s="1"/>
      <c r="L14" s="1"/>
    </row>
    <row r="15" spans="1:14" ht="18.75" customHeight="1">
      <c r="A15" s="18" t="s">
        <v>90</v>
      </c>
      <c r="B15" s="18"/>
      <c r="C15" s="18"/>
      <c r="D15" s="18"/>
      <c r="E15" s="18"/>
      <c r="F15" s="104">
        <f>ROUND(SUM(F4:H14),-2)</f>
        <v>16200</v>
      </c>
      <c r="G15" s="104"/>
      <c r="H15" s="104"/>
      <c r="I15" s="93">
        <f>ROUND(SUM(I4:I14),-3)</f>
        <v>859000</v>
      </c>
      <c r="J15" s="86"/>
      <c r="K15" s="1"/>
      <c r="L15" s="1"/>
    </row>
    <row r="16" spans="1:14" ht="27" customHeight="1">
      <c r="A16" s="94" t="s">
        <v>91</v>
      </c>
      <c r="B16" s="95"/>
      <c r="C16" s="95"/>
      <c r="D16" s="95"/>
      <c r="E16" s="95"/>
      <c r="F16" s="95"/>
      <c r="G16" s="95"/>
      <c r="H16" s="95"/>
      <c r="I16" s="95"/>
    </row>
    <row r="17" spans="1:12" ht="42.6" customHeight="1">
      <c r="A17" s="107" t="s">
        <v>92</v>
      </c>
      <c r="B17" s="107"/>
      <c r="C17" s="107"/>
      <c r="D17" s="107"/>
      <c r="E17" s="107"/>
      <c r="F17" s="107"/>
      <c r="G17" s="107"/>
      <c r="H17" s="107"/>
      <c r="I17" s="107"/>
      <c r="J17" s="86"/>
      <c r="K17" s="1"/>
      <c r="L17" s="1"/>
    </row>
    <row r="18" spans="1:12" ht="43.5" customHeight="1">
      <c r="A18" s="108" t="s">
        <v>93</v>
      </c>
      <c r="B18" s="108"/>
      <c r="C18" s="108"/>
      <c r="D18" s="108"/>
      <c r="E18" s="108"/>
      <c r="F18" s="108"/>
      <c r="G18" s="108"/>
      <c r="H18" s="108"/>
      <c r="I18" s="108"/>
      <c r="J18" s="1"/>
      <c r="K18" s="1"/>
      <c r="L18" s="1"/>
    </row>
    <row r="19" spans="1:12" ht="15.75">
      <c r="A19" s="105" t="s">
        <v>94</v>
      </c>
      <c r="B19" s="105"/>
      <c r="C19" s="105"/>
      <c r="D19" s="105"/>
      <c r="E19" s="105"/>
      <c r="F19" s="105"/>
      <c r="G19" s="105"/>
      <c r="H19" s="105"/>
      <c r="I19" s="105"/>
      <c r="J19" s="1"/>
      <c r="K19" s="1"/>
      <c r="L19" s="1"/>
    </row>
    <row r="20" spans="1:12" ht="15.75">
      <c r="A20" s="105" t="s">
        <v>95</v>
      </c>
      <c r="B20" s="105"/>
      <c r="C20" s="105"/>
      <c r="D20" s="105"/>
      <c r="E20" s="105"/>
      <c r="F20" s="105"/>
      <c r="G20" s="105"/>
      <c r="H20" s="105"/>
      <c r="I20" s="105"/>
      <c r="J20" s="1"/>
      <c r="K20" s="1"/>
      <c r="L20" s="1"/>
    </row>
    <row r="21" spans="1:12" ht="16.5">
      <c r="A21" s="106" t="s">
        <v>96</v>
      </c>
      <c r="B21" s="106"/>
      <c r="C21" s="106"/>
      <c r="D21" s="106"/>
      <c r="E21" s="106"/>
      <c r="F21" s="106"/>
      <c r="G21" s="106"/>
      <c r="H21" s="106"/>
      <c r="I21" s="106"/>
      <c r="J21" s="1"/>
      <c r="K21" s="1"/>
      <c r="L21" s="1"/>
    </row>
    <row r="22" spans="1:12" ht="15.75">
      <c r="A22" s="105" t="s">
        <v>97</v>
      </c>
      <c r="B22" s="105"/>
      <c r="C22" s="105"/>
      <c r="D22" s="105"/>
      <c r="E22" s="105"/>
      <c r="F22" s="105"/>
      <c r="G22" s="105"/>
      <c r="H22" s="105"/>
      <c r="I22" s="105"/>
      <c r="J22" s="1"/>
      <c r="K22" s="1"/>
      <c r="L22" s="1"/>
    </row>
    <row r="23" spans="1:12">
      <c r="A23" s="1"/>
      <c r="B23" s="70"/>
      <c r="C23" s="70"/>
      <c r="D23" s="1"/>
      <c r="E23" s="1"/>
      <c r="F23" s="1"/>
      <c r="G23" s="1"/>
      <c r="H23" s="1"/>
      <c r="I23" s="1"/>
      <c r="J23" s="1"/>
      <c r="K23" s="1"/>
      <c r="L23" s="1"/>
    </row>
    <row r="24" spans="1:12">
      <c r="A24" s="1"/>
      <c r="B24" s="1"/>
      <c r="C24" s="1"/>
      <c r="D24" s="1"/>
      <c r="E24" s="1"/>
      <c r="F24" s="1"/>
      <c r="G24" s="1"/>
      <c r="H24" s="1"/>
      <c r="I24" s="1"/>
      <c r="J24" s="1"/>
      <c r="K24" s="1"/>
      <c r="L24" s="1"/>
    </row>
    <row r="25" spans="1:12">
      <c r="A25" s="1"/>
      <c r="B25" s="1"/>
      <c r="C25" s="1"/>
      <c r="D25" s="1"/>
      <c r="E25" s="1"/>
      <c r="F25" s="1"/>
      <c r="G25" s="1"/>
      <c r="H25" s="1"/>
      <c r="I25" s="1"/>
      <c r="J25" s="1"/>
      <c r="K25" s="1"/>
      <c r="L25" s="1"/>
    </row>
    <row r="26" spans="1:12">
      <c r="A26" s="1"/>
      <c r="B26" s="1"/>
      <c r="C26" s="1"/>
      <c r="D26" s="1"/>
      <c r="E26" s="1"/>
      <c r="F26" s="1"/>
      <c r="G26" s="1"/>
      <c r="H26" s="1"/>
      <c r="I26" s="1"/>
      <c r="J26" s="1"/>
      <c r="K26" s="1"/>
      <c r="L26" s="1"/>
    </row>
    <row r="27" spans="1:12">
      <c r="A27" s="1"/>
      <c r="B27" s="1"/>
      <c r="C27" s="1"/>
      <c r="D27" s="1"/>
      <c r="E27" s="1"/>
      <c r="F27" s="1"/>
      <c r="G27" s="1"/>
      <c r="H27" s="1"/>
      <c r="I27" s="1"/>
      <c r="J27" s="1"/>
      <c r="K27" s="1"/>
      <c r="L27" s="1"/>
    </row>
  </sheetData>
  <mergeCells count="8">
    <mergeCell ref="A19:I19"/>
    <mergeCell ref="A20:I20"/>
    <mergeCell ref="A21:I21"/>
    <mergeCell ref="A22:I22"/>
    <mergeCell ref="K4:L4"/>
    <mergeCell ref="F15:H15"/>
    <mergeCell ref="A17:I17"/>
    <mergeCell ref="A18:I18"/>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E3CA-182B-4F98-B2D0-1BA8517B03CE}">
  <dimension ref="A1:I10"/>
  <sheetViews>
    <sheetView zoomScale="90" zoomScaleNormal="90" workbookViewId="0">
      <selection activeCell="A10" sqref="A10"/>
    </sheetView>
  </sheetViews>
  <sheetFormatPr defaultColWidth="22" defaultRowHeight="12.75"/>
  <cols>
    <col min="1" max="1" width="19.140625" style="13" customWidth="1"/>
    <col min="2" max="2" width="16.42578125" style="13" customWidth="1"/>
    <col min="3" max="7" width="13.7109375" style="13" customWidth="1"/>
    <col min="8" max="8" width="6" style="13" customWidth="1"/>
    <col min="9" max="16384" width="22" style="13"/>
  </cols>
  <sheetData>
    <row r="1" spans="1:9">
      <c r="A1" s="4"/>
      <c r="B1" s="5"/>
      <c r="C1" s="5"/>
    </row>
    <row r="2" spans="1:9">
      <c r="A2" s="109" t="s">
        <v>98</v>
      </c>
      <c r="B2" s="109"/>
      <c r="C2" s="109"/>
      <c r="D2" s="109"/>
      <c r="E2" s="109"/>
      <c r="F2" s="109"/>
      <c r="G2" s="110"/>
      <c r="H2" s="20"/>
    </row>
    <row r="3" spans="1:9">
      <c r="A3" s="98" t="s">
        <v>99</v>
      </c>
      <c r="B3" s="98" t="s">
        <v>100</v>
      </c>
      <c r="C3" s="98" t="s">
        <v>101</v>
      </c>
      <c r="D3" s="98" t="s">
        <v>102</v>
      </c>
      <c r="E3" s="98" t="s">
        <v>103</v>
      </c>
      <c r="F3" s="98" t="s">
        <v>104</v>
      </c>
      <c r="G3" s="98" t="s">
        <v>105</v>
      </c>
      <c r="H3" s="20"/>
    </row>
    <row r="4" spans="1:9" ht="46.5" customHeight="1">
      <c r="A4" s="98" t="s">
        <v>106</v>
      </c>
      <c r="B4" s="98" t="s">
        <v>107</v>
      </c>
      <c r="C4" s="98" t="s">
        <v>108</v>
      </c>
      <c r="D4" s="98" t="s">
        <v>109</v>
      </c>
      <c r="E4" s="98" t="s">
        <v>110</v>
      </c>
      <c r="F4" s="98" t="s">
        <v>111</v>
      </c>
      <c r="G4" s="98" t="s">
        <v>112</v>
      </c>
      <c r="H4" s="20"/>
    </row>
    <row r="5" spans="1:9">
      <c r="A5" s="26" t="s">
        <v>113</v>
      </c>
      <c r="B5" s="27">
        <f>200000*(816/575.4)</f>
        <v>283628.77997914498</v>
      </c>
      <c r="C5" s="28">
        <v>0</v>
      </c>
      <c r="D5" s="27">
        <f>(B5*C5)</f>
        <v>0</v>
      </c>
      <c r="E5" s="27">
        <f>15000*(816/575.4)</f>
        <v>21272.158498435871</v>
      </c>
      <c r="F5" s="28">
        <v>732</v>
      </c>
      <c r="G5" s="27">
        <f>(E5*F5)</f>
        <v>15571220.020855058</v>
      </c>
      <c r="H5" s="21"/>
    </row>
    <row r="6" spans="1:9" ht="15.75">
      <c r="A6" s="18" t="s">
        <v>114</v>
      </c>
      <c r="B6" s="15"/>
      <c r="C6" s="15"/>
      <c r="D6" s="19">
        <f>SUM(D5)</f>
        <v>0</v>
      </c>
      <c r="E6" s="15"/>
      <c r="F6" s="15"/>
      <c r="G6" s="19">
        <f>ROUND(SUM(G5),-5)</f>
        <v>15600000</v>
      </c>
      <c r="I6" s="59">
        <f>D6+G6</f>
        <v>15600000</v>
      </c>
    </row>
    <row r="7" spans="1:9">
      <c r="B7" s="58"/>
      <c r="C7" s="58"/>
      <c r="D7" s="22"/>
      <c r="E7" s="58"/>
      <c r="F7" s="58"/>
      <c r="G7" s="22"/>
      <c r="I7" s="59"/>
    </row>
    <row r="8" spans="1:9">
      <c r="A8" s="87" t="s">
        <v>115</v>
      </c>
      <c r="B8" s="58"/>
      <c r="C8" s="58"/>
      <c r="D8" s="22"/>
      <c r="E8" s="58"/>
      <c r="F8" s="58"/>
      <c r="G8" s="22"/>
    </row>
    <row r="9" spans="1:9" ht="15.75">
      <c r="A9" s="96" t="s">
        <v>116</v>
      </c>
      <c r="B9" s="37"/>
      <c r="C9" s="37"/>
      <c r="D9" s="37"/>
      <c r="E9" s="37"/>
      <c r="F9" s="37"/>
      <c r="G9" s="37"/>
    </row>
    <row r="10" spans="1:9" ht="15.75">
      <c r="A10" s="96" t="s">
        <v>117</v>
      </c>
    </row>
  </sheetData>
  <mergeCells count="1">
    <mergeCell ref="A2:G2"/>
  </mergeCells>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8CA8-D06D-48F9-AB41-065F033F135F}">
  <dimension ref="A1:F11"/>
  <sheetViews>
    <sheetView zoomScaleNormal="100" workbookViewId="0">
      <selection activeCell="A12" sqref="A12"/>
    </sheetView>
  </sheetViews>
  <sheetFormatPr defaultRowHeight="15"/>
  <cols>
    <col min="1" max="1" width="22.28515625" bestFit="1" customWidth="1"/>
    <col min="2" max="2" width="11.85546875" customWidth="1"/>
    <col min="3" max="3" width="12.7109375" customWidth="1"/>
    <col min="4" max="4" width="11.42578125" customWidth="1"/>
    <col min="5" max="5" width="14.7109375" customWidth="1"/>
  </cols>
  <sheetData>
    <row r="1" spans="1:6" s="13" customFormat="1" ht="15.75">
      <c r="A1" s="111" t="s">
        <v>6</v>
      </c>
      <c r="B1" s="111"/>
      <c r="C1" s="111"/>
      <c r="D1" s="111"/>
      <c r="E1" s="111"/>
    </row>
    <row r="2" spans="1:6" s="13" customFormat="1" ht="12.75">
      <c r="A2" s="14" t="s">
        <v>99</v>
      </c>
      <c r="B2" s="14" t="s">
        <v>100</v>
      </c>
      <c r="C2" s="14" t="s">
        <v>101</v>
      </c>
      <c r="D2" s="14" t="s">
        <v>102</v>
      </c>
      <c r="E2" s="14" t="s">
        <v>103</v>
      </c>
    </row>
    <row r="3" spans="1:6" s="13" customFormat="1" ht="102">
      <c r="A3" s="14" t="s">
        <v>118</v>
      </c>
      <c r="B3" s="14" t="s">
        <v>119</v>
      </c>
      <c r="C3" s="14" t="s">
        <v>120</v>
      </c>
      <c r="D3" s="14" t="s">
        <v>121</v>
      </c>
      <c r="E3" s="14" t="s">
        <v>122</v>
      </c>
    </row>
    <row r="4" spans="1:6" s="13" customFormat="1" ht="24">
      <c r="A4" s="80" t="s">
        <v>123</v>
      </c>
      <c r="B4" s="81">
        <v>0</v>
      </c>
      <c r="C4" s="81">
        <v>1</v>
      </c>
      <c r="D4" s="81">
        <v>0</v>
      </c>
      <c r="E4" s="81">
        <f>+(B4*C4)+D4</f>
        <v>0</v>
      </c>
    </row>
    <row r="5" spans="1:6" s="13" customFormat="1" ht="12.75">
      <c r="A5" s="80" t="s">
        <v>38</v>
      </c>
      <c r="B5" s="81">
        <v>0</v>
      </c>
      <c r="C5" s="81">
        <v>1</v>
      </c>
      <c r="D5" s="81">
        <v>0</v>
      </c>
      <c r="E5" s="81">
        <f t="shared" ref="E5:E7" si="0">+(B5*C5)+D5</f>
        <v>0</v>
      </c>
    </row>
    <row r="6" spans="1:6" s="13" customFormat="1" ht="24">
      <c r="A6" s="80" t="s">
        <v>124</v>
      </c>
      <c r="B6" s="81">
        <v>0</v>
      </c>
      <c r="C6" s="81">
        <v>1.2</v>
      </c>
      <c r="D6" s="81">
        <v>0</v>
      </c>
      <c r="E6" s="81">
        <f t="shared" si="0"/>
        <v>0</v>
      </c>
    </row>
    <row r="7" spans="1:6" s="13" customFormat="1" ht="24">
      <c r="A7" s="80" t="s">
        <v>40</v>
      </c>
      <c r="B7" s="81">
        <v>0</v>
      </c>
      <c r="C7" s="81">
        <v>1</v>
      </c>
      <c r="D7" s="81">
        <v>0</v>
      </c>
      <c r="E7" s="81">
        <f t="shared" si="0"/>
        <v>0</v>
      </c>
    </row>
    <row r="8" spans="1:6" s="13" customFormat="1" ht="12.75">
      <c r="A8" s="80" t="s">
        <v>125</v>
      </c>
      <c r="B8" s="81">
        <v>586</v>
      </c>
      <c r="C8" s="81">
        <v>2</v>
      </c>
      <c r="D8" s="81">
        <v>0</v>
      </c>
      <c r="E8" s="97">
        <f>+(B8*C8)+D8</f>
        <v>1172</v>
      </c>
      <c r="F8" s="2"/>
    </row>
    <row r="9" spans="1:6" s="13" customFormat="1" ht="28.5" customHeight="1">
      <c r="A9" s="80" t="s">
        <v>126</v>
      </c>
      <c r="B9" s="81">
        <v>146</v>
      </c>
      <c r="C9" s="81">
        <v>4</v>
      </c>
      <c r="D9" s="81">
        <v>0</v>
      </c>
      <c r="E9" s="81">
        <f>+(B9*C9)+D9</f>
        <v>584</v>
      </c>
    </row>
    <row r="10" spans="1:6" s="13" customFormat="1" ht="28.5" customHeight="1">
      <c r="A10" s="80"/>
      <c r="B10" s="81"/>
      <c r="C10" s="81"/>
      <c r="D10" s="82" t="s">
        <v>127</v>
      </c>
      <c r="E10" s="83">
        <f>SUM(E4:E9)</f>
        <v>1756</v>
      </c>
    </row>
    <row r="11" spans="1:6" s="13" customFormat="1" ht="9.75" customHeight="1">
      <c r="A11" s="60"/>
      <c r="B11" s="61"/>
      <c r="C11" s="61"/>
      <c r="D11" s="62"/>
      <c r="E11" s="63"/>
    </row>
  </sheetData>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7754-04D5-4DBA-B79C-283E5E0BF946}">
  <dimension ref="A1:F9"/>
  <sheetViews>
    <sheetView zoomScale="90" zoomScaleNormal="90" workbookViewId="0">
      <selection activeCell="A10" sqref="A10"/>
    </sheetView>
  </sheetViews>
  <sheetFormatPr defaultColWidth="17.7109375" defaultRowHeight="31.9" customHeight="1"/>
  <cols>
    <col min="4" max="4" width="20.7109375" customWidth="1"/>
  </cols>
  <sheetData>
    <row r="1" spans="1:6" s="13" customFormat="1" ht="31.9" customHeight="1">
      <c r="A1" s="111" t="s">
        <v>2</v>
      </c>
      <c r="B1" s="111"/>
      <c r="C1" s="111"/>
      <c r="D1" s="111"/>
      <c r="E1" s="111"/>
      <c r="F1" s="111"/>
    </row>
    <row r="2" spans="1:6" s="13" customFormat="1" ht="31.9" customHeight="1">
      <c r="A2" s="99"/>
      <c r="B2" s="112" t="s">
        <v>128</v>
      </c>
      <c r="C2" s="112"/>
      <c r="D2" s="99" t="s">
        <v>129</v>
      </c>
      <c r="E2" s="112"/>
      <c r="F2" s="112"/>
    </row>
    <row r="3" spans="1:6" s="13" customFormat="1" ht="31.9" customHeight="1">
      <c r="A3" s="99"/>
      <c r="B3" s="23" t="s">
        <v>99</v>
      </c>
      <c r="C3" s="23" t="s">
        <v>100</v>
      </c>
      <c r="D3" s="23" t="s">
        <v>101</v>
      </c>
      <c r="E3" s="23" t="s">
        <v>102</v>
      </c>
      <c r="F3" s="23" t="s">
        <v>103</v>
      </c>
    </row>
    <row r="4" spans="1:6" s="13" customFormat="1" ht="70.900000000000006" customHeight="1">
      <c r="A4" s="23" t="s">
        <v>130</v>
      </c>
      <c r="B4" s="99" t="s">
        <v>131</v>
      </c>
      <c r="C4" s="99" t="s">
        <v>132</v>
      </c>
      <c r="D4" s="99" t="s">
        <v>133</v>
      </c>
      <c r="E4" s="99" t="s">
        <v>134</v>
      </c>
      <c r="F4" s="99" t="s">
        <v>135</v>
      </c>
    </row>
    <row r="5" spans="1:6" s="13" customFormat="1" ht="31.9" customHeight="1">
      <c r="A5" s="14">
        <v>1</v>
      </c>
      <c r="B5" s="15">
        <v>0</v>
      </c>
      <c r="C5" s="15">
        <v>732</v>
      </c>
      <c r="D5" s="15">
        <v>0</v>
      </c>
      <c r="E5" s="15">
        <v>0</v>
      </c>
      <c r="F5" s="15">
        <v>732</v>
      </c>
    </row>
    <row r="6" spans="1:6" s="13" customFormat="1" ht="31.9" customHeight="1">
      <c r="A6" s="14">
        <v>2</v>
      </c>
      <c r="B6" s="15">
        <v>0</v>
      </c>
      <c r="C6" s="15">
        <v>732</v>
      </c>
      <c r="D6" s="15">
        <v>0</v>
      </c>
      <c r="E6" s="15">
        <v>0</v>
      </c>
      <c r="F6" s="15">
        <v>732</v>
      </c>
    </row>
    <row r="7" spans="1:6" s="13" customFormat="1" ht="31.9" customHeight="1">
      <c r="A7" s="14">
        <v>3</v>
      </c>
      <c r="B7" s="15">
        <v>0</v>
      </c>
      <c r="C7" s="15">
        <v>732</v>
      </c>
      <c r="D7" s="15">
        <v>0</v>
      </c>
      <c r="E7" s="15">
        <v>0</v>
      </c>
      <c r="F7" s="15">
        <v>732</v>
      </c>
    </row>
    <row r="8" spans="1:6" s="13" customFormat="1" ht="31.9" customHeight="1">
      <c r="A8" s="14" t="s">
        <v>136</v>
      </c>
      <c r="B8" s="15">
        <v>0</v>
      </c>
      <c r="C8" s="15">
        <v>732</v>
      </c>
      <c r="D8" s="15">
        <v>0</v>
      </c>
      <c r="E8" s="15">
        <v>0</v>
      </c>
      <c r="F8" s="98">
        <v>732</v>
      </c>
    </row>
    <row r="9" spans="1:6" s="13" customFormat="1" ht="20.45" customHeight="1">
      <c r="A9" s="16" t="s">
        <v>137</v>
      </c>
    </row>
  </sheetData>
  <mergeCells count="3">
    <mergeCell ref="A1:F1"/>
    <mergeCell ref="B2:C2"/>
    <mergeCell ref="E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2024-10-23T10:18:22+00:00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C21E5F-10C6-4A09-88A8-591C99903AA5}"/>
</file>

<file path=customXml/itemProps2.xml><?xml version="1.0" encoding="utf-8"?>
<ds:datastoreItem xmlns:ds="http://schemas.openxmlformats.org/officeDocument/2006/customXml" ds:itemID="{1788708A-52BB-4D0F-B232-80F9E123F193}"/>
</file>

<file path=customXml/itemProps3.xml><?xml version="1.0" encoding="utf-8"?>
<ds:datastoreItem xmlns:ds="http://schemas.openxmlformats.org/officeDocument/2006/customXml" ds:itemID="{5A9615E3-5DBD-46D2-8074-5A68E4551592}"/>
</file>

<file path=customXml/itemProps4.xml><?xml version="1.0" encoding="utf-8"?>
<ds:datastoreItem xmlns:ds="http://schemas.openxmlformats.org/officeDocument/2006/customXml" ds:itemID="{8DCED415-8393-4634-9968-A495AFA0611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Bevington</dc:creator>
  <cp:keywords/>
  <dc:description/>
  <cp:lastModifiedBy>Bernales, Barbara</cp:lastModifiedBy>
  <cp:revision/>
  <dcterms:created xsi:type="dcterms:W3CDTF">2018-07-19T14:57:42Z</dcterms:created>
  <dcterms:modified xsi:type="dcterms:W3CDTF">2024-11-19T22:14:19Z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TaxKeyword">
    <vt:lpwstr/>
  </property>
  <property fmtid="{D5CDD505-2E9C-101B-9397-08002B2CF9AE}" pid="4"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y fmtid="{D5CDD505-2E9C-101B-9397-08002B2CF9AE}" pid="9" name="Document_x0020_Type">
    <vt:lpwstr/>
  </property>
</Properties>
</file>