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Tracy\ICRs - SPPD\FY2024\1750.10 National Volatile Organic Compound Emission Standards\Drafts\send to EPA\"/>
    </mc:Choice>
  </mc:AlternateContent>
  <xr:revisionPtr revIDLastSave="0" documentId="13_ncr:1_{60B67150-488C-4F4F-80FE-3EB86F920809}" xr6:coauthVersionLast="47" xr6:coauthVersionMax="47" xr10:uidLastSave="{00000000-0000-0000-0000-000000000000}"/>
  <bookViews>
    <workbookView xWindow="-120" yWindow="-120" windowWidth="20730" windowHeight="1116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2" i="1" l="1"/>
  <c r="H31" i="1"/>
  <c r="G31" i="1"/>
  <c r="G28" i="1"/>
  <c r="H28" i="1"/>
  <c r="G29" i="1"/>
  <c r="H29" i="1"/>
  <c r="H27" i="1"/>
  <c r="G27" i="1"/>
  <c r="G23" i="1"/>
  <c r="H23" i="1"/>
  <c r="G24" i="1"/>
  <c r="H24" i="1"/>
  <c r="G25" i="1"/>
  <c r="H25" i="1"/>
  <c r="H22" i="1"/>
  <c r="G22" i="1"/>
  <c r="H20" i="1"/>
  <c r="G20" i="1"/>
  <c r="H11" i="1"/>
  <c r="H12" i="1"/>
  <c r="H13" i="1"/>
  <c r="H14" i="1"/>
  <c r="H15" i="1"/>
  <c r="H16" i="1"/>
  <c r="H10" i="1"/>
  <c r="G11" i="1"/>
  <c r="G12" i="1"/>
  <c r="G13" i="1"/>
  <c r="G14" i="1"/>
  <c r="G15" i="1"/>
  <c r="G16" i="1"/>
  <c r="G10" i="1"/>
  <c r="H7" i="1"/>
  <c r="G7" i="1" l="1"/>
  <c r="F31" i="1"/>
  <c r="F28" i="1"/>
  <c r="F29" i="1"/>
  <c r="F27" i="1"/>
  <c r="F23" i="1"/>
  <c r="F24" i="1"/>
  <c r="F25" i="1"/>
  <c r="F22" i="1"/>
  <c r="F20" i="1"/>
  <c r="F11" i="1"/>
  <c r="F12" i="1"/>
  <c r="F13" i="1"/>
  <c r="F14" i="1"/>
  <c r="F15" i="1"/>
  <c r="F16" i="1"/>
  <c r="F10" i="1"/>
  <c r="F7" i="1"/>
  <c r="E6" i="5"/>
  <c r="F13" i="2"/>
  <c r="I7" i="1" l="1"/>
  <c r="E5" i="5"/>
  <c r="E7" i="5"/>
  <c r="E8" i="5"/>
  <c r="E4" i="5"/>
  <c r="J20" i="2"/>
  <c r="K19" i="2"/>
  <c r="J19" i="2"/>
  <c r="F32" i="1"/>
  <c r="F17" i="1"/>
  <c r="F33" i="1" l="1"/>
  <c r="F10" i="2"/>
  <c r="G5" i="2"/>
  <c r="G6" i="2"/>
  <c r="G8" i="2"/>
  <c r="G9" i="2"/>
  <c r="G10" i="2"/>
  <c r="G11" i="2"/>
  <c r="G12" i="2"/>
  <c r="H5" i="2"/>
  <c r="H6" i="2"/>
  <c r="H8" i="2"/>
  <c r="H9" i="2"/>
  <c r="H10" i="2"/>
  <c r="H11" i="2"/>
  <c r="H12" i="2"/>
  <c r="F12" i="2"/>
  <c r="F11" i="2"/>
  <c r="F9" i="2"/>
  <c r="F8" i="2"/>
  <c r="F6" i="2"/>
  <c r="I6" i="2" s="1"/>
  <c r="F5" i="2"/>
  <c r="I5" i="2" s="1"/>
  <c r="F4" i="2"/>
  <c r="H4" i="2"/>
  <c r="G4" i="2"/>
  <c r="I31" i="1"/>
  <c r="I29" i="1"/>
  <c r="I28" i="1"/>
  <c r="I27" i="1"/>
  <c r="I23" i="1"/>
  <c r="I24" i="1"/>
  <c r="I25" i="1"/>
  <c r="I22" i="1"/>
  <c r="I20" i="1"/>
  <c r="I11" i="1"/>
  <c r="I12" i="1"/>
  <c r="I13" i="1"/>
  <c r="I14" i="1"/>
  <c r="I15" i="1"/>
  <c r="I16" i="1"/>
  <c r="I10" i="1"/>
  <c r="D31" i="1"/>
  <c r="D28" i="1"/>
  <c r="D29" i="1"/>
  <c r="D27" i="1"/>
  <c r="D23" i="1"/>
  <c r="D24" i="1"/>
  <c r="D25" i="1"/>
  <c r="D22" i="1"/>
  <c r="D20" i="1"/>
  <c r="D11" i="1"/>
  <c r="D12" i="1"/>
  <c r="D13" i="1"/>
  <c r="D14" i="1"/>
  <c r="D15" i="1"/>
  <c r="D16" i="1"/>
  <c r="D10" i="1"/>
  <c r="D7" i="1"/>
  <c r="I32" i="1" l="1"/>
  <c r="I8" i="2"/>
  <c r="I17" i="1"/>
  <c r="I33" i="1" s="1"/>
  <c r="I9" i="2"/>
  <c r="I11" i="2"/>
  <c r="I10" i="2"/>
  <c r="I12" i="2"/>
  <c r="I4" i="2"/>
  <c r="B8" i="4"/>
  <c r="F5" i="4"/>
  <c r="C6" i="4" s="1"/>
  <c r="F6" i="4" s="1"/>
  <c r="C7" i="4" s="1"/>
  <c r="C8" i="4" s="1"/>
  <c r="I13" i="2" l="1"/>
  <c r="F7" i="4"/>
  <c r="F8" i="4"/>
  <c r="B3" i="6" s="1"/>
  <c r="E9" i="5" l="1"/>
  <c r="B7" i="6" l="1"/>
  <c r="B6" i="6" l="1"/>
  <c r="B4" i="6" l="1"/>
  <c r="I35" i="1" l="1"/>
  <c r="B5" i="6" s="1"/>
  <c r="B2" i="6" l="1"/>
</calcChain>
</file>

<file path=xl/sharedStrings.xml><?xml version="1.0" encoding="utf-8"?>
<sst xmlns="http://schemas.openxmlformats.org/spreadsheetml/2006/main" count="141" uniqueCount="126">
  <si>
    <t>ICR Summary Information</t>
  </si>
  <si>
    <t>Hours per Response</t>
  </si>
  <si>
    <t>Number of Respondents</t>
  </si>
  <si>
    <t>Total Estimated Burden Hours</t>
  </si>
  <si>
    <t>Total Estimated Costs</t>
  </si>
  <si>
    <t>Annualized Capital O&amp;M</t>
  </si>
  <si>
    <t>Total Annual Responses</t>
  </si>
  <si>
    <t>Form Number</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</si>
  <si>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</si>
  <si>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</si>
  <si>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</si>
  <si>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</si>
  <si>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</si>
  <si>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</si>
  <si>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</si>
  <si>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</si>
  <si>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</si>
  <si>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Labor Rates</t>
  </si>
  <si>
    <t>Management</t>
  </si>
  <si>
    <t>Technical</t>
  </si>
  <si>
    <t>Clerical</t>
  </si>
  <si>
    <t>Subtotal for Reporting Requirements</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</si>
  <si>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</si>
  <si>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</si>
  <si>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</si>
  <si>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</si>
  <si>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</si>
  <si>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</si>
  <si>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</si>
  <si>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</si>
  <si>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</si>
  <si>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</si>
  <si>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</si>
  <si>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</si>
  <si>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 xml:space="preserve">TOTAL (rounded) </t>
    </r>
    <r>
      <rPr>
        <b/>
        <vertAlign val="superscript"/>
        <sz val="10"/>
        <rFont val="Times New Roman"/>
        <family val="1"/>
      </rPr>
      <t>h</t>
    </r>
  </si>
  <si>
    <t>(A)</t>
  </si>
  <si>
    <t>(B)</t>
  </si>
  <si>
    <t>(C)</t>
  </si>
  <si>
    <t>(D)</t>
  </si>
  <si>
    <t>(E)</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</si>
  <si>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</si>
  <si>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</si>
  <si>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</si>
  <si>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</si>
  <si>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</si>
  <si>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Initial Notification</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</si>
  <si>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</si>
  <si>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</si>
  <si>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</si>
  <si>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</si>
  <si>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</si>
  <si>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</si>
  <si>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</si>
  <si>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</si>
  <si>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</si>
  <si>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</si>
  <si>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1.  Applications</t>
  </si>
  <si>
    <t>2.  Surveys and Studies</t>
  </si>
  <si>
    <t>3.  Reporting Requirements</t>
  </si>
  <si>
    <t>B.  Gathering Existing Information</t>
  </si>
  <si>
    <t>C.  Write Report</t>
  </si>
  <si>
    <t>Initial Report</t>
  </si>
  <si>
    <t>4.  Recordkeeping Requirements</t>
  </si>
  <si>
    <t>E.  Time to Train Personnel</t>
  </si>
  <si>
    <t>N/A</t>
  </si>
  <si>
    <t>See 3C</t>
  </si>
  <si>
    <t>See 3A</t>
  </si>
  <si>
    <t xml:space="preserve">Date Code </t>
  </si>
  <si>
    <t>Maintenance of implementation database</t>
  </si>
  <si>
    <r>
      <t xml:space="preserve">a </t>
    </r>
    <r>
      <rPr>
        <sz val="10"/>
        <color rgb="FF000000"/>
        <rFont val="Times New Roman"/>
        <family val="1"/>
      </rPr>
      <t xml:space="preserve">  New respondents include sources with constructed, reconstructed, and modified affected facilities.</t>
    </r>
  </si>
  <si>
    <r>
      <rPr>
        <vertAlign val="superscript"/>
        <sz val="12"/>
        <color theme="1"/>
        <rFont val="Times New Roman"/>
        <family val="1"/>
      </rPr>
      <t>b</t>
    </r>
    <r>
      <rPr>
        <sz val="12"/>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</si>
  <si>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A.  Read Instructions </t>
    </r>
    <r>
      <rPr>
        <vertAlign val="superscript"/>
        <sz val="10"/>
        <color theme="1"/>
        <rFont val="Times New Roman"/>
        <family val="1"/>
      </rPr>
      <t>c</t>
    </r>
  </si>
  <si>
    <r>
      <t xml:space="preserve">Initial Report </t>
    </r>
    <r>
      <rPr>
        <vertAlign val="superscript"/>
        <sz val="10"/>
        <color theme="1"/>
        <rFont val="Times New Roman"/>
        <family val="1"/>
      </rPr>
      <t>c</t>
    </r>
  </si>
  <si>
    <r>
      <t xml:space="preserve">Date Code Explanation </t>
    </r>
    <r>
      <rPr>
        <vertAlign val="superscript"/>
        <sz val="10"/>
        <color theme="1"/>
        <rFont val="Times New Roman"/>
        <family val="1"/>
      </rPr>
      <t>c</t>
    </r>
  </si>
  <si>
    <r>
      <t xml:space="preserve">Update Date Codes </t>
    </r>
    <r>
      <rPr>
        <vertAlign val="superscript"/>
        <sz val="10"/>
        <color theme="1"/>
        <rFont val="Times New Roman"/>
        <family val="1"/>
      </rPr>
      <t>d</t>
    </r>
  </si>
  <si>
    <r>
      <t xml:space="preserve">Recycled Coatings Report - Formulation </t>
    </r>
    <r>
      <rPr>
        <vertAlign val="superscript"/>
        <sz val="10"/>
        <color theme="1"/>
        <rFont val="Times New Roman"/>
        <family val="1"/>
      </rPr>
      <t>e</t>
    </r>
  </si>
  <si>
    <r>
      <t xml:space="preserve">Exceedance Fee Annual Report </t>
    </r>
    <r>
      <rPr>
        <vertAlign val="superscript"/>
        <sz val="10"/>
        <color theme="1"/>
        <rFont val="Times New Roman"/>
        <family val="1"/>
      </rPr>
      <t xml:space="preserve"> f</t>
    </r>
  </si>
  <si>
    <r>
      <t xml:space="preserve">Exceedance Fee </t>
    </r>
    <r>
      <rPr>
        <vertAlign val="superscript"/>
        <sz val="10"/>
        <rFont val="Times New Roman"/>
        <family val="1"/>
      </rPr>
      <t>f</t>
    </r>
  </si>
  <si>
    <r>
      <t xml:space="preserve">B.  Plan Activities </t>
    </r>
    <r>
      <rPr>
        <vertAlign val="superscript"/>
        <sz val="10"/>
        <color theme="1"/>
        <rFont val="Times New Roman"/>
        <family val="1"/>
      </rPr>
      <t>a,c</t>
    </r>
  </si>
  <si>
    <r>
      <rPr>
        <vertAlign val="superscript"/>
        <sz val="12"/>
        <color theme="1"/>
        <rFont val="Times New Roman"/>
        <family val="1"/>
      </rPr>
      <t>h</t>
    </r>
    <r>
      <rPr>
        <sz val="12"/>
        <color theme="1"/>
        <rFont val="Times New Roman"/>
        <family val="1"/>
      </rPr>
      <t xml:space="preserve"> Based on a time estimate of 1 hour per coating product. (1 hour/product) (42 products/manufacturer) = 42 hours/manufacturer.</t>
    </r>
  </si>
  <si>
    <r>
      <t xml:space="preserve">Recycling Volumes </t>
    </r>
    <r>
      <rPr>
        <vertAlign val="superscript"/>
        <sz val="10"/>
        <rFont val="Times New Roman"/>
        <family val="1"/>
      </rPr>
      <t>i</t>
    </r>
  </si>
  <si>
    <r>
      <t xml:space="preserve">5.  Labeling </t>
    </r>
    <r>
      <rPr>
        <vertAlign val="superscript"/>
        <sz val="10"/>
        <rFont val="Times New Roman"/>
        <family val="1"/>
      </rPr>
      <t>j,k</t>
    </r>
  </si>
  <si>
    <r>
      <t xml:space="preserve">Annual Report:  Manufacture of Recycled Coatings - Mass Balance </t>
    </r>
    <r>
      <rPr>
        <vertAlign val="superscript"/>
        <sz val="10"/>
        <color theme="1"/>
        <rFont val="Times New Roman"/>
        <family val="1"/>
      </rPr>
      <t>d</t>
    </r>
  </si>
  <si>
    <r>
      <t xml:space="preserve">Annual Report:  Manufacture of Recycled Coatings - Formulation </t>
    </r>
    <r>
      <rPr>
        <vertAlign val="superscript"/>
        <sz val="10"/>
        <color theme="1"/>
        <rFont val="Times New Roman"/>
        <family val="1"/>
      </rPr>
      <t>d</t>
    </r>
  </si>
  <si>
    <r>
      <t xml:space="preserve">Date Code Reports </t>
    </r>
    <r>
      <rPr>
        <vertAlign val="superscript"/>
        <sz val="10"/>
        <color theme="1"/>
        <rFont val="Times New Roman"/>
        <family val="1"/>
      </rPr>
      <t>c</t>
    </r>
  </si>
  <si>
    <r>
      <t xml:space="preserve">Date Code Updates </t>
    </r>
    <r>
      <rPr>
        <vertAlign val="superscript"/>
        <sz val="10"/>
        <color theme="1"/>
        <rFont val="Times New Roman"/>
        <family val="1"/>
      </rPr>
      <t>e</t>
    </r>
  </si>
  <si>
    <r>
      <t xml:space="preserve">Annual Report:  Exceedance Fee </t>
    </r>
    <r>
      <rPr>
        <vertAlign val="superscript"/>
        <sz val="10"/>
        <color theme="1"/>
        <rFont val="Times New Roman"/>
        <family val="1"/>
      </rPr>
      <t>f</t>
    </r>
  </si>
  <si>
    <r>
      <t xml:space="preserve">Annual Report: Tonnage Exemption </t>
    </r>
    <r>
      <rPr>
        <vertAlign val="superscript"/>
        <sz val="10"/>
        <color theme="1"/>
        <rFont val="Times New Roman"/>
        <family val="1"/>
      </rPr>
      <t>g</t>
    </r>
  </si>
  <si>
    <r>
      <rPr>
        <vertAlign val="superscript"/>
        <sz val="12"/>
        <color theme="1"/>
        <rFont val="Times New Roman"/>
        <family val="1"/>
      </rPr>
      <t>a</t>
    </r>
    <r>
      <rPr>
        <sz val="12"/>
        <color theme="1"/>
        <rFont val="Times New Roman"/>
        <family val="1"/>
      </rPr>
      <t xml:space="preserve"> The respondent universe consists of 520 architectural coating manufacturers. Of these, 78 are considered large manufacturers and 442 are considered small manufacturers. that the number of new respondents submitting the one-time Initial Notification Report and date code explanations will be 1 percent of the total respondent universe of 520, or about 5 per year.</t>
    </r>
  </si>
  <si>
    <r>
      <rPr>
        <vertAlign val="superscript"/>
        <sz val="12"/>
        <color theme="1"/>
        <rFont val="Times New Roman"/>
        <family val="1"/>
      </rPr>
      <t>c</t>
    </r>
    <r>
      <rPr>
        <sz val="12"/>
        <color theme="1"/>
        <rFont val="Times New Roman"/>
        <family val="1"/>
      </rPr>
      <t xml:space="preserve"> Total number of manufacturers is estimated to be 520; 1 percent or 5 new respondents per year are assumed. </t>
    </r>
  </si>
  <si>
    <r>
      <rPr>
        <vertAlign val="superscript"/>
        <sz val="12"/>
        <color theme="1"/>
        <rFont val="Times New Roman"/>
        <family val="1"/>
      </rPr>
      <t>d</t>
    </r>
    <r>
      <rPr>
        <sz val="12"/>
        <color theme="1"/>
        <rFont val="Times New Roman"/>
        <family val="1"/>
      </rPr>
      <t xml:space="preserve"> Assumed that 10 percent of manufacturers update some date codes each year. (520 manufacturers) (0.10) = 52 manufacturers.</t>
    </r>
  </si>
  <si>
    <r>
      <rPr>
        <vertAlign val="superscript"/>
        <sz val="12"/>
        <color theme="1"/>
        <rFont val="Times New Roman"/>
        <family val="1"/>
      </rPr>
      <t xml:space="preserve">e </t>
    </r>
    <r>
      <rPr>
        <sz val="12"/>
        <color theme="1"/>
        <rFont val="Times New Roman"/>
        <family val="1"/>
      </rPr>
      <t>Assumed that 5 percent of manufacturers recycle coatings (520 manufacturers) (0.05) = 26 manufacturers. Of the 26 manufacturers, assumed half of the recycle coating manufacturers would demonstrate compliance using mass balance and the other half using formulations.</t>
    </r>
  </si>
  <si>
    <r>
      <rPr>
        <vertAlign val="superscript"/>
        <sz val="12"/>
        <color theme="1"/>
        <rFont val="Times New Roman"/>
        <family val="1"/>
      </rPr>
      <t>f</t>
    </r>
    <r>
      <rPr>
        <sz val="12"/>
        <color theme="1"/>
        <rFont val="Times New Roman"/>
        <family val="1"/>
      </rPr>
      <t xml:space="preserve"> Based on exceedance fee reports received in 2009 (52) and 2010 (39), it is estimated that 47 exceedance fee reports will be submitted per year.</t>
    </r>
  </si>
  <si>
    <r>
      <t xml:space="preserve">Tonnage Exemption Annual Report </t>
    </r>
    <r>
      <rPr>
        <vertAlign val="superscript"/>
        <sz val="10"/>
        <color theme="1"/>
        <rFont val="Times New Roman"/>
        <family val="1"/>
      </rPr>
      <t>g</t>
    </r>
  </si>
  <si>
    <r>
      <rPr>
        <vertAlign val="superscript"/>
        <sz val="12"/>
        <color theme="1"/>
        <rFont val="Times New Roman"/>
        <family val="1"/>
      </rPr>
      <t>g</t>
    </r>
    <r>
      <rPr>
        <sz val="12"/>
        <color theme="1"/>
        <rFont val="Times New Roman"/>
        <family val="1"/>
      </rPr>
      <t xml:space="preserve"> Assumed that 78 manufacturers will use the tonnage exemption option.</t>
    </r>
  </si>
  <si>
    <r>
      <rPr>
        <vertAlign val="superscript"/>
        <sz val="12"/>
        <color theme="1"/>
        <rFont val="Times New Roman"/>
        <family val="1"/>
      </rPr>
      <t>k</t>
    </r>
    <r>
      <rPr>
        <sz val="12"/>
        <color theme="1"/>
        <rFont val="Times New Roman"/>
        <family val="1"/>
      </rPr>
      <t xml:space="preserve"> Assumed that half of the manufacturers would have to modify their labels over 3 years. (520 manufacturers) (0.5)/(3 years) = 87 manufacturers per year.</t>
    </r>
  </si>
  <si>
    <r>
      <rPr>
        <vertAlign val="superscript"/>
        <sz val="11"/>
        <color theme="1"/>
        <rFont val="Times New Roman"/>
        <family val="1"/>
      </rPr>
      <t>a</t>
    </r>
    <r>
      <rPr>
        <sz val="11"/>
        <color theme="1"/>
        <rFont val="Times New Roman"/>
        <family val="1"/>
      </rPr>
      <t xml:space="preserve"> The respondent universe consists of 520 architectural coating manufacturers. Of these, 78 are considered large manufacturers and 442 are considered small manufacturers. that the number of new respondents submitting the one-time Initial Notification Report and date code explanations will be 1 percent of the total respondent universe of 520, or about 5 per year.</t>
    </r>
  </si>
  <si>
    <r>
      <rPr>
        <vertAlign val="superscript"/>
        <sz val="11"/>
        <color theme="1"/>
        <rFont val="Times New Roman"/>
        <family val="1"/>
      </rPr>
      <t>c</t>
    </r>
    <r>
      <rPr>
        <sz val="11"/>
        <color theme="1"/>
        <rFont val="Times New Roman"/>
        <family val="1"/>
      </rPr>
      <t xml:space="preserve"> Total number of manufacturers is estimated to be 520; 1 percent or 5 new respondents per year are assumed.</t>
    </r>
  </si>
  <si>
    <r>
      <rPr>
        <vertAlign val="superscript"/>
        <sz val="11"/>
        <color theme="1"/>
        <rFont val="Times New Roman"/>
        <family val="1"/>
      </rPr>
      <t>h</t>
    </r>
    <r>
      <rPr>
        <sz val="11"/>
        <color theme="1"/>
        <rFont val="Times New Roman"/>
        <family val="1"/>
      </rPr>
      <t xml:space="preserve"> Totals have been rounded to 3 significant digits. Figures may not add exactly due to rounding. </t>
    </r>
  </si>
  <si>
    <r>
      <rPr>
        <vertAlign val="superscript"/>
        <sz val="11"/>
        <color theme="1"/>
        <rFont val="Times New Roman"/>
        <family val="1"/>
      </rPr>
      <t>f</t>
    </r>
    <r>
      <rPr>
        <sz val="11"/>
        <color theme="1"/>
        <rFont val="Times New Roman"/>
        <family val="1"/>
      </rPr>
      <t xml:space="preserve"> Assumed 47 manufacturers will pay fees on some coatings (see footnote f in Table 1).</t>
    </r>
  </si>
  <si>
    <r>
      <rPr>
        <vertAlign val="superscript"/>
        <sz val="11"/>
        <color theme="1"/>
        <rFont val="Times New Roman"/>
        <family val="1"/>
      </rPr>
      <t>g</t>
    </r>
    <r>
      <rPr>
        <sz val="11"/>
        <color theme="1"/>
        <rFont val="Times New Roman"/>
        <family val="1"/>
      </rPr>
      <t xml:space="preserve"> Assumed 78 manufacturers will use tonnage exemption option. </t>
    </r>
  </si>
  <si>
    <t>There are no Capital and O&amp;M costs associated with this ICR Renewal</t>
  </si>
  <si>
    <r>
      <t xml:space="preserve">  Recycled Coatings Report - Mass Balance </t>
    </r>
    <r>
      <rPr>
        <vertAlign val="superscript"/>
        <sz val="10"/>
        <color theme="1"/>
        <rFont val="Times New Roman"/>
        <family val="1"/>
      </rPr>
      <t>e</t>
    </r>
  </si>
  <si>
    <t xml:space="preserve">  A.  Read Instructions</t>
  </si>
  <si>
    <t xml:space="preserve">     C.  Implement Activities</t>
  </si>
  <si>
    <r>
      <t xml:space="preserve">     Calculate VOC content for Each Product </t>
    </r>
    <r>
      <rPr>
        <vertAlign val="superscript"/>
        <sz val="10"/>
        <color theme="1"/>
        <rFont val="Times New Roman"/>
        <family val="1"/>
      </rPr>
      <t>c,h</t>
    </r>
  </si>
  <si>
    <r>
      <t xml:space="preserve">  Calculate Adjusted VOC for Recycled Coatings </t>
    </r>
    <r>
      <rPr>
        <vertAlign val="superscript"/>
        <sz val="10"/>
        <color theme="1"/>
        <rFont val="Times New Roman"/>
        <family val="1"/>
      </rPr>
      <t>i</t>
    </r>
  </si>
  <si>
    <r>
      <t xml:space="preserve">  Exceedance Fee - Calculations</t>
    </r>
    <r>
      <rPr>
        <vertAlign val="superscript"/>
        <sz val="10"/>
        <rFont val="Times New Roman"/>
        <family val="1"/>
      </rPr>
      <t xml:space="preserve"> f</t>
    </r>
  </si>
  <si>
    <r>
      <t xml:space="preserve">  Tonnage Exemption Calculations </t>
    </r>
    <r>
      <rPr>
        <vertAlign val="superscript"/>
        <sz val="10"/>
        <rFont val="Times New Roman"/>
        <family val="1"/>
      </rPr>
      <t>g</t>
    </r>
  </si>
  <si>
    <t xml:space="preserve">  D.  Record Data </t>
  </si>
  <si>
    <r>
      <t xml:space="preserve">  Tonnage Exemption</t>
    </r>
    <r>
      <rPr>
        <vertAlign val="superscript"/>
        <sz val="10"/>
        <rFont val="Times New Roman"/>
        <family val="1"/>
      </rPr>
      <t xml:space="preserve"> g</t>
    </r>
  </si>
  <si>
    <t>Annual report for manufacturers and importers using the optional exceedance fee</t>
  </si>
  <si>
    <t>Annual report for manufacturers and importers using the optional tonnage exemption</t>
  </si>
  <si>
    <t>Not Applicable</t>
  </si>
  <si>
    <r>
      <rPr>
        <vertAlign val="superscript"/>
        <sz val="11"/>
        <color theme="1"/>
        <rFont val="Times New Roman"/>
        <family val="1"/>
      </rPr>
      <t>d</t>
    </r>
    <r>
      <rPr>
        <sz val="11"/>
        <color theme="1"/>
        <rFont val="Times New Roman"/>
        <family val="1"/>
      </rPr>
      <t xml:space="preserve"> Assumed 26 recycled coating manufacturers; assumed half use mass balance option and half use formulation option.</t>
    </r>
  </si>
  <si>
    <r>
      <rPr>
        <vertAlign val="superscript"/>
        <sz val="12"/>
        <color theme="1"/>
        <rFont val="Times New Roman"/>
        <family val="1"/>
      </rPr>
      <t>j</t>
    </r>
    <r>
      <rPr>
        <sz val="12"/>
        <color theme="1"/>
        <rFont val="Times New Roman"/>
        <family val="1"/>
      </rPr>
      <t xml:space="preserve"> Based on an industry estimate of 320 hours needed to modify labels for a company with 200 paint products, or 1.6 hours per product. (1.6 hours/product) (42 products/manufacturer) = 67 hours/manufacturer.</t>
    </r>
  </si>
  <si>
    <r>
      <rPr>
        <vertAlign val="superscript"/>
        <sz val="11"/>
        <color theme="1"/>
        <rFont val="Times New Roman"/>
        <family val="1"/>
      </rPr>
      <t>e</t>
    </r>
    <r>
      <rPr>
        <sz val="11"/>
        <color theme="1"/>
        <rFont val="Times New Roman"/>
        <family val="1"/>
      </rPr>
      <t xml:space="preserve"> Assumed 10 percent of all manufacturers update some date codes each year. (520 manufacturers) (0.10) = 52 manufacturers. </t>
    </r>
  </si>
  <si>
    <t xml:space="preserve">Annual report for manufacturers and importers of  recycled coatings that choose to determine the adjusted VOC content </t>
  </si>
  <si>
    <r>
      <rPr>
        <vertAlign val="superscript"/>
        <sz val="12"/>
        <rFont val="Times New Roman"/>
        <family val="1"/>
      </rPr>
      <t xml:space="preserve">i </t>
    </r>
    <r>
      <rPr>
        <sz val="12"/>
        <rFont val="Times New Roman"/>
        <family val="1"/>
      </rPr>
      <t>Assumed that 5 percent of manufacturers recycle coatings. (520 manufacturers) (0. 05) = 26 manufacturers.</t>
    </r>
  </si>
  <si>
    <r>
      <rPr>
        <vertAlign val="superscript"/>
        <sz val="11"/>
        <rFont val="Times New Roman"/>
        <family val="1"/>
      </rPr>
      <t xml:space="preserve">b </t>
    </r>
    <r>
      <rPr>
        <sz val="11"/>
        <rFont val="Times New Roman"/>
        <family val="1"/>
      </rPr>
      <t xml:space="preserve">The cost is based on the following labor rate which incorporates a 1.6 benefits multiplication factor to account for government overhead expenses.  Managerial rates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</si>
  <si>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t>Table 1: Annual Respondent Burden and Cost – National Volatile Organic Compound Emission Standards for Architectural Coatings (40 CFR Part 59, Subpart D)</t>
  </si>
  <si>
    <r>
      <t xml:space="preserve">Total Labor Burden and Costs (rounded) </t>
    </r>
    <r>
      <rPr>
        <b/>
        <vertAlign val="superscript"/>
        <sz val="10"/>
        <rFont val="Times New Roman"/>
        <family val="1"/>
      </rPr>
      <t>l</t>
    </r>
  </si>
  <si>
    <r>
      <t>Total Capital and O&amp;M Cost (rounded)</t>
    </r>
    <r>
      <rPr>
        <b/>
        <vertAlign val="superscript"/>
        <sz val="10"/>
        <rFont val="Times New Roman"/>
        <family val="1"/>
      </rPr>
      <t xml:space="preserve"> l</t>
    </r>
  </si>
  <si>
    <r>
      <t xml:space="preserve">GRAND TOTAL (rounded) </t>
    </r>
    <r>
      <rPr>
        <b/>
        <vertAlign val="superscript"/>
        <sz val="10"/>
        <rFont val="Times New Roman"/>
        <family val="1"/>
      </rPr>
      <t>l</t>
    </r>
  </si>
  <si>
    <r>
      <rPr>
        <vertAlign val="superscript"/>
        <sz val="11"/>
        <color theme="1"/>
        <rFont val="Times New Roman"/>
        <family val="1"/>
      </rPr>
      <t>l</t>
    </r>
    <r>
      <rPr>
        <sz val="11"/>
        <color theme="1"/>
        <rFont val="Times New Roman"/>
        <family val="1"/>
      </rPr>
      <t xml:space="preserve"> Totals have been rounded to 3 significant digits. Figures may not add exactly due to rounding. </t>
    </r>
  </si>
  <si>
    <t>Table 2: Average Annual EPA Burden and Cost – National Volatile Organic Compound Emission Standards for Architectural Coatings (40 CFR Part 59, Subpart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</si>
</sst>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39"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10"/>
      <name val="Calibri"/>
      <family val="2"/>
      <scheme val="minor"/>
    </font>
    <font>
      <sz val="8"/>
      <name val="Calibri"/>
      <family val="2"/>
      <scheme val="minor"/>
    </font>
    <font>
      <sz val="12"/>
      <color theme="1"/>
      <name val="Times New Roman"/>
      <family val="1"/>
    </font>
    <font>
      <sz val="12"/>
      <color rgb="FF000000"/>
      <name val="Times New Roman"/>
      <family val="1"/>
    </font>
    <font>
      <sz val="10"/>
      <color rgb="FF7030A0"/>
      <name val="Times New Roman"/>
      <family val="1"/>
    </font>
    <font>
      <sz val="10"/>
      <color rgb="FF7030A0"/>
      <name val="Calibri"/>
      <family val="2"/>
      <scheme val="minor"/>
    </font>
    <font>
      <sz val="12"/>
      <color rgb="FF7030A0"/>
      <name val="Calibri"/>
      <family val="2"/>
      <scheme val="minor"/>
    </font>
    <font>
      <sz val="11"/>
      <color theme="1"/>
      <name val="Times New Roman"/>
      <family val="1"/>
    </font>
    <font>
      <vertAlign val="superscript"/>
      <sz val="11"/>
      <color theme="1"/>
      <name val="Times New Roman"/>
      <family val="1"/>
    </font>
    <font>
      <vertAlign val="superscript"/>
      <sz val="12"/>
      <color theme="1"/>
      <name val="Times New Roman"/>
      <family val="1"/>
    </font>
    <font>
      <sz val="11"/>
      <name val="Times New Roman"/>
      <family val="1"/>
    </font>
    <font>
      <vertAlign val="superscript"/>
      <sz val="11"/>
      <name val="Times New Roman"/>
      <family val="1"/>
    </font>
    <font>
      <sz val="12"/>
      <name val="Times New Roman"/>
      <family val="1"/>
    </font>
    <font>
      <vertAlign val="superscript"/>
      <sz val="12"/>
      <name val="Times New Roman"/>
      <family val="1"/>
    </font>
    <font>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164" fontId="10" fillId="0" borderId="0"/>
  </cellStyleXfs>
  <cellXfs count="155">
    <xf numFmtId="0" fontId="0" fillId="0" borderId="0" xfId="0"/>
    <xf numFmtId="0" fontId="2" fillId="0" borderId="0" xfId="0" applyFont="1"/>
    <xf numFmtId="0" fontId="2" fillId="0" borderId="1" xfId="0" applyFont="1" applyBorder="1" applyAlignment="1">
      <alignment horizontal="center" wrapText="1"/>
    </xf>
    <xf numFmtId="0" fontId="8" fillId="0" borderId="0" xfId="0" applyFont="1"/>
    <xf numFmtId="164" fontId="12" fillId="0" borderId="0" xfId="1" applyFont="1" applyAlignment="1">
      <alignment horizontal="center" vertical="center" wrapText="1"/>
    </xf>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9" fillId="0" borderId="0" xfId="0" applyFont="1"/>
    <xf numFmtId="0" fontId="2" fillId="0" borderId="0" xfId="0" applyFont="1" applyAlignment="1">
      <alignment horizontal="right"/>
    </xf>
    <xf numFmtId="0" fontId="8" fillId="0" borderId="0" xfId="0" applyFont="1" applyAlignment="1">
      <alignment wrapText="1"/>
    </xf>
    <xf numFmtId="0" fontId="9" fillId="0" borderId="1" xfId="0" applyFont="1" applyBorder="1" applyAlignment="1">
      <alignment horizontal="center" wrapText="1"/>
    </xf>
    <xf numFmtId="8" fontId="9" fillId="0" borderId="1" xfId="0" applyNumberFormat="1" applyFont="1" applyBorder="1" applyAlignment="1">
      <alignment horizontal="right" wrapText="1"/>
    </xf>
    <xf numFmtId="6" fontId="20" fillId="0" borderId="2" xfId="0" applyNumberFormat="1" applyFont="1" applyBorder="1" applyAlignment="1">
      <alignment horizontal="right" wrapText="1"/>
    </xf>
    <xf numFmtId="0" fontId="17" fillId="0" borderId="0" xfId="0" applyFont="1"/>
    <xf numFmtId="0" fontId="14" fillId="0" borderId="1" xfId="0" applyFont="1" applyBorder="1"/>
    <xf numFmtId="41" fontId="17" fillId="0" borderId="0" xfId="0" applyNumberFormat="1" applyFont="1"/>
    <xf numFmtId="41" fontId="17" fillId="0" borderId="5" xfId="0" applyNumberFormat="1" applyFont="1" applyBorder="1"/>
    <xf numFmtId="164" fontId="12" fillId="0" borderId="0" xfId="1" applyFont="1" applyAlignment="1">
      <alignment wrapText="1"/>
    </xf>
    <xf numFmtId="0" fontId="22" fillId="0" borderId="0" xfId="0" applyFont="1"/>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1"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0" xfId="0" applyFont="1" applyAlignment="1">
      <alignment vertical="top" wrapText="1"/>
    </xf>
    <xf numFmtId="165" fontId="9" fillId="0" borderId="1" xfId="0" applyNumberFormat="1" applyFont="1" applyBorder="1"/>
    <xf numFmtId="0" fontId="9"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2"/>
    </xf>
    <xf numFmtId="0" fontId="1" fillId="0" borderId="0" xfId="0" applyFont="1"/>
    <xf numFmtId="0" fontId="2" fillId="0" borderId="1" xfId="0" applyFont="1" applyBorder="1" applyAlignment="1">
      <alignment horizontal="right" wrapText="1"/>
    </xf>
    <xf numFmtId="0" fontId="2" fillId="0" borderId="1" xfId="0" applyFont="1" applyBorder="1" applyAlignment="1">
      <alignment horizontal="left" vertical="center" wrapText="1" indent="1"/>
    </xf>
    <xf numFmtId="8" fontId="2" fillId="0" borderId="1" xfId="0" applyNumberFormat="1" applyFont="1" applyBorder="1" applyAlignment="1">
      <alignment horizontal="right" vertical="center" wrapText="1"/>
    </xf>
    <xf numFmtId="1" fontId="2" fillId="0" borderId="1" xfId="0" applyNumberFormat="1" applyFont="1" applyBorder="1" applyAlignment="1">
      <alignment horizontal="center" vertical="center" wrapText="1"/>
    </xf>
    <xf numFmtId="6" fontId="6" fillId="0" borderId="1" xfId="0" applyNumberFormat="1" applyFont="1" applyBorder="1" applyAlignment="1">
      <alignment horizontal="right"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indent="1"/>
    </xf>
    <xf numFmtId="0" fontId="9" fillId="0" borderId="1" xfId="0" applyFont="1" applyBorder="1" applyAlignment="1">
      <alignment horizontal="left" vertical="top" wrapText="1" indent="1"/>
    </xf>
    <xf numFmtId="0" fontId="9" fillId="0" borderId="1" xfId="0" applyFont="1" applyBorder="1" applyAlignment="1">
      <alignment horizontal="right" wrapText="1"/>
    </xf>
    <xf numFmtId="0" fontId="9" fillId="0" borderId="1" xfId="0" applyFont="1" applyBorder="1" applyAlignment="1">
      <alignment horizontal="left" vertical="top" wrapText="1" indent="2"/>
    </xf>
    <xf numFmtId="3" fontId="2" fillId="0" borderId="0" xfId="0" applyNumberFormat="1" applyFont="1"/>
    <xf numFmtId="0" fontId="2" fillId="0" borderId="0" xfId="0" applyFont="1" applyAlignment="1">
      <alignment vertical="top" wrapText="1"/>
    </xf>
    <xf numFmtId="41" fontId="9" fillId="0" borderId="0" xfId="0" applyNumberFormat="1" applyFont="1"/>
    <xf numFmtId="0" fontId="11" fillId="0" borderId="1" xfId="0" applyFont="1" applyBorder="1" applyAlignment="1">
      <alignment wrapText="1"/>
    </xf>
    <xf numFmtId="3" fontId="8" fillId="0" borderId="0" xfId="0" applyNumberFormat="1"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7" fillId="0" borderId="0" xfId="0" applyFont="1" applyAlignment="1">
      <alignment vertical="top" wrapText="1"/>
    </xf>
    <xf numFmtId="3" fontId="6" fillId="0" borderId="0" xfId="0" applyNumberFormat="1" applyFont="1" applyAlignment="1">
      <alignment wrapText="1"/>
    </xf>
    <xf numFmtId="6" fontId="6" fillId="0" borderId="0" xfId="0" applyNumberFormat="1" applyFont="1" applyAlignment="1">
      <alignment horizontal="right" wrapText="1"/>
    </xf>
    <xf numFmtId="0" fontId="3" fillId="0" borderId="0" xfId="0" applyFont="1" applyAlignment="1">
      <alignment wrapText="1"/>
    </xf>
    <xf numFmtId="0" fontId="20" fillId="0" borderId="1" xfId="0" applyFont="1" applyBorder="1" applyAlignment="1">
      <alignment vertical="top" wrapText="1"/>
    </xf>
    <xf numFmtId="3" fontId="2" fillId="0" borderId="1" xfId="0" applyNumberFormat="1" applyFont="1" applyBorder="1" applyAlignment="1">
      <alignment horizontal="center" vertical="center" wrapText="1"/>
    </xf>
    <xf numFmtId="164" fontId="8" fillId="0" borderId="0" xfId="1" applyFont="1" applyAlignment="1">
      <alignment vertical="center"/>
    </xf>
    <xf numFmtId="164" fontId="8" fillId="0" borderId="0" xfId="1" applyFont="1"/>
    <xf numFmtId="0" fontId="26" fillId="0" borderId="0" xfId="0" applyFont="1" applyAlignment="1">
      <alignment vertical="center" wrapText="1"/>
    </xf>
    <xf numFmtId="0" fontId="27" fillId="0" borderId="0" xfId="0" applyFont="1" applyAlignment="1">
      <alignment vertical="center" wrapText="1"/>
    </xf>
    <xf numFmtId="1" fontId="3" fillId="0" borderId="1" xfId="0" applyNumberFormat="1"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164" fontId="8" fillId="0" borderId="0" xfId="1" applyFont="1" applyAlignment="1">
      <alignment horizontal="left" vertical="center"/>
    </xf>
    <xf numFmtId="6" fontId="20" fillId="0" borderId="1" xfId="0" applyNumberFormat="1" applyFont="1" applyBorder="1" applyAlignment="1">
      <alignment horizontal="right" wrapText="1"/>
    </xf>
    <xf numFmtId="6" fontId="11" fillId="0" borderId="1" xfId="0" applyNumberFormat="1" applyFont="1" applyBorder="1" applyAlignment="1">
      <alignment horizontal="right" wrapText="1"/>
    </xf>
    <xf numFmtId="41" fontId="0" fillId="0" borderId="0" xfId="0" applyNumberFormat="1"/>
    <xf numFmtId="3" fontId="0" fillId="0" borderId="0" xfId="0" applyNumberFormat="1"/>
    <xf numFmtId="6" fontId="0" fillId="0" borderId="0" xfId="0" applyNumberFormat="1"/>
    <xf numFmtId="1" fontId="0" fillId="0" borderId="0" xfId="0" applyNumberFormat="1"/>
    <xf numFmtId="8" fontId="2" fillId="0" borderId="0" xfId="0" applyNumberFormat="1" applyFont="1"/>
    <xf numFmtId="0" fontId="9" fillId="0" borderId="0" xfId="0" applyFont="1" applyAlignment="1">
      <alignment wrapText="1"/>
    </xf>
    <xf numFmtId="0" fontId="2" fillId="0" borderId="0" xfId="0" applyFont="1" applyAlignment="1">
      <alignment vertical="center" wrapText="1"/>
    </xf>
    <xf numFmtId="0" fontId="2" fillId="0" borderId="4" xfId="0" applyFont="1" applyBorder="1" applyAlignment="1">
      <alignment horizontal="center" wrapText="1"/>
    </xf>
    <xf numFmtId="6" fontId="2" fillId="0" borderId="1" xfId="0" applyNumberFormat="1" applyFont="1" applyBorder="1" applyAlignment="1">
      <alignment horizontal="right" vertical="center" wrapText="1"/>
    </xf>
    <xf numFmtId="6" fontId="2" fillId="0" borderId="1" xfId="0" applyNumberFormat="1" applyFont="1" applyBorder="1" applyAlignment="1">
      <alignment horizontal="right" wrapText="1"/>
    </xf>
    <xf numFmtId="0" fontId="9" fillId="0" borderId="4" xfId="0" applyFont="1" applyBorder="1" applyAlignment="1">
      <alignment horizontal="center" wrapText="1"/>
    </xf>
    <xf numFmtId="3" fontId="9" fillId="0" borderId="4" xfId="0" applyNumberFormat="1" applyFont="1" applyBorder="1" applyAlignment="1">
      <alignment horizontal="center" wrapText="1"/>
    </xf>
    <xf numFmtId="0" fontId="26" fillId="0" borderId="0" xfId="0" applyFont="1" applyAlignment="1">
      <alignment horizontal="left" vertical="center" indent="5"/>
    </xf>
    <xf numFmtId="0" fontId="26" fillId="0" borderId="0" xfId="0" applyFont="1" applyAlignment="1">
      <alignment vertical="center"/>
    </xf>
    <xf numFmtId="0" fontId="11" fillId="0" borderId="0" xfId="0" applyFont="1"/>
    <xf numFmtId="165" fontId="9" fillId="0" borderId="1" xfId="0" applyNumberFormat="1" applyFont="1" applyBorder="1" applyAlignment="1">
      <alignment horizontal="right" wrapText="1"/>
    </xf>
    <xf numFmtId="0" fontId="2" fillId="0" borderId="0" xfId="0" applyFont="1" applyAlignment="1">
      <alignment horizontal="left" vertical="center" indent="5"/>
    </xf>
    <xf numFmtId="0" fontId="3" fillId="0" borderId="0" xfId="0" applyFont="1" applyAlignment="1">
      <alignment horizontal="center" vertical="center" wrapText="1"/>
    </xf>
    <xf numFmtId="0" fontId="9" fillId="0" borderId="0" xfId="0" applyFont="1" applyAlignment="1">
      <alignment horizontal="left" vertical="center" wrapText="1"/>
    </xf>
    <xf numFmtId="6" fontId="9" fillId="0" borderId="0" xfId="0" applyNumberFormat="1" applyFont="1" applyAlignment="1">
      <alignment horizontal="center" vertical="center" wrapText="1"/>
    </xf>
    <xf numFmtId="0" fontId="9" fillId="0" borderId="0" xfId="0" applyFont="1" applyAlignment="1">
      <alignment horizontal="center" vertical="center" wrapText="1"/>
    </xf>
    <xf numFmtId="6" fontId="2" fillId="0" borderId="0" xfId="0" applyNumberFormat="1" applyFont="1" applyAlignment="1">
      <alignment horizontal="center" vertical="center" wrapText="1"/>
    </xf>
    <xf numFmtId="0" fontId="24" fillId="0" borderId="0" xfId="0" applyFont="1"/>
    <xf numFmtId="0" fontId="2" fillId="0" borderId="0" xfId="0" applyFont="1" applyAlignment="1">
      <alignment horizontal="center" vertical="center" wrapText="1"/>
    </xf>
    <xf numFmtId="6" fontId="3" fillId="0" borderId="0" xfId="0" applyNumberFormat="1" applyFont="1" applyAlignment="1">
      <alignment horizontal="center" vertical="center" wrapText="1"/>
    </xf>
    <xf numFmtId="0" fontId="9" fillId="0" borderId="0" xfId="0" applyFont="1" applyAlignment="1">
      <alignment vertical="center" wrapText="1"/>
    </xf>
    <xf numFmtId="1" fontId="9" fillId="0" borderId="0" xfId="0" applyNumberFormat="1" applyFont="1" applyAlignment="1">
      <alignment horizontal="center" vertical="center" wrapText="1"/>
    </xf>
    <xf numFmtId="0" fontId="22" fillId="0" borderId="0" xfId="0" applyFont="1" applyAlignment="1">
      <alignment wrapText="1"/>
    </xf>
    <xf numFmtId="0" fontId="3" fillId="0" borderId="0" xfId="0" applyFont="1" applyAlignment="1">
      <alignment vertical="center" wrapText="1"/>
    </xf>
    <xf numFmtId="6" fontId="22" fillId="0" borderId="0" xfId="0" applyNumberFormat="1" applyFont="1"/>
    <xf numFmtId="0" fontId="23" fillId="0" borderId="0" xfId="0" applyFont="1" applyAlignment="1">
      <alignment vertical="top" wrapText="1"/>
    </xf>
    <xf numFmtId="0" fontId="29" fillId="0" borderId="0" xfId="0" applyFont="1"/>
    <xf numFmtId="0" fontId="30" fillId="0" borderId="0" xfId="0" applyFont="1"/>
    <xf numFmtId="0" fontId="2" fillId="0" borderId="2"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1" fillId="0" borderId="0" xfId="0" applyFont="1" applyAlignment="1">
      <alignment wrapText="1"/>
    </xf>
    <xf numFmtId="0" fontId="11" fillId="0" borderId="0" xfId="0" applyFont="1" applyAlignment="1">
      <alignment horizontal="center" wrapText="1"/>
    </xf>
    <xf numFmtId="3" fontId="11" fillId="0" borderId="0" xfId="0" applyNumberFormat="1" applyFont="1" applyAlignment="1">
      <alignment horizontal="center" wrapText="1"/>
    </xf>
    <xf numFmtId="6" fontId="11" fillId="0" borderId="0" xfId="0" applyNumberFormat="1" applyFont="1" applyAlignment="1">
      <alignment horizontal="right" wrapText="1"/>
    </xf>
    <xf numFmtId="0" fontId="28" fillId="0" borderId="0" xfId="0" applyFont="1"/>
    <xf numFmtId="0" fontId="28" fillId="0" borderId="0" xfId="0" applyFont="1" applyAlignment="1">
      <alignment wrapText="1"/>
    </xf>
    <xf numFmtId="0" fontId="3" fillId="0" borderId="0" xfId="0" applyFont="1"/>
    <xf numFmtId="0" fontId="31" fillId="0" borderId="0" xfId="0" applyFont="1" applyAlignment="1">
      <alignment vertical="center"/>
    </xf>
    <xf numFmtId="0" fontId="31" fillId="0" borderId="0" xfId="0" applyFont="1"/>
    <xf numFmtId="164" fontId="9" fillId="0" borderId="0" xfId="1" applyFont="1" applyAlignment="1">
      <alignment vertical="top" wrapText="1"/>
    </xf>
    <xf numFmtId="164" fontId="36" fillId="0" borderId="0" xfId="1" applyFont="1" applyAlignment="1">
      <alignment horizontal="left" vertical="center"/>
    </xf>
    <xf numFmtId="0" fontId="2" fillId="0" borderId="0" xfId="0" applyFont="1" applyAlignment="1">
      <alignment horizontal="left" vertical="center" wrapText="1"/>
    </xf>
    <xf numFmtId="0" fontId="23" fillId="0" borderId="0" xfId="0" applyFont="1"/>
    <xf numFmtId="0" fontId="36" fillId="0" borderId="0" xfId="0" applyFont="1" applyAlignment="1">
      <alignment vertical="center"/>
    </xf>
    <xf numFmtId="0" fontId="36" fillId="0" borderId="0" xfId="0" applyFont="1" applyAlignment="1">
      <alignment horizontal="left" vertical="center" indent="5"/>
    </xf>
    <xf numFmtId="0" fontId="36" fillId="0" borderId="0" xfId="0" applyFont="1" applyAlignment="1">
      <alignment vertical="center" wrapText="1"/>
    </xf>
    <xf numFmtId="0" fontId="38" fillId="0" borderId="0" xfId="0" applyFont="1"/>
    <xf numFmtId="0" fontId="0" fillId="0" borderId="0" xfId="0" applyAlignment="1">
      <alignment horizontal="center"/>
    </xf>
    <xf numFmtId="0" fontId="14" fillId="0" borderId="1" xfId="0" applyFont="1" applyBorder="1" applyAlignment="1">
      <alignment horizontal="center"/>
    </xf>
    <xf numFmtId="0" fontId="26" fillId="0" borderId="0" xfId="0" applyFont="1" applyAlignment="1">
      <alignment vertic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3" fontId="20" fillId="0" borderId="2" xfId="0" applyNumberFormat="1" applyFont="1" applyBorder="1" applyAlignment="1">
      <alignment horizontal="center" wrapText="1"/>
    </xf>
    <xf numFmtId="3" fontId="20" fillId="0" borderId="3" xfId="0" applyNumberFormat="1" applyFont="1" applyBorder="1" applyAlignment="1">
      <alignment horizontal="center" wrapText="1"/>
    </xf>
    <xf numFmtId="3" fontId="20" fillId="0" borderId="4" xfId="0" applyNumberFormat="1" applyFont="1" applyBorder="1" applyAlignment="1">
      <alignment horizont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3" fontId="5" fillId="0" borderId="2" xfId="0" applyNumberFormat="1" applyFont="1" applyBorder="1" applyAlignment="1">
      <alignment horizontal="center" wrapText="1"/>
    </xf>
    <xf numFmtId="3" fontId="5" fillId="0" borderId="3" xfId="0" applyNumberFormat="1" applyFont="1" applyBorder="1" applyAlignment="1">
      <alignment horizontal="center" wrapText="1"/>
    </xf>
    <xf numFmtId="3" fontId="5" fillId="0" borderId="4" xfId="0" applyNumberFormat="1" applyFont="1" applyBorder="1" applyAlignment="1">
      <alignment horizontal="center"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6" fillId="0" borderId="0" xfId="0" applyFont="1" applyAlignment="1">
      <alignment vertical="center"/>
    </xf>
    <xf numFmtId="0" fontId="31" fillId="0" borderId="0" xfId="0" applyFont="1" applyAlignment="1">
      <alignment vertical="center" wrapText="1"/>
    </xf>
    <xf numFmtId="0" fontId="34" fillId="0" borderId="0" xfId="0" applyFont="1" applyAlignment="1">
      <alignment wrapText="1"/>
    </xf>
    <xf numFmtId="0" fontId="11" fillId="0" borderId="1" xfId="0" applyFont="1" applyBorder="1" applyAlignment="1">
      <alignment horizontal="center" wrapText="1"/>
    </xf>
    <xf numFmtId="3" fontId="11" fillId="0" borderId="1" xfId="0" applyNumberFormat="1" applyFont="1" applyBorder="1" applyAlignment="1">
      <alignment horizontal="center" wrapText="1"/>
    </xf>
    <xf numFmtId="0" fontId="13" fillId="0" borderId="1" xfId="0" applyFont="1" applyBorder="1" applyAlignment="1">
      <alignment horizontal="center" vertical="center" wrapText="1"/>
    </xf>
    <xf numFmtId="0" fontId="15"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8"/>
  <sheetViews>
    <sheetView tabSelected="1" workbookViewId="0">
      <selection activeCell="A14" sqref="A14"/>
    </sheetView>
  </sheetViews>
  <sheetFormatPr defaultRowHeight="15" x14ac:dyDescent="0.25"/>
  <cols>
    <col min="1" max="1" width="27.85546875" bestFit="1" customWidth="1"/>
    <col min="2" max="2" width="12.85546875" bestFit="1" customWidth="1"/>
  </cols>
  <sheetData>
    <row r="1" spans="1:2" x14ac:dyDescent="0.25">
      <c r="A1" s="130" t="s">
        <v>0</v>
      </c>
      <c r="B1" s="130"/>
    </row>
    <row r="2" spans="1:2" x14ac:dyDescent="0.25">
      <c r="A2" t="s">
        <v>1</v>
      </c>
      <c r="B2" s="75">
        <f>'Table 1'!K32</f>
        <v>152.17391304347825</v>
      </c>
    </row>
    <row r="3" spans="1:2" x14ac:dyDescent="0.25">
      <c r="A3" t="s">
        <v>2</v>
      </c>
      <c r="B3">
        <f>Respondents!F8</f>
        <v>520</v>
      </c>
    </row>
    <row r="4" spans="1:2" x14ac:dyDescent="0.25">
      <c r="A4" t="s">
        <v>3</v>
      </c>
      <c r="B4" s="76">
        <f>'Table 1'!F33</f>
        <v>24500</v>
      </c>
    </row>
    <row r="5" spans="1:2" x14ac:dyDescent="0.25">
      <c r="A5" t="s">
        <v>4</v>
      </c>
      <c r="B5" s="77">
        <f>'Table 1'!I35</f>
        <v>1550000</v>
      </c>
    </row>
    <row r="6" spans="1:2" x14ac:dyDescent="0.25">
      <c r="A6" t="s">
        <v>5</v>
      </c>
      <c r="B6" s="77">
        <f>'Capital O&amp;M'!D10+'Capital O&amp;M'!G10</f>
        <v>0</v>
      </c>
    </row>
    <row r="7" spans="1:2" x14ac:dyDescent="0.25">
      <c r="A7" t="s">
        <v>6</v>
      </c>
      <c r="B7" s="78">
        <f>Responses!E9</f>
        <v>161</v>
      </c>
    </row>
    <row r="8" spans="1:2" x14ac:dyDescent="0.25">
      <c r="A8" t="s">
        <v>7</v>
      </c>
      <c r="B8" t="s">
        <v>113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58"/>
  <sheetViews>
    <sheetView zoomScale="87" zoomScaleNormal="87" workbookViewId="0">
      <selection activeCell="K32" sqref="K32"/>
    </sheetView>
  </sheetViews>
  <sheetFormatPr defaultRowHeight="15" x14ac:dyDescent="0.25"/>
  <cols>
    <col min="1" max="1" width="44.140625" customWidth="1"/>
    <col min="2" max="8" width="11" customWidth="1"/>
    <col min="9" max="9" width="12.7109375" customWidth="1"/>
    <col min="10" max="10" width="6.7109375" customWidth="1"/>
    <col min="11" max="11" width="11.42578125" customWidth="1"/>
    <col min="12" max="12" width="7.7109375" customWidth="1"/>
    <col min="13" max="13" width="11.42578125" customWidth="1"/>
    <col min="14" max="14" width="12.140625" customWidth="1"/>
    <col min="21" max="21" width="11.7109375" customWidth="1"/>
  </cols>
  <sheetData>
    <row r="1" spans="1:21" ht="15.75" x14ac:dyDescent="0.25">
      <c r="A1" s="31" t="s">
        <v>120</v>
      </c>
      <c r="B1" s="1"/>
      <c r="C1" s="1"/>
      <c r="D1" s="1"/>
      <c r="E1" s="1"/>
      <c r="F1" s="1"/>
      <c r="G1" s="1"/>
      <c r="H1" s="1"/>
      <c r="I1" s="8"/>
      <c r="J1" s="1"/>
      <c r="K1" s="1"/>
      <c r="L1" s="1"/>
      <c r="M1" s="107"/>
      <c r="N1" s="13"/>
    </row>
    <row r="2" spans="1:21" s="1" customFormat="1" ht="12.75" x14ac:dyDescent="0.2">
      <c r="F2" s="7"/>
      <c r="G2" s="7"/>
      <c r="H2" s="7"/>
      <c r="I2" s="8"/>
      <c r="J2" s="3"/>
    </row>
    <row r="3" spans="1:21" s="1" customFormat="1" ht="76.5" x14ac:dyDescent="0.2">
      <c r="A3" s="20" t="s">
        <v>8</v>
      </c>
      <c r="B3" s="70" t="s">
        <v>9</v>
      </c>
      <c r="C3" s="70" t="s">
        <v>10</v>
      </c>
      <c r="D3" s="70" t="s">
        <v>11</v>
      </c>
      <c r="E3" s="70" t="s">
        <v>12</v>
      </c>
      <c r="F3" s="70" t="s">
        <v>13</v>
      </c>
      <c r="G3" s="70" t="s">
        <v>14</v>
      </c>
      <c r="H3" s="70" t="s">
        <v>15</v>
      </c>
      <c r="I3" s="70" t="s">
        <v>16</v>
      </c>
      <c r="J3" s="3"/>
      <c r="M3" s="47"/>
      <c r="N3" s="47"/>
      <c r="O3" s="47"/>
      <c r="P3" s="47"/>
      <c r="Q3" s="47"/>
      <c r="R3" s="47"/>
      <c r="S3" s="47"/>
      <c r="T3" s="47"/>
      <c r="U3" s="47"/>
    </row>
    <row r="4" spans="1:21" s="1" customFormat="1" ht="12.75" x14ac:dyDescent="0.2">
      <c r="A4" s="29" t="s">
        <v>56</v>
      </c>
      <c r="B4" s="2" t="s">
        <v>64</v>
      </c>
      <c r="C4" s="2"/>
      <c r="D4" s="2"/>
      <c r="E4" s="2"/>
      <c r="F4" s="2"/>
      <c r="G4" s="2"/>
      <c r="H4" s="2"/>
      <c r="I4" s="32"/>
      <c r="J4" s="3"/>
      <c r="K4" s="131" t="s">
        <v>17</v>
      </c>
      <c r="L4" s="131"/>
      <c r="O4" s="49"/>
      <c r="P4" s="49"/>
      <c r="Q4" s="49"/>
      <c r="R4" s="49"/>
      <c r="S4" s="49"/>
      <c r="T4" s="49"/>
      <c r="U4" s="50"/>
    </row>
    <row r="5" spans="1:21" s="1" customFormat="1" ht="12.75" x14ac:dyDescent="0.2">
      <c r="A5" s="33" t="s">
        <v>57</v>
      </c>
      <c r="B5" s="2" t="s">
        <v>64</v>
      </c>
      <c r="C5" s="20"/>
      <c r="D5" s="20"/>
      <c r="E5" s="20"/>
      <c r="F5" s="2"/>
      <c r="G5" s="2"/>
      <c r="H5" s="35"/>
      <c r="I5" s="34"/>
      <c r="J5" s="9"/>
      <c r="K5" s="14" t="s">
        <v>18</v>
      </c>
      <c r="L5" s="27">
        <v>163.16999999999999</v>
      </c>
      <c r="M5" s="48"/>
      <c r="N5" s="49"/>
      <c r="O5" s="49"/>
      <c r="P5" s="49"/>
      <c r="Q5" s="49"/>
      <c r="R5" s="51"/>
      <c r="S5" s="49"/>
      <c r="T5" s="49"/>
      <c r="U5" s="52"/>
    </row>
    <row r="6" spans="1:21" s="1" customFormat="1" ht="12.75" x14ac:dyDescent="0.2">
      <c r="A6" s="33" t="s">
        <v>58</v>
      </c>
      <c r="B6" s="20"/>
      <c r="C6" s="20"/>
      <c r="D6" s="20"/>
      <c r="E6" s="20"/>
      <c r="F6" s="20"/>
      <c r="G6" s="20"/>
      <c r="H6" s="20"/>
      <c r="I6" s="34"/>
      <c r="J6" s="3"/>
      <c r="K6" s="14" t="s">
        <v>19</v>
      </c>
      <c r="L6" s="27">
        <v>130.28</v>
      </c>
      <c r="M6" s="48"/>
      <c r="N6" s="49"/>
      <c r="O6" s="49"/>
      <c r="P6" s="49"/>
      <c r="Q6" s="49"/>
      <c r="R6" s="49"/>
      <c r="S6" s="49"/>
      <c r="T6" s="49"/>
      <c r="U6" s="52"/>
    </row>
    <row r="7" spans="1:21" s="1" customFormat="1" ht="15.75" x14ac:dyDescent="0.2">
      <c r="A7" s="33" t="s">
        <v>71</v>
      </c>
      <c r="B7" s="20">
        <v>2</v>
      </c>
      <c r="C7" s="20">
        <v>1</v>
      </c>
      <c r="D7" s="20">
        <f>B7*C7</f>
        <v>2</v>
      </c>
      <c r="E7" s="2">
        <v>5</v>
      </c>
      <c r="F7" s="20">
        <f>D7*E7</f>
        <v>10</v>
      </c>
      <c r="G7" s="20">
        <f>F7*0.5</f>
        <v>5</v>
      </c>
      <c r="H7" s="20">
        <f>F7*0.1</f>
        <v>1</v>
      </c>
      <c r="I7" s="83">
        <f>F7*$L$6+G7*$L$5+H7*$L$7</f>
        <v>2184.3599999999997</v>
      </c>
      <c r="J7" s="3"/>
      <c r="K7" s="14" t="s">
        <v>20</v>
      </c>
      <c r="L7" s="27">
        <v>65.709999999999994</v>
      </c>
      <c r="M7" s="48"/>
      <c r="N7" s="49"/>
      <c r="O7" s="49"/>
      <c r="P7" s="49"/>
      <c r="Q7" s="49"/>
      <c r="R7" s="49"/>
      <c r="S7" s="49"/>
      <c r="T7" s="49"/>
      <c r="U7" s="52"/>
    </row>
    <row r="8" spans="1:21" s="1" customFormat="1" ht="12.75" x14ac:dyDescent="0.2">
      <c r="A8" s="30" t="s">
        <v>59</v>
      </c>
      <c r="B8" s="20" t="s">
        <v>65</v>
      </c>
      <c r="C8" s="20"/>
      <c r="D8" s="20"/>
      <c r="E8" s="20"/>
      <c r="F8" s="20"/>
      <c r="G8" s="20"/>
      <c r="H8" s="20"/>
      <c r="I8" s="34"/>
      <c r="J8" s="3"/>
      <c r="K8" s="62"/>
      <c r="L8" s="17"/>
      <c r="M8" s="48"/>
      <c r="N8" s="49"/>
      <c r="O8" s="49"/>
      <c r="P8" s="49"/>
      <c r="Q8" s="53"/>
      <c r="R8" s="53"/>
      <c r="S8" s="53"/>
      <c r="T8" s="53"/>
      <c r="U8" s="52"/>
    </row>
    <row r="9" spans="1:21" s="1" customFormat="1" ht="12.75" x14ac:dyDescent="0.2">
      <c r="A9" s="30" t="s">
        <v>60</v>
      </c>
      <c r="B9" s="20"/>
      <c r="C9" s="20"/>
      <c r="D9" s="20"/>
      <c r="E9" s="20"/>
      <c r="F9" s="20"/>
      <c r="G9" s="20"/>
      <c r="H9" s="20"/>
      <c r="I9" s="34"/>
      <c r="J9" s="3"/>
      <c r="K9" s="72"/>
      <c r="L9" s="4"/>
      <c r="M9" s="48"/>
      <c r="N9" s="49"/>
      <c r="O9" s="49"/>
      <c r="P9" s="49"/>
      <c r="Q9" s="53"/>
      <c r="R9" s="53"/>
      <c r="S9" s="53"/>
      <c r="T9" s="53"/>
      <c r="U9" s="52"/>
    </row>
    <row r="10" spans="1:21" s="1" customFormat="1" ht="15.75" x14ac:dyDescent="0.2">
      <c r="A10" s="30" t="s">
        <v>72</v>
      </c>
      <c r="B10" s="20">
        <v>2</v>
      </c>
      <c r="C10" s="20">
        <v>1</v>
      </c>
      <c r="D10" s="20">
        <f>B10*C10</f>
        <v>2</v>
      </c>
      <c r="E10" s="20">
        <v>5</v>
      </c>
      <c r="F10" s="20">
        <f>D10*E10</f>
        <v>10</v>
      </c>
      <c r="G10" s="20">
        <f>F10*0.5</f>
        <v>5</v>
      </c>
      <c r="H10" s="20">
        <f>F10*0.1</f>
        <v>1</v>
      </c>
      <c r="I10" s="83">
        <f>F10*$L$6+G10*$L$5+H10*$L$7</f>
        <v>2184.3599999999997</v>
      </c>
      <c r="J10" s="3"/>
      <c r="K10" s="4"/>
      <c r="L10" s="4"/>
      <c r="M10" s="48"/>
      <c r="N10" s="49"/>
      <c r="O10" s="49"/>
      <c r="P10" s="49"/>
      <c r="Q10" s="53"/>
      <c r="R10" s="53"/>
      <c r="S10" s="53"/>
      <c r="T10" s="53"/>
      <c r="U10" s="52"/>
    </row>
    <row r="11" spans="1:21" s="1" customFormat="1" ht="15.75" x14ac:dyDescent="0.2">
      <c r="A11" s="30" t="s">
        <v>73</v>
      </c>
      <c r="B11" s="20">
        <v>1</v>
      </c>
      <c r="C11" s="20">
        <v>1</v>
      </c>
      <c r="D11" s="20">
        <f t="shared" ref="D11:D16" si="0">B11*C11</f>
        <v>1</v>
      </c>
      <c r="E11" s="20">
        <v>5</v>
      </c>
      <c r="F11" s="20">
        <f t="shared" ref="F11:F16" si="1">D11*E11</f>
        <v>5</v>
      </c>
      <c r="G11" s="20">
        <f t="shared" ref="G11:G16" si="2">F11*0.5</f>
        <v>2.5</v>
      </c>
      <c r="H11" s="20">
        <f t="shared" ref="H11:H16" si="3">F11*0.1</f>
        <v>0.5</v>
      </c>
      <c r="I11" s="83">
        <f t="shared" ref="I11:I16" si="4">F11*$L$6+G11*$L$5+H11*$L$7</f>
        <v>1092.1799999999998</v>
      </c>
      <c r="J11" s="3"/>
      <c r="K11" s="5"/>
      <c r="L11" s="6"/>
      <c r="M11" s="48"/>
      <c r="N11" s="49"/>
      <c r="O11" s="49"/>
      <c r="P11" s="49"/>
      <c r="Q11" s="53"/>
      <c r="R11" s="53"/>
      <c r="S11" s="54"/>
      <c r="T11" s="54"/>
      <c r="U11" s="52"/>
    </row>
    <row r="12" spans="1:21" s="1" customFormat="1" ht="15.75" x14ac:dyDescent="0.2">
      <c r="A12" s="30" t="s">
        <v>74</v>
      </c>
      <c r="B12" s="20">
        <v>2</v>
      </c>
      <c r="C12" s="20">
        <v>1</v>
      </c>
      <c r="D12" s="20">
        <f t="shared" si="0"/>
        <v>2</v>
      </c>
      <c r="E12" s="20">
        <v>52</v>
      </c>
      <c r="F12" s="20">
        <f t="shared" si="1"/>
        <v>104</v>
      </c>
      <c r="G12" s="20">
        <f t="shared" si="2"/>
        <v>52</v>
      </c>
      <c r="H12" s="20">
        <f t="shared" si="3"/>
        <v>10.4</v>
      </c>
      <c r="I12" s="83">
        <f t="shared" si="4"/>
        <v>22717.343999999997</v>
      </c>
      <c r="J12" s="3"/>
      <c r="K12" s="5"/>
      <c r="L12" s="6"/>
      <c r="M12" s="48"/>
      <c r="N12" s="49"/>
      <c r="O12" s="49"/>
      <c r="P12" s="49"/>
      <c r="Q12" s="53"/>
      <c r="R12" s="53"/>
      <c r="S12" s="54"/>
      <c r="T12" s="54"/>
      <c r="U12" s="52"/>
    </row>
    <row r="13" spans="1:21" s="1" customFormat="1" ht="15.75" x14ac:dyDescent="0.2">
      <c r="A13" s="33" t="s">
        <v>102</v>
      </c>
      <c r="B13" s="20">
        <v>6</v>
      </c>
      <c r="C13" s="20">
        <v>1</v>
      </c>
      <c r="D13" s="20">
        <f t="shared" si="0"/>
        <v>6</v>
      </c>
      <c r="E13" s="20">
        <v>13</v>
      </c>
      <c r="F13" s="20">
        <f t="shared" si="1"/>
        <v>78</v>
      </c>
      <c r="G13" s="20">
        <f t="shared" si="2"/>
        <v>39</v>
      </c>
      <c r="H13" s="20">
        <f t="shared" si="3"/>
        <v>7.8000000000000007</v>
      </c>
      <c r="I13" s="83">
        <f t="shared" si="4"/>
        <v>17038.008000000002</v>
      </c>
      <c r="J13" s="3"/>
      <c r="K13" s="5"/>
      <c r="L13" s="6"/>
      <c r="M13" s="48"/>
      <c r="N13" s="49"/>
      <c r="O13" s="49"/>
      <c r="P13" s="49"/>
      <c r="Q13" s="49"/>
      <c r="R13" s="49"/>
      <c r="S13" s="49"/>
      <c r="T13" s="49"/>
      <c r="U13" s="52"/>
    </row>
    <row r="14" spans="1:21" s="1" customFormat="1" ht="18" customHeight="1" x14ac:dyDescent="0.2">
      <c r="A14" s="30" t="s">
        <v>75</v>
      </c>
      <c r="B14" s="20">
        <v>4</v>
      </c>
      <c r="C14" s="20">
        <v>1</v>
      </c>
      <c r="D14" s="20">
        <f t="shared" si="0"/>
        <v>4</v>
      </c>
      <c r="E14" s="35">
        <v>13</v>
      </c>
      <c r="F14" s="20">
        <f t="shared" si="1"/>
        <v>52</v>
      </c>
      <c r="G14" s="20">
        <f t="shared" si="2"/>
        <v>26</v>
      </c>
      <c r="H14" s="20">
        <f t="shared" si="3"/>
        <v>5.2</v>
      </c>
      <c r="I14" s="83">
        <f t="shared" si="4"/>
        <v>11358.671999999999</v>
      </c>
      <c r="J14" s="9"/>
      <c r="K14" s="61"/>
      <c r="L14" s="6"/>
      <c r="M14" s="48"/>
      <c r="N14" s="49"/>
      <c r="O14" s="49"/>
      <c r="P14" s="49"/>
      <c r="Q14" s="49"/>
      <c r="R14" s="49"/>
      <c r="S14" s="49"/>
      <c r="T14" s="49"/>
      <c r="U14" s="52"/>
    </row>
    <row r="15" spans="1:21" s="1" customFormat="1" ht="15.75" x14ac:dyDescent="0.2">
      <c r="A15" s="30" t="s">
        <v>76</v>
      </c>
      <c r="B15" s="20">
        <v>8</v>
      </c>
      <c r="C15" s="20">
        <v>1</v>
      </c>
      <c r="D15" s="20">
        <f t="shared" si="0"/>
        <v>8</v>
      </c>
      <c r="E15" s="20">
        <v>47</v>
      </c>
      <c r="F15" s="20">
        <f t="shared" si="1"/>
        <v>376</v>
      </c>
      <c r="G15" s="20">
        <f t="shared" si="2"/>
        <v>188</v>
      </c>
      <c r="H15" s="20">
        <f t="shared" si="3"/>
        <v>37.6</v>
      </c>
      <c r="I15" s="83">
        <f t="shared" si="4"/>
        <v>82131.935999999987</v>
      </c>
      <c r="J15" s="3"/>
      <c r="K15" s="61"/>
      <c r="M15" s="48"/>
      <c r="N15" s="49"/>
      <c r="O15" s="49"/>
      <c r="P15" s="49"/>
      <c r="Q15" s="49"/>
      <c r="R15" s="49"/>
      <c r="S15" s="49"/>
      <c r="T15" s="49"/>
      <c r="U15" s="52"/>
    </row>
    <row r="16" spans="1:21" s="1" customFormat="1" ht="15.75" x14ac:dyDescent="0.2">
      <c r="A16" s="30" t="s">
        <v>93</v>
      </c>
      <c r="B16" s="20">
        <v>8</v>
      </c>
      <c r="C16" s="20">
        <v>1</v>
      </c>
      <c r="D16" s="20">
        <f t="shared" si="0"/>
        <v>8</v>
      </c>
      <c r="E16" s="35">
        <v>78</v>
      </c>
      <c r="F16" s="20">
        <f t="shared" si="1"/>
        <v>624</v>
      </c>
      <c r="G16" s="20">
        <f t="shared" si="2"/>
        <v>312</v>
      </c>
      <c r="H16" s="20">
        <f t="shared" si="3"/>
        <v>62.400000000000006</v>
      </c>
      <c r="I16" s="83">
        <f t="shared" si="4"/>
        <v>136304.06400000001</v>
      </c>
      <c r="J16" s="3"/>
      <c r="K16" s="61"/>
      <c r="M16" s="48"/>
      <c r="N16" s="49"/>
      <c r="O16" s="49"/>
      <c r="P16" s="49"/>
      <c r="Q16" s="49"/>
      <c r="R16" s="49"/>
      <c r="S16" s="49"/>
      <c r="T16" s="49"/>
      <c r="U16" s="52"/>
    </row>
    <row r="17" spans="1:21" s="1" customFormat="1" ht="13.5" x14ac:dyDescent="0.25">
      <c r="A17" s="139" t="s">
        <v>21</v>
      </c>
      <c r="B17" s="140"/>
      <c r="C17" s="140"/>
      <c r="D17" s="140"/>
      <c r="E17" s="141"/>
      <c r="F17" s="142">
        <f>SUM(F4:H16)</f>
        <v>2014.4</v>
      </c>
      <c r="G17" s="143"/>
      <c r="H17" s="144"/>
      <c r="I17" s="36">
        <f>SUM(I4:I16)</f>
        <v>275010.924</v>
      </c>
      <c r="J17" s="3"/>
      <c r="K17" s="61"/>
      <c r="M17" s="48"/>
      <c r="N17" s="49"/>
      <c r="O17" s="49"/>
      <c r="P17" s="49"/>
      <c r="Q17" s="49"/>
      <c r="R17" s="49"/>
      <c r="S17" s="49"/>
      <c r="T17" s="49"/>
      <c r="U17" s="52"/>
    </row>
    <row r="18" spans="1:21" s="1" customFormat="1" ht="12.75" x14ac:dyDescent="0.2">
      <c r="A18" s="30" t="s">
        <v>62</v>
      </c>
      <c r="B18" s="20"/>
      <c r="C18" s="20"/>
      <c r="D18" s="20"/>
      <c r="E18" s="20"/>
      <c r="F18" s="20"/>
      <c r="G18" s="20"/>
      <c r="H18" s="20"/>
      <c r="I18" s="34"/>
      <c r="J18" s="3"/>
      <c r="K18" s="61"/>
      <c r="M18" s="48"/>
      <c r="N18" s="49"/>
      <c r="O18" s="49"/>
      <c r="P18" s="49"/>
      <c r="Q18" s="49"/>
      <c r="R18" s="49"/>
      <c r="S18" s="49"/>
      <c r="T18" s="49"/>
      <c r="U18" s="52"/>
    </row>
    <row r="19" spans="1:21" s="1" customFormat="1" ht="19.5" customHeight="1" x14ac:dyDescent="0.2">
      <c r="A19" s="33" t="s">
        <v>103</v>
      </c>
      <c r="B19" s="20" t="s">
        <v>66</v>
      </c>
      <c r="C19" s="20"/>
      <c r="D19" s="108"/>
      <c r="E19" s="20"/>
      <c r="F19" s="20"/>
      <c r="G19" s="20"/>
      <c r="H19" s="20"/>
      <c r="I19" s="34"/>
      <c r="J19" s="3"/>
      <c r="K19" s="61"/>
      <c r="M19" s="48"/>
      <c r="N19" s="49"/>
      <c r="O19" s="49"/>
      <c r="P19" s="49"/>
      <c r="Q19" s="49"/>
      <c r="R19" s="49"/>
      <c r="S19" s="49"/>
      <c r="T19" s="49"/>
      <c r="U19" s="52"/>
    </row>
    <row r="20" spans="1:21" s="1" customFormat="1" ht="15.75" x14ac:dyDescent="0.2">
      <c r="A20" s="30" t="s">
        <v>78</v>
      </c>
      <c r="B20" s="20">
        <v>8</v>
      </c>
      <c r="C20" s="20">
        <v>1</v>
      </c>
      <c r="D20" s="108">
        <f>B20*C20</f>
        <v>8</v>
      </c>
      <c r="E20" s="20">
        <v>5</v>
      </c>
      <c r="F20" s="20">
        <f t="shared" ref="F20:F31" si="5">D20*E20</f>
        <v>40</v>
      </c>
      <c r="G20" s="20">
        <f>F20*0.5</f>
        <v>20</v>
      </c>
      <c r="H20" s="20">
        <f>F20*0.1</f>
        <v>4</v>
      </c>
      <c r="I20" s="83">
        <f t="shared" ref="I20" si="6">F20*$L$6+G20*$L$5+H20*$L$7</f>
        <v>8737.4399999999987</v>
      </c>
      <c r="J20" s="3"/>
      <c r="K20" s="3"/>
      <c r="M20" s="48"/>
      <c r="N20" s="49"/>
      <c r="O20" s="49"/>
      <c r="P20" s="49"/>
      <c r="Q20" s="49"/>
      <c r="R20" s="49"/>
      <c r="S20" s="49"/>
      <c r="T20" s="49"/>
      <c r="U20" s="52"/>
    </row>
    <row r="21" spans="1:21" s="1" customFormat="1" ht="12.75" x14ac:dyDescent="0.2">
      <c r="A21" s="111" t="s">
        <v>104</v>
      </c>
      <c r="B21" s="112"/>
      <c r="C21" s="112"/>
      <c r="D21" s="112"/>
      <c r="E21" s="20"/>
      <c r="F21" s="20"/>
      <c r="G21" s="20"/>
      <c r="H21" s="20"/>
      <c r="I21" s="84"/>
      <c r="J21" s="3"/>
      <c r="M21" s="48"/>
      <c r="N21" s="49"/>
      <c r="O21" s="49"/>
      <c r="P21" s="49"/>
      <c r="Q21" s="49"/>
      <c r="R21" s="49"/>
      <c r="S21" s="49"/>
      <c r="T21" s="49"/>
      <c r="U21" s="52"/>
    </row>
    <row r="22" spans="1:21" s="1" customFormat="1" ht="15.75" x14ac:dyDescent="0.2">
      <c r="A22" s="37" t="s">
        <v>105</v>
      </c>
      <c r="B22" s="2">
        <v>42</v>
      </c>
      <c r="C22" s="2">
        <v>1</v>
      </c>
      <c r="D22" s="82">
        <f>B22*C22</f>
        <v>42</v>
      </c>
      <c r="E22" s="82">
        <v>5</v>
      </c>
      <c r="F22" s="20">
        <f t="shared" si="5"/>
        <v>210</v>
      </c>
      <c r="G22" s="20">
        <f>F22*0.5</f>
        <v>105</v>
      </c>
      <c r="H22" s="20">
        <f>F22*0.1</f>
        <v>21</v>
      </c>
      <c r="I22" s="83">
        <f>F22*$L$6+G22*$L$5+H22*$L$7</f>
        <v>45871.56</v>
      </c>
      <c r="J22" s="3"/>
      <c r="M22" s="48"/>
      <c r="N22" s="49"/>
      <c r="O22" s="49"/>
      <c r="P22" s="49"/>
      <c r="Q22" s="49"/>
      <c r="R22" s="51"/>
      <c r="S22" s="49"/>
      <c r="T22" s="49"/>
      <c r="U22" s="52"/>
    </row>
    <row r="23" spans="1:21" s="1" customFormat="1" ht="15.75" x14ac:dyDescent="0.25">
      <c r="A23" s="38" t="s">
        <v>106</v>
      </c>
      <c r="B23" s="2">
        <v>20</v>
      </c>
      <c r="C23" s="2">
        <v>1</v>
      </c>
      <c r="D23" s="82">
        <f t="shared" ref="D23:D31" si="7">B23*C23</f>
        <v>20</v>
      </c>
      <c r="E23" s="82">
        <v>26</v>
      </c>
      <c r="F23" s="20">
        <f t="shared" si="5"/>
        <v>520</v>
      </c>
      <c r="G23" s="20">
        <f t="shared" ref="G23:G31" si="8">F23*0.5</f>
        <v>260</v>
      </c>
      <c r="H23" s="20">
        <f t="shared" ref="H23:H25" si="9">F23*0.1</f>
        <v>52</v>
      </c>
      <c r="I23" s="83">
        <f>F23*$L$6+G23*$L$5+H23*$L$7</f>
        <v>113586.72</v>
      </c>
      <c r="J23" s="3"/>
      <c r="K23" s="3"/>
      <c r="M23" s="55"/>
      <c r="N23" s="55"/>
      <c r="O23" s="55"/>
      <c r="P23" s="55"/>
      <c r="Q23" s="55"/>
      <c r="R23" s="56"/>
      <c r="S23" s="56"/>
      <c r="T23" s="56"/>
      <c r="U23" s="57"/>
    </row>
    <row r="24" spans="1:21" s="1" customFormat="1" ht="15.75" x14ac:dyDescent="0.2">
      <c r="A24" s="39" t="s">
        <v>107</v>
      </c>
      <c r="B24" s="10">
        <v>64</v>
      </c>
      <c r="C24" s="10">
        <v>1</v>
      </c>
      <c r="D24" s="85">
        <f t="shared" si="7"/>
        <v>64</v>
      </c>
      <c r="E24" s="85">
        <v>47</v>
      </c>
      <c r="F24" s="20">
        <f t="shared" si="5"/>
        <v>3008</v>
      </c>
      <c r="G24" s="20">
        <f t="shared" si="8"/>
        <v>1504</v>
      </c>
      <c r="H24" s="20">
        <f t="shared" si="9"/>
        <v>300.8</v>
      </c>
      <c r="I24" s="83">
        <f>F24*$L$6+G24*$L$5+H24*$L$7</f>
        <v>657055.4879999999</v>
      </c>
      <c r="J24" s="3"/>
      <c r="K24" s="3"/>
      <c r="M24" s="48"/>
      <c r="N24" s="49"/>
      <c r="O24" s="49"/>
      <c r="P24" s="49"/>
      <c r="Q24" s="49"/>
      <c r="R24" s="49"/>
      <c r="S24" s="49"/>
      <c r="T24" s="49"/>
      <c r="U24" s="50"/>
    </row>
    <row r="25" spans="1:21" s="1" customFormat="1" ht="15.75" x14ac:dyDescent="0.2">
      <c r="A25" s="39" t="s">
        <v>108</v>
      </c>
      <c r="B25" s="10">
        <v>16</v>
      </c>
      <c r="C25" s="10">
        <v>1</v>
      </c>
      <c r="D25" s="86">
        <f t="shared" si="7"/>
        <v>16</v>
      </c>
      <c r="E25" s="86">
        <v>78</v>
      </c>
      <c r="F25" s="20">
        <f t="shared" si="5"/>
        <v>1248</v>
      </c>
      <c r="G25" s="20">
        <f t="shared" si="8"/>
        <v>624</v>
      </c>
      <c r="H25" s="20">
        <f t="shared" si="9"/>
        <v>124.80000000000001</v>
      </c>
      <c r="I25" s="83">
        <f>F25*$L$6+G25*$L$5+H25*$L$7</f>
        <v>272608.12800000003</v>
      </c>
      <c r="J25" s="3"/>
      <c r="K25" s="3"/>
      <c r="M25" s="48"/>
      <c r="N25" s="49"/>
      <c r="O25" s="49"/>
      <c r="P25" s="49"/>
      <c r="Q25" s="49"/>
      <c r="R25" s="49"/>
      <c r="S25" s="49"/>
      <c r="T25" s="49"/>
      <c r="U25" s="52"/>
    </row>
    <row r="26" spans="1:21" s="1" customFormat="1" ht="12.75" x14ac:dyDescent="0.2">
      <c r="A26" s="39" t="s">
        <v>109</v>
      </c>
      <c r="B26" s="10"/>
      <c r="C26" s="10"/>
      <c r="D26" s="85"/>
      <c r="E26" s="85"/>
      <c r="F26" s="85"/>
      <c r="G26" s="10"/>
      <c r="H26" s="10"/>
      <c r="I26" s="40"/>
      <c r="J26" s="3"/>
      <c r="M26" s="48"/>
      <c r="N26" s="49"/>
      <c r="O26" s="49"/>
      <c r="P26" s="49"/>
      <c r="Q26" s="49"/>
      <c r="R26" s="49"/>
      <c r="S26" s="49"/>
      <c r="T26" s="49"/>
      <c r="U26" s="52"/>
    </row>
    <row r="27" spans="1:21" s="1" customFormat="1" ht="15.75" x14ac:dyDescent="0.2">
      <c r="A27" s="41" t="s">
        <v>80</v>
      </c>
      <c r="B27" s="10">
        <v>8</v>
      </c>
      <c r="C27" s="10">
        <v>12</v>
      </c>
      <c r="D27" s="85">
        <f t="shared" si="7"/>
        <v>96</v>
      </c>
      <c r="E27" s="85">
        <v>26</v>
      </c>
      <c r="F27" s="20">
        <f t="shared" si="5"/>
        <v>2496</v>
      </c>
      <c r="G27" s="20">
        <f t="shared" si="8"/>
        <v>1248</v>
      </c>
      <c r="H27" s="20">
        <f t="shared" ref="H27" si="10">F27*0.1</f>
        <v>249.60000000000002</v>
      </c>
      <c r="I27" s="83">
        <f>F27*$L$6+G27*$L$5+H27*$L$7</f>
        <v>545216.25600000005</v>
      </c>
      <c r="J27" s="3"/>
      <c r="K27" s="3"/>
      <c r="M27" s="48"/>
      <c r="N27" s="49"/>
      <c r="O27" s="49"/>
      <c r="P27" s="49"/>
      <c r="Q27" s="49"/>
      <c r="R27" s="51"/>
      <c r="S27" s="49"/>
      <c r="T27" s="49"/>
      <c r="U27" s="52"/>
    </row>
    <row r="28" spans="1:21" s="1" customFormat="1" ht="18" customHeight="1" x14ac:dyDescent="0.2">
      <c r="A28" s="41" t="s">
        <v>77</v>
      </c>
      <c r="B28" s="10">
        <v>8</v>
      </c>
      <c r="C28" s="10">
        <v>1</v>
      </c>
      <c r="D28" s="85">
        <f t="shared" si="7"/>
        <v>8</v>
      </c>
      <c r="E28" s="85">
        <v>47</v>
      </c>
      <c r="F28" s="20">
        <f t="shared" si="5"/>
        <v>376</v>
      </c>
      <c r="G28" s="20">
        <f t="shared" si="8"/>
        <v>188</v>
      </c>
      <c r="H28" s="20">
        <f t="shared" ref="H28:H29" si="11">F28*0.1</f>
        <v>37.6</v>
      </c>
      <c r="I28" s="83">
        <f>F28*$L$6+G28*$L$5+H28*$L$7</f>
        <v>82131.935999999987</v>
      </c>
      <c r="J28" s="3"/>
      <c r="K28" s="3"/>
      <c r="M28" s="48"/>
      <c r="N28" s="49"/>
      <c r="O28" s="49"/>
      <c r="P28" s="49"/>
      <c r="Q28" s="49"/>
      <c r="R28" s="49"/>
      <c r="S28" s="49"/>
      <c r="T28" s="49"/>
      <c r="U28" s="52"/>
    </row>
    <row r="29" spans="1:21" s="1" customFormat="1" ht="15.75" x14ac:dyDescent="0.2">
      <c r="A29" s="39" t="s">
        <v>110</v>
      </c>
      <c r="B29" s="10">
        <v>4</v>
      </c>
      <c r="C29" s="10">
        <v>1</v>
      </c>
      <c r="D29" s="85">
        <f t="shared" si="7"/>
        <v>4</v>
      </c>
      <c r="E29" s="85">
        <v>78</v>
      </c>
      <c r="F29" s="20">
        <f t="shared" si="5"/>
        <v>312</v>
      </c>
      <c r="G29" s="20">
        <f t="shared" si="8"/>
        <v>156</v>
      </c>
      <c r="H29" s="20">
        <f t="shared" si="11"/>
        <v>31.200000000000003</v>
      </c>
      <c r="I29" s="83">
        <f>F29*$L$6+G29*$L$5+H29*$L$7</f>
        <v>68152.032000000007</v>
      </c>
      <c r="J29" s="3"/>
      <c r="K29" s="3"/>
      <c r="M29" s="48"/>
      <c r="N29" s="49"/>
      <c r="O29" s="49"/>
      <c r="P29" s="49"/>
      <c r="Q29" s="49"/>
      <c r="R29" s="49"/>
      <c r="S29" s="49"/>
      <c r="T29" s="49"/>
      <c r="U29" s="52"/>
    </row>
    <row r="30" spans="1:21" s="1" customFormat="1" ht="12.75" x14ac:dyDescent="0.2">
      <c r="A30" s="41" t="s">
        <v>63</v>
      </c>
      <c r="B30" s="10" t="s">
        <v>64</v>
      </c>
      <c r="C30" s="10"/>
      <c r="D30" s="85"/>
      <c r="E30" s="85"/>
      <c r="F30" s="85"/>
      <c r="G30" s="10"/>
      <c r="H30" s="10"/>
      <c r="I30" s="11"/>
      <c r="J30" s="3"/>
      <c r="K30" s="3"/>
      <c r="M30" s="48"/>
      <c r="N30" s="49"/>
      <c r="O30" s="49"/>
      <c r="P30" s="49"/>
      <c r="Q30" s="49"/>
      <c r="R30" s="49"/>
      <c r="S30" s="49"/>
      <c r="T30" s="49"/>
      <c r="U30" s="52"/>
    </row>
    <row r="31" spans="1:21" s="1" customFormat="1" ht="15.75" x14ac:dyDescent="0.2">
      <c r="A31" s="41" t="s">
        <v>81</v>
      </c>
      <c r="B31" s="10">
        <v>67</v>
      </c>
      <c r="C31" s="10">
        <v>1</v>
      </c>
      <c r="D31" s="85">
        <f t="shared" si="7"/>
        <v>67</v>
      </c>
      <c r="E31" s="85">
        <v>87</v>
      </c>
      <c r="F31" s="20">
        <f t="shared" si="5"/>
        <v>5829</v>
      </c>
      <c r="G31" s="20">
        <f t="shared" si="8"/>
        <v>2914.5</v>
      </c>
      <c r="H31" s="20">
        <f t="shared" ref="H31" si="12">F31*0.1</f>
        <v>582.9</v>
      </c>
      <c r="I31" s="83">
        <f>F31*$L$6+G31*$L$5+H31*$L$7</f>
        <v>1273263.4439999999</v>
      </c>
      <c r="J31" s="3"/>
      <c r="K31" s="3"/>
      <c r="M31" s="48"/>
      <c r="N31" s="49"/>
      <c r="O31" s="49"/>
      <c r="P31" s="49"/>
      <c r="Q31" s="49"/>
      <c r="R31" s="49"/>
      <c r="S31" s="49"/>
      <c r="T31" s="49"/>
      <c r="U31" s="52"/>
    </row>
    <row r="32" spans="1:21" s="1" customFormat="1" ht="13.5" x14ac:dyDescent="0.25">
      <c r="A32" s="59" t="s">
        <v>22</v>
      </c>
      <c r="B32" s="145"/>
      <c r="C32" s="146"/>
      <c r="D32" s="146"/>
      <c r="E32" s="147"/>
      <c r="F32" s="136">
        <f>SUM(F18:H31)</f>
        <v>22462.400000000001</v>
      </c>
      <c r="G32" s="137"/>
      <c r="H32" s="138"/>
      <c r="I32" s="73">
        <f>SUM(I18:I31)</f>
        <v>3066623.0039999997</v>
      </c>
      <c r="J32" s="3"/>
      <c r="K32" s="44">
        <f>F33/Responses!E9</f>
        <v>152.17391304347825</v>
      </c>
      <c r="L32" s="44" t="s">
        <v>23</v>
      </c>
      <c r="M32" s="48"/>
      <c r="N32" s="49"/>
      <c r="O32" s="49"/>
      <c r="P32" s="49"/>
      <c r="Q32" s="49"/>
      <c r="R32" s="49"/>
      <c r="S32" s="49"/>
      <c r="T32" s="49"/>
      <c r="U32" s="52"/>
    </row>
    <row r="33" spans="1:21" s="1" customFormat="1" ht="13.5" customHeight="1" x14ac:dyDescent="0.25">
      <c r="A33" s="45" t="s">
        <v>121</v>
      </c>
      <c r="B33" s="133"/>
      <c r="C33" s="134"/>
      <c r="D33" s="134"/>
      <c r="E33" s="135"/>
      <c r="F33" s="136">
        <f>ROUND(SUM(F17,F32), -2)</f>
        <v>24500</v>
      </c>
      <c r="G33" s="137"/>
      <c r="H33" s="138"/>
      <c r="I33" s="12">
        <f>ROUND(SUM(I17,I31), -4)</f>
        <v>1550000</v>
      </c>
      <c r="J33" s="16"/>
      <c r="K33" s="15"/>
      <c r="L33" s="3"/>
      <c r="M33" s="48"/>
      <c r="N33" s="49"/>
      <c r="O33" s="49"/>
      <c r="P33" s="49"/>
      <c r="Q33" s="49"/>
      <c r="R33" s="49"/>
      <c r="S33" s="49"/>
      <c r="T33" s="49"/>
      <c r="U33" s="52"/>
    </row>
    <row r="34" spans="1:21" s="1" customFormat="1" ht="13.5" customHeight="1" x14ac:dyDescent="0.25">
      <c r="A34" s="45" t="s">
        <v>122</v>
      </c>
      <c r="B34" s="133"/>
      <c r="C34" s="134"/>
      <c r="D34" s="134"/>
      <c r="E34" s="134"/>
      <c r="F34" s="134"/>
      <c r="G34" s="134"/>
      <c r="H34" s="135"/>
      <c r="I34" s="73">
        <v>0</v>
      </c>
      <c r="J34" s="3"/>
      <c r="M34" s="55"/>
      <c r="N34" s="55"/>
      <c r="O34" s="55"/>
      <c r="P34" s="55"/>
      <c r="Q34" s="55"/>
      <c r="R34" s="56"/>
      <c r="S34" s="56"/>
      <c r="T34" s="56"/>
      <c r="U34" s="57"/>
    </row>
    <row r="35" spans="1:21" s="1" customFormat="1" ht="13.5" customHeight="1" x14ac:dyDescent="0.25">
      <c r="A35" s="45" t="s">
        <v>123</v>
      </c>
      <c r="B35" s="133"/>
      <c r="C35" s="134"/>
      <c r="D35" s="134"/>
      <c r="E35" s="134"/>
      <c r="F35" s="134"/>
      <c r="G35" s="134"/>
      <c r="H35" s="135"/>
      <c r="I35" s="73">
        <f>ROUND(SUM(I33:I34), -4)</f>
        <v>1550000</v>
      </c>
      <c r="J35" s="3"/>
      <c r="M35" s="58"/>
      <c r="N35" s="58"/>
      <c r="O35" s="58"/>
      <c r="P35" s="58"/>
      <c r="Q35" s="58"/>
      <c r="R35" s="56"/>
      <c r="S35" s="56"/>
      <c r="T35" s="56"/>
      <c r="U35" s="57"/>
    </row>
    <row r="36" spans="1:21" s="1" customFormat="1" ht="13.5" x14ac:dyDescent="0.25">
      <c r="G36" s="42"/>
      <c r="I36" s="8"/>
      <c r="J36" s="3"/>
      <c r="M36" s="58"/>
      <c r="N36" s="58"/>
      <c r="O36" s="58"/>
      <c r="P36" s="58"/>
      <c r="Q36" s="58"/>
      <c r="R36" s="58"/>
      <c r="S36" s="58"/>
      <c r="T36" s="58"/>
      <c r="U36" s="57"/>
    </row>
    <row r="37" spans="1:21" s="1" customFormat="1" ht="13.5" x14ac:dyDescent="0.25">
      <c r="A37" s="119" t="s">
        <v>24</v>
      </c>
      <c r="I37" s="8"/>
      <c r="J37" s="3"/>
      <c r="M37" s="58"/>
      <c r="N37" s="58"/>
      <c r="O37" s="58"/>
      <c r="P37" s="58"/>
      <c r="Q37" s="58"/>
      <c r="R37" s="58"/>
      <c r="S37" s="58"/>
      <c r="T37" s="58"/>
      <c r="U37" s="57"/>
    </row>
    <row r="38" spans="1:21" s="1" customFormat="1" ht="55.9" customHeight="1" x14ac:dyDescent="0.2">
      <c r="A38" s="132" t="s">
        <v>88</v>
      </c>
      <c r="B38" s="132"/>
      <c r="C38" s="132"/>
      <c r="D38" s="132"/>
      <c r="E38" s="132"/>
      <c r="F38" s="132"/>
      <c r="G38" s="132"/>
      <c r="H38" s="132"/>
      <c r="I38" s="132"/>
      <c r="J38" s="117"/>
      <c r="K38" s="118"/>
      <c r="L38" s="118"/>
      <c r="M38" s="118"/>
      <c r="N38" s="117"/>
      <c r="Q38" s="26"/>
      <c r="R38" s="26"/>
      <c r="S38" s="26"/>
      <c r="T38" s="26"/>
      <c r="U38" s="26"/>
    </row>
    <row r="39" spans="1:21" s="1" customFormat="1" ht="93.75" customHeight="1" x14ac:dyDescent="0.2">
      <c r="A39" s="132" t="s">
        <v>70</v>
      </c>
      <c r="B39" s="132"/>
      <c r="C39" s="132"/>
      <c r="D39" s="132"/>
      <c r="E39" s="132"/>
      <c r="F39" s="132"/>
      <c r="G39" s="132"/>
      <c r="H39" s="132"/>
      <c r="I39" s="132"/>
      <c r="J39" s="3"/>
      <c r="M39" s="26"/>
      <c r="N39" s="26"/>
      <c r="O39" s="26"/>
      <c r="P39" s="26"/>
      <c r="Q39" s="26"/>
      <c r="R39" s="26"/>
      <c r="S39" s="26"/>
      <c r="T39" s="26"/>
      <c r="U39" s="26"/>
    </row>
    <row r="40" spans="1:21" s="1" customFormat="1" ht="18.75" x14ac:dyDescent="0.2">
      <c r="A40" s="148" t="s">
        <v>89</v>
      </c>
      <c r="B40" s="148"/>
      <c r="C40" s="148"/>
      <c r="D40" s="148"/>
      <c r="E40" s="148"/>
      <c r="F40" s="148"/>
      <c r="G40" s="148"/>
      <c r="H40" s="148"/>
      <c r="I40" s="148"/>
      <c r="J40" s="117"/>
      <c r="M40" s="26"/>
      <c r="N40" s="26"/>
      <c r="O40" s="26"/>
      <c r="P40" s="26"/>
      <c r="Q40" s="26"/>
      <c r="R40" s="26"/>
      <c r="S40" s="26"/>
      <c r="T40" s="26"/>
      <c r="U40" s="26"/>
    </row>
    <row r="41" spans="1:21" s="1" customFormat="1" ht="18.75" x14ac:dyDescent="0.2">
      <c r="A41" s="88" t="s">
        <v>90</v>
      </c>
      <c r="B41" s="87"/>
      <c r="C41" s="80"/>
      <c r="D41" s="80"/>
      <c r="E41" s="80"/>
      <c r="F41" s="80"/>
      <c r="G41" s="80"/>
      <c r="H41" s="80"/>
      <c r="I41" s="80"/>
      <c r="J41" s="117"/>
      <c r="M41" s="26"/>
      <c r="N41" s="26"/>
      <c r="O41" s="26"/>
      <c r="P41" s="26"/>
      <c r="Q41" s="26"/>
      <c r="R41" s="26"/>
      <c r="S41" s="26"/>
      <c r="T41" s="26"/>
      <c r="U41" s="26"/>
    </row>
    <row r="42" spans="1:21" s="1" customFormat="1" ht="43.15" customHeight="1" x14ac:dyDescent="0.2">
      <c r="A42" s="132" t="s">
        <v>91</v>
      </c>
      <c r="B42" s="132"/>
      <c r="C42" s="132"/>
      <c r="D42" s="132"/>
      <c r="E42" s="132"/>
      <c r="F42" s="132"/>
      <c r="G42" s="132"/>
      <c r="H42" s="132"/>
      <c r="I42" s="132"/>
      <c r="J42" s="117"/>
      <c r="K42" s="117"/>
      <c r="N42" s="26"/>
      <c r="O42" s="26"/>
      <c r="P42" s="26"/>
      <c r="Q42" s="26"/>
      <c r="R42" s="26"/>
      <c r="S42" s="26"/>
      <c r="T42" s="26"/>
      <c r="U42" s="26"/>
    </row>
    <row r="43" spans="1:21" s="1" customFormat="1" ht="18.75" x14ac:dyDescent="0.2">
      <c r="A43" s="88" t="s">
        <v>92</v>
      </c>
      <c r="B43" s="87"/>
      <c r="C43" s="43"/>
      <c r="D43" s="43"/>
      <c r="E43" s="43"/>
      <c r="F43" s="43"/>
      <c r="G43" s="43"/>
      <c r="H43" s="43"/>
      <c r="I43" s="43"/>
      <c r="J43" s="117"/>
      <c r="K43" s="117"/>
      <c r="M43" s="26"/>
      <c r="N43" s="26"/>
      <c r="O43" s="26"/>
      <c r="P43" s="26"/>
      <c r="Q43" s="26"/>
      <c r="R43" s="26"/>
      <c r="S43" s="26"/>
      <c r="T43" s="26"/>
      <c r="U43" s="26"/>
    </row>
    <row r="44" spans="1:21" ht="18.75" x14ac:dyDescent="0.25">
      <c r="A44" s="88" t="s">
        <v>94</v>
      </c>
      <c r="B44" s="87"/>
      <c r="J44" s="117"/>
    </row>
    <row r="45" spans="1:21" ht="18.75" x14ac:dyDescent="0.25">
      <c r="A45" s="88" t="s">
        <v>79</v>
      </c>
      <c r="B45" s="87"/>
    </row>
    <row r="46" spans="1:21" ht="18.75" x14ac:dyDescent="0.25">
      <c r="A46" s="126" t="s">
        <v>118</v>
      </c>
      <c r="B46" s="127"/>
      <c r="C46" s="128"/>
      <c r="D46" s="129"/>
      <c r="E46" s="129"/>
      <c r="F46" s="129"/>
      <c r="G46" s="129"/>
      <c r="J46" s="117"/>
    </row>
    <row r="47" spans="1:21" ht="32.450000000000003" customHeight="1" x14ac:dyDescent="0.25">
      <c r="A47" s="132" t="s">
        <v>115</v>
      </c>
      <c r="B47" s="132"/>
      <c r="C47" s="132"/>
      <c r="D47" s="132"/>
      <c r="E47" s="132"/>
      <c r="F47" s="132"/>
      <c r="G47" s="132"/>
      <c r="H47" s="132"/>
      <c r="I47" s="132"/>
    </row>
    <row r="48" spans="1:21" ht="18.75" x14ac:dyDescent="0.25">
      <c r="A48" s="88" t="s">
        <v>95</v>
      </c>
      <c r="B48" s="87"/>
      <c r="C48" s="63"/>
      <c r="J48" s="117"/>
    </row>
    <row r="49" spans="1:3" ht="18" x14ac:dyDescent="0.25">
      <c r="A49" s="121" t="s">
        <v>124</v>
      </c>
      <c r="C49" s="63"/>
    </row>
    <row r="50" spans="1:3" ht="15.75" x14ac:dyDescent="0.25">
      <c r="A50" s="88"/>
      <c r="C50" s="64"/>
    </row>
    <row r="51" spans="1:3" ht="15.75" x14ac:dyDescent="0.25">
      <c r="A51" s="64"/>
      <c r="B51" s="64"/>
      <c r="C51" s="64"/>
    </row>
    <row r="52" spans="1:3" ht="15.75" customHeight="1" x14ac:dyDescent="0.25">
      <c r="A52" s="63"/>
      <c r="B52" s="63"/>
      <c r="C52" s="63"/>
    </row>
    <row r="53" spans="1:3" ht="15" customHeight="1" x14ac:dyDescent="0.25">
      <c r="A53" s="63"/>
      <c r="B53" s="63"/>
      <c r="C53" s="63"/>
    </row>
    <row r="54" spans="1:3" ht="15.75" x14ac:dyDescent="0.25">
      <c r="A54" s="63"/>
      <c r="B54" s="63"/>
      <c r="C54" s="63"/>
    </row>
    <row r="55" spans="1:3" ht="15.75" x14ac:dyDescent="0.25">
      <c r="A55" s="64"/>
      <c r="B55" s="64"/>
      <c r="C55" s="64"/>
    </row>
    <row r="56" spans="1:3" ht="15.75" x14ac:dyDescent="0.25">
      <c r="A56" s="64"/>
      <c r="B56" s="63"/>
      <c r="C56" s="63"/>
    </row>
    <row r="57" spans="1:3" ht="15.75" x14ac:dyDescent="0.25">
      <c r="A57" s="63"/>
      <c r="B57" s="63"/>
      <c r="C57" s="63"/>
    </row>
    <row r="58" spans="1:3" ht="15.75" x14ac:dyDescent="0.25">
      <c r="A58" s="64"/>
      <c r="B58" s="63"/>
      <c r="C58" s="63"/>
    </row>
  </sheetData>
  <sortState xmlns:xlrd2="http://schemas.microsoft.com/office/spreadsheetml/2017/richdata2" ref="A46:C58">
    <sortCondition ref="C46:C58"/>
  </sortState>
  <mergeCells count="14">
    <mergeCell ref="A47:I47"/>
    <mergeCell ref="A17:E17"/>
    <mergeCell ref="F17:H17"/>
    <mergeCell ref="B32:E32"/>
    <mergeCell ref="F32:H32"/>
    <mergeCell ref="A38:I38"/>
    <mergeCell ref="A40:I40"/>
    <mergeCell ref="A42:I42"/>
    <mergeCell ref="K4:L4"/>
    <mergeCell ref="A39:I39"/>
    <mergeCell ref="B33:E33"/>
    <mergeCell ref="B34:H34"/>
    <mergeCell ref="B35:H35"/>
    <mergeCell ref="F33:H33"/>
  </mergeCells>
  <phoneticPr fontId="25"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M29"/>
  <sheetViews>
    <sheetView topLeftCell="A9" zoomScale="90" zoomScaleNormal="90" workbookViewId="0">
      <selection activeCell="O6" sqref="O6"/>
    </sheetView>
  </sheetViews>
  <sheetFormatPr defaultRowHeight="15" x14ac:dyDescent="0.25"/>
  <cols>
    <col min="1" max="1" width="37.5703125" customWidth="1"/>
    <col min="2" max="9" width="11.7109375" customWidth="1"/>
    <col min="10" max="10" width="8.140625" customWidth="1"/>
    <col min="11" max="11" width="11.85546875" customWidth="1"/>
  </cols>
  <sheetData>
    <row r="1" spans="1:13" ht="15.75" x14ac:dyDescent="0.25">
      <c r="A1" s="31" t="s">
        <v>125</v>
      </c>
      <c r="B1" s="1"/>
      <c r="C1" s="1"/>
      <c r="D1" s="1"/>
      <c r="E1" s="1"/>
      <c r="F1" s="1"/>
      <c r="G1" s="1"/>
      <c r="H1" s="1"/>
      <c r="I1" s="1"/>
      <c r="M1" s="107"/>
    </row>
    <row r="2" spans="1:13" x14ac:dyDescent="0.25">
      <c r="A2" s="1"/>
      <c r="B2" s="1"/>
      <c r="C2" s="1"/>
      <c r="D2" s="1"/>
      <c r="E2" s="1"/>
      <c r="F2" s="7"/>
      <c r="G2" s="7"/>
      <c r="H2" s="7"/>
      <c r="I2" s="7"/>
    </row>
    <row r="3" spans="1:13" ht="76.5" x14ac:dyDescent="0.25">
      <c r="A3" s="28" t="s">
        <v>25</v>
      </c>
      <c r="B3" s="71" t="s">
        <v>26</v>
      </c>
      <c r="C3" s="71" t="s">
        <v>27</v>
      </c>
      <c r="D3" s="71" t="s">
        <v>28</v>
      </c>
      <c r="E3" s="71" t="s">
        <v>29</v>
      </c>
      <c r="F3" s="71" t="s">
        <v>13</v>
      </c>
      <c r="G3" s="71" t="s">
        <v>30</v>
      </c>
      <c r="H3" s="71" t="s">
        <v>31</v>
      </c>
      <c r="I3" s="71" t="s">
        <v>32</v>
      </c>
      <c r="J3" s="1"/>
      <c r="K3" s="1"/>
      <c r="L3" s="1"/>
    </row>
    <row r="4" spans="1:13" ht="15.75" x14ac:dyDescent="0.25">
      <c r="A4" s="22" t="s">
        <v>72</v>
      </c>
      <c r="B4" s="20">
        <v>1</v>
      </c>
      <c r="C4" s="20">
        <v>5</v>
      </c>
      <c r="D4" s="20">
        <v>5</v>
      </c>
      <c r="E4" s="10">
        <v>5</v>
      </c>
      <c r="F4" s="20">
        <f>D4*E4</f>
        <v>25</v>
      </c>
      <c r="G4" s="20">
        <f>D4*0.05</f>
        <v>0.25</v>
      </c>
      <c r="H4" s="20">
        <f>D4*0.1</f>
        <v>0.5</v>
      </c>
      <c r="I4" s="90">
        <f>F4*$L$6+G4*$L$5+H4*$L$7</f>
        <v>1395.9159999999999</v>
      </c>
      <c r="J4" s="1"/>
      <c r="K4" s="131" t="s">
        <v>17</v>
      </c>
      <c r="L4" s="131"/>
    </row>
    <row r="5" spans="1:13" ht="28.5" x14ac:dyDescent="0.25">
      <c r="A5" s="22" t="s">
        <v>82</v>
      </c>
      <c r="B5" s="20">
        <v>1</v>
      </c>
      <c r="C5" s="20">
        <v>12.5</v>
      </c>
      <c r="D5" s="20">
        <v>12.5</v>
      </c>
      <c r="E5" s="10">
        <v>26</v>
      </c>
      <c r="F5" s="20">
        <f t="shared" ref="F5" si="0">D5*E5</f>
        <v>325</v>
      </c>
      <c r="G5" s="20">
        <f t="shared" ref="G5:G12" si="1">D5*0.05</f>
        <v>0.625</v>
      </c>
      <c r="H5" s="20">
        <f t="shared" ref="H5:H12" si="2">D5*0.1</f>
        <v>1.25</v>
      </c>
      <c r="I5" s="90">
        <f t="shared" ref="I5:I12" si="3">F5*$L$6+G5*$L$5+H5*$L$7</f>
        <v>17799.190000000002</v>
      </c>
      <c r="J5" s="1"/>
      <c r="K5" s="14" t="s">
        <v>18</v>
      </c>
      <c r="L5" s="27">
        <v>73.456000000000003</v>
      </c>
    </row>
    <row r="6" spans="1:13" ht="28.5" x14ac:dyDescent="0.25">
      <c r="A6" s="22" t="s">
        <v>83</v>
      </c>
      <c r="B6" s="20">
        <v>0.5</v>
      </c>
      <c r="C6" s="20">
        <v>12.5</v>
      </c>
      <c r="D6" s="20">
        <v>6.3</v>
      </c>
      <c r="E6" s="10">
        <v>26</v>
      </c>
      <c r="F6" s="20">
        <f>D6*E6</f>
        <v>163.79999999999998</v>
      </c>
      <c r="G6" s="20">
        <f t="shared" si="1"/>
        <v>0.315</v>
      </c>
      <c r="H6" s="20">
        <f t="shared" si="2"/>
        <v>0.63</v>
      </c>
      <c r="I6" s="90">
        <f t="shared" si="3"/>
        <v>8970.7917599999982</v>
      </c>
      <c r="J6" s="1"/>
      <c r="K6" s="14" t="s">
        <v>33</v>
      </c>
      <c r="L6" s="27">
        <v>54.512</v>
      </c>
    </row>
    <row r="7" spans="1:13" x14ac:dyDescent="0.25">
      <c r="A7" s="22" t="s">
        <v>67</v>
      </c>
      <c r="B7" s="110"/>
      <c r="C7" s="110"/>
      <c r="D7" s="110"/>
      <c r="E7" s="110"/>
      <c r="F7" s="110"/>
      <c r="G7" s="20"/>
      <c r="H7" s="20"/>
      <c r="I7" s="109"/>
      <c r="J7" s="1"/>
      <c r="K7" s="14" t="s">
        <v>20</v>
      </c>
      <c r="L7" s="27">
        <v>29.504000000000001</v>
      </c>
    </row>
    <row r="8" spans="1:13" ht="15.75" x14ac:dyDescent="0.25">
      <c r="A8" s="22" t="s">
        <v>84</v>
      </c>
      <c r="B8" s="20">
        <v>0.5</v>
      </c>
      <c r="C8" s="20">
        <v>5</v>
      </c>
      <c r="D8" s="20">
        <v>2.5</v>
      </c>
      <c r="E8" s="10">
        <v>5</v>
      </c>
      <c r="F8" s="20">
        <f>D8*E8</f>
        <v>12.5</v>
      </c>
      <c r="G8" s="20">
        <f t="shared" si="1"/>
        <v>0.125</v>
      </c>
      <c r="H8" s="20">
        <f t="shared" si="2"/>
        <v>0.25</v>
      </c>
      <c r="I8" s="90">
        <f t="shared" si="3"/>
        <v>697.95799999999997</v>
      </c>
      <c r="J8" s="13"/>
      <c r="K8" s="13"/>
      <c r="L8" s="1"/>
    </row>
    <row r="9" spans="1:13" ht="19.5" customHeight="1" x14ac:dyDescent="0.25">
      <c r="A9" s="22" t="s">
        <v>85</v>
      </c>
      <c r="B9" s="20">
        <v>0.5</v>
      </c>
      <c r="C9" s="20">
        <v>50</v>
      </c>
      <c r="D9" s="20">
        <v>25</v>
      </c>
      <c r="E9" s="10">
        <v>52</v>
      </c>
      <c r="F9" s="60">
        <f t="shared" ref="F9" si="4">D9*E9</f>
        <v>1300</v>
      </c>
      <c r="G9" s="20">
        <f t="shared" si="1"/>
        <v>1.25</v>
      </c>
      <c r="H9" s="20">
        <f t="shared" si="2"/>
        <v>2.5</v>
      </c>
      <c r="I9" s="90">
        <f t="shared" si="3"/>
        <v>71031.180000000008</v>
      </c>
      <c r="J9" s="13"/>
      <c r="K9" s="13"/>
      <c r="L9" s="3"/>
    </row>
    <row r="10" spans="1:13" ht="15.75" x14ac:dyDescent="0.25">
      <c r="A10" s="22" t="s">
        <v>86</v>
      </c>
      <c r="B10" s="20">
        <v>4</v>
      </c>
      <c r="C10" s="20">
        <v>45</v>
      </c>
      <c r="D10" s="20">
        <v>180</v>
      </c>
      <c r="E10" s="10">
        <v>47</v>
      </c>
      <c r="F10" s="60">
        <f>D10*E10</f>
        <v>8460</v>
      </c>
      <c r="G10" s="20">
        <f t="shared" si="1"/>
        <v>9</v>
      </c>
      <c r="H10" s="20">
        <f t="shared" si="2"/>
        <v>18</v>
      </c>
      <c r="I10" s="90">
        <f t="shared" si="3"/>
        <v>462363.696</v>
      </c>
      <c r="J10" s="15"/>
      <c r="K10" s="15"/>
      <c r="L10" s="46"/>
    </row>
    <row r="11" spans="1:13" ht="15.75" x14ac:dyDescent="0.25">
      <c r="A11" s="22" t="s">
        <v>87</v>
      </c>
      <c r="B11" s="20">
        <v>2</v>
      </c>
      <c r="C11" s="20">
        <v>75</v>
      </c>
      <c r="D11" s="20">
        <v>150</v>
      </c>
      <c r="E11" s="10">
        <v>78</v>
      </c>
      <c r="F11" s="60">
        <f t="shared" ref="F11:F12" si="5">D11*E11</f>
        <v>11700</v>
      </c>
      <c r="G11" s="20">
        <f t="shared" si="1"/>
        <v>7.5</v>
      </c>
      <c r="H11" s="20">
        <f t="shared" si="2"/>
        <v>15</v>
      </c>
      <c r="I11" s="90">
        <f t="shared" si="3"/>
        <v>638783.88000000012</v>
      </c>
      <c r="J11" s="1"/>
      <c r="K11" s="1"/>
      <c r="L11" s="1"/>
    </row>
    <row r="12" spans="1:13" ht="15" customHeight="1" x14ac:dyDescent="0.25">
      <c r="A12" s="22" t="s">
        <v>68</v>
      </c>
      <c r="B12" s="20">
        <v>60</v>
      </c>
      <c r="C12" s="20">
        <v>1</v>
      </c>
      <c r="D12" s="20">
        <v>60</v>
      </c>
      <c r="E12" s="10">
        <v>1</v>
      </c>
      <c r="F12" s="20">
        <f t="shared" si="5"/>
        <v>60</v>
      </c>
      <c r="G12" s="20">
        <f t="shared" si="1"/>
        <v>3</v>
      </c>
      <c r="H12" s="20">
        <f t="shared" si="2"/>
        <v>6</v>
      </c>
      <c r="I12" s="90">
        <f t="shared" si="3"/>
        <v>3668.1120000000001</v>
      </c>
      <c r="J12" s="1"/>
      <c r="K12" s="1"/>
      <c r="L12" s="1"/>
    </row>
    <row r="13" spans="1:13" ht="16.5" x14ac:dyDescent="0.25">
      <c r="A13" s="45" t="s">
        <v>34</v>
      </c>
      <c r="B13" s="151"/>
      <c r="C13" s="151"/>
      <c r="D13" s="151"/>
      <c r="E13" s="151"/>
      <c r="F13" s="152">
        <f>ROUND(SUM(F4:H12), -2)</f>
        <v>22100</v>
      </c>
      <c r="G13" s="152"/>
      <c r="H13" s="152"/>
      <c r="I13" s="74">
        <f>ROUND(SUM(I4:I12), -3)</f>
        <v>1205000</v>
      </c>
      <c r="J13" s="1"/>
      <c r="K13" s="1"/>
      <c r="L13" s="1"/>
    </row>
    <row r="14" spans="1:13" x14ac:dyDescent="0.25">
      <c r="A14" s="113"/>
      <c r="B14" s="114"/>
      <c r="C14" s="114"/>
      <c r="D14" s="114"/>
      <c r="E14" s="114"/>
      <c r="F14" s="115"/>
      <c r="G14" s="115"/>
      <c r="H14" s="115"/>
      <c r="I14" s="116"/>
      <c r="J14" s="1"/>
      <c r="K14" s="1"/>
      <c r="L14" s="1"/>
    </row>
    <row r="15" spans="1:13" x14ac:dyDescent="0.25">
      <c r="A15" s="89" t="s">
        <v>24</v>
      </c>
      <c r="B15" s="89"/>
      <c r="C15" s="89"/>
      <c r="D15" s="89"/>
      <c r="E15" s="89"/>
      <c r="F15" s="89"/>
      <c r="G15" s="89"/>
      <c r="H15" s="89"/>
      <c r="I15" s="89"/>
      <c r="J15" s="117"/>
      <c r="K15" s="1"/>
      <c r="L15" s="1"/>
    </row>
    <row r="16" spans="1:13" ht="49.9" customHeight="1" x14ac:dyDescent="0.25">
      <c r="A16" s="149" t="s">
        <v>96</v>
      </c>
      <c r="B16" s="149"/>
      <c r="C16" s="149"/>
      <c r="D16" s="149"/>
      <c r="E16" s="149"/>
      <c r="F16" s="149"/>
      <c r="G16" s="149"/>
      <c r="H16" s="149"/>
      <c r="I16" s="149"/>
      <c r="J16" s="3"/>
      <c r="K16" s="1"/>
      <c r="L16" s="1"/>
    </row>
    <row r="17" spans="1:12" ht="64.150000000000006" customHeight="1" x14ac:dyDescent="0.25">
      <c r="A17" s="150" t="s">
        <v>119</v>
      </c>
      <c r="B17" s="150"/>
      <c r="C17" s="150"/>
      <c r="D17" s="150"/>
      <c r="E17" s="150"/>
      <c r="F17" s="150"/>
      <c r="G17" s="150"/>
      <c r="H17" s="150"/>
      <c r="I17" s="150"/>
      <c r="J17" s="3"/>
      <c r="K17" s="1"/>
      <c r="L17" s="1"/>
    </row>
    <row r="18" spans="1:12" ht="18" x14ac:dyDescent="0.25">
      <c r="A18" s="120" t="s">
        <v>97</v>
      </c>
      <c r="B18" s="91"/>
      <c r="C18" s="80"/>
      <c r="D18" s="80"/>
      <c r="E18" s="80"/>
      <c r="F18" s="80"/>
      <c r="G18" s="80"/>
      <c r="H18" s="80"/>
      <c r="I18" s="80"/>
      <c r="J18" s="3"/>
      <c r="K18" s="1"/>
      <c r="L18" s="1"/>
    </row>
    <row r="19" spans="1:12" ht="18" x14ac:dyDescent="0.25">
      <c r="A19" s="120" t="s">
        <v>114</v>
      </c>
      <c r="B19" s="91"/>
      <c r="C19" s="80"/>
      <c r="D19" s="80"/>
      <c r="E19" s="80"/>
      <c r="F19" s="80"/>
      <c r="G19" s="80"/>
      <c r="H19" s="80"/>
      <c r="I19" s="80"/>
      <c r="J19" s="117">
        <f>25/500</f>
        <v>0.05</v>
      </c>
      <c r="K19" s="117">
        <f>520*J19</f>
        <v>26</v>
      </c>
      <c r="L19" s="1"/>
    </row>
    <row r="20" spans="1:12" ht="14.45" customHeight="1" x14ac:dyDescent="0.25">
      <c r="A20" s="120" t="s">
        <v>116</v>
      </c>
      <c r="B20" s="91"/>
      <c r="C20" s="80"/>
      <c r="D20" s="80"/>
      <c r="E20" s="80"/>
      <c r="F20" s="80"/>
      <c r="G20" s="80"/>
      <c r="H20" s="80"/>
      <c r="I20" s="80"/>
      <c r="J20" s="117">
        <f>520*0.1</f>
        <v>52</v>
      </c>
      <c r="K20" s="1"/>
      <c r="L20" s="1"/>
    </row>
    <row r="21" spans="1:12" ht="18" x14ac:dyDescent="0.25">
      <c r="A21" s="120" t="s">
        <v>99</v>
      </c>
      <c r="B21" s="91"/>
      <c r="C21" s="1"/>
      <c r="D21" s="1"/>
      <c r="E21" s="1"/>
      <c r="F21" s="1"/>
      <c r="G21" s="1"/>
      <c r="H21" s="1"/>
      <c r="I21" s="1"/>
      <c r="J21" s="3"/>
      <c r="K21" s="1"/>
      <c r="L21" s="1"/>
    </row>
    <row r="22" spans="1:12" ht="18" x14ac:dyDescent="0.25">
      <c r="A22" s="120" t="s">
        <v>100</v>
      </c>
      <c r="B22" s="91"/>
      <c r="C22" s="1"/>
      <c r="D22" s="1"/>
      <c r="E22" s="1"/>
      <c r="F22" s="1"/>
      <c r="G22" s="1"/>
      <c r="H22" s="1"/>
      <c r="I22" s="1"/>
      <c r="J22" s="3"/>
      <c r="K22" s="1"/>
      <c r="L22" s="1"/>
    </row>
    <row r="23" spans="1:12" ht="18" x14ac:dyDescent="0.25">
      <c r="A23" s="121" t="s">
        <v>98</v>
      </c>
      <c r="B23" s="79"/>
      <c r="C23" s="79"/>
      <c r="D23" s="1"/>
      <c r="E23" s="1"/>
      <c r="F23" s="1"/>
      <c r="G23" s="1"/>
      <c r="H23" s="1"/>
      <c r="I23" s="1"/>
      <c r="J23" s="1"/>
      <c r="K23" s="1"/>
      <c r="L23" s="1"/>
    </row>
    <row r="24" spans="1:12" x14ac:dyDescent="0.25">
      <c r="A24" s="1"/>
      <c r="B24" s="79"/>
      <c r="C24" s="79"/>
      <c r="D24" s="1"/>
      <c r="E24" s="1"/>
      <c r="F24" s="1"/>
      <c r="G24" s="1"/>
      <c r="H24" s="1"/>
      <c r="I24" s="1"/>
      <c r="J24" s="1"/>
      <c r="K24" s="1"/>
      <c r="L24" s="1"/>
    </row>
    <row r="25" spans="1:12" x14ac:dyDescent="0.25">
      <c r="A25" s="1"/>
      <c r="B25" s="79"/>
      <c r="C25" s="79"/>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sheetData>
  <mergeCells count="5">
    <mergeCell ref="A16:I16"/>
    <mergeCell ref="A17:I17"/>
    <mergeCell ref="B13:E13"/>
    <mergeCell ref="F13:H13"/>
    <mergeCell ref="K4:L4"/>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I15"/>
  <sheetViews>
    <sheetView zoomScale="90" zoomScaleNormal="90" workbookViewId="0">
      <selection activeCell="C31" sqref="C31"/>
    </sheetView>
  </sheetViews>
  <sheetFormatPr defaultColWidth="22" defaultRowHeight="12.75" x14ac:dyDescent="0.2"/>
  <cols>
    <col min="1" max="1" width="16.42578125" style="18" customWidth="1"/>
    <col min="2" max="10" width="16.7109375" style="18" customWidth="1"/>
    <col min="11" max="16384" width="22" style="18"/>
  </cols>
  <sheetData>
    <row r="1" spans="1:9" ht="15.75" x14ac:dyDescent="0.2">
      <c r="A1" s="123" t="s">
        <v>101</v>
      </c>
      <c r="B1" s="6"/>
      <c r="C1" s="6"/>
    </row>
    <row r="2" spans="1:9" x14ac:dyDescent="0.2">
      <c r="A2" s="103"/>
      <c r="B2" s="103"/>
      <c r="C2" s="103"/>
      <c r="D2" s="103"/>
      <c r="E2" s="103"/>
      <c r="F2" s="103"/>
      <c r="G2" s="103"/>
      <c r="H2" s="92"/>
    </row>
    <row r="3" spans="1:9" x14ac:dyDescent="0.2">
      <c r="A3" s="92"/>
      <c r="B3" s="92"/>
      <c r="C3" s="92"/>
      <c r="D3" s="92"/>
      <c r="E3" s="92"/>
      <c r="F3" s="92"/>
      <c r="G3" s="92"/>
      <c r="H3" s="92"/>
    </row>
    <row r="4" spans="1:9" x14ac:dyDescent="0.2">
      <c r="A4" s="92"/>
      <c r="B4" s="92"/>
      <c r="C4" s="92"/>
      <c r="D4" s="92"/>
      <c r="E4" s="92"/>
      <c r="F4" s="92"/>
      <c r="G4" s="92"/>
      <c r="H4" s="92"/>
    </row>
    <row r="5" spans="1:9" x14ac:dyDescent="0.2">
      <c r="A5" s="93"/>
      <c r="B5" s="94"/>
      <c r="C5" s="95"/>
      <c r="D5" s="96"/>
      <c r="E5" s="97"/>
      <c r="F5" s="97"/>
      <c r="G5" s="97"/>
      <c r="H5" s="96"/>
    </row>
    <row r="6" spans="1:9" x14ac:dyDescent="0.2">
      <c r="A6" s="81"/>
      <c r="B6" s="96"/>
      <c r="C6" s="98"/>
      <c r="D6" s="96"/>
      <c r="E6" s="96"/>
      <c r="F6" s="98"/>
      <c r="G6" s="96"/>
      <c r="H6" s="96"/>
    </row>
    <row r="7" spans="1:9" x14ac:dyDescent="0.2">
      <c r="A7" s="81"/>
      <c r="B7" s="96"/>
      <c r="C7" s="98"/>
      <c r="D7" s="96"/>
      <c r="E7" s="96"/>
      <c r="F7" s="98"/>
      <c r="G7" s="96"/>
      <c r="H7" s="99"/>
    </row>
    <row r="8" spans="1:9" x14ac:dyDescent="0.2">
      <c r="A8" s="100"/>
      <c r="B8" s="94"/>
      <c r="C8" s="101"/>
      <c r="D8" s="94"/>
      <c r="H8" s="102"/>
    </row>
    <row r="9" spans="1:9" x14ac:dyDescent="0.2">
      <c r="A9" s="80"/>
      <c r="B9" s="94"/>
      <c r="C9" s="95"/>
      <c r="D9" s="94"/>
      <c r="E9" s="94"/>
      <c r="F9" s="95"/>
      <c r="G9" s="94"/>
    </row>
    <row r="10" spans="1:9" x14ac:dyDescent="0.2">
      <c r="A10" s="103"/>
      <c r="B10" s="98"/>
      <c r="C10" s="98"/>
      <c r="D10" s="99"/>
      <c r="E10" s="98"/>
      <c r="F10" s="98"/>
      <c r="G10" s="99"/>
      <c r="I10" s="104"/>
    </row>
    <row r="11" spans="1:9" x14ac:dyDescent="0.2">
      <c r="A11" s="103"/>
      <c r="B11" s="98"/>
      <c r="C11" s="98"/>
      <c r="D11" s="99"/>
      <c r="E11" s="98"/>
      <c r="F11" s="98"/>
      <c r="G11" s="99"/>
    </row>
    <row r="12" spans="1:9" x14ac:dyDescent="0.2">
      <c r="A12" s="81"/>
      <c r="B12" s="102"/>
      <c r="C12" s="102"/>
      <c r="D12" s="102"/>
      <c r="E12" s="102"/>
      <c r="F12" s="102"/>
      <c r="G12" s="102"/>
    </row>
    <row r="13" spans="1:9" x14ac:dyDescent="0.2">
      <c r="A13" s="81"/>
      <c r="B13" s="102"/>
      <c r="C13" s="102"/>
      <c r="D13" s="102"/>
      <c r="E13" s="102"/>
      <c r="F13" s="102"/>
      <c r="G13" s="102"/>
    </row>
    <row r="14" spans="1:9" x14ac:dyDescent="0.2">
      <c r="A14" s="43"/>
      <c r="B14" s="43"/>
      <c r="C14" s="43"/>
      <c r="D14" s="43"/>
      <c r="E14" s="43"/>
      <c r="F14" s="43"/>
      <c r="G14" s="43"/>
    </row>
    <row r="15" spans="1:9" x14ac:dyDescent="0.2">
      <c r="A15" s="105"/>
      <c r="B15" s="105"/>
      <c r="C15" s="105"/>
      <c r="D15" s="105"/>
      <c r="E15" s="105"/>
      <c r="F15" s="105"/>
      <c r="G15" s="105"/>
    </row>
  </sheetData>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3"/>
  <sheetViews>
    <sheetView zoomScaleNormal="100" workbookViewId="0">
      <selection activeCell="I3" sqref="I3"/>
    </sheetView>
  </sheetViews>
  <sheetFormatPr defaultRowHeight="15" x14ac:dyDescent="0.25"/>
  <cols>
    <col min="1" max="1" width="43.7109375" customWidth="1"/>
    <col min="2" max="2" width="11.85546875" customWidth="1"/>
    <col min="3" max="3" width="12.7109375" customWidth="1"/>
    <col min="4" max="4" width="11.42578125" customWidth="1"/>
    <col min="5" max="5" width="14.7109375" customWidth="1"/>
  </cols>
  <sheetData>
    <row r="1" spans="1:6" s="18" customFormat="1" ht="15.75" x14ac:dyDescent="0.2">
      <c r="A1" s="153" t="s">
        <v>6</v>
      </c>
      <c r="B1" s="153"/>
      <c r="C1" s="153"/>
      <c r="D1" s="153"/>
      <c r="E1" s="153"/>
      <c r="F1" s="106"/>
    </row>
    <row r="2" spans="1:6" s="18" customFormat="1" ht="12.75" x14ac:dyDescent="0.2">
      <c r="A2" s="19" t="s">
        <v>35</v>
      </c>
      <c r="B2" s="19" t="s">
        <v>36</v>
      </c>
      <c r="C2" s="19" t="s">
        <v>37</v>
      </c>
      <c r="D2" s="19" t="s">
        <v>38</v>
      </c>
      <c r="E2" s="19" t="s">
        <v>39</v>
      </c>
    </row>
    <row r="3" spans="1:6" s="18" customFormat="1" ht="102" x14ac:dyDescent="0.2">
      <c r="A3" s="19" t="s">
        <v>40</v>
      </c>
      <c r="B3" s="19" t="s">
        <v>41</v>
      </c>
      <c r="C3" s="19" t="s">
        <v>42</v>
      </c>
      <c r="D3" s="19" t="s">
        <v>43</v>
      </c>
      <c r="E3" s="19" t="s">
        <v>44</v>
      </c>
    </row>
    <row r="4" spans="1:6" s="18" customFormat="1" ht="17.25" customHeight="1" x14ac:dyDescent="0.2">
      <c r="A4" s="29" t="s">
        <v>45</v>
      </c>
      <c r="B4" s="20">
        <v>5</v>
      </c>
      <c r="C4" s="20">
        <v>1</v>
      </c>
      <c r="D4" s="20">
        <v>0</v>
      </c>
      <c r="E4" s="20">
        <f>(B4*C4)+D4</f>
        <v>5</v>
      </c>
      <c r="F4" s="106"/>
    </row>
    <row r="5" spans="1:6" s="18" customFormat="1" ht="17.25" customHeight="1" x14ac:dyDescent="0.2">
      <c r="A5" s="29" t="s">
        <v>61</v>
      </c>
      <c r="B5" s="20">
        <v>5</v>
      </c>
      <c r="C5" s="20">
        <v>1</v>
      </c>
      <c r="D5" s="20">
        <v>0</v>
      </c>
      <c r="E5" s="20">
        <f t="shared" ref="E5:E8" si="0">(B5*C5)+D5</f>
        <v>5</v>
      </c>
    </row>
    <row r="6" spans="1:6" s="18" customFormat="1" ht="37.5" customHeight="1" x14ac:dyDescent="0.2">
      <c r="A6" s="124" t="s">
        <v>117</v>
      </c>
      <c r="B6" s="28">
        <v>26</v>
      </c>
      <c r="C6" s="28">
        <v>1</v>
      </c>
      <c r="D6" s="28">
        <v>0</v>
      </c>
      <c r="E6" s="28">
        <f t="shared" si="0"/>
        <v>26</v>
      </c>
      <c r="F6" s="125"/>
    </row>
    <row r="7" spans="1:6" s="18" customFormat="1" ht="25.5" x14ac:dyDescent="0.2">
      <c r="A7" s="81" t="s">
        <v>111</v>
      </c>
      <c r="B7" s="20">
        <v>47</v>
      </c>
      <c r="C7" s="20">
        <v>1</v>
      </c>
      <c r="D7" s="20">
        <v>0</v>
      </c>
      <c r="E7" s="20">
        <f t="shared" si="0"/>
        <v>47</v>
      </c>
      <c r="F7" s="106"/>
    </row>
    <row r="8" spans="1:6" s="18" customFormat="1" ht="25.5" x14ac:dyDescent="0.2">
      <c r="A8" s="29" t="s">
        <v>112</v>
      </c>
      <c r="B8" s="20">
        <v>78</v>
      </c>
      <c r="C8" s="20">
        <v>1</v>
      </c>
      <c r="D8" s="20">
        <v>0</v>
      </c>
      <c r="E8" s="20">
        <f t="shared" si="0"/>
        <v>78</v>
      </c>
      <c r="F8" s="106"/>
    </row>
    <row r="9" spans="1:6" s="18" customFormat="1" ht="12.75" x14ac:dyDescent="0.2">
      <c r="A9" s="22"/>
      <c r="B9" s="20"/>
      <c r="C9" s="20"/>
      <c r="D9" s="23" t="s">
        <v>46</v>
      </c>
      <c r="E9" s="65">
        <f>SUM(E4:E8)</f>
        <v>161</v>
      </c>
      <c r="F9" s="106"/>
    </row>
    <row r="10" spans="1:6" s="18" customFormat="1" ht="12.75" x14ac:dyDescent="0.2">
      <c r="A10" s="66"/>
      <c r="B10" s="67"/>
      <c r="C10" s="67"/>
      <c r="D10" s="68"/>
      <c r="E10" s="69"/>
    </row>
    <row r="11" spans="1:6" s="18" customFormat="1" ht="18" customHeight="1" x14ac:dyDescent="0.2">
      <c r="A11" s="26"/>
      <c r="B11" s="26"/>
      <c r="C11" s="26"/>
      <c r="D11" s="26"/>
      <c r="E11" s="26"/>
    </row>
    <row r="12" spans="1:6" s="18" customFormat="1" ht="12.75" x14ac:dyDescent="0.2">
      <c r="A12" s="26"/>
      <c r="B12" s="26"/>
      <c r="C12" s="26"/>
      <c r="D12" s="26"/>
      <c r="E12" s="26"/>
    </row>
    <row r="13" spans="1:6" s="18" customFormat="1" ht="12.75" x14ac:dyDescent="0.2">
      <c r="A13" s="122"/>
      <c r="B13" s="122"/>
      <c r="C13" s="122"/>
      <c r="D13" s="122"/>
      <c r="E13" s="122"/>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G9"/>
  <sheetViews>
    <sheetView zoomScale="90" zoomScaleNormal="90" workbookViewId="0">
      <selection activeCell="H4" sqref="H4"/>
    </sheetView>
  </sheetViews>
  <sheetFormatPr defaultColWidth="17.7109375" defaultRowHeight="31.9" customHeight="1" x14ac:dyDescent="0.25"/>
  <sheetData>
    <row r="1" spans="1:7" s="18" customFormat="1" ht="31.9" customHeight="1" x14ac:dyDescent="0.25">
      <c r="A1" s="153" t="s">
        <v>2</v>
      </c>
      <c r="B1" s="153"/>
      <c r="C1" s="153"/>
      <c r="D1" s="153"/>
      <c r="E1" s="153"/>
      <c r="F1" s="153"/>
      <c r="G1" s="107"/>
    </row>
    <row r="2" spans="1:7" s="18" customFormat="1" ht="31.9" customHeight="1" x14ac:dyDescent="0.2">
      <c r="A2" s="24"/>
      <c r="B2" s="154" t="s">
        <v>47</v>
      </c>
      <c r="C2" s="154"/>
      <c r="D2" s="24" t="s">
        <v>48</v>
      </c>
      <c r="E2" s="154"/>
      <c r="F2" s="154"/>
    </row>
    <row r="3" spans="1:7" s="18" customFormat="1" ht="31.9" customHeight="1" x14ac:dyDescent="0.2">
      <c r="A3" s="24"/>
      <c r="B3" s="25" t="s">
        <v>35</v>
      </c>
      <c r="C3" s="25" t="s">
        <v>36</v>
      </c>
      <c r="D3" s="25" t="s">
        <v>37</v>
      </c>
      <c r="E3" s="25" t="s">
        <v>38</v>
      </c>
      <c r="F3" s="25" t="s">
        <v>39</v>
      </c>
    </row>
    <row r="4" spans="1:7" s="18" customFormat="1" ht="70.900000000000006" customHeight="1" x14ac:dyDescent="0.2">
      <c r="A4" s="25" t="s">
        <v>49</v>
      </c>
      <c r="B4" s="24" t="s">
        <v>50</v>
      </c>
      <c r="C4" s="24" t="s">
        <v>51</v>
      </c>
      <c r="D4" s="24" t="s">
        <v>52</v>
      </c>
      <c r="E4" s="24" t="s">
        <v>53</v>
      </c>
      <c r="F4" s="24" t="s">
        <v>54</v>
      </c>
    </row>
    <row r="5" spans="1:7" s="18" customFormat="1" ht="31.9" customHeight="1" x14ac:dyDescent="0.2">
      <c r="A5" s="19">
        <v>1</v>
      </c>
      <c r="B5" s="20">
        <v>5</v>
      </c>
      <c r="C5" s="20">
        <v>510</v>
      </c>
      <c r="D5" s="20">
        <v>0</v>
      </c>
      <c r="E5" s="20">
        <v>0</v>
      </c>
      <c r="F5" s="20">
        <f>B5+C5+D5-E5</f>
        <v>515</v>
      </c>
    </row>
    <row r="6" spans="1:7" s="18" customFormat="1" ht="31.9" customHeight="1" x14ac:dyDescent="0.2">
      <c r="A6" s="19">
        <v>2</v>
      </c>
      <c r="B6" s="20">
        <v>5</v>
      </c>
      <c r="C6" s="20">
        <f>F5</f>
        <v>515</v>
      </c>
      <c r="D6" s="20">
        <v>0</v>
      </c>
      <c r="E6" s="20">
        <v>0</v>
      </c>
      <c r="F6" s="20">
        <f>B6+C6+D6-E6</f>
        <v>520</v>
      </c>
    </row>
    <row r="7" spans="1:7" s="18" customFormat="1" ht="31.9" customHeight="1" x14ac:dyDescent="0.2">
      <c r="A7" s="19">
        <v>3</v>
      </c>
      <c r="B7" s="20">
        <v>5</v>
      </c>
      <c r="C7" s="20">
        <f>F6</f>
        <v>520</v>
      </c>
      <c r="D7" s="20">
        <v>0</v>
      </c>
      <c r="E7" s="20">
        <v>0</v>
      </c>
      <c r="F7" s="20">
        <f>B7+C7+D7-E7</f>
        <v>525</v>
      </c>
    </row>
    <row r="8" spans="1:7" s="18" customFormat="1" ht="31.9" customHeight="1" x14ac:dyDescent="0.2">
      <c r="A8" s="19" t="s">
        <v>55</v>
      </c>
      <c r="B8" s="20">
        <f>AVERAGE(B5:B7)</f>
        <v>5</v>
      </c>
      <c r="C8" s="20">
        <f>AVERAGE(C5:C7)</f>
        <v>515</v>
      </c>
      <c r="D8" s="20">
        <v>0</v>
      </c>
      <c r="E8" s="20">
        <v>0</v>
      </c>
      <c r="F8" s="23">
        <f>AVERAGE(F5:F7)</f>
        <v>520</v>
      </c>
    </row>
    <row r="9" spans="1:7" s="18" customFormat="1" ht="20.45" customHeight="1" x14ac:dyDescent="0.2">
      <c r="A9" s="21" t="s">
        <v>69</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2024-10-23T20:54:42+00:00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3.xml><?xml version="1.0" encoding="utf-8"?>
<ds:datastoreItem xmlns:ds="http://schemas.openxmlformats.org/officeDocument/2006/customXml" ds:itemID="{CFC3A8D5-80E1-4EC9-8C1A-683AD86917D7}"/>
</file>

<file path=customXml/itemProps4.xml><?xml version="1.0" encoding="utf-8"?>
<ds:datastoreItem xmlns:ds="http://schemas.openxmlformats.org/officeDocument/2006/customXml" ds:itemID="{63D9EAA3-7DDB-4CFC-A502-6E4FD83B37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2023-12-01T20:46:38Z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