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S:\Tracy\ICRs - SPPD\FY2024\1750.10 National Volatile Organic Compound Emission Standards\Drafts\send to EPA\"/>
    </mc:Choice>
  </mc:AlternateContent>
  <xr:revisionPtr revIDLastSave="0" documentId="13_ncr:1_{60B67150-488C-4F4F-80FE-3EB86F920809}" xr6:coauthVersionLast="47" xr6:coauthVersionMax="47" xr10:uidLastSave="{00000000-0000-0000-0000-000000000000}"/>
  <bookViews>
    <workbookView xWindow="-120" yWindow="-120" windowWidth="20730" windowHeight="1116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2" i="1" l="1"/>
  <c r="H31" i="1"/>
  <c r="G31" i="1"/>
  <c r="G28" i="1"/>
  <c r="H28" i="1"/>
  <c r="G29" i="1"/>
  <c r="H29" i="1"/>
  <c r="H27" i="1"/>
  <c r="G27" i="1"/>
  <c r="G23" i="1"/>
  <c r="H23" i="1"/>
  <c r="G24" i="1"/>
  <c r="H24" i="1"/>
  <c r="G25" i="1"/>
  <c r="H25" i="1"/>
  <c r="H22" i="1"/>
  <c r="G22" i="1"/>
  <c r="H20" i="1"/>
  <c r="G20" i="1"/>
  <c r="H11" i="1"/>
  <c r="H12" i="1"/>
  <c r="H13" i="1"/>
  <c r="H14" i="1"/>
  <c r="H15" i="1"/>
  <c r="H16" i="1"/>
  <c r="H10" i="1"/>
  <c r="G11" i="1"/>
  <c r="G12" i="1"/>
  <c r="G13" i="1"/>
  <c r="G14" i="1"/>
  <c r="G15" i="1"/>
  <c r="G16" i="1"/>
  <c r="G10" i="1"/>
  <c r="H7" i="1"/>
  <c r="G7" i="1" l="1"/>
  <c r="F31" i="1"/>
  <c r="F28" i="1"/>
  <c r="F29" i="1"/>
  <c r="F27" i="1"/>
  <c r="F23" i="1"/>
  <c r="F24" i="1"/>
  <c r="F25" i="1"/>
  <c r="F22" i="1"/>
  <c r="F20" i="1"/>
  <c r="F11" i="1"/>
  <c r="F12" i="1"/>
  <c r="F13" i="1"/>
  <c r="F14" i="1"/>
  <c r="F15" i="1"/>
  <c r="F16" i="1"/>
  <c r="F10" i="1"/>
  <c r="F7" i="1"/>
  <c r="E6" i="5"/>
  <c r="F13" i="2"/>
  <c r="I7" i="1" l="1"/>
  <c r="E5" i="5"/>
  <c r="E7" i="5"/>
  <c r="E8" i="5"/>
  <c r="E4" i="5"/>
  <c r="J20" i="2"/>
  <c r="K19" i="2"/>
  <c r="J19" i="2"/>
  <c r="F32" i="1"/>
  <c r="F17" i="1"/>
  <c r="F33" i="1" l="1"/>
  <c r="F10" i="2"/>
  <c r="G5" i="2"/>
  <c r="G6" i="2"/>
  <c r="G8" i="2"/>
  <c r="G9" i="2"/>
  <c r="G10" i="2"/>
  <c r="G11" i="2"/>
  <c r="G12" i="2"/>
  <c r="H5" i="2"/>
  <c r="H6" i="2"/>
  <c r="H8" i="2"/>
  <c r="H9" i="2"/>
  <c r="H10" i="2"/>
  <c r="H11" i="2"/>
  <c r="H12" i="2"/>
  <c r="F12" i="2"/>
  <c r="F11" i="2"/>
  <c r="F9" i="2"/>
  <c r="F8" i="2"/>
  <c r="F6" i="2"/>
  <c r="I6" i="2" s="1"/>
  <c r="F5" i="2"/>
  <c r="I5" i="2" s="1"/>
  <c r="F4" i="2"/>
  <c r="H4" i="2"/>
  <c r="G4" i="2"/>
  <c r="I31" i="1"/>
  <c r="I29" i="1"/>
  <c r="I28" i="1"/>
  <c r="I27" i="1"/>
  <c r="I23" i="1"/>
  <c r="I24" i="1"/>
  <c r="I25" i="1"/>
  <c r="I22" i="1"/>
  <c r="I20" i="1"/>
  <c r="I11" i="1"/>
  <c r="I12" i="1"/>
  <c r="I13" i="1"/>
  <c r="I14" i="1"/>
  <c r="I15" i="1"/>
  <c r="I16" i="1"/>
  <c r="I10" i="1"/>
  <c r="D31" i="1"/>
  <c r="D28" i="1"/>
  <c r="D29" i="1"/>
  <c r="D27" i="1"/>
  <c r="D23" i="1"/>
  <c r="D24" i="1"/>
  <c r="D25" i="1"/>
  <c r="D22" i="1"/>
  <c r="D20" i="1"/>
  <c r="D11" i="1"/>
  <c r="D12" i="1"/>
  <c r="D13" i="1"/>
  <c r="D14" i="1"/>
  <c r="D15" i="1"/>
  <c r="D16" i="1"/>
  <c r="D10" i="1"/>
  <c r="D7" i="1"/>
  <c r="I32" i="1" l="1"/>
  <c r="I8" i="2"/>
  <c r="I17" i="1"/>
  <c r="I33" i="1" s="1"/>
  <c r="I9" i="2"/>
  <c r="I11" i="2"/>
  <c r="I10" i="2"/>
  <c r="I12" i="2"/>
  <c r="I4" i="2"/>
  <c r="B8" i="4"/>
  <c r="F5" i="4"/>
  <c r="C6" i="4" s="1"/>
  <c r="F6" i="4" s="1"/>
  <c r="C7" i="4" s="1"/>
  <c r="C8" i="4" s="1"/>
  <c r="I13" i="2" l="1"/>
  <c r="F7" i="4"/>
  <c r="F8" i="4"/>
  <c r="B3" i="6" s="1"/>
  <c r="E9" i="5" l="1"/>
  <c r="B7" i="6" l="1"/>
  <c r="B6" i="6" l="1"/>
  <c r="B4" i="6" l="1"/>
  <c r="I35" i="1" l="1"/>
  <c r="B5" i="6" s="1"/>
  <c r="B2" i="6" l="1"/>
</calcChain>
</file>

<file path=xl/sharedStrings.xml><?xml version="1.0" encoding="utf-8"?>
<sst xmlns="http://schemas.openxmlformats.org/spreadsheetml/2006/main" count="141" uniqueCount="126">
  <si>
    <t>ICR Summary Information</t>
  </si>
  <si>
    <t>Hours per Response</t>
  </si>
  <si>
    <t>Number of Respondents</t>
  </si>
  <si>
    <t>Total Estimated Burden Hours</t>
  </si>
  <si>
    <t>Total Estimated Costs</t>
  </si>
  <si>
    <t>Annualized Capital O&amp;M</t>
  </si>
  <si>
    <t>Total Annual Responses</t>
  </si>
  <si>
    <t>Form Number</t>
  </si>
  <si>
    <t>Burden Item</t>
  </si>
  <si>
    <t>(A)
Person hours per occurrence</t>
  </si>
  <si>
    <t>(B)
No. of occurrences per respondent per year</t>
  </si>
  <si>
    <t>(C) 
Person hours per respondent per year 
(C=AxB)</t>
  </si>
  <si>
    <r>
      <t xml:space="preserve">(D)
Respondents per year </t>
    </r>
    <r>
      <rPr>
        <vertAlign val="superscript"/>
        <sz val="10"/>
        <color theme="1"/>
        <rFont val="Times New Roman"/>
        <family val="1"/>
      </rPr>
      <t>a</t>
    </r>
  </si>
  <si>
    <t>(E) 
Technical person- hours per year (E=CxD)</t>
  </si>
  <si>
    <t>(F)
Management person hours per year (Ex0.05)</t>
  </si>
  <si>
    <t>(G)
Clerical person hours per year (Ex0.1)</t>
  </si>
  <si>
    <r>
      <t xml:space="preserve">(H)
Cost, $ </t>
    </r>
    <r>
      <rPr>
        <vertAlign val="superscript"/>
        <sz val="10"/>
        <color theme="1"/>
        <rFont val="Times New Roman"/>
        <family val="1"/>
      </rPr>
      <t>b</t>
    </r>
  </si>
  <si>
    <t>Labor Rates</t>
  </si>
  <si>
    <t>Management</t>
  </si>
  <si>
    <t>Technical</t>
  </si>
  <si>
    <t>Clerical</t>
  </si>
  <si>
    <t>Subtotal for Reporting Requirements</t>
  </si>
  <si>
    <t xml:space="preserve">Subtotal for Recordkeeping Requirements  </t>
  </si>
  <si>
    <t>hr/response</t>
  </si>
  <si>
    <t>Assumptions:</t>
  </si>
  <si>
    <t>Burden item</t>
  </si>
  <si>
    <t>(A)
 Person hours per occurrence</t>
  </si>
  <si>
    <t>(B) 
No. of occurrences per respondent per year</t>
  </si>
  <si>
    <t>(C) 
Person hours per respondent per year (C=AxB)</t>
  </si>
  <si>
    <r>
      <t xml:space="preserve">(D) 
Respondents per year  </t>
    </r>
    <r>
      <rPr>
        <vertAlign val="superscript"/>
        <sz val="10"/>
        <rFont val="Times New Roman"/>
        <family val="1"/>
      </rPr>
      <t>a</t>
    </r>
  </si>
  <si>
    <t>(F) 
Management person hours per year (Ex0.05)</t>
  </si>
  <si>
    <t>(G) 
Clerical person hours per year (Ex0.1)</t>
  </si>
  <si>
    <r>
      <t xml:space="preserve">(H) 
Cost, $ </t>
    </r>
    <r>
      <rPr>
        <vertAlign val="superscript"/>
        <sz val="10"/>
        <rFont val="Times New Roman"/>
        <family val="1"/>
      </rPr>
      <t>b</t>
    </r>
  </si>
  <si>
    <t xml:space="preserve">Technical </t>
  </si>
  <si>
    <r>
      <t xml:space="preserve">TOTAL (rounded) </t>
    </r>
    <r>
      <rPr>
        <b/>
        <vertAlign val="superscript"/>
        <sz val="10"/>
        <rFont val="Times New Roman"/>
        <family val="1"/>
      </rPr>
      <t>h</t>
    </r>
  </si>
  <si>
    <t>(A)</t>
  </si>
  <si>
    <t>(B)</t>
  </si>
  <si>
    <t>(C)</t>
  </si>
  <si>
    <t>(D)</t>
  </si>
  <si>
    <t>(E)</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</si>
  <si>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</si>
  <si>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</si>
  <si>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</si>
  <si>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</si>
  <si>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</si>
  <si>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Initial Notification</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</si>
  <si>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</si>
  <si>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</si>
  <si>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</si>
  <si>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</si>
  <si>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</si>
  <si>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</si>
  <si>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</si>
  <si>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</si>
  <si>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</si>
  <si>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</si>
  <si>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t>1.  Applications</t>
  </si>
  <si>
    <t>2.  Surveys and Studies</t>
  </si>
  <si>
    <t>3.  Reporting Requirements</t>
  </si>
  <si>
    <t>B.  Gathering Existing Information</t>
  </si>
  <si>
    <t>C.  Write Report</t>
  </si>
  <si>
    <t>Initial Report</t>
  </si>
  <si>
    <t>4.  Recordkeeping Requirements</t>
  </si>
  <si>
    <t>E.  Time to Train Personnel</t>
  </si>
  <si>
    <t>N/A</t>
  </si>
  <si>
    <t>See 3C</t>
  </si>
  <si>
    <t>See 3A</t>
  </si>
  <si>
    <t xml:space="preserve">Date Code </t>
  </si>
  <si>
    <t>Maintenance of implementation database</t>
  </si>
  <si>
    <r>
      <t xml:space="preserve">a </t>
    </r>
    <r>
      <rPr>
        <sz val="10"/>
        <color rgb="FF000000"/>
        <rFont val="Times New Roman"/>
        <family val="1"/>
      </rPr>
      <t xml:space="preserve">  New respondents include sources with constructed, reconstructed, and modified affected facilities.</t>
    </r>
  </si>
  <si>
    <r>
      <rPr>
        <vertAlign val="superscript"/>
        <sz val="12"/>
        <color theme="1"/>
        <rFont val="Times New Roman"/>
        <family val="1"/>
      </rPr>
      <t>b</t>
    </r>
    <r>
      <rPr>
        <sz val="12"/>
        <color theme="1"/>
        <rFont val="Times New Roman"/>
        <family val="1"/>
      </rPr>
      <t xml:space="preserve"> This ICR uses the following labor rates: $163.17 ($77.70 + 110%) per hour for Executive, Administrative, and Managerial labor; $130.28 ($62.04 + 110%) per hour for Technical labor, and $65.71 ($31.29 + 110%)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</si>
  <si>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 xml:space="preserve">A.  Read Instructions </t>
    </r>
    <r>
      <rPr>
        <vertAlign val="superscript"/>
        <sz val="10"/>
        <color theme="1"/>
        <rFont val="Times New Roman"/>
        <family val="1"/>
      </rPr>
      <t>c</t>
    </r>
  </si>
  <si>
    <r>
      <t xml:space="preserve">Initial Report </t>
    </r>
    <r>
      <rPr>
        <vertAlign val="superscript"/>
        <sz val="10"/>
        <color theme="1"/>
        <rFont val="Times New Roman"/>
        <family val="1"/>
      </rPr>
      <t>c</t>
    </r>
  </si>
  <si>
    <r>
      <t xml:space="preserve">Date Code Explanation </t>
    </r>
    <r>
      <rPr>
        <vertAlign val="superscript"/>
        <sz val="10"/>
        <color theme="1"/>
        <rFont val="Times New Roman"/>
        <family val="1"/>
      </rPr>
      <t>c</t>
    </r>
  </si>
  <si>
    <r>
      <t xml:space="preserve">Update Date Codes </t>
    </r>
    <r>
      <rPr>
        <vertAlign val="superscript"/>
        <sz val="10"/>
        <color theme="1"/>
        <rFont val="Times New Roman"/>
        <family val="1"/>
      </rPr>
      <t>d</t>
    </r>
  </si>
  <si>
    <r>
      <t xml:space="preserve">Recycled Coatings Report - Formulation </t>
    </r>
    <r>
      <rPr>
        <vertAlign val="superscript"/>
        <sz val="10"/>
        <color theme="1"/>
        <rFont val="Times New Roman"/>
        <family val="1"/>
      </rPr>
      <t>e</t>
    </r>
  </si>
  <si>
    <r>
      <t xml:space="preserve">Exceedance Fee Annual Report </t>
    </r>
    <r>
      <rPr>
        <vertAlign val="superscript"/>
        <sz val="10"/>
        <color theme="1"/>
        <rFont val="Times New Roman"/>
        <family val="1"/>
      </rPr>
      <t xml:space="preserve"> f</t>
    </r>
  </si>
  <si>
    <r>
      <t xml:space="preserve">Exceedance Fee </t>
    </r>
    <r>
      <rPr>
        <vertAlign val="superscript"/>
        <sz val="10"/>
        <rFont val="Times New Roman"/>
        <family val="1"/>
      </rPr>
      <t>f</t>
    </r>
  </si>
  <si>
    <r>
      <t xml:space="preserve">B.  Plan Activities </t>
    </r>
    <r>
      <rPr>
        <vertAlign val="superscript"/>
        <sz val="10"/>
        <color theme="1"/>
        <rFont val="Times New Roman"/>
        <family val="1"/>
      </rPr>
      <t>a,c</t>
    </r>
  </si>
  <si>
    <r>
      <rPr>
        <vertAlign val="superscript"/>
        <sz val="12"/>
        <color theme="1"/>
        <rFont val="Times New Roman"/>
        <family val="1"/>
      </rPr>
      <t>h</t>
    </r>
    <r>
      <rPr>
        <sz val="12"/>
        <color theme="1"/>
        <rFont val="Times New Roman"/>
        <family val="1"/>
      </rPr>
      <t xml:space="preserve"> Based on a time estimate of 1 hour per coating product. (1 hour/product) (42 products/manufacturer) = 42 hours/manufacturer.</t>
    </r>
  </si>
  <si>
    <r>
      <t xml:space="preserve">Recycling Volumes </t>
    </r>
    <r>
      <rPr>
        <vertAlign val="superscript"/>
        <sz val="10"/>
        <rFont val="Times New Roman"/>
        <family val="1"/>
      </rPr>
      <t>i</t>
    </r>
  </si>
  <si>
    <r>
      <t xml:space="preserve">5.  Labeling </t>
    </r>
    <r>
      <rPr>
        <vertAlign val="superscript"/>
        <sz val="10"/>
        <rFont val="Times New Roman"/>
        <family val="1"/>
      </rPr>
      <t>j,k</t>
    </r>
  </si>
  <si>
    <r>
      <t xml:space="preserve">Annual Report:  Manufacture of Recycled Coatings - Mass Balance </t>
    </r>
    <r>
      <rPr>
        <vertAlign val="superscript"/>
        <sz val="10"/>
        <color theme="1"/>
        <rFont val="Times New Roman"/>
        <family val="1"/>
      </rPr>
      <t>d</t>
    </r>
  </si>
  <si>
    <r>
      <t xml:space="preserve">Annual Report:  Manufacture of Recycled Coatings - Formulation </t>
    </r>
    <r>
      <rPr>
        <vertAlign val="superscript"/>
        <sz val="10"/>
        <color theme="1"/>
        <rFont val="Times New Roman"/>
        <family val="1"/>
      </rPr>
      <t>d</t>
    </r>
  </si>
  <si>
    <r>
      <t xml:space="preserve">Date Code Reports </t>
    </r>
    <r>
      <rPr>
        <vertAlign val="superscript"/>
        <sz val="10"/>
        <color theme="1"/>
        <rFont val="Times New Roman"/>
        <family val="1"/>
      </rPr>
      <t>c</t>
    </r>
  </si>
  <si>
    <r>
      <t xml:space="preserve">Date Code Updates </t>
    </r>
    <r>
      <rPr>
        <vertAlign val="superscript"/>
        <sz val="10"/>
        <color theme="1"/>
        <rFont val="Times New Roman"/>
        <family val="1"/>
      </rPr>
      <t>e</t>
    </r>
  </si>
  <si>
    <r>
      <t xml:space="preserve">Annual Report:  Exceedance Fee </t>
    </r>
    <r>
      <rPr>
        <vertAlign val="superscript"/>
        <sz val="10"/>
        <color theme="1"/>
        <rFont val="Times New Roman"/>
        <family val="1"/>
      </rPr>
      <t>f</t>
    </r>
  </si>
  <si>
    <r>
      <t xml:space="preserve">Annual Report: Tonnage Exemption </t>
    </r>
    <r>
      <rPr>
        <vertAlign val="superscript"/>
        <sz val="10"/>
        <color theme="1"/>
        <rFont val="Times New Roman"/>
        <family val="1"/>
      </rPr>
      <t>g</t>
    </r>
  </si>
  <si>
    <r>
      <rPr>
        <vertAlign val="superscript"/>
        <sz val="12"/>
        <color theme="1"/>
        <rFont val="Times New Roman"/>
        <family val="1"/>
      </rPr>
      <t>a</t>
    </r>
    <r>
      <rPr>
        <sz val="12"/>
        <color theme="1"/>
        <rFont val="Times New Roman"/>
        <family val="1"/>
      </rPr>
      <t xml:space="preserve"> The respondent universe consists of 520 architectural coating manufacturers. Of these, 78 are considered large manufacturers and 442 are considered small manufacturers. that the number of new respondents submitting the one-time Initial Notification Report and date code explanations will be 1 percent of the total respondent universe of 520, or about 5 per year.</t>
    </r>
  </si>
  <si>
    <r>
      <rPr>
        <vertAlign val="superscript"/>
        <sz val="12"/>
        <color theme="1"/>
        <rFont val="Times New Roman"/>
        <family val="1"/>
      </rPr>
      <t>c</t>
    </r>
    <r>
      <rPr>
        <sz val="12"/>
        <color theme="1"/>
        <rFont val="Times New Roman"/>
        <family val="1"/>
      </rPr>
      <t xml:space="preserve"> Total number of manufacturers is estimated to be 520; 1 percent or 5 new respondents per year are assumed. </t>
    </r>
  </si>
  <si>
    <r>
      <rPr>
        <vertAlign val="superscript"/>
        <sz val="12"/>
        <color theme="1"/>
        <rFont val="Times New Roman"/>
        <family val="1"/>
      </rPr>
      <t>d</t>
    </r>
    <r>
      <rPr>
        <sz val="12"/>
        <color theme="1"/>
        <rFont val="Times New Roman"/>
        <family val="1"/>
      </rPr>
      <t xml:space="preserve"> Assumed that 10 percent of manufacturers update some date codes each year. (520 manufacturers) (0.10) = 52 manufacturers.</t>
    </r>
  </si>
  <si>
    <r>
      <rPr>
        <vertAlign val="superscript"/>
        <sz val="12"/>
        <color theme="1"/>
        <rFont val="Times New Roman"/>
        <family val="1"/>
      </rPr>
      <t xml:space="preserve">e </t>
    </r>
    <r>
      <rPr>
        <sz val="12"/>
        <color theme="1"/>
        <rFont val="Times New Roman"/>
        <family val="1"/>
      </rPr>
      <t>Assumed that 5 percent of manufacturers recycle coatings (520 manufacturers) (0.05) = 26 manufacturers. Of the 26 manufacturers, assumed half of the recycle coating manufacturers would demonstrate compliance using mass balance and the other half using formulations.</t>
    </r>
  </si>
  <si>
    <r>
      <rPr>
        <vertAlign val="superscript"/>
        <sz val="12"/>
        <color theme="1"/>
        <rFont val="Times New Roman"/>
        <family val="1"/>
      </rPr>
      <t>f</t>
    </r>
    <r>
      <rPr>
        <sz val="12"/>
        <color theme="1"/>
        <rFont val="Times New Roman"/>
        <family val="1"/>
      </rPr>
      <t xml:space="preserve"> Based on exceedance fee reports received in 2009 (52) and 2010 (39), it is estimated that 47 exceedance fee reports will be submitted per year.</t>
    </r>
  </si>
  <si>
    <r>
      <t xml:space="preserve">Tonnage Exemption Annual Report </t>
    </r>
    <r>
      <rPr>
        <vertAlign val="superscript"/>
        <sz val="10"/>
        <color theme="1"/>
        <rFont val="Times New Roman"/>
        <family val="1"/>
      </rPr>
      <t>g</t>
    </r>
  </si>
  <si>
    <r>
      <rPr>
        <vertAlign val="superscript"/>
        <sz val="12"/>
        <color theme="1"/>
        <rFont val="Times New Roman"/>
        <family val="1"/>
      </rPr>
      <t>g</t>
    </r>
    <r>
      <rPr>
        <sz val="12"/>
        <color theme="1"/>
        <rFont val="Times New Roman"/>
        <family val="1"/>
      </rPr>
      <t xml:space="preserve"> Assumed that 78 manufacturers will use the tonnage exemption option.</t>
    </r>
  </si>
  <si>
    <r>
      <rPr>
        <vertAlign val="superscript"/>
        <sz val="12"/>
        <color theme="1"/>
        <rFont val="Times New Roman"/>
        <family val="1"/>
      </rPr>
      <t>k</t>
    </r>
    <r>
      <rPr>
        <sz val="12"/>
        <color theme="1"/>
        <rFont val="Times New Roman"/>
        <family val="1"/>
      </rPr>
      <t xml:space="preserve"> Assumed that half of the manufacturers would have to modify their labels over 3 years. (520 manufacturers) (0.5)/(3 years) = 87 manufacturers per year.</t>
    </r>
  </si>
  <si>
    <r>
      <rPr>
        <vertAlign val="superscript"/>
        <sz val="11"/>
        <color theme="1"/>
        <rFont val="Times New Roman"/>
        <family val="1"/>
      </rPr>
      <t>a</t>
    </r>
    <r>
      <rPr>
        <sz val="11"/>
        <color theme="1"/>
        <rFont val="Times New Roman"/>
        <family val="1"/>
      </rPr>
      <t xml:space="preserve"> The respondent universe consists of 520 architectural coating manufacturers. Of these, 78 are considered large manufacturers and 442 are considered small manufacturers. that the number of new respondents submitting the one-time Initial Notification Report and date code explanations will be 1 percent of the total respondent universe of 520, or about 5 per year.</t>
    </r>
  </si>
  <si>
    <r>
      <rPr>
        <vertAlign val="superscript"/>
        <sz val="11"/>
        <color theme="1"/>
        <rFont val="Times New Roman"/>
        <family val="1"/>
      </rPr>
      <t>c</t>
    </r>
    <r>
      <rPr>
        <sz val="11"/>
        <color theme="1"/>
        <rFont val="Times New Roman"/>
        <family val="1"/>
      </rPr>
      <t xml:space="preserve"> Total number of manufacturers is estimated to be 520; 1 percent or 5 new respondents per year are assumed.</t>
    </r>
  </si>
  <si>
    <r>
      <rPr>
        <vertAlign val="superscript"/>
        <sz val="11"/>
        <color theme="1"/>
        <rFont val="Times New Roman"/>
        <family val="1"/>
      </rPr>
      <t>h</t>
    </r>
    <r>
      <rPr>
        <sz val="11"/>
        <color theme="1"/>
        <rFont val="Times New Roman"/>
        <family val="1"/>
      </rPr>
      <t xml:space="preserve"> Totals have been rounded to 3 significant digits. Figures may not add exactly due to rounding. </t>
    </r>
  </si>
  <si>
    <r>
      <rPr>
        <vertAlign val="superscript"/>
        <sz val="11"/>
        <color theme="1"/>
        <rFont val="Times New Roman"/>
        <family val="1"/>
      </rPr>
      <t>f</t>
    </r>
    <r>
      <rPr>
        <sz val="11"/>
        <color theme="1"/>
        <rFont val="Times New Roman"/>
        <family val="1"/>
      </rPr>
      <t xml:space="preserve"> Assumed 47 manufacturers will pay fees on some coatings (see footnote f in Table 1).</t>
    </r>
  </si>
  <si>
    <r>
      <rPr>
        <vertAlign val="superscript"/>
        <sz val="11"/>
        <color theme="1"/>
        <rFont val="Times New Roman"/>
        <family val="1"/>
      </rPr>
      <t>g</t>
    </r>
    <r>
      <rPr>
        <sz val="11"/>
        <color theme="1"/>
        <rFont val="Times New Roman"/>
        <family val="1"/>
      </rPr>
      <t xml:space="preserve"> Assumed 78 manufacturers will use tonnage exemption option. </t>
    </r>
  </si>
  <si>
    <t>There are no Capital and O&amp;M costs associated with this ICR Renewal</t>
  </si>
  <si>
    <r>
      <t xml:space="preserve">  Recycled Coatings Report - Mass Balance </t>
    </r>
    <r>
      <rPr>
        <vertAlign val="superscript"/>
        <sz val="10"/>
        <color theme="1"/>
        <rFont val="Times New Roman"/>
        <family val="1"/>
      </rPr>
      <t>e</t>
    </r>
  </si>
  <si>
    <t xml:space="preserve">  A.  Read Instructions</t>
  </si>
  <si>
    <t xml:space="preserve">     C.  Implement Activities</t>
  </si>
  <si>
    <r>
      <t xml:space="preserve">     Calculate VOC content for Each Product </t>
    </r>
    <r>
      <rPr>
        <vertAlign val="superscript"/>
        <sz val="10"/>
        <color theme="1"/>
        <rFont val="Times New Roman"/>
        <family val="1"/>
      </rPr>
      <t>c,h</t>
    </r>
  </si>
  <si>
    <r>
      <t xml:space="preserve">  Calculate Adjusted VOC for Recycled Coatings </t>
    </r>
    <r>
      <rPr>
        <vertAlign val="superscript"/>
        <sz val="10"/>
        <color theme="1"/>
        <rFont val="Times New Roman"/>
        <family val="1"/>
      </rPr>
      <t>i</t>
    </r>
  </si>
  <si>
    <r>
      <t xml:space="preserve">  Exceedance Fee - Calculations</t>
    </r>
    <r>
      <rPr>
        <vertAlign val="superscript"/>
        <sz val="10"/>
        <rFont val="Times New Roman"/>
        <family val="1"/>
      </rPr>
      <t xml:space="preserve"> f</t>
    </r>
  </si>
  <si>
    <r>
      <t xml:space="preserve">  Tonnage Exemption Calculations </t>
    </r>
    <r>
      <rPr>
        <vertAlign val="superscript"/>
        <sz val="10"/>
        <rFont val="Times New Roman"/>
        <family val="1"/>
      </rPr>
      <t>g</t>
    </r>
  </si>
  <si>
    <t xml:space="preserve">  D.  Record Data </t>
  </si>
  <si>
    <r>
      <t xml:space="preserve">  Tonnage Exemption</t>
    </r>
    <r>
      <rPr>
        <vertAlign val="superscript"/>
        <sz val="10"/>
        <rFont val="Times New Roman"/>
        <family val="1"/>
      </rPr>
      <t xml:space="preserve"> g</t>
    </r>
  </si>
  <si>
    <t>Annual report for manufacturers and importers using the optional exceedance fee</t>
  </si>
  <si>
    <t>Annual report for manufacturers and importers using the optional tonnage exemption</t>
  </si>
  <si>
    <t>Not Applicable</t>
  </si>
  <si>
    <r>
      <rPr>
        <vertAlign val="superscript"/>
        <sz val="11"/>
        <color theme="1"/>
        <rFont val="Times New Roman"/>
        <family val="1"/>
      </rPr>
      <t>d</t>
    </r>
    <r>
      <rPr>
        <sz val="11"/>
        <color theme="1"/>
        <rFont val="Times New Roman"/>
        <family val="1"/>
      </rPr>
      <t xml:space="preserve"> Assumed 26 recycled coating manufacturers; assumed half use mass balance option and half use formulation option.</t>
    </r>
  </si>
  <si>
    <r>
      <rPr>
        <vertAlign val="superscript"/>
        <sz val="12"/>
        <color theme="1"/>
        <rFont val="Times New Roman"/>
        <family val="1"/>
      </rPr>
      <t>j</t>
    </r>
    <r>
      <rPr>
        <sz val="12"/>
        <color theme="1"/>
        <rFont val="Times New Roman"/>
        <family val="1"/>
      </rPr>
      <t xml:space="preserve"> Based on an industry estimate of 320 hours needed to modify labels for a company with 200 paint products, or 1.6 hours per product. (1.6 hours/product) (42 products/manufacturer) = 67 hours/manufacturer.</t>
    </r>
  </si>
  <si>
    <r>
      <rPr>
        <vertAlign val="superscript"/>
        <sz val="11"/>
        <color theme="1"/>
        <rFont val="Times New Roman"/>
        <family val="1"/>
      </rPr>
      <t>e</t>
    </r>
    <r>
      <rPr>
        <sz val="11"/>
        <color theme="1"/>
        <rFont val="Times New Roman"/>
        <family val="1"/>
      </rPr>
      <t xml:space="preserve"> Assumed 10 percent of all manufacturers update some date codes each year. (520 manufacturers) (0.10) = 52 manufacturers. </t>
    </r>
  </si>
  <si>
    <t xml:space="preserve">Annual report for manufacturers and importers of  recycled coatings that choose to determine the adjusted VOC content </t>
  </si>
  <si>
    <r>
      <rPr>
        <vertAlign val="superscript"/>
        <sz val="12"/>
        <rFont val="Times New Roman"/>
        <family val="1"/>
      </rPr>
      <t xml:space="preserve">i </t>
    </r>
    <r>
      <rPr>
        <sz val="12"/>
        <rFont val="Times New Roman"/>
        <family val="1"/>
      </rPr>
      <t>Assumed that 5 percent of manufacturers recycle coatings. (520 manufacturers) (0. 05) = 26 manufacturers.</t>
    </r>
  </si>
  <si>
    <r>
      <rPr>
        <vertAlign val="superscript"/>
        <sz val="11"/>
        <rFont val="Times New Roman"/>
        <family val="1"/>
      </rPr>
      <t xml:space="preserve">b </t>
    </r>
    <r>
      <rPr>
        <sz val="11"/>
        <rFont val="Times New Roman"/>
        <family val="1"/>
      </rPr>
      <t xml:space="preserve">The cost is based on the following labor rate which incorporates a 1.6 benefits multiplication factor to account for government overhead expenses.  Managerial rates of $73.46 (GS-13, Step 5, $45.91 + 60%), Technical rate of $54.51 (GS-12, Step 1, $34.07 + 60%), and Clerical rate of $29.50 (GS-6, Step 3, $18.44 + 60%).  These rates are from the Office of Personnel Management (OPM), 2023 General Schedule, which excludes locality, rates of pay. The rates have been increased by 60 percent to account for the benefit packages available to government employees. </t>
    </r>
  </si>
  <si>
    <t>Table 1: Annual Respondent Burden and Cost – National Volatile Organic Compound Emission Standards for Architectural Coatings (40 CFR Part 59, Subpart D)</t>
  </si>
  <si>
    <r>
      <t xml:space="preserve">Total Labor Burden and Costs (rounded) </t>
    </r>
    <r>
      <rPr>
        <b/>
        <vertAlign val="superscript"/>
        <sz val="10"/>
        <rFont val="Times New Roman"/>
        <family val="1"/>
      </rPr>
      <t>l</t>
    </r>
  </si>
  <si>
    <r>
      <t>Total Capital and O&amp;M Cost (rounded)</t>
    </r>
    <r>
      <rPr>
        <b/>
        <vertAlign val="superscript"/>
        <sz val="10"/>
        <rFont val="Times New Roman"/>
        <family val="1"/>
      </rPr>
      <t xml:space="preserve"> l</t>
    </r>
  </si>
  <si>
    <r>
      <t xml:space="preserve">GRAND TOTAL (rounded) </t>
    </r>
    <r>
      <rPr>
        <b/>
        <vertAlign val="superscript"/>
        <sz val="10"/>
        <rFont val="Times New Roman"/>
        <family val="1"/>
      </rPr>
      <t>l</t>
    </r>
  </si>
  <si>
    <r>
      <rPr>
        <vertAlign val="superscript"/>
        <sz val="11"/>
        <color theme="1"/>
        <rFont val="Times New Roman"/>
        <family val="1"/>
      </rPr>
      <t>l</t>
    </r>
    <r>
      <rPr>
        <sz val="11"/>
        <color theme="1"/>
        <rFont val="Times New Roman"/>
        <family val="1"/>
      </rPr>
      <t xml:space="preserve"> Totals have been rounded to 3 significant digits. Figures may not add exactly due to rounding. </t>
    </r>
  </si>
  <si>
    <t>Table 2: Average Annual EPA Burden and Cost – National Volatile Organic Compound Emission Standards for Architectural Coatings (40 CFR Part 59, Subpart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</si>
</sst>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164" formatCode="General_)"/>
    <numFmt numFmtId="165" formatCode="&quot;$&quot;#,##0.00"/>
    <numFmt numFmtId="166" formatCode="&quot;$&quot;#,##0"/>
    <numFmt numFmtId="167" formatCode="0.0"/>
  </numFmts>
  <fonts count="39"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vertAlign val="superscript"/>
      <sz val="10"/>
      <color theme="1"/>
      <name val="Times New Roman"/>
      <family val="1"/>
    </font>
    <font>
      <b/>
      <i/>
      <sz val="10"/>
      <color rgb="FF000000"/>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i/>
      <sz val="10"/>
      <name val="Times New Roman"/>
      <family val="1"/>
    </font>
    <font>
      <vertAlign val="superscript"/>
      <sz val="10"/>
      <color rgb="FF000000"/>
      <name val="Times New Roman"/>
      <family val="1"/>
    </font>
    <font>
      <sz val="10"/>
      <color theme="1"/>
      <name val="Calibri"/>
      <family val="2"/>
      <scheme val="minor"/>
    </font>
    <font>
      <sz val="10"/>
      <color rgb="FFFF0000"/>
      <name val="Calibri"/>
      <family val="2"/>
      <scheme val="minor"/>
    </font>
    <font>
      <sz val="10"/>
      <name val="Calibri"/>
      <family val="2"/>
      <scheme val="minor"/>
    </font>
    <font>
      <sz val="8"/>
      <name val="Calibri"/>
      <family val="2"/>
      <scheme val="minor"/>
    </font>
    <font>
      <sz val="12"/>
      <color theme="1"/>
      <name val="Times New Roman"/>
      <family val="1"/>
    </font>
    <font>
      <sz val="12"/>
      <color rgb="FF000000"/>
      <name val="Times New Roman"/>
      <family val="1"/>
    </font>
    <font>
      <sz val="10"/>
      <color rgb="FF7030A0"/>
      <name val="Times New Roman"/>
      <family val="1"/>
    </font>
    <font>
      <sz val="10"/>
      <color rgb="FF7030A0"/>
      <name val="Calibri"/>
      <family val="2"/>
      <scheme val="minor"/>
    </font>
    <font>
      <sz val="12"/>
      <color rgb="FF7030A0"/>
      <name val="Calibri"/>
      <family val="2"/>
      <scheme val="minor"/>
    </font>
    <font>
      <sz val="11"/>
      <color theme="1"/>
      <name val="Times New Roman"/>
      <family val="1"/>
    </font>
    <font>
      <vertAlign val="superscript"/>
      <sz val="11"/>
      <color theme="1"/>
      <name val="Times New Roman"/>
      <family val="1"/>
    </font>
    <font>
      <vertAlign val="superscript"/>
      <sz val="12"/>
      <color theme="1"/>
      <name val="Times New Roman"/>
      <family val="1"/>
    </font>
    <font>
      <sz val="11"/>
      <name val="Times New Roman"/>
      <family val="1"/>
    </font>
    <font>
      <vertAlign val="superscript"/>
      <sz val="11"/>
      <name val="Times New Roman"/>
      <family val="1"/>
    </font>
    <font>
      <sz val="12"/>
      <name val="Times New Roman"/>
      <family val="1"/>
    </font>
    <font>
      <vertAlign val="superscript"/>
      <sz val="12"/>
      <name val="Times New Roman"/>
      <family val="1"/>
    </font>
    <font>
      <sz val="1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2">
    <xf numFmtId="0" fontId="0" fillId="0" borderId="0"/>
    <xf numFmtId="164" fontId="10" fillId="0" borderId="0"/>
  </cellStyleXfs>
  <cellXfs count="155">
    <xf numFmtId="0" fontId="0" fillId="0" borderId="0" xfId="0"/>
    <xf numFmtId="0" fontId="2" fillId="0" borderId="0" xfId="0" applyFont="1"/>
    <xf numFmtId="0" fontId="2" fillId="0" borderId="1" xfId="0" applyFont="1" applyBorder="1" applyAlignment="1">
      <alignment horizontal="center" wrapText="1"/>
    </xf>
    <xf numFmtId="0" fontId="8" fillId="0" borderId="0" xfId="0" applyFont="1"/>
    <xf numFmtId="164" fontId="12" fillId="0" borderId="0" xfId="1" applyFont="1" applyAlignment="1">
      <alignment horizontal="center" vertical="center" wrapText="1"/>
    </xf>
    <xf numFmtId="164" fontId="9" fillId="0" borderId="0" xfId="1" applyFont="1" applyAlignment="1">
      <alignment horizontal="center" vertical="center" wrapText="1"/>
    </xf>
    <xf numFmtId="165" fontId="9" fillId="0" borderId="0" xfId="1" applyNumberFormat="1" applyFont="1" applyAlignment="1">
      <alignment horizontal="right" wrapText="1"/>
    </xf>
    <xf numFmtId="0" fontId="9" fillId="0" borderId="0" xfId="0" applyFont="1"/>
    <xf numFmtId="0" fontId="2" fillId="0" borderId="0" xfId="0" applyFont="1" applyAlignment="1">
      <alignment horizontal="right"/>
    </xf>
    <xf numFmtId="0" fontId="8" fillId="0" borderId="0" xfId="0" applyFont="1" applyAlignment="1">
      <alignment wrapText="1"/>
    </xf>
    <xf numFmtId="0" fontId="9" fillId="0" borderId="1" xfId="0" applyFont="1" applyBorder="1" applyAlignment="1">
      <alignment horizontal="center" wrapText="1"/>
    </xf>
    <xf numFmtId="8" fontId="9" fillId="0" borderId="1" xfId="0" applyNumberFormat="1" applyFont="1" applyBorder="1" applyAlignment="1">
      <alignment horizontal="right" wrapText="1"/>
    </xf>
    <xf numFmtId="6" fontId="20" fillId="0" borderId="2" xfId="0" applyNumberFormat="1" applyFont="1" applyBorder="1" applyAlignment="1">
      <alignment horizontal="right" wrapText="1"/>
    </xf>
    <xf numFmtId="0" fontId="17" fillId="0" borderId="0" xfId="0" applyFont="1"/>
    <xf numFmtId="0" fontId="14" fillId="0" borderId="1" xfId="0" applyFont="1" applyBorder="1"/>
    <xf numFmtId="41" fontId="17" fillId="0" borderId="0" xfId="0" applyNumberFormat="1" applyFont="1"/>
    <xf numFmtId="41" fontId="17" fillId="0" borderId="5" xfId="0" applyNumberFormat="1" applyFont="1" applyBorder="1"/>
    <xf numFmtId="164" fontId="12" fillId="0" borderId="0" xfId="1" applyFont="1" applyAlignment="1">
      <alignment wrapText="1"/>
    </xf>
    <xf numFmtId="0" fontId="22" fillId="0" borderId="0" xfId="0" applyFont="1"/>
    <xf numFmtId="0" fontId="1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1" fillId="0" borderId="0" xfId="0" applyFont="1" applyAlignment="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0" xfId="0" applyFont="1" applyAlignment="1">
      <alignment vertical="top" wrapText="1"/>
    </xf>
    <xf numFmtId="165" fontId="9" fillId="0" borderId="1" xfId="0" applyNumberFormat="1" applyFont="1" applyBorder="1"/>
    <xf numFmtId="0" fontId="9"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indent="2"/>
    </xf>
    <xf numFmtId="0" fontId="1" fillId="0" borderId="0" xfId="0" applyFont="1"/>
    <xf numFmtId="0" fontId="2" fillId="0" borderId="1" xfId="0" applyFont="1" applyBorder="1" applyAlignment="1">
      <alignment horizontal="right" wrapText="1"/>
    </xf>
    <xf numFmtId="0" fontId="2" fillId="0" borderId="1" xfId="0" applyFont="1" applyBorder="1" applyAlignment="1">
      <alignment horizontal="left" vertical="center" wrapText="1" indent="1"/>
    </xf>
    <xf numFmtId="8" fontId="2" fillId="0" borderId="1" xfId="0" applyNumberFormat="1" applyFont="1" applyBorder="1" applyAlignment="1">
      <alignment horizontal="right" vertical="center" wrapText="1"/>
    </xf>
    <xf numFmtId="1" fontId="2" fillId="0" borderId="1" xfId="0" applyNumberFormat="1" applyFont="1" applyBorder="1" applyAlignment="1">
      <alignment horizontal="center" vertical="center" wrapText="1"/>
    </xf>
    <xf numFmtId="6" fontId="6" fillId="0" borderId="1" xfId="0" applyNumberFormat="1" applyFont="1" applyBorder="1" applyAlignment="1">
      <alignment horizontal="right" wrapText="1"/>
    </xf>
    <xf numFmtId="0" fontId="2" fillId="0" borderId="1" xfId="0" applyFont="1" applyBorder="1" applyAlignment="1">
      <alignment horizontal="left" vertical="top" wrapText="1"/>
    </xf>
    <xf numFmtId="0" fontId="2" fillId="0" borderId="1" xfId="0" applyFont="1" applyBorder="1" applyAlignment="1">
      <alignment horizontal="left" vertical="top" wrapText="1" indent="1"/>
    </xf>
    <xf numFmtId="0" fontId="9" fillId="0" borderId="1" xfId="0" applyFont="1" applyBorder="1" applyAlignment="1">
      <alignment horizontal="left" vertical="top" wrapText="1" indent="1"/>
    </xf>
    <xf numFmtId="0" fontId="9" fillId="0" borderId="1" xfId="0" applyFont="1" applyBorder="1" applyAlignment="1">
      <alignment horizontal="right" wrapText="1"/>
    </xf>
    <xf numFmtId="0" fontId="9" fillId="0" borderId="1" xfId="0" applyFont="1" applyBorder="1" applyAlignment="1">
      <alignment horizontal="left" vertical="top" wrapText="1" indent="2"/>
    </xf>
    <xf numFmtId="3" fontId="2" fillId="0" borderId="0" xfId="0" applyNumberFormat="1" applyFont="1"/>
    <xf numFmtId="0" fontId="2" fillId="0" borderId="0" xfId="0" applyFont="1" applyAlignment="1">
      <alignment vertical="top" wrapText="1"/>
    </xf>
    <xf numFmtId="41" fontId="9" fillId="0" borderId="0" xfId="0" applyNumberFormat="1" applyFont="1"/>
    <xf numFmtId="0" fontId="11" fillId="0" borderId="1" xfId="0" applyFont="1" applyBorder="1" applyAlignment="1">
      <alignment wrapText="1"/>
    </xf>
    <xf numFmtId="3" fontId="8" fillId="0" borderId="0" xfId="0" applyNumberFormat="1"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7" fillId="0" borderId="0" xfId="0" applyFont="1" applyAlignment="1">
      <alignment vertical="top" wrapText="1"/>
    </xf>
    <xf numFmtId="3" fontId="6" fillId="0" borderId="0" xfId="0" applyNumberFormat="1" applyFont="1" applyAlignment="1">
      <alignment wrapText="1"/>
    </xf>
    <xf numFmtId="6" fontId="6" fillId="0" borderId="0" xfId="0" applyNumberFormat="1" applyFont="1" applyAlignment="1">
      <alignment horizontal="right" wrapText="1"/>
    </xf>
    <xf numFmtId="0" fontId="3" fillId="0" borderId="0" xfId="0" applyFont="1" applyAlignment="1">
      <alignment wrapText="1"/>
    </xf>
    <xf numFmtId="0" fontId="20" fillId="0" borderId="1" xfId="0" applyFont="1" applyBorder="1" applyAlignment="1">
      <alignment vertical="top" wrapText="1"/>
    </xf>
    <xf numFmtId="3" fontId="2" fillId="0" borderId="1" xfId="0" applyNumberFormat="1" applyFont="1" applyBorder="1" applyAlignment="1">
      <alignment horizontal="center" vertical="center" wrapText="1"/>
    </xf>
    <xf numFmtId="164" fontId="8" fillId="0" borderId="0" xfId="1" applyFont="1" applyAlignment="1">
      <alignment vertical="center"/>
    </xf>
    <xf numFmtId="164" fontId="8" fillId="0" borderId="0" xfId="1" applyFont="1"/>
    <xf numFmtId="0" fontId="26" fillId="0" borderId="0" xfId="0" applyFont="1" applyAlignment="1">
      <alignment vertical="center" wrapText="1"/>
    </xf>
    <xf numFmtId="0" fontId="27" fillId="0" borderId="0" xfId="0" applyFont="1" applyAlignment="1">
      <alignment vertical="center" wrapText="1"/>
    </xf>
    <xf numFmtId="1" fontId="3" fillId="0" borderId="1" xfId="0" applyNumberFormat="1" applyFont="1" applyBorder="1" applyAlignment="1">
      <alignment horizontal="center" vertical="center" wrapText="1"/>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1" fontId="3" fillId="0" borderId="6" xfId="0" applyNumberFormat="1" applyFont="1" applyBorder="1" applyAlignment="1">
      <alignment horizontal="center" vertical="center" wrapText="1"/>
    </xf>
    <xf numFmtId="0" fontId="2" fillId="0" borderId="1" xfId="0" applyFont="1" applyBorder="1" applyAlignment="1">
      <alignment horizontal="center" vertical="top" wrapText="1"/>
    </xf>
    <xf numFmtId="0" fontId="9" fillId="0" borderId="1" xfId="0" applyFont="1" applyBorder="1" applyAlignment="1">
      <alignment horizontal="center" vertical="top" wrapText="1"/>
    </xf>
    <xf numFmtId="164" fontId="8" fillId="0" borderId="0" xfId="1" applyFont="1" applyAlignment="1">
      <alignment horizontal="left" vertical="center"/>
    </xf>
    <xf numFmtId="6" fontId="20" fillId="0" borderId="1" xfId="0" applyNumberFormat="1" applyFont="1" applyBorder="1" applyAlignment="1">
      <alignment horizontal="right" wrapText="1"/>
    </xf>
    <xf numFmtId="6" fontId="11" fillId="0" borderId="1" xfId="0" applyNumberFormat="1" applyFont="1" applyBorder="1" applyAlignment="1">
      <alignment horizontal="right" wrapText="1"/>
    </xf>
    <xf numFmtId="41" fontId="0" fillId="0" borderId="0" xfId="0" applyNumberFormat="1"/>
    <xf numFmtId="3" fontId="0" fillId="0" borderId="0" xfId="0" applyNumberFormat="1"/>
    <xf numFmtId="6" fontId="0" fillId="0" borderId="0" xfId="0" applyNumberFormat="1"/>
    <xf numFmtId="1" fontId="0" fillId="0" borderId="0" xfId="0" applyNumberFormat="1"/>
    <xf numFmtId="8" fontId="2" fillId="0" borderId="0" xfId="0" applyNumberFormat="1" applyFont="1"/>
    <xf numFmtId="0" fontId="9" fillId="0" borderId="0" xfId="0" applyFont="1" applyAlignment="1">
      <alignment wrapText="1"/>
    </xf>
    <xf numFmtId="0" fontId="2" fillId="0" borderId="0" xfId="0" applyFont="1" applyAlignment="1">
      <alignment vertical="center" wrapText="1"/>
    </xf>
    <xf numFmtId="0" fontId="2" fillId="0" borderId="4" xfId="0" applyFont="1" applyBorder="1" applyAlignment="1">
      <alignment horizontal="center" wrapText="1"/>
    </xf>
    <xf numFmtId="6" fontId="2" fillId="0" borderId="1" xfId="0" applyNumberFormat="1" applyFont="1" applyBorder="1" applyAlignment="1">
      <alignment horizontal="right" vertical="center" wrapText="1"/>
    </xf>
    <xf numFmtId="6" fontId="2" fillId="0" borderId="1" xfId="0" applyNumberFormat="1" applyFont="1" applyBorder="1" applyAlignment="1">
      <alignment horizontal="right" wrapText="1"/>
    </xf>
    <xf numFmtId="0" fontId="9" fillId="0" borderId="4" xfId="0" applyFont="1" applyBorder="1" applyAlignment="1">
      <alignment horizontal="center" wrapText="1"/>
    </xf>
    <xf numFmtId="3" fontId="9" fillId="0" borderId="4" xfId="0" applyNumberFormat="1" applyFont="1" applyBorder="1" applyAlignment="1">
      <alignment horizontal="center" wrapText="1"/>
    </xf>
    <xf numFmtId="0" fontId="26" fillId="0" borderId="0" xfId="0" applyFont="1" applyAlignment="1">
      <alignment horizontal="left" vertical="center" indent="5"/>
    </xf>
    <xf numFmtId="0" fontId="26" fillId="0" borderId="0" xfId="0" applyFont="1" applyAlignment="1">
      <alignment vertical="center"/>
    </xf>
    <xf numFmtId="0" fontId="11" fillId="0" borderId="0" xfId="0" applyFont="1"/>
    <xf numFmtId="165" fontId="9" fillId="0" borderId="1" xfId="0" applyNumberFormat="1" applyFont="1" applyBorder="1" applyAlignment="1">
      <alignment horizontal="right" wrapText="1"/>
    </xf>
    <xf numFmtId="0" fontId="2" fillId="0" borderId="0" xfId="0" applyFont="1" applyAlignment="1">
      <alignment horizontal="left" vertical="center" indent="5"/>
    </xf>
    <xf numFmtId="0" fontId="3" fillId="0" borderId="0" xfId="0" applyFont="1" applyAlignment="1">
      <alignment horizontal="center" vertical="center" wrapText="1"/>
    </xf>
    <xf numFmtId="0" fontId="9" fillId="0" borderId="0" xfId="0" applyFont="1" applyAlignment="1">
      <alignment horizontal="left" vertical="center" wrapText="1"/>
    </xf>
    <xf numFmtId="6" fontId="9" fillId="0" borderId="0" xfId="0" applyNumberFormat="1" applyFont="1" applyAlignment="1">
      <alignment horizontal="center" vertical="center" wrapText="1"/>
    </xf>
    <xf numFmtId="0" fontId="9" fillId="0" borderId="0" xfId="0" applyFont="1" applyAlignment="1">
      <alignment horizontal="center" vertical="center" wrapText="1"/>
    </xf>
    <xf numFmtId="6" fontId="2" fillId="0" borderId="0" xfId="0" applyNumberFormat="1" applyFont="1" applyAlignment="1">
      <alignment horizontal="center" vertical="center" wrapText="1"/>
    </xf>
    <xf numFmtId="0" fontId="24" fillId="0" borderId="0" xfId="0" applyFont="1"/>
    <xf numFmtId="0" fontId="2" fillId="0" borderId="0" xfId="0" applyFont="1" applyAlignment="1">
      <alignment horizontal="center" vertical="center" wrapText="1"/>
    </xf>
    <xf numFmtId="6" fontId="3" fillId="0" borderId="0" xfId="0" applyNumberFormat="1" applyFont="1" applyAlignment="1">
      <alignment horizontal="center" vertical="center" wrapText="1"/>
    </xf>
    <xf numFmtId="0" fontId="9" fillId="0" borderId="0" xfId="0" applyFont="1" applyAlignment="1">
      <alignment vertical="center" wrapText="1"/>
    </xf>
    <xf numFmtId="1" fontId="9" fillId="0" borderId="0" xfId="0" applyNumberFormat="1" applyFont="1" applyAlignment="1">
      <alignment horizontal="center" vertical="center" wrapText="1"/>
    </xf>
    <xf numFmtId="0" fontId="22" fillId="0" borderId="0" xfId="0" applyFont="1" applyAlignment="1">
      <alignment wrapText="1"/>
    </xf>
    <xf numFmtId="0" fontId="3" fillId="0" borderId="0" xfId="0" applyFont="1" applyAlignment="1">
      <alignment vertical="center" wrapText="1"/>
    </xf>
    <xf numFmtId="6" fontId="22" fillId="0" borderId="0" xfId="0" applyNumberFormat="1" applyFont="1"/>
    <xf numFmtId="0" fontId="23" fillId="0" borderId="0" xfId="0" applyFont="1" applyAlignment="1">
      <alignment vertical="top" wrapText="1"/>
    </xf>
    <xf numFmtId="0" fontId="29" fillId="0" borderId="0" xfId="0" applyFont="1"/>
    <xf numFmtId="0" fontId="30" fillId="0" borderId="0" xfId="0" applyFont="1"/>
    <xf numFmtId="0" fontId="2" fillId="0" borderId="2"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11" fillId="0" borderId="0" xfId="0" applyFont="1" applyAlignment="1">
      <alignment wrapText="1"/>
    </xf>
    <xf numFmtId="0" fontId="11" fillId="0" borderId="0" xfId="0" applyFont="1" applyAlignment="1">
      <alignment horizontal="center" wrapText="1"/>
    </xf>
    <xf numFmtId="3" fontId="11" fillId="0" borderId="0" xfId="0" applyNumberFormat="1" applyFont="1" applyAlignment="1">
      <alignment horizontal="center" wrapText="1"/>
    </xf>
    <xf numFmtId="6" fontId="11" fillId="0" borderId="0" xfId="0" applyNumberFormat="1" applyFont="1" applyAlignment="1">
      <alignment horizontal="right" wrapText="1"/>
    </xf>
    <xf numFmtId="0" fontId="28" fillId="0" borderId="0" xfId="0" applyFont="1"/>
    <xf numFmtId="0" fontId="28" fillId="0" borderId="0" xfId="0" applyFont="1" applyAlignment="1">
      <alignment wrapText="1"/>
    </xf>
    <xf numFmtId="0" fontId="3" fillId="0" borderId="0" xfId="0" applyFont="1"/>
    <xf numFmtId="0" fontId="31" fillId="0" borderId="0" xfId="0" applyFont="1" applyAlignment="1">
      <alignment vertical="center"/>
    </xf>
    <xf numFmtId="0" fontId="31" fillId="0" borderId="0" xfId="0" applyFont="1"/>
    <xf numFmtId="164" fontId="9" fillId="0" borderId="0" xfId="1" applyFont="1" applyAlignment="1">
      <alignment vertical="top" wrapText="1"/>
    </xf>
    <xf numFmtId="164" fontId="36" fillId="0" borderId="0" xfId="1" applyFont="1" applyAlignment="1">
      <alignment horizontal="left" vertical="center"/>
    </xf>
    <xf numFmtId="0" fontId="2" fillId="0" borderId="0" xfId="0" applyFont="1" applyAlignment="1">
      <alignment horizontal="left" vertical="center" wrapText="1"/>
    </xf>
    <xf numFmtId="0" fontId="23" fillId="0" borderId="0" xfId="0" applyFont="1"/>
    <xf numFmtId="0" fontId="36" fillId="0" borderId="0" xfId="0" applyFont="1" applyAlignment="1">
      <alignment vertical="center"/>
    </xf>
    <xf numFmtId="0" fontId="36" fillId="0" borderId="0" xfId="0" applyFont="1" applyAlignment="1">
      <alignment horizontal="left" vertical="center" indent="5"/>
    </xf>
    <xf numFmtId="0" fontId="36" fillId="0" borderId="0" xfId="0" applyFont="1" applyAlignment="1">
      <alignment vertical="center" wrapText="1"/>
    </xf>
    <xf numFmtId="0" fontId="38" fillId="0" borderId="0" xfId="0" applyFont="1"/>
    <xf numFmtId="0" fontId="0" fillId="0" borderId="0" xfId="0" applyAlignment="1">
      <alignment horizontal="center"/>
    </xf>
    <xf numFmtId="0" fontId="14" fillId="0" borderId="1" xfId="0" applyFont="1" applyBorder="1" applyAlignment="1">
      <alignment horizontal="center"/>
    </xf>
    <xf numFmtId="0" fontId="26" fillId="0" borderId="0" xfId="0" applyFont="1" applyAlignment="1">
      <alignment vertical="center" wrapText="1"/>
    </xf>
    <xf numFmtId="0" fontId="11" fillId="0" borderId="2" xfId="0" applyFont="1" applyBorder="1" applyAlignment="1">
      <alignment horizontal="center" wrapText="1"/>
    </xf>
    <xf numFmtId="0" fontId="11" fillId="0" borderId="3" xfId="0" applyFont="1" applyBorder="1" applyAlignment="1">
      <alignment horizontal="center" wrapText="1"/>
    </xf>
    <xf numFmtId="0" fontId="11" fillId="0" borderId="4" xfId="0" applyFont="1" applyBorder="1" applyAlignment="1">
      <alignment horizontal="center" wrapText="1"/>
    </xf>
    <xf numFmtId="3" fontId="20" fillId="0" borderId="2" xfId="0" applyNumberFormat="1" applyFont="1" applyBorder="1" applyAlignment="1">
      <alignment horizontal="center" wrapText="1"/>
    </xf>
    <xf numFmtId="3" fontId="20" fillId="0" borderId="3" xfId="0" applyNumberFormat="1" applyFont="1" applyBorder="1" applyAlignment="1">
      <alignment horizontal="center" wrapText="1"/>
    </xf>
    <xf numFmtId="3" fontId="20" fillId="0" borderId="4" xfId="0" applyNumberFormat="1" applyFont="1" applyBorder="1" applyAlignment="1">
      <alignment horizont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3" fontId="5" fillId="0" borderId="2" xfId="0" applyNumberFormat="1" applyFont="1" applyBorder="1" applyAlignment="1">
      <alignment horizontal="center" wrapText="1"/>
    </xf>
    <xf numFmtId="3" fontId="5" fillId="0" borderId="3" xfId="0" applyNumberFormat="1" applyFont="1" applyBorder="1" applyAlignment="1">
      <alignment horizontal="center" wrapText="1"/>
    </xf>
    <xf numFmtId="3" fontId="5" fillId="0" borderId="4" xfId="0" applyNumberFormat="1" applyFont="1" applyBorder="1" applyAlignment="1">
      <alignment horizontal="center" wrapText="1"/>
    </xf>
    <xf numFmtId="0" fontId="20" fillId="0" borderId="2" xfId="0" applyFont="1" applyBorder="1" applyAlignment="1">
      <alignment horizontal="center" vertical="top" wrapText="1"/>
    </xf>
    <xf numFmtId="0" fontId="20" fillId="0" borderId="3" xfId="0" applyFont="1" applyBorder="1" applyAlignment="1">
      <alignment horizontal="center" vertical="top" wrapText="1"/>
    </xf>
    <xf numFmtId="0" fontId="20" fillId="0" borderId="4" xfId="0" applyFont="1" applyBorder="1" applyAlignment="1">
      <alignment horizontal="center" vertical="top" wrapText="1"/>
    </xf>
    <xf numFmtId="0" fontId="26" fillId="0" borderId="0" xfId="0" applyFont="1" applyAlignment="1">
      <alignment vertical="center"/>
    </xf>
    <xf numFmtId="0" fontId="31" fillId="0" borderId="0" xfId="0" applyFont="1" applyAlignment="1">
      <alignment vertical="center" wrapText="1"/>
    </xf>
    <xf numFmtId="0" fontId="34" fillId="0" borderId="0" xfId="0" applyFont="1" applyAlignment="1">
      <alignment wrapText="1"/>
    </xf>
    <xf numFmtId="0" fontId="11" fillId="0" borderId="1" xfId="0" applyFont="1" applyBorder="1" applyAlignment="1">
      <alignment horizontal="center" wrapText="1"/>
    </xf>
    <xf numFmtId="3" fontId="11" fillId="0" borderId="1" xfId="0" applyNumberFormat="1" applyFont="1" applyBorder="1" applyAlignment="1">
      <alignment horizontal="center" wrapText="1"/>
    </xf>
    <xf numFmtId="0" fontId="13" fillId="0" borderId="1" xfId="0" applyFont="1" applyBorder="1" applyAlignment="1">
      <alignment horizontal="center" vertical="center" wrapText="1"/>
    </xf>
    <xf numFmtId="0" fontId="15" fillId="0" borderId="1" xfId="0" applyFont="1" applyBorder="1" applyAlignment="1">
      <alignment vertical="center" wrapText="1"/>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8"/>
  <sheetViews>
    <sheetView tabSelected="1" workbookViewId="0">
      <selection activeCell="A14" sqref="A14"/>
    </sheetView>
  </sheetViews>
  <sheetFormatPr defaultRowHeight="15" x14ac:dyDescent="0.25"/>
  <cols>
    <col min="1" max="1" width="27.85546875" bestFit="1" customWidth="1"/>
    <col min="2" max="2" width="12.85546875" bestFit="1" customWidth="1"/>
  </cols>
  <sheetData>
    <row r="1" spans="1:2" x14ac:dyDescent="0.25">
      <c r="A1" s="130" t="s">
        <v>0</v>
      </c>
      <c r="B1" s="130"/>
    </row>
    <row r="2" spans="1:2" x14ac:dyDescent="0.25">
      <c r="A2" t="s">
        <v>1</v>
      </c>
      <c r="B2" s="75">
        <f>'Table 1'!K32</f>
        <v>152.17391304347825</v>
      </c>
    </row>
    <row r="3" spans="1:2" x14ac:dyDescent="0.25">
      <c r="A3" t="s">
        <v>2</v>
      </c>
      <c r="B3">
        <f>Respondents!F8</f>
        <v>520</v>
      </c>
    </row>
    <row r="4" spans="1:2" x14ac:dyDescent="0.25">
      <c r="A4" t="s">
        <v>3</v>
      </c>
      <c r="B4" s="76">
        <f>'Table 1'!F33</f>
        <v>24500</v>
      </c>
    </row>
    <row r="5" spans="1:2" x14ac:dyDescent="0.25">
      <c r="A5" t="s">
        <v>4</v>
      </c>
      <c r="B5" s="77">
        <f>'Table 1'!I35</f>
        <v>1550000</v>
      </c>
    </row>
    <row r="6" spans="1:2" x14ac:dyDescent="0.25">
      <c r="A6" t="s">
        <v>5</v>
      </c>
      <c r="B6" s="77">
        <f>'Capital O&amp;M'!D10+'Capital O&amp;M'!G10</f>
        <v>0</v>
      </c>
    </row>
    <row r="7" spans="1:2" x14ac:dyDescent="0.25">
      <c r="A7" t="s">
        <v>6</v>
      </c>
      <c r="B7" s="78">
        <f>Responses!E9</f>
        <v>161</v>
      </c>
    </row>
    <row r="8" spans="1:2" x14ac:dyDescent="0.25">
      <c r="A8" t="s">
        <v>7</v>
      </c>
      <c r="B8" t="s">
        <v>113</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58"/>
  <sheetViews>
    <sheetView zoomScale="87" zoomScaleNormal="87" workbookViewId="0">
      <selection activeCell="K32" sqref="K32"/>
    </sheetView>
  </sheetViews>
  <sheetFormatPr defaultRowHeight="15" x14ac:dyDescent="0.25"/>
  <cols>
    <col min="1" max="1" width="44.140625" customWidth="1"/>
    <col min="2" max="8" width="11" customWidth="1"/>
    <col min="9" max="9" width="12.7109375" customWidth="1"/>
    <col min="10" max="10" width="6.7109375" customWidth="1"/>
    <col min="11" max="11" width="11.42578125" customWidth="1"/>
    <col min="12" max="12" width="7.7109375" customWidth="1"/>
    <col min="13" max="13" width="11.42578125" customWidth="1"/>
    <col min="14" max="14" width="12.140625" customWidth="1"/>
    <col min="21" max="21" width="11.7109375" customWidth="1"/>
  </cols>
  <sheetData>
    <row r="1" spans="1:21" ht="15.75" x14ac:dyDescent="0.25">
      <c r="A1" s="31" t="s">
        <v>120</v>
      </c>
      <c r="B1" s="1"/>
      <c r="C1" s="1"/>
      <c r="D1" s="1"/>
      <c r="E1" s="1"/>
      <c r="F1" s="1"/>
      <c r="G1" s="1"/>
      <c r="H1" s="1"/>
      <c r="I1" s="8"/>
      <c r="J1" s="1"/>
      <c r="K1" s="1"/>
      <c r="L1" s="1"/>
      <c r="M1" s="107"/>
      <c r="N1" s="13"/>
    </row>
    <row r="2" spans="1:21" s="1" customFormat="1" ht="12.75" x14ac:dyDescent="0.2">
      <c r="F2" s="7"/>
      <c r="G2" s="7"/>
      <c r="H2" s="7"/>
      <c r="I2" s="8"/>
      <c r="J2" s="3"/>
    </row>
    <row r="3" spans="1:21" s="1" customFormat="1" ht="76.5" x14ac:dyDescent="0.2">
      <c r="A3" s="20" t="s">
        <v>8</v>
      </c>
      <c r="B3" s="70" t="s">
        <v>9</v>
      </c>
      <c r="C3" s="70" t="s">
        <v>10</v>
      </c>
      <c r="D3" s="70" t="s">
        <v>11</v>
      </c>
      <c r="E3" s="70" t="s">
        <v>12</v>
      </c>
      <c r="F3" s="70" t="s">
        <v>13</v>
      </c>
      <c r="G3" s="70" t="s">
        <v>14</v>
      </c>
      <c r="H3" s="70" t="s">
        <v>15</v>
      </c>
      <c r="I3" s="70" t="s">
        <v>16</v>
      </c>
      <c r="J3" s="3"/>
      <c r="M3" s="47"/>
      <c r="N3" s="47"/>
      <c r="O3" s="47"/>
      <c r="P3" s="47"/>
      <c r="Q3" s="47"/>
      <c r="R3" s="47"/>
      <c r="S3" s="47"/>
      <c r="T3" s="47"/>
      <c r="U3" s="47"/>
    </row>
    <row r="4" spans="1:21" s="1" customFormat="1" ht="12.75" x14ac:dyDescent="0.2">
      <c r="A4" s="29" t="s">
        <v>56</v>
      </c>
      <c r="B4" s="2" t="s">
        <v>64</v>
      </c>
      <c r="C4" s="2"/>
      <c r="D4" s="2"/>
      <c r="E4" s="2"/>
      <c r="F4" s="2"/>
      <c r="G4" s="2"/>
      <c r="H4" s="2"/>
      <c r="I4" s="32"/>
      <c r="J4" s="3"/>
      <c r="K4" s="131" t="s">
        <v>17</v>
      </c>
      <c r="L4" s="131"/>
      <c r="O4" s="49"/>
      <c r="P4" s="49"/>
      <c r="Q4" s="49"/>
      <c r="R4" s="49"/>
      <c r="S4" s="49"/>
      <c r="T4" s="49"/>
      <c r="U4" s="50"/>
    </row>
    <row r="5" spans="1:21" s="1" customFormat="1" ht="12.75" x14ac:dyDescent="0.2">
      <c r="A5" s="33" t="s">
        <v>57</v>
      </c>
      <c r="B5" s="2" t="s">
        <v>64</v>
      </c>
      <c r="C5" s="20"/>
      <c r="D5" s="20"/>
      <c r="E5" s="20"/>
      <c r="F5" s="2"/>
      <c r="G5" s="2"/>
      <c r="H5" s="35"/>
      <c r="I5" s="34"/>
      <c r="J5" s="9"/>
      <c r="K5" s="14" t="s">
        <v>18</v>
      </c>
      <c r="L5" s="27">
        <v>163.16999999999999</v>
      </c>
      <c r="M5" s="48"/>
      <c r="N5" s="49"/>
      <c r="O5" s="49"/>
      <c r="P5" s="49"/>
      <c r="Q5" s="49"/>
      <c r="R5" s="51"/>
      <c r="S5" s="49"/>
      <c r="T5" s="49"/>
      <c r="U5" s="52"/>
    </row>
    <row r="6" spans="1:21" s="1" customFormat="1" ht="12.75" x14ac:dyDescent="0.2">
      <c r="A6" s="33" t="s">
        <v>58</v>
      </c>
      <c r="B6" s="20"/>
      <c r="C6" s="20"/>
      <c r="D6" s="20"/>
      <c r="E6" s="20"/>
      <c r="F6" s="20"/>
      <c r="G6" s="20"/>
      <c r="H6" s="20"/>
      <c r="I6" s="34"/>
      <c r="J6" s="3"/>
      <c r="K6" s="14" t="s">
        <v>19</v>
      </c>
      <c r="L6" s="27">
        <v>130.28</v>
      </c>
      <c r="M6" s="48"/>
      <c r="N6" s="49"/>
      <c r="O6" s="49"/>
      <c r="P6" s="49"/>
      <c r="Q6" s="49"/>
      <c r="R6" s="49"/>
      <c r="S6" s="49"/>
      <c r="T6" s="49"/>
      <c r="U6" s="52"/>
    </row>
    <row r="7" spans="1:21" s="1" customFormat="1" ht="15.75" x14ac:dyDescent="0.2">
      <c r="A7" s="33" t="s">
        <v>71</v>
      </c>
      <c r="B7" s="20">
        <v>2</v>
      </c>
      <c r="C7" s="20">
        <v>1</v>
      </c>
      <c r="D7" s="20">
        <f>B7*C7</f>
        <v>2</v>
      </c>
      <c r="E7" s="2">
        <v>5</v>
      </c>
      <c r="F7" s="20">
        <f>D7*E7</f>
        <v>10</v>
      </c>
      <c r="G7" s="20">
        <f>F7*0.5</f>
        <v>5</v>
      </c>
      <c r="H7" s="20">
        <f>F7*0.1</f>
        <v>1</v>
      </c>
      <c r="I7" s="83">
        <f>F7*$L$6+G7*$L$5+H7*$L$7</f>
        <v>2184.3599999999997</v>
      </c>
      <c r="J7" s="3"/>
      <c r="K7" s="14" t="s">
        <v>20</v>
      </c>
      <c r="L7" s="27">
        <v>65.709999999999994</v>
      </c>
      <c r="M7" s="48"/>
      <c r="N7" s="49"/>
      <c r="O7" s="49"/>
      <c r="P7" s="49"/>
      <c r="Q7" s="49"/>
      <c r="R7" s="49"/>
      <c r="S7" s="49"/>
      <c r="T7" s="49"/>
      <c r="U7" s="52"/>
    </row>
    <row r="8" spans="1:21" s="1" customFormat="1" ht="12.75" x14ac:dyDescent="0.2">
      <c r="A8" s="30" t="s">
        <v>59</v>
      </c>
      <c r="B8" s="20" t="s">
        <v>65</v>
      </c>
      <c r="C8" s="20"/>
      <c r="D8" s="20"/>
      <c r="E8" s="20"/>
      <c r="F8" s="20"/>
      <c r="G8" s="20"/>
      <c r="H8" s="20"/>
      <c r="I8" s="34"/>
      <c r="J8" s="3"/>
      <c r="K8" s="62"/>
      <c r="L8" s="17"/>
      <c r="M8" s="48"/>
      <c r="N8" s="49"/>
      <c r="O8" s="49"/>
      <c r="P8" s="49"/>
      <c r="Q8" s="53"/>
      <c r="R8" s="53"/>
      <c r="S8" s="53"/>
      <c r="T8" s="53"/>
      <c r="U8" s="52"/>
    </row>
    <row r="9" spans="1:21" s="1" customFormat="1" ht="12.75" x14ac:dyDescent="0.2">
      <c r="A9" s="30" t="s">
        <v>60</v>
      </c>
      <c r="B9" s="20"/>
      <c r="C9" s="20"/>
      <c r="D9" s="20"/>
      <c r="E9" s="20"/>
      <c r="F9" s="20"/>
      <c r="G9" s="20"/>
      <c r="H9" s="20"/>
      <c r="I9" s="34"/>
      <c r="J9" s="3"/>
      <c r="K9" s="72"/>
      <c r="L9" s="4"/>
      <c r="M9" s="48"/>
      <c r="N9" s="49"/>
      <c r="O9" s="49"/>
      <c r="P9" s="49"/>
      <c r="Q9" s="53"/>
      <c r="R9" s="53"/>
      <c r="S9" s="53"/>
      <c r="T9" s="53"/>
      <c r="U9" s="52"/>
    </row>
    <row r="10" spans="1:21" s="1" customFormat="1" ht="15.75" x14ac:dyDescent="0.2">
      <c r="A10" s="30" t="s">
        <v>72</v>
      </c>
      <c r="B10" s="20">
        <v>2</v>
      </c>
      <c r="C10" s="20">
        <v>1</v>
      </c>
      <c r="D10" s="20">
        <f>B10*C10</f>
        <v>2</v>
      </c>
      <c r="E10" s="20">
        <v>5</v>
      </c>
      <c r="F10" s="20">
        <f>D10*E10</f>
        <v>10</v>
      </c>
      <c r="G10" s="20">
        <f>F10*0.5</f>
        <v>5</v>
      </c>
      <c r="H10" s="20">
        <f>F10*0.1</f>
        <v>1</v>
      </c>
      <c r="I10" s="83">
        <f>F10*$L$6+G10*$L$5+H10*$L$7</f>
        <v>2184.3599999999997</v>
      </c>
      <c r="J10" s="3"/>
      <c r="K10" s="4"/>
      <c r="L10" s="4"/>
      <c r="M10" s="48"/>
      <c r="N10" s="49"/>
      <c r="O10" s="49"/>
      <c r="P10" s="49"/>
      <c r="Q10" s="53"/>
      <c r="R10" s="53"/>
      <c r="S10" s="53"/>
      <c r="T10" s="53"/>
      <c r="U10" s="52"/>
    </row>
    <row r="11" spans="1:21" s="1" customFormat="1" ht="15.75" x14ac:dyDescent="0.2">
      <c r="A11" s="30" t="s">
        <v>73</v>
      </c>
      <c r="B11" s="20">
        <v>1</v>
      </c>
      <c r="C11" s="20">
        <v>1</v>
      </c>
      <c r="D11" s="20">
        <f t="shared" ref="D11:D16" si="0">B11*C11</f>
        <v>1</v>
      </c>
      <c r="E11" s="20">
        <v>5</v>
      </c>
      <c r="F11" s="20">
        <f t="shared" ref="F11:F16" si="1">D11*E11</f>
        <v>5</v>
      </c>
      <c r="G11" s="20">
        <f t="shared" ref="G11:G16" si="2">F11*0.5</f>
        <v>2.5</v>
      </c>
      <c r="H11" s="20">
        <f t="shared" ref="H11:H16" si="3">F11*0.1</f>
        <v>0.5</v>
      </c>
      <c r="I11" s="83">
        <f t="shared" ref="I11:I16" si="4">F11*$L$6+G11*$L$5+H11*$L$7</f>
        <v>1092.1799999999998</v>
      </c>
      <c r="J11" s="3"/>
      <c r="K11" s="5"/>
      <c r="L11" s="6"/>
      <c r="M11" s="48"/>
      <c r="N11" s="49"/>
      <c r="O11" s="49"/>
      <c r="P11" s="49"/>
      <c r="Q11" s="53"/>
      <c r="R11" s="53"/>
      <c r="S11" s="54"/>
      <c r="T11" s="54"/>
      <c r="U11" s="52"/>
    </row>
    <row r="12" spans="1:21" s="1" customFormat="1" ht="15.75" x14ac:dyDescent="0.2">
      <c r="A12" s="30" t="s">
        <v>74</v>
      </c>
      <c r="B12" s="20">
        <v>2</v>
      </c>
      <c r="C12" s="20">
        <v>1</v>
      </c>
      <c r="D12" s="20">
        <f t="shared" si="0"/>
        <v>2</v>
      </c>
      <c r="E12" s="20">
        <v>52</v>
      </c>
      <c r="F12" s="20">
        <f t="shared" si="1"/>
        <v>104</v>
      </c>
      <c r="G12" s="20">
        <f t="shared" si="2"/>
        <v>52</v>
      </c>
      <c r="H12" s="20">
        <f t="shared" si="3"/>
        <v>10.4</v>
      </c>
      <c r="I12" s="83">
        <f t="shared" si="4"/>
        <v>22717.343999999997</v>
      </c>
      <c r="J12" s="3"/>
      <c r="K12" s="5"/>
      <c r="L12" s="6"/>
      <c r="M12" s="48"/>
      <c r="N12" s="49"/>
      <c r="O12" s="49"/>
      <c r="P12" s="49"/>
      <c r="Q12" s="53"/>
      <c r="R12" s="53"/>
      <c r="S12" s="54"/>
      <c r="T12" s="54"/>
      <c r="U12" s="52"/>
    </row>
    <row r="13" spans="1:21" s="1" customFormat="1" ht="15.75" x14ac:dyDescent="0.2">
      <c r="A13" s="33" t="s">
        <v>102</v>
      </c>
      <c r="B13" s="20">
        <v>6</v>
      </c>
      <c r="C13" s="20">
        <v>1</v>
      </c>
      <c r="D13" s="20">
        <f t="shared" si="0"/>
        <v>6</v>
      </c>
      <c r="E13" s="20">
        <v>13</v>
      </c>
      <c r="F13" s="20">
        <f t="shared" si="1"/>
        <v>78</v>
      </c>
      <c r="G13" s="20">
        <f t="shared" si="2"/>
        <v>39</v>
      </c>
      <c r="H13" s="20">
        <f t="shared" si="3"/>
        <v>7.8000000000000007</v>
      </c>
      <c r="I13" s="83">
        <f t="shared" si="4"/>
        <v>17038.008000000002</v>
      </c>
      <c r="J13" s="3"/>
      <c r="K13" s="5"/>
      <c r="L13" s="6"/>
      <c r="M13" s="48"/>
      <c r="N13" s="49"/>
      <c r="O13" s="49"/>
      <c r="P13" s="49"/>
      <c r="Q13" s="49"/>
      <c r="R13" s="49"/>
      <c r="S13" s="49"/>
      <c r="T13" s="49"/>
      <c r="U13" s="52"/>
    </row>
    <row r="14" spans="1:21" s="1" customFormat="1" ht="18" customHeight="1" x14ac:dyDescent="0.2">
      <c r="A14" s="30" t="s">
        <v>75</v>
      </c>
      <c r="B14" s="20">
        <v>4</v>
      </c>
      <c r="C14" s="20">
        <v>1</v>
      </c>
      <c r="D14" s="20">
        <f t="shared" si="0"/>
        <v>4</v>
      </c>
      <c r="E14" s="35">
        <v>13</v>
      </c>
      <c r="F14" s="20">
        <f t="shared" si="1"/>
        <v>52</v>
      </c>
      <c r="G14" s="20">
        <f t="shared" si="2"/>
        <v>26</v>
      </c>
      <c r="H14" s="20">
        <f t="shared" si="3"/>
        <v>5.2</v>
      </c>
      <c r="I14" s="83">
        <f t="shared" si="4"/>
        <v>11358.671999999999</v>
      </c>
      <c r="J14" s="9"/>
      <c r="K14" s="61"/>
      <c r="L14" s="6"/>
      <c r="M14" s="48"/>
      <c r="N14" s="49"/>
      <c r="O14" s="49"/>
      <c r="P14" s="49"/>
      <c r="Q14" s="49"/>
      <c r="R14" s="49"/>
      <c r="S14" s="49"/>
      <c r="T14" s="49"/>
      <c r="U14" s="52"/>
    </row>
    <row r="15" spans="1:21" s="1" customFormat="1" ht="15.75" x14ac:dyDescent="0.2">
      <c r="A15" s="30" t="s">
        <v>76</v>
      </c>
      <c r="B15" s="20">
        <v>8</v>
      </c>
      <c r="C15" s="20">
        <v>1</v>
      </c>
      <c r="D15" s="20">
        <f t="shared" si="0"/>
        <v>8</v>
      </c>
      <c r="E15" s="20">
        <v>47</v>
      </c>
      <c r="F15" s="20">
        <f t="shared" si="1"/>
        <v>376</v>
      </c>
      <c r="G15" s="20">
        <f t="shared" si="2"/>
        <v>188</v>
      </c>
      <c r="H15" s="20">
        <f t="shared" si="3"/>
        <v>37.6</v>
      </c>
      <c r="I15" s="83">
        <f t="shared" si="4"/>
        <v>82131.935999999987</v>
      </c>
      <c r="J15" s="3"/>
      <c r="K15" s="61"/>
      <c r="M15" s="48"/>
      <c r="N15" s="49"/>
      <c r="O15" s="49"/>
      <c r="P15" s="49"/>
      <c r="Q15" s="49"/>
      <c r="R15" s="49"/>
      <c r="S15" s="49"/>
      <c r="T15" s="49"/>
      <c r="U15" s="52"/>
    </row>
    <row r="16" spans="1:21" s="1" customFormat="1" ht="15.75" x14ac:dyDescent="0.2">
      <c r="A16" s="30" t="s">
        <v>93</v>
      </c>
      <c r="B16" s="20">
        <v>8</v>
      </c>
      <c r="C16" s="20">
        <v>1</v>
      </c>
      <c r="D16" s="20">
        <f t="shared" si="0"/>
        <v>8</v>
      </c>
      <c r="E16" s="35">
        <v>78</v>
      </c>
      <c r="F16" s="20">
        <f t="shared" si="1"/>
        <v>624</v>
      </c>
      <c r="G16" s="20">
        <f t="shared" si="2"/>
        <v>312</v>
      </c>
      <c r="H16" s="20">
        <f t="shared" si="3"/>
        <v>62.400000000000006</v>
      </c>
      <c r="I16" s="83">
        <f t="shared" si="4"/>
        <v>136304.06400000001</v>
      </c>
      <c r="J16" s="3"/>
      <c r="K16" s="61"/>
      <c r="M16" s="48"/>
      <c r="N16" s="49"/>
      <c r="O16" s="49"/>
      <c r="P16" s="49"/>
      <c r="Q16" s="49"/>
      <c r="R16" s="49"/>
      <c r="S16" s="49"/>
      <c r="T16" s="49"/>
      <c r="U16" s="52"/>
    </row>
    <row r="17" spans="1:21" s="1" customFormat="1" ht="13.5" x14ac:dyDescent="0.25">
      <c r="A17" s="139" t="s">
        <v>21</v>
      </c>
      <c r="B17" s="140"/>
      <c r="C17" s="140"/>
      <c r="D17" s="140"/>
      <c r="E17" s="141"/>
      <c r="F17" s="142">
        <f>SUM(F4:H16)</f>
        <v>2014.4</v>
      </c>
      <c r="G17" s="143"/>
      <c r="H17" s="144"/>
      <c r="I17" s="36">
        <f>SUM(I4:I16)</f>
        <v>275010.924</v>
      </c>
      <c r="J17" s="3"/>
      <c r="K17" s="61"/>
      <c r="M17" s="48"/>
      <c r="N17" s="49"/>
      <c r="O17" s="49"/>
      <c r="P17" s="49"/>
      <c r="Q17" s="49"/>
      <c r="R17" s="49"/>
      <c r="S17" s="49"/>
      <c r="T17" s="49"/>
      <c r="U17" s="52"/>
    </row>
    <row r="18" spans="1:21" s="1" customFormat="1" ht="12.75" x14ac:dyDescent="0.2">
      <c r="A18" s="30" t="s">
        <v>62</v>
      </c>
      <c r="B18" s="20"/>
      <c r="C18" s="20"/>
      <c r="D18" s="20"/>
      <c r="E18" s="20"/>
      <c r="F18" s="20"/>
      <c r="G18" s="20"/>
      <c r="H18" s="20"/>
      <c r="I18" s="34"/>
      <c r="J18" s="3"/>
      <c r="K18" s="61"/>
      <c r="M18" s="48"/>
      <c r="N18" s="49"/>
      <c r="O18" s="49"/>
      <c r="P18" s="49"/>
      <c r="Q18" s="49"/>
      <c r="R18" s="49"/>
      <c r="S18" s="49"/>
      <c r="T18" s="49"/>
      <c r="U18" s="52"/>
    </row>
    <row r="19" spans="1:21" s="1" customFormat="1" ht="19.5" customHeight="1" x14ac:dyDescent="0.2">
      <c r="A19" s="33" t="s">
        <v>103</v>
      </c>
      <c r="B19" s="20" t="s">
        <v>66</v>
      </c>
      <c r="C19" s="20"/>
      <c r="D19" s="108"/>
      <c r="E19" s="20"/>
      <c r="F19" s="20"/>
      <c r="G19" s="20"/>
      <c r="H19" s="20"/>
      <c r="I19" s="34"/>
      <c r="J19" s="3"/>
      <c r="K19" s="61"/>
      <c r="M19" s="48"/>
      <c r="N19" s="49"/>
      <c r="O19" s="49"/>
      <c r="P19" s="49"/>
      <c r="Q19" s="49"/>
      <c r="R19" s="49"/>
      <c r="S19" s="49"/>
      <c r="T19" s="49"/>
      <c r="U19" s="52"/>
    </row>
    <row r="20" spans="1:21" s="1" customFormat="1" ht="15.75" x14ac:dyDescent="0.2">
      <c r="A20" s="30" t="s">
        <v>78</v>
      </c>
      <c r="B20" s="20">
        <v>8</v>
      </c>
      <c r="C20" s="20">
        <v>1</v>
      </c>
      <c r="D20" s="108">
        <f>B20*C20</f>
        <v>8</v>
      </c>
      <c r="E20" s="20">
        <v>5</v>
      </c>
      <c r="F20" s="20">
        <f t="shared" ref="F20:F31" si="5">D20*E20</f>
        <v>40</v>
      </c>
      <c r="G20" s="20">
        <f>F20*0.5</f>
        <v>20</v>
      </c>
      <c r="H20" s="20">
        <f>F20*0.1</f>
        <v>4</v>
      </c>
      <c r="I20" s="83">
        <f t="shared" ref="I20" si="6">F20*$L$6+G20*$L$5+H20*$L$7</f>
        <v>8737.4399999999987</v>
      </c>
      <c r="J20" s="3"/>
      <c r="K20" s="3"/>
      <c r="M20" s="48"/>
      <c r="N20" s="49"/>
      <c r="O20" s="49"/>
      <c r="P20" s="49"/>
      <c r="Q20" s="49"/>
      <c r="R20" s="49"/>
      <c r="S20" s="49"/>
      <c r="T20" s="49"/>
      <c r="U20" s="52"/>
    </row>
    <row r="21" spans="1:21" s="1" customFormat="1" ht="12.75" x14ac:dyDescent="0.2">
      <c r="A21" s="111" t="s">
        <v>104</v>
      </c>
      <c r="B21" s="112"/>
      <c r="C21" s="112"/>
      <c r="D21" s="112"/>
      <c r="E21" s="20"/>
      <c r="F21" s="20"/>
      <c r="G21" s="20"/>
      <c r="H21" s="20"/>
      <c r="I21" s="84"/>
      <c r="J21" s="3"/>
      <c r="M21" s="48"/>
      <c r="N21" s="49"/>
      <c r="O21" s="49"/>
      <c r="P21" s="49"/>
      <c r="Q21" s="49"/>
      <c r="R21" s="49"/>
      <c r="S21" s="49"/>
      <c r="T21" s="49"/>
      <c r="U21" s="52"/>
    </row>
    <row r="22" spans="1:21" s="1" customFormat="1" ht="15.75" x14ac:dyDescent="0.2">
      <c r="A22" s="37" t="s">
        <v>105</v>
      </c>
      <c r="B22" s="2">
        <v>42</v>
      </c>
      <c r="C22" s="2">
        <v>1</v>
      </c>
      <c r="D22" s="82">
        <f>B22*C22</f>
        <v>42</v>
      </c>
      <c r="E22" s="82">
        <v>5</v>
      </c>
      <c r="F22" s="20">
        <f t="shared" si="5"/>
        <v>210</v>
      </c>
      <c r="G22" s="20">
        <f>F22*0.5</f>
        <v>105</v>
      </c>
      <c r="H22" s="20">
        <f>F22*0.1</f>
        <v>21</v>
      </c>
      <c r="I22" s="83">
        <f>F22*$L$6+G22*$L$5+H22*$L$7</f>
        <v>45871.56</v>
      </c>
      <c r="J22" s="3"/>
      <c r="M22" s="48"/>
      <c r="N22" s="49"/>
      <c r="O22" s="49"/>
      <c r="P22" s="49"/>
      <c r="Q22" s="49"/>
      <c r="R22" s="51"/>
      <c r="S22" s="49"/>
      <c r="T22" s="49"/>
      <c r="U22" s="52"/>
    </row>
    <row r="23" spans="1:21" s="1" customFormat="1" ht="15.75" x14ac:dyDescent="0.25">
      <c r="A23" s="38" t="s">
        <v>106</v>
      </c>
      <c r="B23" s="2">
        <v>20</v>
      </c>
      <c r="C23" s="2">
        <v>1</v>
      </c>
      <c r="D23" s="82">
        <f t="shared" ref="D23:D31" si="7">B23*C23</f>
        <v>20</v>
      </c>
      <c r="E23" s="82">
        <v>26</v>
      </c>
      <c r="F23" s="20">
        <f t="shared" si="5"/>
        <v>520</v>
      </c>
      <c r="G23" s="20">
        <f t="shared" ref="G23:G31" si="8">F23*0.5</f>
        <v>260</v>
      </c>
      <c r="H23" s="20">
        <f t="shared" ref="H23:H25" si="9">F23*0.1</f>
        <v>52</v>
      </c>
      <c r="I23" s="83">
        <f>F23*$L$6+G23*$L$5+H23*$L$7</f>
        <v>113586.72</v>
      </c>
      <c r="J23" s="3"/>
      <c r="K23" s="3"/>
      <c r="M23" s="55"/>
      <c r="N23" s="55"/>
      <c r="O23" s="55"/>
      <c r="P23" s="55"/>
      <c r="Q23" s="55"/>
      <c r="R23" s="56"/>
      <c r="S23" s="56"/>
      <c r="T23" s="56"/>
      <c r="U23" s="57"/>
    </row>
    <row r="24" spans="1:21" s="1" customFormat="1" ht="15.75" x14ac:dyDescent="0.2">
      <c r="A24" s="39" t="s">
        <v>107</v>
      </c>
      <c r="B24" s="10">
        <v>64</v>
      </c>
      <c r="C24" s="10">
        <v>1</v>
      </c>
      <c r="D24" s="85">
        <f t="shared" si="7"/>
        <v>64</v>
      </c>
      <c r="E24" s="85">
        <v>47</v>
      </c>
      <c r="F24" s="20">
        <f t="shared" si="5"/>
        <v>3008</v>
      </c>
      <c r="G24" s="20">
        <f t="shared" si="8"/>
        <v>1504</v>
      </c>
      <c r="H24" s="20">
        <f t="shared" si="9"/>
        <v>300.8</v>
      </c>
      <c r="I24" s="83">
        <f>F24*$L$6+G24*$L$5+H24*$L$7</f>
        <v>657055.4879999999</v>
      </c>
      <c r="J24" s="3"/>
      <c r="K24" s="3"/>
      <c r="M24" s="48"/>
      <c r="N24" s="49"/>
      <c r="O24" s="49"/>
      <c r="P24" s="49"/>
      <c r="Q24" s="49"/>
      <c r="R24" s="49"/>
      <c r="S24" s="49"/>
      <c r="T24" s="49"/>
      <c r="U24" s="50"/>
    </row>
    <row r="25" spans="1:21" s="1" customFormat="1" ht="15.75" x14ac:dyDescent="0.2">
      <c r="A25" s="39" t="s">
        <v>108</v>
      </c>
      <c r="B25" s="10">
        <v>16</v>
      </c>
      <c r="C25" s="10">
        <v>1</v>
      </c>
      <c r="D25" s="86">
        <f t="shared" si="7"/>
        <v>16</v>
      </c>
      <c r="E25" s="86">
        <v>78</v>
      </c>
      <c r="F25" s="20">
        <f t="shared" si="5"/>
        <v>1248</v>
      </c>
      <c r="G25" s="20">
        <f t="shared" si="8"/>
        <v>624</v>
      </c>
      <c r="H25" s="20">
        <f t="shared" si="9"/>
        <v>124.80000000000001</v>
      </c>
      <c r="I25" s="83">
        <f>F25*$L$6+G25*$L$5+H25*$L$7</f>
        <v>272608.12800000003</v>
      </c>
      <c r="J25" s="3"/>
      <c r="K25" s="3"/>
      <c r="M25" s="48"/>
      <c r="N25" s="49"/>
      <c r="O25" s="49"/>
      <c r="P25" s="49"/>
      <c r="Q25" s="49"/>
      <c r="R25" s="49"/>
      <c r="S25" s="49"/>
      <c r="T25" s="49"/>
      <c r="U25" s="52"/>
    </row>
    <row r="26" spans="1:21" s="1" customFormat="1" ht="12.75" x14ac:dyDescent="0.2">
      <c r="A26" s="39" t="s">
        <v>109</v>
      </c>
      <c r="B26" s="10"/>
      <c r="C26" s="10"/>
      <c r="D26" s="85"/>
      <c r="E26" s="85"/>
      <c r="F26" s="85"/>
      <c r="G26" s="10"/>
      <c r="H26" s="10"/>
      <c r="I26" s="40"/>
      <c r="J26" s="3"/>
      <c r="M26" s="48"/>
      <c r="N26" s="49"/>
      <c r="O26" s="49"/>
      <c r="P26" s="49"/>
      <c r="Q26" s="49"/>
      <c r="R26" s="49"/>
      <c r="S26" s="49"/>
      <c r="T26" s="49"/>
      <c r="U26" s="52"/>
    </row>
    <row r="27" spans="1:21" s="1" customFormat="1" ht="15.75" x14ac:dyDescent="0.2">
      <c r="A27" s="41" t="s">
        <v>80</v>
      </c>
      <c r="B27" s="10">
        <v>8</v>
      </c>
      <c r="C27" s="10">
        <v>12</v>
      </c>
      <c r="D27" s="85">
        <f t="shared" si="7"/>
        <v>96</v>
      </c>
      <c r="E27" s="85">
        <v>26</v>
      </c>
      <c r="F27" s="20">
        <f t="shared" si="5"/>
        <v>2496</v>
      </c>
      <c r="G27" s="20">
        <f t="shared" si="8"/>
        <v>1248</v>
      </c>
      <c r="H27" s="20">
        <f t="shared" ref="H27" si="10">F27*0.1</f>
        <v>249.60000000000002</v>
      </c>
      <c r="I27" s="83">
        <f>F27*$L$6+G27*$L$5+H27*$L$7</f>
        <v>545216.25600000005</v>
      </c>
      <c r="J27" s="3"/>
      <c r="K27" s="3"/>
      <c r="M27" s="48"/>
      <c r="N27" s="49"/>
      <c r="O27" s="49"/>
      <c r="P27" s="49"/>
      <c r="Q27" s="49"/>
      <c r="R27" s="51"/>
      <c r="S27" s="49"/>
      <c r="T27" s="49"/>
      <c r="U27" s="52"/>
    </row>
    <row r="28" spans="1:21" s="1" customFormat="1" ht="18" customHeight="1" x14ac:dyDescent="0.2">
      <c r="A28" s="41" t="s">
        <v>77</v>
      </c>
      <c r="B28" s="10">
        <v>8</v>
      </c>
      <c r="C28" s="10">
        <v>1</v>
      </c>
      <c r="D28" s="85">
        <f t="shared" si="7"/>
        <v>8</v>
      </c>
      <c r="E28" s="85">
        <v>47</v>
      </c>
      <c r="F28" s="20">
        <f t="shared" si="5"/>
        <v>376</v>
      </c>
      <c r="G28" s="20">
        <f t="shared" si="8"/>
        <v>188</v>
      </c>
      <c r="H28" s="20">
        <f t="shared" ref="H28:H29" si="11">F28*0.1</f>
        <v>37.6</v>
      </c>
      <c r="I28" s="83">
        <f>F28*$L$6+G28*$L$5+H28*$L$7</f>
        <v>82131.935999999987</v>
      </c>
      <c r="J28" s="3"/>
      <c r="K28" s="3"/>
      <c r="M28" s="48"/>
      <c r="N28" s="49"/>
      <c r="O28" s="49"/>
      <c r="P28" s="49"/>
      <c r="Q28" s="49"/>
      <c r="R28" s="49"/>
      <c r="S28" s="49"/>
      <c r="T28" s="49"/>
      <c r="U28" s="52"/>
    </row>
    <row r="29" spans="1:21" s="1" customFormat="1" ht="15.75" x14ac:dyDescent="0.2">
      <c r="A29" s="39" t="s">
        <v>110</v>
      </c>
      <c r="B29" s="10">
        <v>4</v>
      </c>
      <c r="C29" s="10">
        <v>1</v>
      </c>
      <c r="D29" s="85">
        <f t="shared" si="7"/>
        <v>4</v>
      </c>
      <c r="E29" s="85">
        <v>78</v>
      </c>
      <c r="F29" s="20">
        <f t="shared" si="5"/>
        <v>312</v>
      </c>
      <c r="G29" s="20">
        <f t="shared" si="8"/>
        <v>156</v>
      </c>
      <c r="H29" s="20">
        <f t="shared" si="11"/>
        <v>31.200000000000003</v>
      </c>
      <c r="I29" s="83">
        <f>F29*$L$6+G29*$L$5+H29*$L$7</f>
        <v>68152.032000000007</v>
      </c>
      <c r="J29" s="3"/>
      <c r="K29" s="3"/>
      <c r="M29" s="48"/>
      <c r="N29" s="49"/>
      <c r="O29" s="49"/>
      <c r="P29" s="49"/>
      <c r="Q29" s="49"/>
      <c r="R29" s="49"/>
      <c r="S29" s="49"/>
      <c r="T29" s="49"/>
      <c r="U29" s="52"/>
    </row>
    <row r="30" spans="1:21" s="1" customFormat="1" ht="12.75" x14ac:dyDescent="0.2">
      <c r="A30" s="41" t="s">
        <v>63</v>
      </c>
      <c r="B30" s="10" t="s">
        <v>64</v>
      </c>
      <c r="C30" s="10"/>
      <c r="D30" s="85"/>
      <c r="E30" s="85"/>
      <c r="F30" s="85"/>
      <c r="G30" s="10"/>
      <c r="H30" s="10"/>
      <c r="I30" s="11"/>
      <c r="J30" s="3"/>
      <c r="K30" s="3"/>
      <c r="M30" s="48"/>
      <c r="N30" s="49"/>
      <c r="O30" s="49"/>
      <c r="P30" s="49"/>
      <c r="Q30" s="49"/>
      <c r="R30" s="49"/>
      <c r="S30" s="49"/>
      <c r="T30" s="49"/>
      <c r="U30" s="52"/>
    </row>
    <row r="31" spans="1:21" s="1" customFormat="1" ht="15.75" x14ac:dyDescent="0.2">
      <c r="A31" s="41" t="s">
        <v>81</v>
      </c>
      <c r="B31" s="10">
        <v>67</v>
      </c>
      <c r="C31" s="10">
        <v>1</v>
      </c>
      <c r="D31" s="85">
        <f t="shared" si="7"/>
        <v>67</v>
      </c>
      <c r="E31" s="85">
        <v>87</v>
      </c>
      <c r="F31" s="20">
        <f t="shared" si="5"/>
        <v>5829</v>
      </c>
      <c r="G31" s="20">
        <f t="shared" si="8"/>
        <v>2914.5</v>
      </c>
      <c r="H31" s="20">
        <f t="shared" ref="H31" si="12">F31*0.1</f>
        <v>582.9</v>
      </c>
      <c r="I31" s="83">
        <f>F31*$L$6+G31*$L$5+H31*$L$7</f>
        <v>1273263.4439999999</v>
      </c>
      <c r="J31" s="3"/>
      <c r="K31" s="3"/>
      <c r="M31" s="48"/>
      <c r="N31" s="49"/>
      <c r="O31" s="49"/>
      <c r="P31" s="49"/>
      <c r="Q31" s="49"/>
      <c r="R31" s="49"/>
      <c r="S31" s="49"/>
      <c r="T31" s="49"/>
      <c r="U31" s="52"/>
    </row>
    <row r="32" spans="1:21" s="1" customFormat="1" ht="13.5" x14ac:dyDescent="0.25">
      <c r="A32" s="59" t="s">
        <v>22</v>
      </c>
      <c r="B32" s="145"/>
      <c r="C32" s="146"/>
      <c r="D32" s="146"/>
      <c r="E32" s="147"/>
      <c r="F32" s="136">
        <f>SUM(F18:H31)</f>
        <v>22462.400000000001</v>
      </c>
      <c r="G32" s="137"/>
      <c r="H32" s="138"/>
      <c r="I32" s="73">
        <f>SUM(I18:I31)</f>
        <v>3066623.0039999997</v>
      </c>
      <c r="J32" s="3"/>
      <c r="K32" s="44">
        <f>F33/Responses!E9</f>
        <v>152.17391304347825</v>
      </c>
      <c r="L32" s="44" t="s">
        <v>23</v>
      </c>
      <c r="M32" s="48"/>
      <c r="N32" s="49"/>
      <c r="O32" s="49"/>
      <c r="P32" s="49"/>
      <c r="Q32" s="49"/>
      <c r="R32" s="49"/>
      <c r="S32" s="49"/>
      <c r="T32" s="49"/>
      <c r="U32" s="52"/>
    </row>
    <row r="33" spans="1:21" s="1" customFormat="1" ht="13.5" customHeight="1" x14ac:dyDescent="0.25">
      <c r="A33" s="45" t="s">
        <v>121</v>
      </c>
      <c r="B33" s="133"/>
      <c r="C33" s="134"/>
      <c r="D33" s="134"/>
      <c r="E33" s="135"/>
      <c r="F33" s="136">
        <f>ROUND(SUM(F17,F32), -2)</f>
        <v>24500</v>
      </c>
      <c r="G33" s="137"/>
      <c r="H33" s="138"/>
      <c r="I33" s="12">
        <f>ROUND(SUM(I17,I31), -4)</f>
        <v>1550000</v>
      </c>
      <c r="J33" s="16"/>
      <c r="K33" s="15"/>
      <c r="L33" s="3"/>
      <c r="M33" s="48"/>
      <c r="N33" s="49"/>
      <c r="O33" s="49"/>
      <c r="P33" s="49"/>
      <c r="Q33" s="49"/>
      <c r="R33" s="49"/>
      <c r="S33" s="49"/>
      <c r="T33" s="49"/>
      <c r="U33" s="52"/>
    </row>
    <row r="34" spans="1:21" s="1" customFormat="1" ht="13.5" customHeight="1" x14ac:dyDescent="0.25">
      <c r="A34" s="45" t="s">
        <v>122</v>
      </c>
      <c r="B34" s="133"/>
      <c r="C34" s="134"/>
      <c r="D34" s="134"/>
      <c r="E34" s="134"/>
      <c r="F34" s="134"/>
      <c r="G34" s="134"/>
      <c r="H34" s="135"/>
      <c r="I34" s="73">
        <v>0</v>
      </c>
      <c r="J34" s="3"/>
      <c r="M34" s="55"/>
      <c r="N34" s="55"/>
      <c r="O34" s="55"/>
      <c r="P34" s="55"/>
      <c r="Q34" s="55"/>
      <c r="R34" s="56"/>
      <c r="S34" s="56"/>
      <c r="T34" s="56"/>
      <c r="U34" s="57"/>
    </row>
    <row r="35" spans="1:21" s="1" customFormat="1" ht="13.5" customHeight="1" x14ac:dyDescent="0.25">
      <c r="A35" s="45" t="s">
        <v>123</v>
      </c>
      <c r="B35" s="133"/>
      <c r="C35" s="134"/>
      <c r="D35" s="134"/>
      <c r="E35" s="134"/>
      <c r="F35" s="134"/>
      <c r="G35" s="134"/>
      <c r="H35" s="135"/>
      <c r="I35" s="73">
        <f>ROUND(SUM(I33:I34), -4)</f>
        <v>1550000</v>
      </c>
      <c r="J35" s="3"/>
      <c r="M35" s="58"/>
      <c r="N35" s="58"/>
      <c r="O35" s="58"/>
      <c r="P35" s="58"/>
      <c r="Q35" s="58"/>
      <c r="R35" s="56"/>
      <c r="S35" s="56"/>
      <c r="T35" s="56"/>
      <c r="U35" s="57"/>
    </row>
    <row r="36" spans="1:21" s="1" customFormat="1" ht="13.5" x14ac:dyDescent="0.25">
      <c r="G36" s="42"/>
      <c r="I36" s="8"/>
      <c r="J36" s="3"/>
      <c r="M36" s="58"/>
      <c r="N36" s="58"/>
      <c r="O36" s="58"/>
      <c r="P36" s="58"/>
      <c r="Q36" s="58"/>
      <c r="R36" s="58"/>
      <c r="S36" s="58"/>
      <c r="T36" s="58"/>
      <c r="U36" s="57"/>
    </row>
    <row r="37" spans="1:21" s="1" customFormat="1" ht="13.5" x14ac:dyDescent="0.25">
      <c r="A37" s="119" t="s">
        <v>24</v>
      </c>
      <c r="I37" s="8"/>
      <c r="J37" s="3"/>
      <c r="M37" s="58"/>
      <c r="N37" s="58"/>
      <c r="O37" s="58"/>
      <c r="P37" s="58"/>
      <c r="Q37" s="58"/>
      <c r="R37" s="58"/>
      <c r="S37" s="58"/>
      <c r="T37" s="58"/>
      <c r="U37" s="57"/>
    </row>
    <row r="38" spans="1:21" s="1" customFormat="1" ht="55.9" customHeight="1" x14ac:dyDescent="0.2">
      <c r="A38" s="132" t="s">
        <v>88</v>
      </c>
      <c r="B38" s="132"/>
      <c r="C38" s="132"/>
      <c r="D38" s="132"/>
      <c r="E38" s="132"/>
      <c r="F38" s="132"/>
      <c r="G38" s="132"/>
      <c r="H38" s="132"/>
      <c r="I38" s="132"/>
      <c r="J38" s="117"/>
      <c r="K38" s="118"/>
      <c r="L38" s="118"/>
      <c r="M38" s="118"/>
      <c r="N38" s="117"/>
      <c r="Q38" s="26"/>
      <c r="R38" s="26"/>
      <c r="S38" s="26"/>
      <c r="T38" s="26"/>
      <c r="U38" s="26"/>
    </row>
    <row r="39" spans="1:21" s="1" customFormat="1" ht="93.75" customHeight="1" x14ac:dyDescent="0.2">
      <c r="A39" s="132" t="s">
        <v>70</v>
      </c>
      <c r="B39" s="132"/>
      <c r="C39" s="132"/>
      <c r="D39" s="132"/>
      <c r="E39" s="132"/>
      <c r="F39" s="132"/>
      <c r="G39" s="132"/>
      <c r="H39" s="132"/>
      <c r="I39" s="132"/>
      <c r="J39" s="3"/>
      <c r="M39" s="26"/>
      <c r="N39" s="26"/>
      <c r="O39" s="26"/>
      <c r="P39" s="26"/>
      <c r="Q39" s="26"/>
      <c r="R39" s="26"/>
      <c r="S39" s="26"/>
      <c r="T39" s="26"/>
      <c r="U39" s="26"/>
    </row>
    <row r="40" spans="1:21" s="1" customFormat="1" ht="18.75" x14ac:dyDescent="0.2">
      <c r="A40" s="148" t="s">
        <v>89</v>
      </c>
      <c r="B40" s="148"/>
      <c r="C40" s="148"/>
      <c r="D40" s="148"/>
      <c r="E40" s="148"/>
      <c r="F40" s="148"/>
      <c r="G40" s="148"/>
      <c r="H40" s="148"/>
      <c r="I40" s="148"/>
      <c r="J40" s="117"/>
      <c r="M40" s="26"/>
      <c r="N40" s="26"/>
      <c r="O40" s="26"/>
      <c r="P40" s="26"/>
      <c r="Q40" s="26"/>
      <c r="R40" s="26"/>
      <c r="S40" s="26"/>
      <c r="T40" s="26"/>
      <c r="U40" s="26"/>
    </row>
    <row r="41" spans="1:21" s="1" customFormat="1" ht="18.75" x14ac:dyDescent="0.2">
      <c r="A41" s="88" t="s">
        <v>90</v>
      </c>
      <c r="B41" s="87"/>
      <c r="C41" s="80"/>
      <c r="D41" s="80"/>
      <c r="E41" s="80"/>
      <c r="F41" s="80"/>
      <c r="G41" s="80"/>
      <c r="H41" s="80"/>
      <c r="I41" s="80"/>
      <c r="J41" s="117"/>
      <c r="M41" s="26"/>
      <c r="N41" s="26"/>
      <c r="O41" s="26"/>
      <c r="P41" s="26"/>
      <c r="Q41" s="26"/>
      <c r="R41" s="26"/>
      <c r="S41" s="26"/>
      <c r="T41" s="26"/>
      <c r="U41" s="26"/>
    </row>
    <row r="42" spans="1:21" s="1" customFormat="1" ht="43.15" customHeight="1" x14ac:dyDescent="0.2">
      <c r="A42" s="132" t="s">
        <v>91</v>
      </c>
      <c r="B42" s="132"/>
      <c r="C42" s="132"/>
      <c r="D42" s="132"/>
      <c r="E42" s="132"/>
      <c r="F42" s="132"/>
      <c r="G42" s="132"/>
      <c r="H42" s="132"/>
      <c r="I42" s="132"/>
      <c r="J42" s="117"/>
      <c r="K42" s="117"/>
      <c r="N42" s="26"/>
      <c r="O42" s="26"/>
      <c r="P42" s="26"/>
      <c r="Q42" s="26"/>
      <c r="R42" s="26"/>
      <c r="S42" s="26"/>
      <c r="T42" s="26"/>
      <c r="U42" s="26"/>
    </row>
    <row r="43" spans="1:21" s="1" customFormat="1" ht="18.75" x14ac:dyDescent="0.2">
      <c r="A43" s="88" t="s">
        <v>92</v>
      </c>
      <c r="B43" s="87"/>
      <c r="C43" s="43"/>
      <c r="D43" s="43"/>
      <c r="E43" s="43"/>
      <c r="F43" s="43"/>
      <c r="G43" s="43"/>
      <c r="H43" s="43"/>
      <c r="I43" s="43"/>
      <c r="J43" s="117"/>
      <c r="K43" s="117"/>
      <c r="M43" s="26"/>
      <c r="N43" s="26"/>
      <c r="O43" s="26"/>
      <c r="P43" s="26"/>
      <c r="Q43" s="26"/>
      <c r="R43" s="26"/>
      <c r="S43" s="26"/>
      <c r="T43" s="26"/>
      <c r="U43" s="26"/>
    </row>
    <row r="44" spans="1:21" ht="18.75" x14ac:dyDescent="0.25">
      <c r="A44" s="88" t="s">
        <v>94</v>
      </c>
      <c r="B44" s="87"/>
      <c r="J44" s="117"/>
    </row>
    <row r="45" spans="1:21" ht="18.75" x14ac:dyDescent="0.25">
      <c r="A45" s="88" t="s">
        <v>79</v>
      </c>
      <c r="B45" s="87"/>
    </row>
    <row r="46" spans="1:21" ht="18.75" x14ac:dyDescent="0.25">
      <c r="A46" s="126" t="s">
        <v>118</v>
      </c>
      <c r="B46" s="127"/>
      <c r="C46" s="128"/>
      <c r="D46" s="129"/>
      <c r="E46" s="129"/>
      <c r="F46" s="129"/>
      <c r="G46" s="129"/>
      <c r="J46" s="117"/>
    </row>
    <row r="47" spans="1:21" ht="32.450000000000003" customHeight="1" x14ac:dyDescent="0.25">
      <c r="A47" s="132" t="s">
        <v>115</v>
      </c>
      <c r="B47" s="132"/>
      <c r="C47" s="132"/>
      <c r="D47" s="132"/>
      <c r="E47" s="132"/>
      <c r="F47" s="132"/>
      <c r="G47" s="132"/>
      <c r="H47" s="132"/>
      <c r="I47" s="132"/>
    </row>
    <row r="48" spans="1:21" ht="18.75" x14ac:dyDescent="0.25">
      <c r="A48" s="88" t="s">
        <v>95</v>
      </c>
      <c r="B48" s="87"/>
      <c r="C48" s="63"/>
      <c r="J48" s="117"/>
    </row>
    <row r="49" spans="1:3" ht="18" x14ac:dyDescent="0.25">
      <c r="A49" s="121" t="s">
        <v>124</v>
      </c>
      <c r="C49" s="63"/>
    </row>
    <row r="50" spans="1:3" ht="15.75" x14ac:dyDescent="0.25">
      <c r="A50" s="88"/>
      <c r="C50" s="64"/>
    </row>
    <row r="51" spans="1:3" ht="15.75" x14ac:dyDescent="0.25">
      <c r="A51" s="64"/>
      <c r="B51" s="64"/>
      <c r="C51" s="64"/>
    </row>
    <row r="52" spans="1:3" ht="15.75" customHeight="1" x14ac:dyDescent="0.25">
      <c r="A52" s="63"/>
      <c r="B52" s="63"/>
      <c r="C52" s="63"/>
    </row>
    <row r="53" spans="1:3" ht="15" customHeight="1" x14ac:dyDescent="0.25">
      <c r="A53" s="63"/>
      <c r="B53" s="63"/>
      <c r="C53" s="63"/>
    </row>
    <row r="54" spans="1:3" ht="15.75" x14ac:dyDescent="0.25">
      <c r="A54" s="63"/>
      <c r="B54" s="63"/>
      <c r="C54" s="63"/>
    </row>
    <row r="55" spans="1:3" ht="15.75" x14ac:dyDescent="0.25">
      <c r="A55" s="64"/>
      <c r="B55" s="64"/>
      <c r="C55" s="64"/>
    </row>
    <row r="56" spans="1:3" ht="15.75" x14ac:dyDescent="0.25">
      <c r="A56" s="64"/>
      <c r="B56" s="63"/>
      <c r="C56" s="63"/>
    </row>
    <row r="57" spans="1:3" ht="15.75" x14ac:dyDescent="0.25">
      <c r="A57" s="63"/>
      <c r="B57" s="63"/>
      <c r="C57" s="63"/>
    </row>
    <row r="58" spans="1:3" ht="15.75" x14ac:dyDescent="0.25">
      <c r="A58" s="64"/>
      <c r="B58" s="63"/>
      <c r="C58" s="63"/>
    </row>
  </sheetData>
  <sortState xmlns:xlrd2="http://schemas.microsoft.com/office/spreadsheetml/2017/richdata2" ref="A46:C58">
    <sortCondition ref="C46:C58"/>
  </sortState>
  <mergeCells count="14">
    <mergeCell ref="A47:I47"/>
    <mergeCell ref="A17:E17"/>
    <mergeCell ref="F17:H17"/>
    <mergeCell ref="B32:E32"/>
    <mergeCell ref="F32:H32"/>
    <mergeCell ref="A38:I38"/>
    <mergeCell ref="A40:I40"/>
    <mergeCell ref="A42:I42"/>
    <mergeCell ref="K4:L4"/>
    <mergeCell ref="A39:I39"/>
    <mergeCell ref="B33:E33"/>
    <mergeCell ref="B34:H34"/>
    <mergeCell ref="B35:H35"/>
    <mergeCell ref="F33:H33"/>
  </mergeCells>
  <phoneticPr fontId="25"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M29"/>
  <sheetViews>
    <sheetView topLeftCell="A9" zoomScale="90" zoomScaleNormal="90" workbookViewId="0">
      <selection activeCell="O6" sqref="O6"/>
    </sheetView>
  </sheetViews>
  <sheetFormatPr defaultRowHeight="15" x14ac:dyDescent="0.25"/>
  <cols>
    <col min="1" max="1" width="37.5703125" customWidth="1"/>
    <col min="2" max="9" width="11.7109375" customWidth="1"/>
    <col min="10" max="10" width="8.140625" customWidth="1"/>
    <col min="11" max="11" width="11.85546875" customWidth="1"/>
  </cols>
  <sheetData>
    <row r="1" spans="1:13" ht="15.75" x14ac:dyDescent="0.25">
      <c r="A1" s="31" t="s">
        <v>125</v>
      </c>
      <c r="B1" s="1"/>
      <c r="C1" s="1"/>
      <c r="D1" s="1"/>
      <c r="E1" s="1"/>
      <c r="F1" s="1"/>
      <c r="G1" s="1"/>
      <c r="H1" s="1"/>
      <c r="I1" s="1"/>
      <c r="M1" s="107"/>
    </row>
    <row r="2" spans="1:13" x14ac:dyDescent="0.25">
      <c r="A2" s="1"/>
      <c r="B2" s="1"/>
      <c r="C2" s="1"/>
      <c r="D2" s="1"/>
      <c r="E2" s="1"/>
      <c r="F2" s="7"/>
      <c r="G2" s="7"/>
      <c r="H2" s="7"/>
      <c r="I2" s="7"/>
    </row>
    <row r="3" spans="1:13" ht="76.5" x14ac:dyDescent="0.25">
      <c r="A3" s="28" t="s">
        <v>25</v>
      </c>
      <c r="B3" s="71" t="s">
        <v>26</v>
      </c>
      <c r="C3" s="71" t="s">
        <v>27</v>
      </c>
      <c r="D3" s="71" t="s">
        <v>28</v>
      </c>
      <c r="E3" s="71" t="s">
        <v>29</v>
      </c>
      <c r="F3" s="71" t="s">
        <v>13</v>
      </c>
      <c r="G3" s="71" t="s">
        <v>30</v>
      </c>
      <c r="H3" s="71" t="s">
        <v>31</v>
      </c>
      <c r="I3" s="71" t="s">
        <v>32</v>
      </c>
      <c r="J3" s="1"/>
      <c r="K3" s="1"/>
      <c r="L3" s="1"/>
    </row>
    <row r="4" spans="1:13" ht="15.75" x14ac:dyDescent="0.25">
      <c r="A4" s="22" t="s">
        <v>72</v>
      </c>
      <c r="B4" s="20">
        <v>1</v>
      </c>
      <c r="C4" s="20">
        <v>5</v>
      </c>
      <c r="D4" s="20">
        <v>5</v>
      </c>
      <c r="E4" s="10">
        <v>5</v>
      </c>
      <c r="F4" s="20">
        <f>D4*E4</f>
        <v>25</v>
      </c>
      <c r="G4" s="20">
        <f>D4*0.05</f>
        <v>0.25</v>
      </c>
      <c r="H4" s="20">
        <f>D4*0.1</f>
        <v>0.5</v>
      </c>
      <c r="I4" s="90">
        <f>F4*$L$6+G4*$L$5+H4*$L$7</f>
        <v>1395.9159999999999</v>
      </c>
      <c r="J4" s="1"/>
      <c r="K4" s="131" t="s">
        <v>17</v>
      </c>
      <c r="L4" s="131"/>
    </row>
    <row r="5" spans="1:13" ht="28.5" x14ac:dyDescent="0.25">
      <c r="A5" s="22" t="s">
        <v>82</v>
      </c>
      <c r="B5" s="20">
        <v>1</v>
      </c>
      <c r="C5" s="20">
        <v>12.5</v>
      </c>
      <c r="D5" s="20">
        <v>12.5</v>
      </c>
      <c r="E5" s="10">
        <v>26</v>
      </c>
      <c r="F5" s="20">
        <f t="shared" ref="F5" si="0">D5*E5</f>
        <v>325</v>
      </c>
      <c r="G5" s="20">
        <f t="shared" ref="G5:G12" si="1">D5*0.05</f>
        <v>0.625</v>
      </c>
      <c r="H5" s="20">
        <f t="shared" ref="H5:H12" si="2">D5*0.1</f>
        <v>1.25</v>
      </c>
      <c r="I5" s="90">
        <f t="shared" ref="I5:I12" si="3">F5*$L$6+G5*$L$5+H5*$L$7</f>
        <v>17799.190000000002</v>
      </c>
      <c r="J5" s="1"/>
      <c r="K5" s="14" t="s">
        <v>18</v>
      </c>
      <c r="L5" s="27">
        <v>73.456000000000003</v>
      </c>
    </row>
    <row r="6" spans="1:13" ht="28.5" x14ac:dyDescent="0.25">
      <c r="A6" s="22" t="s">
        <v>83</v>
      </c>
      <c r="B6" s="20">
        <v>0.5</v>
      </c>
      <c r="C6" s="20">
        <v>12.5</v>
      </c>
      <c r="D6" s="20">
        <v>6.3</v>
      </c>
      <c r="E6" s="10">
        <v>26</v>
      </c>
      <c r="F6" s="20">
        <f>D6*E6</f>
        <v>163.79999999999998</v>
      </c>
      <c r="G6" s="20">
        <f t="shared" si="1"/>
        <v>0.315</v>
      </c>
      <c r="H6" s="20">
        <f t="shared" si="2"/>
        <v>0.63</v>
      </c>
      <c r="I6" s="90">
        <f t="shared" si="3"/>
        <v>8970.7917599999982</v>
      </c>
      <c r="J6" s="1"/>
      <c r="K6" s="14" t="s">
        <v>33</v>
      </c>
      <c r="L6" s="27">
        <v>54.512</v>
      </c>
    </row>
    <row r="7" spans="1:13" x14ac:dyDescent="0.25">
      <c r="A7" s="22" t="s">
        <v>67</v>
      </c>
      <c r="B7" s="110"/>
      <c r="C7" s="110"/>
      <c r="D7" s="110"/>
      <c r="E7" s="110"/>
      <c r="F7" s="110"/>
      <c r="G7" s="20"/>
      <c r="H7" s="20"/>
      <c r="I7" s="109"/>
      <c r="J7" s="1"/>
      <c r="K7" s="14" t="s">
        <v>20</v>
      </c>
      <c r="L7" s="27">
        <v>29.504000000000001</v>
      </c>
    </row>
    <row r="8" spans="1:13" ht="15.75" x14ac:dyDescent="0.25">
      <c r="A8" s="22" t="s">
        <v>84</v>
      </c>
      <c r="B8" s="20">
        <v>0.5</v>
      </c>
      <c r="C8" s="20">
        <v>5</v>
      </c>
      <c r="D8" s="20">
        <v>2.5</v>
      </c>
      <c r="E8" s="10">
        <v>5</v>
      </c>
      <c r="F8" s="20">
        <f>D8*E8</f>
        <v>12.5</v>
      </c>
      <c r="G8" s="20">
        <f t="shared" si="1"/>
        <v>0.125</v>
      </c>
      <c r="H8" s="20">
        <f t="shared" si="2"/>
        <v>0.25</v>
      </c>
      <c r="I8" s="90">
        <f t="shared" si="3"/>
        <v>697.95799999999997</v>
      </c>
      <c r="J8" s="13"/>
      <c r="K8" s="13"/>
      <c r="L8" s="1"/>
    </row>
    <row r="9" spans="1:13" ht="19.5" customHeight="1" x14ac:dyDescent="0.25">
      <c r="A9" s="22" t="s">
        <v>85</v>
      </c>
      <c r="B9" s="20">
        <v>0.5</v>
      </c>
      <c r="C9" s="20">
        <v>50</v>
      </c>
      <c r="D9" s="20">
        <v>25</v>
      </c>
      <c r="E9" s="10">
        <v>52</v>
      </c>
      <c r="F9" s="60">
        <f t="shared" ref="F9" si="4">D9*E9</f>
        <v>1300</v>
      </c>
      <c r="G9" s="20">
        <f t="shared" si="1"/>
        <v>1.25</v>
      </c>
      <c r="H9" s="20">
        <f t="shared" si="2"/>
        <v>2.5</v>
      </c>
      <c r="I9" s="90">
        <f t="shared" si="3"/>
        <v>71031.180000000008</v>
      </c>
      <c r="J9" s="13"/>
      <c r="K9" s="13"/>
      <c r="L9" s="3"/>
    </row>
    <row r="10" spans="1:13" ht="15.75" x14ac:dyDescent="0.25">
      <c r="A10" s="22" t="s">
        <v>86</v>
      </c>
      <c r="B10" s="20">
        <v>4</v>
      </c>
      <c r="C10" s="20">
        <v>45</v>
      </c>
      <c r="D10" s="20">
        <v>180</v>
      </c>
      <c r="E10" s="10">
        <v>47</v>
      </c>
      <c r="F10" s="60">
        <f>D10*E10</f>
        <v>8460</v>
      </c>
      <c r="G10" s="20">
        <f t="shared" si="1"/>
        <v>9</v>
      </c>
      <c r="H10" s="20">
        <f t="shared" si="2"/>
        <v>18</v>
      </c>
      <c r="I10" s="90">
        <f t="shared" si="3"/>
        <v>462363.696</v>
      </c>
      <c r="J10" s="15"/>
      <c r="K10" s="15"/>
      <c r="L10" s="46"/>
    </row>
    <row r="11" spans="1:13" ht="15.75" x14ac:dyDescent="0.25">
      <c r="A11" s="22" t="s">
        <v>87</v>
      </c>
      <c r="B11" s="20">
        <v>2</v>
      </c>
      <c r="C11" s="20">
        <v>75</v>
      </c>
      <c r="D11" s="20">
        <v>150</v>
      </c>
      <c r="E11" s="10">
        <v>78</v>
      </c>
      <c r="F11" s="60">
        <f t="shared" ref="F11:F12" si="5">D11*E11</f>
        <v>11700</v>
      </c>
      <c r="G11" s="20">
        <f t="shared" si="1"/>
        <v>7.5</v>
      </c>
      <c r="H11" s="20">
        <f t="shared" si="2"/>
        <v>15</v>
      </c>
      <c r="I11" s="90">
        <f t="shared" si="3"/>
        <v>638783.88000000012</v>
      </c>
      <c r="J11" s="1"/>
      <c r="K11" s="1"/>
      <c r="L11" s="1"/>
    </row>
    <row r="12" spans="1:13" ht="15" customHeight="1" x14ac:dyDescent="0.25">
      <c r="A12" s="22" t="s">
        <v>68</v>
      </c>
      <c r="B12" s="20">
        <v>60</v>
      </c>
      <c r="C12" s="20">
        <v>1</v>
      </c>
      <c r="D12" s="20">
        <v>60</v>
      </c>
      <c r="E12" s="10">
        <v>1</v>
      </c>
      <c r="F12" s="20">
        <f t="shared" si="5"/>
        <v>60</v>
      </c>
      <c r="G12" s="20">
        <f t="shared" si="1"/>
        <v>3</v>
      </c>
      <c r="H12" s="20">
        <f t="shared" si="2"/>
        <v>6</v>
      </c>
      <c r="I12" s="90">
        <f t="shared" si="3"/>
        <v>3668.1120000000001</v>
      </c>
      <c r="J12" s="1"/>
      <c r="K12" s="1"/>
      <c r="L12" s="1"/>
    </row>
    <row r="13" spans="1:13" ht="16.5" x14ac:dyDescent="0.25">
      <c r="A13" s="45" t="s">
        <v>34</v>
      </c>
      <c r="B13" s="151"/>
      <c r="C13" s="151"/>
      <c r="D13" s="151"/>
      <c r="E13" s="151"/>
      <c r="F13" s="152">
        <f>ROUND(SUM(F4:H12), -2)</f>
        <v>22100</v>
      </c>
      <c r="G13" s="152"/>
      <c r="H13" s="152"/>
      <c r="I13" s="74">
        <f>ROUND(SUM(I4:I12), -3)</f>
        <v>1205000</v>
      </c>
      <c r="J13" s="1"/>
      <c r="K13" s="1"/>
      <c r="L13" s="1"/>
    </row>
    <row r="14" spans="1:13" x14ac:dyDescent="0.25">
      <c r="A14" s="113"/>
      <c r="B14" s="114"/>
      <c r="C14" s="114"/>
      <c r="D14" s="114"/>
      <c r="E14" s="114"/>
      <c r="F14" s="115"/>
      <c r="G14" s="115"/>
      <c r="H14" s="115"/>
      <c r="I14" s="116"/>
      <c r="J14" s="1"/>
      <c r="K14" s="1"/>
      <c r="L14" s="1"/>
    </row>
    <row r="15" spans="1:13" x14ac:dyDescent="0.25">
      <c r="A15" s="89" t="s">
        <v>24</v>
      </c>
      <c r="B15" s="89"/>
      <c r="C15" s="89"/>
      <c r="D15" s="89"/>
      <c r="E15" s="89"/>
      <c r="F15" s="89"/>
      <c r="G15" s="89"/>
      <c r="H15" s="89"/>
      <c r="I15" s="89"/>
      <c r="J15" s="117"/>
      <c r="K15" s="1"/>
      <c r="L15" s="1"/>
    </row>
    <row r="16" spans="1:13" ht="49.9" customHeight="1" x14ac:dyDescent="0.25">
      <c r="A16" s="149" t="s">
        <v>96</v>
      </c>
      <c r="B16" s="149"/>
      <c r="C16" s="149"/>
      <c r="D16" s="149"/>
      <c r="E16" s="149"/>
      <c r="F16" s="149"/>
      <c r="G16" s="149"/>
      <c r="H16" s="149"/>
      <c r="I16" s="149"/>
      <c r="J16" s="3"/>
      <c r="K16" s="1"/>
      <c r="L16" s="1"/>
    </row>
    <row r="17" spans="1:12" ht="64.150000000000006" customHeight="1" x14ac:dyDescent="0.25">
      <c r="A17" s="150" t="s">
        <v>119</v>
      </c>
      <c r="B17" s="150"/>
      <c r="C17" s="150"/>
      <c r="D17" s="150"/>
      <c r="E17" s="150"/>
      <c r="F17" s="150"/>
      <c r="G17" s="150"/>
      <c r="H17" s="150"/>
      <c r="I17" s="150"/>
      <c r="J17" s="3"/>
      <c r="K17" s="1"/>
      <c r="L17" s="1"/>
    </row>
    <row r="18" spans="1:12" ht="18" x14ac:dyDescent="0.25">
      <c r="A18" s="120" t="s">
        <v>97</v>
      </c>
      <c r="B18" s="91"/>
      <c r="C18" s="80"/>
      <c r="D18" s="80"/>
      <c r="E18" s="80"/>
      <c r="F18" s="80"/>
      <c r="G18" s="80"/>
      <c r="H18" s="80"/>
      <c r="I18" s="80"/>
      <c r="J18" s="3"/>
      <c r="K18" s="1"/>
      <c r="L18" s="1"/>
    </row>
    <row r="19" spans="1:12" ht="18" x14ac:dyDescent="0.25">
      <c r="A19" s="120" t="s">
        <v>114</v>
      </c>
      <c r="B19" s="91"/>
      <c r="C19" s="80"/>
      <c r="D19" s="80"/>
      <c r="E19" s="80"/>
      <c r="F19" s="80"/>
      <c r="G19" s="80"/>
      <c r="H19" s="80"/>
      <c r="I19" s="80"/>
      <c r="J19" s="117">
        <f>25/500</f>
        <v>0.05</v>
      </c>
      <c r="K19" s="117">
        <f>520*J19</f>
        <v>26</v>
      </c>
      <c r="L19" s="1"/>
    </row>
    <row r="20" spans="1:12" ht="14.45" customHeight="1" x14ac:dyDescent="0.25">
      <c r="A20" s="120" t="s">
        <v>116</v>
      </c>
      <c r="B20" s="91"/>
      <c r="C20" s="80"/>
      <c r="D20" s="80"/>
      <c r="E20" s="80"/>
      <c r="F20" s="80"/>
      <c r="G20" s="80"/>
      <c r="H20" s="80"/>
      <c r="I20" s="80"/>
      <c r="J20" s="117">
        <f>520*0.1</f>
        <v>52</v>
      </c>
      <c r="K20" s="1"/>
      <c r="L20" s="1"/>
    </row>
    <row r="21" spans="1:12" ht="18" x14ac:dyDescent="0.25">
      <c r="A21" s="120" t="s">
        <v>99</v>
      </c>
      <c r="B21" s="91"/>
      <c r="C21" s="1"/>
      <c r="D21" s="1"/>
      <c r="E21" s="1"/>
      <c r="F21" s="1"/>
      <c r="G21" s="1"/>
      <c r="H21" s="1"/>
      <c r="I21" s="1"/>
      <c r="J21" s="3"/>
      <c r="K21" s="1"/>
      <c r="L21" s="1"/>
    </row>
    <row r="22" spans="1:12" ht="18" x14ac:dyDescent="0.25">
      <c r="A22" s="120" t="s">
        <v>100</v>
      </c>
      <c r="B22" s="91"/>
      <c r="C22" s="1"/>
      <c r="D22" s="1"/>
      <c r="E22" s="1"/>
      <c r="F22" s="1"/>
      <c r="G22" s="1"/>
      <c r="H22" s="1"/>
      <c r="I22" s="1"/>
      <c r="J22" s="3"/>
      <c r="K22" s="1"/>
      <c r="L22" s="1"/>
    </row>
    <row r="23" spans="1:12" ht="18" x14ac:dyDescent="0.25">
      <c r="A23" s="121" t="s">
        <v>98</v>
      </c>
      <c r="B23" s="79"/>
      <c r="C23" s="79"/>
      <c r="D23" s="1"/>
      <c r="E23" s="1"/>
      <c r="F23" s="1"/>
      <c r="G23" s="1"/>
      <c r="H23" s="1"/>
      <c r="I23" s="1"/>
      <c r="J23" s="1"/>
      <c r="K23" s="1"/>
      <c r="L23" s="1"/>
    </row>
    <row r="24" spans="1:12" x14ac:dyDescent="0.25">
      <c r="A24" s="1"/>
      <c r="B24" s="79"/>
      <c r="C24" s="79"/>
      <c r="D24" s="1"/>
      <c r="E24" s="1"/>
      <c r="F24" s="1"/>
      <c r="G24" s="1"/>
      <c r="H24" s="1"/>
      <c r="I24" s="1"/>
      <c r="J24" s="1"/>
      <c r="K24" s="1"/>
      <c r="L24" s="1"/>
    </row>
    <row r="25" spans="1:12" x14ac:dyDescent="0.25">
      <c r="A25" s="1"/>
      <c r="B25" s="79"/>
      <c r="C25" s="79"/>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sheetData>
  <mergeCells count="5">
    <mergeCell ref="A16:I16"/>
    <mergeCell ref="A17:I17"/>
    <mergeCell ref="B13:E13"/>
    <mergeCell ref="F13:H13"/>
    <mergeCell ref="K4:L4"/>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I15"/>
  <sheetViews>
    <sheetView zoomScale="90" zoomScaleNormal="90" workbookViewId="0">
      <selection activeCell="C31" sqref="C31"/>
    </sheetView>
  </sheetViews>
  <sheetFormatPr defaultColWidth="22" defaultRowHeight="12.75" x14ac:dyDescent="0.2"/>
  <cols>
    <col min="1" max="1" width="16.42578125" style="18" customWidth="1"/>
    <col min="2" max="10" width="16.7109375" style="18" customWidth="1"/>
    <col min="11" max="16384" width="22" style="18"/>
  </cols>
  <sheetData>
    <row r="1" spans="1:9" ht="15.75" x14ac:dyDescent="0.2">
      <c r="A1" s="123" t="s">
        <v>101</v>
      </c>
      <c r="B1" s="6"/>
      <c r="C1" s="6"/>
    </row>
    <row r="2" spans="1:9" x14ac:dyDescent="0.2">
      <c r="A2" s="103"/>
      <c r="B2" s="103"/>
      <c r="C2" s="103"/>
      <c r="D2" s="103"/>
      <c r="E2" s="103"/>
      <c r="F2" s="103"/>
      <c r="G2" s="103"/>
      <c r="H2" s="92"/>
    </row>
    <row r="3" spans="1:9" x14ac:dyDescent="0.2">
      <c r="A3" s="92"/>
      <c r="B3" s="92"/>
      <c r="C3" s="92"/>
      <c r="D3" s="92"/>
      <c r="E3" s="92"/>
      <c r="F3" s="92"/>
      <c r="G3" s="92"/>
      <c r="H3" s="92"/>
    </row>
    <row r="4" spans="1:9" x14ac:dyDescent="0.2">
      <c r="A4" s="92"/>
      <c r="B4" s="92"/>
      <c r="C4" s="92"/>
      <c r="D4" s="92"/>
      <c r="E4" s="92"/>
      <c r="F4" s="92"/>
      <c r="G4" s="92"/>
      <c r="H4" s="92"/>
    </row>
    <row r="5" spans="1:9" x14ac:dyDescent="0.2">
      <c r="A5" s="93"/>
      <c r="B5" s="94"/>
      <c r="C5" s="95"/>
      <c r="D5" s="96"/>
      <c r="E5" s="97"/>
      <c r="F5" s="97"/>
      <c r="G5" s="97"/>
      <c r="H5" s="96"/>
    </row>
    <row r="6" spans="1:9" x14ac:dyDescent="0.2">
      <c r="A6" s="81"/>
      <c r="B6" s="96"/>
      <c r="C6" s="98"/>
      <c r="D6" s="96"/>
      <c r="E6" s="96"/>
      <c r="F6" s="98"/>
      <c r="G6" s="96"/>
      <c r="H6" s="96"/>
    </row>
    <row r="7" spans="1:9" x14ac:dyDescent="0.2">
      <c r="A7" s="81"/>
      <c r="B7" s="96"/>
      <c r="C7" s="98"/>
      <c r="D7" s="96"/>
      <c r="E7" s="96"/>
      <c r="F7" s="98"/>
      <c r="G7" s="96"/>
      <c r="H7" s="99"/>
    </row>
    <row r="8" spans="1:9" x14ac:dyDescent="0.2">
      <c r="A8" s="100"/>
      <c r="B8" s="94"/>
      <c r="C8" s="101"/>
      <c r="D8" s="94"/>
      <c r="H8" s="102"/>
    </row>
    <row r="9" spans="1:9" x14ac:dyDescent="0.2">
      <c r="A9" s="80"/>
      <c r="B9" s="94"/>
      <c r="C9" s="95"/>
      <c r="D9" s="94"/>
      <c r="E9" s="94"/>
      <c r="F9" s="95"/>
      <c r="G9" s="94"/>
    </row>
    <row r="10" spans="1:9" x14ac:dyDescent="0.2">
      <c r="A10" s="103"/>
      <c r="B10" s="98"/>
      <c r="C10" s="98"/>
      <c r="D10" s="99"/>
      <c r="E10" s="98"/>
      <c r="F10" s="98"/>
      <c r="G10" s="99"/>
      <c r="I10" s="104"/>
    </row>
    <row r="11" spans="1:9" x14ac:dyDescent="0.2">
      <c r="A11" s="103"/>
      <c r="B11" s="98"/>
      <c r="C11" s="98"/>
      <c r="D11" s="99"/>
      <c r="E11" s="98"/>
      <c r="F11" s="98"/>
      <c r="G11" s="99"/>
    </row>
    <row r="12" spans="1:9" x14ac:dyDescent="0.2">
      <c r="A12" s="81"/>
      <c r="B12" s="102"/>
      <c r="C12" s="102"/>
      <c r="D12" s="102"/>
      <c r="E12" s="102"/>
      <c r="F12" s="102"/>
      <c r="G12" s="102"/>
    </row>
    <row r="13" spans="1:9" x14ac:dyDescent="0.2">
      <c r="A13" s="81"/>
      <c r="B13" s="102"/>
      <c r="C13" s="102"/>
      <c r="D13" s="102"/>
      <c r="E13" s="102"/>
      <c r="F13" s="102"/>
      <c r="G13" s="102"/>
    </row>
    <row r="14" spans="1:9" x14ac:dyDescent="0.2">
      <c r="A14" s="43"/>
      <c r="B14" s="43"/>
      <c r="C14" s="43"/>
      <c r="D14" s="43"/>
      <c r="E14" s="43"/>
      <c r="F14" s="43"/>
      <c r="G14" s="43"/>
    </row>
    <row r="15" spans="1:9" x14ac:dyDescent="0.2">
      <c r="A15" s="105"/>
      <c r="B15" s="105"/>
      <c r="C15" s="105"/>
      <c r="D15" s="105"/>
      <c r="E15" s="105"/>
      <c r="F15" s="105"/>
      <c r="G15" s="105"/>
    </row>
  </sheetData>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13"/>
  <sheetViews>
    <sheetView zoomScaleNormal="100" workbookViewId="0">
      <selection activeCell="I3" sqref="I3"/>
    </sheetView>
  </sheetViews>
  <sheetFormatPr defaultRowHeight="15" x14ac:dyDescent="0.25"/>
  <cols>
    <col min="1" max="1" width="43.7109375" customWidth="1"/>
    <col min="2" max="2" width="11.85546875" customWidth="1"/>
    <col min="3" max="3" width="12.7109375" customWidth="1"/>
    <col min="4" max="4" width="11.42578125" customWidth="1"/>
    <col min="5" max="5" width="14.7109375" customWidth="1"/>
  </cols>
  <sheetData>
    <row r="1" spans="1:6" s="18" customFormat="1" ht="15.75" x14ac:dyDescent="0.2">
      <c r="A1" s="153" t="s">
        <v>6</v>
      </c>
      <c r="B1" s="153"/>
      <c r="C1" s="153"/>
      <c r="D1" s="153"/>
      <c r="E1" s="153"/>
      <c r="F1" s="106"/>
    </row>
    <row r="2" spans="1:6" s="18" customFormat="1" ht="12.75" x14ac:dyDescent="0.2">
      <c r="A2" s="19" t="s">
        <v>35</v>
      </c>
      <c r="B2" s="19" t="s">
        <v>36</v>
      </c>
      <c r="C2" s="19" t="s">
        <v>37</v>
      </c>
      <c r="D2" s="19" t="s">
        <v>38</v>
      </c>
      <c r="E2" s="19" t="s">
        <v>39</v>
      </c>
    </row>
    <row r="3" spans="1:6" s="18" customFormat="1" ht="102" x14ac:dyDescent="0.2">
      <c r="A3" s="19" t="s">
        <v>40</v>
      </c>
      <c r="B3" s="19" t="s">
        <v>41</v>
      </c>
      <c r="C3" s="19" t="s">
        <v>42</v>
      </c>
      <c r="D3" s="19" t="s">
        <v>43</v>
      </c>
      <c r="E3" s="19" t="s">
        <v>44</v>
      </c>
    </row>
    <row r="4" spans="1:6" s="18" customFormat="1" ht="17.25" customHeight="1" x14ac:dyDescent="0.2">
      <c r="A4" s="29" t="s">
        <v>45</v>
      </c>
      <c r="B4" s="20">
        <v>5</v>
      </c>
      <c r="C4" s="20">
        <v>1</v>
      </c>
      <c r="D4" s="20">
        <v>0</v>
      </c>
      <c r="E4" s="20">
        <f>(B4*C4)+D4</f>
        <v>5</v>
      </c>
      <c r="F4" s="106"/>
    </row>
    <row r="5" spans="1:6" s="18" customFormat="1" ht="17.25" customHeight="1" x14ac:dyDescent="0.2">
      <c r="A5" s="29" t="s">
        <v>61</v>
      </c>
      <c r="B5" s="20">
        <v>5</v>
      </c>
      <c r="C5" s="20">
        <v>1</v>
      </c>
      <c r="D5" s="20">
        <v>0</v>
      </c>
      <c r="E5" s="20">
        <f t="shared" ref="E5:E8" si="0">(B5*C5)+D5</f>
        <v>5</v>
      </c>
    </row>
    <row r="6" spans="1:6" s="18" customFormat="1" ht="37.5" customHeight="1" x14ac:dyDescent="0.2">
      <c r="A6" s="124" t="s">
        <v>117</v>
      </c>
      <c r="B6" s="28">
        <v>26</v>
      </c>
      <c r="C6" s="28">
        <v>1</v>
      </c>
      <c r="D6" s="28">
        <v>0</v>
      </c>
      <c r="E6" s="28">
        <f t="shared" si="0"/>
        <v>26</v>
      </c>
      <c r="F6" s="125"/>
    </row>
    <row r="7" spans="1:6" s="18" customFormat="1" ht="25.5" x14ac:dyDescent="0.2">
      <c r="A7" s="81" t="s">
        <v>111</v>
      </c>
      <c r="B7" s="20">
        <v>47</v>
      </c>
      <c r="C7" s="20">
        <v>1</v>
      </c>
      <c r="D7" s="20">
        <v>0</v>
      </c>
      <c r="E7" s="20">
        <f t="shared" si="0"/>
        <v>47</v>
      </c>
      <c r="F7" s="106"/>
    </row>
    <row r="8" spans="1:6" s="18" customFormat="1" ht="25.5" x14ac:dyDescent="0.2">
      <c r="A8" s="29" t="s">
        <v>112</v>
      </c>
      <c r="B8" s="20">
        <v>78</v>
      </c>
      <c r="C8" s="20">
        <v>1</v>
      </c>
      <c r="D8" s="20">
        <v>0</v>
      </c>
      <c r="E8" s="20">
        <f t="shared" si="0"/>
        <v>78</v>
      </c>
      <c r="F8" s="106"/>
    </row>
    <row r="9" spans="1:6" s="18" customFormat="1" ht="12.75" x14ac:dyDescent="0.2">
      <c r="A9" s="22"/>
      <c r="B9" s="20"/>
      <c r="C9" s="20"/>
      <c r="D9" s="23" t="s">
        <v>46</v>
      </c>
      <c r="E9" s="65">
        <f>SUM(E4:E8)</f>
        <v>161</v>
      </c>
      <c r="F9" s="106"/>
    </row>
    <row r="10" spans="1:6" s="18" customFormat="1" ht="12.75" x14ac:dyDescent="0.2">
      <c r="A10" s="66"/>
      <c r="B10" s="67"/>
      <c r="C10" s="67"/>
      <c r="D10" s="68"/>
      <c r="E10" s="69"/>
    </row>
    <row r="11" spans="1:6" s="18" customFormat="1" ht="18" customHeight="1" x14ac:dyDescent="0.2">
      <c r="A11" s="26"/>
      <c r="B11" s="26"/>
      <c r="C11" s="26"/>
      <c r="D11" s="26"/>
      <c r="E11" s="26"/>
    </row>
    <row r="12" spans="1:6" s="18" customFormat="1" ht="12.75" x14ac:dyDescent="0.2">
      <c r="A12" s="26"/>
      <c r="B12" s="26"/>
      <c r="C12" s="26"/>
      <c r="D12" s="26"/>
      <c r="E12" s="26"/>
    </row>
    <row r="13" spans="1:6" s="18" customFormat="1" ht="12.75" x14ac:dyDescent="0.2">
      <c r="A13" s="122"/>
      <c r="B13" s="122"/>
      <c r="C13" s="122"/>
      <c r="D13" s="122"/>
      <c r="E13" s="122"/>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G9"/>
  <sheetViews>
    <sheetView zoomScale="90" zoomScaleNormal="90" workbookViewId="0">
      <selection activeCell="H4" sqref="H4"/>
    </sheetView>
  </sheetViews>
  <sheetFormatPr defaultColWidth="17.7109375" defaultRowHeight="31.9" customHeight="1" x14ac:dyDescent="0.25"/>
  <sheetData>
    <row r="1" spans="1:7" s="18" customFormat="1" ht="31.9" customHeight="1" x14ac:dyDescent="0.25">
      <c r="A1" s="153" t="s">
        <v>2</v>
      </c>
      <c r="B1" s="153"/>
      <c r="C1" s="153"/>
      <c r="D1" s="153"/>
      <c r="E1" s="153"/>
      <c r="F1" s="153"/>
      <c r="G1" s="107"/>
    </row>
    <row r="2" spans="1:7" s="18" customFormat="1" ht="31.9" customHeight="1" x14ac:dyDescent="0.2">
      <c r="A2" s="24"/>
      <c r="B2" s="154" t="s">
        <v>47</v>
      </c>
      <c r="C2" s="154"/>
      <c r="D2" s="24" t="s">
        <v>48</v>
      </c>
      <c r="E2" s="154"/>
      <c r="F2" s="154"/>
    </row>
    <row r="3" spans="1:7" s="18" customFormat="1" ht="31.9" customHeight="1" x14ac:dyDescent="0.2">
      <c r="A3" s="24"/>
      <c r="B3" s="25" t="s">
        <v>35</v>
      </c>
      <c r="C3" s="25" t="s">
        <v>36</v>
      </c>
      <c r="D3" s="25" t="s">
        <v>37</v>
      </c>
      <c r="E3" s="25" t="s">
        <v>38</v>
      </c>
      <c r="F3" s="25" t="s">
        <v>39</v>
      </c>
    </row>
    <row r="4" spans="1:7" s="18" customFormat="1" ht="70.900000000000006" customHeight="1" x14ac:dyDescent="0.2">
      <c r="A4" s="25" t="s">
        <v>49</v>
      </c>
      <c r="B4" s="24" t="s">
        <v>50</v>
      </c>
      <c r="C4" s="24" t="s">
        <v>51</v>
      </c>
      <c r="D4" s="24" t="s">
        <v>52</v>
      </c>
      <c r="E4" s="24" t="s">
        <v>53</v>
      </c>
      <c r="F4" s="24" t="s">
        <v>54</v>
      </c>
    </row>
    <row r="5" spans="1:7" s="18" customFormat="1" ht="31.9" customHeight="1" x14ac:dyDescent="0.2">
      <c r="A5" s="19">
        <v>1</v>
      </c>
      <c r="B5" s="20">
        <v>5</v>
      </c>
      <c r="C5" s="20">
        <v>510</v>
      </c>
      <c r="D5" s="20">
        <v>0</v>
      </c>
      <c r="E5" s="20">
        <v>0</v>
      </c>
      <c r="F5" s="20">
        <f>B5+C5+D5-E5</f>
        <v>515</v>
      </c>
    </row>
    <row r="6" spans="1:7" s="18" customFormat="1" ht="31.9" customHeight="1" x14ac:dyDescent="0.2">
      <c r="A6" s="19">
        <v>2</v>
      </c>
      <c r="B6" s="20">
        <v>5</v>
      </c>
      <c r="C6" s="20">
        <f>F5</f>
        <v>515</v>
      </c>
      <c r="D6" s="20">
        <v>0</v>
      </c>
      <c r="E6" s="20">
        <v>0</v>
      </c>
      <c r="F6" s="20">
        <f>B6+C6+D6-E6</f>
        <v>520</v>
      </c>
    </row>
    <row r="7" spans="1:7" s="18" customFormat="1" ht="31.9" customHeight="1" x14ac:dyDescent="0.2">
      <c r="A7" s="19">
        <v>3</v>
      </c>
      <c r="B7" s="20">
        <v>5</v>
      </c>
      <c r="C7" s="20">
        <f>F6</f>
        <v>520</v>
      </c>
      <c r="D7" s="20">
        <v>0</v>
      </c>
      <c r="E7" s="20">
        <v>0</v>
      </c>
      <c r="F7" s="20">
        <f>B7+C7+D7-E7</f>
        <v>525</v>
      </c>
    </row>
    <row r="8" spans="1:7" s="18" customFormat="1" ht="31.9" customHeight="1" x14ac:dyDescent="0.2">
      <c r="A8" s="19" t="s">
        <v>55</v>
      </c>
      <c r="B8" s="20">
        <f>AVERAGE(B5:B7)</f>
        <v>5</v>
      </c>
      <c r="C8" s="20">
        <f>AVERAGE(C5:C7)</f>
        <v>515</v>
      </c>
      <c r="D8" s="20">
        <v>0</v>
      </c>
      <c r="E8" s="20">
        <v>0</v>
      </c>
      <c r="F8" s="23">
        <f>AVERAGE(F5:F7)</f>
        <v>520</v>
      </c>
    </row>
    <row r="9" spans="1:7" s="18" customFormat="1" ht="20.45" customHeight="1" x14ac:dyDescent="0.2">
      <c r="A9" s="21" t="s">
        <v>69</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2024-10-23T20:54:42+00:00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1788708A-52BB-4D0F-B232-80F9E123F19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3.xml><?xml version="1.0" encoding="utf-8"?>
<ds:datastoreItem xmlns:ds="http://schemas.openxmlformats.org/officeDocument/2006/customXml" ds:itemID="{CFC3A8D5-80E1-4EC9-8C1A-683AD86917D7}"/>
</file>

<file path=customXml/itemProps4.xml><?xml version="1.0" encoding="utf-8"?>
<ds:datastoreItem xmlns:ds="http://schemas.openxmlformats.org/officeDocument/2006/customXml" ds:itemID="{63D9EAA3-7DDB-4CFC-A502-6E4FD83B37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ERG</cp:lastModifiedBy>
  <cp:revision/>
  <dcterms:created xsi:type="dcterms:W3CDTF">2018-07-19T14:57:42Z</dcterms:created>
  <dcterms:modified xsi:type="dcterms:W3CDTF">2023-12-01T20:46:38Z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ies>
</file>